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bancoamazoniacombr.sharepoint.com/sites/GEPAC_SITE/Documentos Compartilhados/COPOL/COPOL - GERAL/EDITAIS/2026/PREGÃO ELETRÔNICO/PE_90015_2026 - ADEQUAÇÃO LAYOUT/EDITAL E ANEXOS/"/>
    </mc:Choice>
  </mc:AlternateContent>
  <xr:revisionPtr revIDLastSave="4" documentId="13_ncr:1_{EA48FC04-547F-4E0D-AE3E-25F4E54EA7A1}" xr6:coauthVersionLast="47" xr6:coauthVersionMax="47" xr10:uidLastSave="{4A95D86B-C5BC-4569-A154-D4D57C2FD152}"/>
  <bookViews>
    <workbookView xWindow="-120" yWindow="-16320" windowWidth="29040" windowHeight="15840" tabRatio="595" xr2:uid="{00000000-000D-0000-FFFF-FFFF00000000}"/>
  </bookViews>
  <sheets>
    <sheet name="LOTE_01" sheetId="13" r:id="rId1"/>
    <sheet name="LOTE_02" sheetId="14" r:id="rId2"/>
    <sheet name="LOTE_03" sheetId="15" r:id="rId3"/>
    <sheet name="OrçGeral-AC" sheetId="1" r:id="rId4"/>
    <sheet name="OrçGeral-AM" sheetId="3" r:id="rId5"/>
    <sheet name="OrçGeral-RO" sheetId="9" r:id="rId6"/>
    <sheet name="OrçGeral-RR" sheetId="10" r:id="rId7"/>
    <sheet name="OrçGeral-PA" sheetId="8" r:id="rId8"/>
    <sheet name="OrçGeral-AP" sheetId="4" r:id="rId9"/>
    <sheet name="OrçGeral-MA" sheetId="6" r:id="rId10"/>
    <sheet name="OrçGeral-MT" sheetId="7" r:id="rId11"/>
    <sheet name="OrçGeral-TO" sheetId="12" r:id="rId12"/>
  </sheets>
  <externalReferences>
    <externalReference r:id="rId13"/>
  </externalReferences>
  <definedNames>
    <definedName name="_xlnm._FilterDatabase" localSheetId="3" hidden="1">'OrçGeral-AC'!$B$14:$P$741</definedName>
    <definedName name="_xlnm._FilterDatabase" localSheetId="4" hidden="1">'OrçGeral-AM'!$B$14:$P$751</definedName>
    <definedName name="_xlnm._FilterDatabase" localSheetId="8" hidden="1">'OrçGeral-AP'!$B$14:$P$751</definedName>
    <definedName name="_xlnm._FilterDatabase" localSheetId="9" hidden="1">'OrçGeral-MA'!$B$14:$P$751</definedName>
    <definedName name="_xlnm._FilterDatabase" localSheetId="10" hidden="1">'OrçGeral-MT'!$B$14:$P$751</definedName>
    <definedName name="_xlnm._FilterDatabase" localSheetId="7" hidden="1">'OrçGeral-PA'!$B$14:$P$751</definedName>
    <definedName name="_xlnm._FilterDatabase" localSheetId="5" hidden="1">'OrçGeral-RO'!$B$14:$P$751</definedName>
    <definedName name="_xlnm._FilterDatabase" localSheetId="6" hidden="1">'OrçGeral-RR'!$B$14:$P$751</definedName>
    <definedName name="_xlnm._FilterDatabase" localSheetId="11" hidden="1">'OrçGeral-TO'!$B$14:$P$751</definedName>
    <definedName name="_xlnm.Print_Area" localSheetId="0">LOTE_01!#REF!</definedName>
    <definedName name="_xlnm.Print_Area" localSheetId="3">'OrçGeral-AC'!$B$1:$P$741</definedName>
    <definedName name="_xlnm.Print_Area" localSheetId="4">'OrçGeral-AM'!$B$1:$P$741</definedName>
    <definedName name="_xlnm.Print_Area" localSheetId="8">'OrçGeral-AP'!$B$2:$P$741</definedName>
    <definedName name="_xlnm.Print_Area" localSheetId="9">'OrçGeral-MA'!$B$2:$P$741</definedName>
    <definedName name="_xlnm.Print_Area" localSheetId="10">'OrçGeral-MT'!$B$2:$P$741</definedName>
    <definedName name="_xlnm.Print_Area" localSheetId="7">'OrçGeral-PA'!$B$2:$P$741</definedName>
    <definedName name="_xlnm.Print_Area" localSheetId="5">'OrçGeral-RO'!$B$1:$P$741</definedName>
    <definedName name="_xlnm.Print_Area" localSheetId="6">'OrçGeral-RR'!$B$2:$P$741</definedName>
    <definedName name="_xlnm.Print_Area" localSheetId="11">'OrçGeral-TO'!$B$2:$P$741</definedName>
    <definedName name="figura">'[1]DESC SERVIÇOS'!#REF!</definedName>
    <definedName name="Fornecimento_e_instalação_de_caixa_coletora_de_objetos__com_antifurto_em_acrílico_incolor_e_transparente_de_6mm_de_espec._de_40_x_30cm__A_contratada_deverá_fornecer_e_instalar_uma_Caixa_coletora_de_objetos__com_proteção_antifurto__em_acrílico__para_a_PGDM">'[1]DESC SERVIÇOS'!#REF!</definedName>
    <definedName name="_xlnm.Print_Titles" localSheetId="3">'OrçGeral-AC'!$2:$14</definedName>
    <definedName name="_xlnm.Print_Titles" localSheetId="4">'OrçGeral-AM'!$2:$14</definedName>
    <definedName name="_xlnm.Print_Titles" localSheetId="8">'OrçGeral-AP'!$2:$14</definedName>
    <definedName name="_xlnm.Print_Titles" localSheetId="9">'OrçGeral-MA'!$2:$14</definedName>
    <definedName name="_xlnm.Print_Titles" localSheetId="10">'OrçGeral-MT'!$2:$14</definedName>
    <definedName name="_xlnm.Print_Titles" localSheetId="7">'OrçGeral-PA'!$2:$14</definedName>
    <definedName name="_xlnm.Print_Titles" localSheetId="5">'OrçGeral-RO'!$2:$14</definedName>
    <definedName name="_xlnm.Print_Titles" localSheetId="6">'OrçGeral-RR'!$2:$14</definedName>
    <definedName name="_xlnm.Print_Titles" localSheetId="11">'OrçGeral-TO'!$2:$14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37" i="12" l="1"/>
  <c r="R736" i="12"/>
  <c r="R735" i="12"/>
  <c r="R734" i="12"/>
  <c r="R733" i="12"/>
  <c r="R732" i="12"/>
  <c r="R731" i="12"/>
  <c r="R730" i="12"/>
  <c r="R729" i="12"/>
  <c r="R728" i="12"/>
  <c r="R727" i="12"/>
  <c r="R726" i="12"/>
  <c r="R725" i="12"/>
  <c r="R724" i="12"/>
  <c r="R723" i="12"/>
  <c r="R722" i="12"/>
  <c r="R721" i="12"/>
  <c r="R720" i="12"/>
  <c r="R719" i="12"/>
  <c r="R718" i="12"/>
  <c r="R717" i="12"/>
  <c r="R716" i="12"/>
  <c r="R714" i="12"/>
  <c r="R713" i="12"/>
  <c r="R712" i="12"/>
  <c r="R711" i="12"/>
  <c r="R710" i="12"/>
  <c r="R709" i="12"/>
  <c r="R708" i="12"/>
  <c r="R707" i="12"/>
  <c r="R706" i="12"/>
  <c r="R705" i="12"/>
  <c r="R704" i="12"/>
  <c r="R703" i="12"/>
  <c r="R702" i="12"/>
  <c r="R701" i="12"/>
  <c r="R700" i="12"/>
  <c r="R699" i="12"/>
  <c r="R698" i="12"/>
  <c r="R697" i="12"/>
  <c r="R696" i="12"/>
  <c r="R695" i="12"/>
  <c r="R694" i="12"/>
  <c r="R693" i="12"/>
  <c r="R691" i="12"/>
  <c r="R690" i="12"/>
  <c r="R689" i="12"/>
  <c r="R688" i="12"/>
  <c r="R687" i="12"/>
  <c r="R686" i="12"/>
  <c r="R685" i="12"/>
  <c r="R683" i="12"/>
  <c r="R682" i="12"/>
  <c r="R681" i="12"/>
  <c r="R680" i="12"/>
  <c r="R679" i="12"/>
  <c r="R678" i="12"/>
  <c r="R677" i="12"/>
  <c r="R676" i="12"/>
  <c r="R675" i="12"/>
  <c r="R673" i="12"/>
  <c r="R672" i="12"/>
  <c r="R671" i="12"/>
  <c r="R670" i="12"/>
  <c r="R669" i="12"/>
  <c r="R668" i="12"/>
  <c r="R667" i="12"/>
  <c r="R666" i="12"/>
  <c r="R665" i="12"/>
  <c r="R663" i="12"/>
  <c r="R662" i="12"/>
  <c r="R661" i="12"/>
  <c r="R660" i="12"/>
  <c r="R659" i="12"/>
  <c r="R658" i="12"/>
  <c r="R657" i="12"/>
  <c r="R656" i="12"/>
  <c r="R655" i="12"/>
  <c r="R654" i="12"/>
  <c r="R653" i="12"/>
  <c r="R652" i="12"/>
  <c r="R651" i="12"/>
  <c r="R650" i="12"/>
  <c r="R649" i="12"/>
  <c r="R648" i="12"/>
  <c r="R647" i="12"/>
  <c r="R646" i="12"/>
  <c r="R645" i="12"/>
  <c r="R644" i="12"/>
  <c r="R642" i="12"/>
  <c r="R640" i="12"/>
  <c r="R639" i="12"/>
  <c r="R641" i="12" s="1"/>
  <c r="R637" i="12"/>
  <c r="R636" i="12"/>
  <c r="R635" i="12"/>
  <c r="R634" i="12"/>
  <c r="R633" i="12"/>
  <c r="R632" i="12"/>
  <c r="R631" i="12"/>
  <c r="R630" i="12"/>
  <c r="R629" i="12"/>
  <c r="R628" i="12"/>
  <c r="R627" i="12"/>
  <c r="R626" i="12"/>
  <c r="R623" i="12"/>
  <c r="R622" i="12"/>
  <c r="R621" i="12"/>
  <c r="R620" i="12"/>
  <c r="R619" i="12"/>
  <c r="R618" i="12"/>
  <c r="R617" i="12"/>
  <c r="R616" i="12"/>
  <c r="R615" i="12"/>
  <c r="R614" i="12"/>
  <c r="R613" i="12"/>
  <c r="R612" i="12"/>
  <c r="R611" i="12"/>
  <c r="R610" i="12"/>
  <c r="R609" i="12"/>
  <c r="R608" i="12"/>
  <c r="R607" i="12"/>
  <c r="R606" i="12"/>
  <c r="R604" i="12"/>
  <c r="R603" i="12"/>
  <c r="R602" i="12"/>
  <c r="R601" i="12"/>
  <c r="R600" i="12"/>
  <c r="R599" i="12"/>
  <c r="R598" i="12"/>
  <c r="R597" i="12"/>
  <c r="R596" i="12"/>
  <c r="R595" i="12"/>
  <c r="R594" i="12"/>
  <c r="R593" i="12"/>
  <c r="R592" i="12"/>
  <c r="R591" i="12"/>
  <c r="R590" i="12"/>
  <c r="R589" i="12"/>
  <c r="R588" i="12"/>
  <c r="R587" i="12"/>
  <c r="R586" i="12"/>
  <c r="R585" i="12"/>
  <c r="R584" i="12"/>
  <c r="R583" i="12"/>
  <c r="R582" i="12"/>
  <c r="R580" i="12"/>
  <c r="R579" i="12"/>
  <c r="R578" i="12"/>
  <c r="R577" i="12"/>
  <c r="R576" i="12"/>
  <c r="R575" i="12"/>
  <c r="R574" i="12"/>
  <c r="R573" i="12"/>
  <c r="R572" i="12"/>
  <c r="R571" i="12"/>
  <c r="R570" i="12"/>
  <c r="R569" i="12"/>
  <c r="R568" i="12"/>
  <c r="R567" i="12"/>
  <c r="R566" i="12"/>
  <c r="R565" i="12"/>
  <c r="R564" i="12"/>
  <c r="R563" i="12"/>
  <c r="R562" i="12"/>
  <c r="R561" i="12"/>
  <c r="R560" i="12"/>
  <c r="R559" i="12"/>
  <c r="R558" i="12"/>
  <c r="R557" i="12"/>
  <c r="R556" i="12"/>
  <c r="R555" i="12"/>
  <c r="R554" i="12"/>
  <c r="R553" i="12"/>
  <c r="R552" i="12"/>
  <c r="R551" i="12"/>
  <c r="R550" i="12"/>
  <c r="R549" i="12"/>
  <c r="R548" i="12"/>
  <c r="R547" i="12"/>
  <c r="R546" i="12"/>
  <c r="R545" i="12"/>
  <c r="R544" i="12"/>
  <c r="R543" i="12"/>
  <c r="R542" i="12"/>
  <c r="R541" i="12"/>
  <c r="R539" i="12"/>
  <c r="R538" i="12"/>
  <c r="R537" i="12"/>
  <c r="R536" i="12"/>
  <c r="R535" i="12"/>
  <c r="R534" i="12"/>
  <c r="R533" i="12"/>
  <c r="R532" i="12"/>
  <c r="R531" i="12"/>
  <c r="R530" i="12"/>
  <c r="R529" i="12"/>
  <c r="R528" i="12"/>
  <c r="R527" i="12"/>
  <c r="R526" i="12"/>
  <c r="R525" i="12"/>
  <c r="R524" i="12"/>
  <c r="R523" i="12"/>
  <c r="R522" i="12"/>
  <c r="R521" i="12"/>
  <c r="R520" i="12"/>
  <c r="R519" i="12"/>
  <c r="R518" i="12"/>
  <c r="R517" i="12"/>
  <c r="R516" i="12"/>
  <c r="R515" i="12"/>
  <c r="R514" i="12"/>
  <c r="R513" i="12"/>
  <c r="R512" i="12"/>
  <c r="R511" i="12"/>
  <c r="R510" i="12"/>
  <c r="R509" i="12"/>
  <c r="R508" i="12"/>
  <c r="R507" i="12"/>
  <c r="R506" i="12"/>
  <c r="R505" i="12"/>
  <c r="R504" i="12"/>
  <c r="R503" i="12"/>
  <c r="R502" i="12"/>
  <c r="R501" i="12"/>
  <c r="R500" i="12"/>
  <c r="R499" i="12"/>
  <c r="R498" i="12"/>
  <c r="R497" i="12"/>
  <c r="R496" i="12"/>
  <c r="R494" i="12"/>
  <c r="R493" i="12"/>
  <c r="R492" i="12"/>
  <c r="R491" i="12"/>
  <c r="R490" i="12"/>
  <c r="R489" i="12"/>
  <c r="R488" i="12"/>
  <c r="R487" i="12"/>
  <c r="R486" i="12"/>
  <c r="R485" i="12"/>
  <c r="R484" i="12"/>
  <c r="R483" i="12"/>
  <c r="R482" i="12"/>
  <c r="R481" i="12"/>
  <c r="R480" i="12"/>
  <c r="R479" i="12"/>
  <c r="R478" i="12"/>
  <c r="R476" i="12"/>
  <c r="R475" i="12"/>
  <c r="R474" i="12"/>
  <c r="R473" i="12"/>
  <c r="R472" i="12"/>
  <c r="R471" i="12"/>
  <c r="R470" i="12"/>
  <c r="R469" i="12"/>
  <c r="R468" i="12"/>
  <c r="R467" i="12"/>
  <c r="R466" i="12"/>
  <c r="R465" i="12"/>
  <c r="R464" i="12"/>
  <c r="R463" i="12"/>
  <c r="R462" i="12"/>
  <c r="R461" i="12"/>
  <c r="R460" i="12"/>
  <c r="R459" i="12"/>
  <c r="R458" i="12"/>
  <c r="R457" i="12"/>
  <c r="R456" i="12"/>
  <c r="R455" i="12"/>
  <c r="R454" i="12"/>
  <c r="R453" i="12"/>
  <c r="R452" i="12"/>
  <c r="R451" i="12"/>
  <c r="R450" i="12"/>
  <c r="R449" i="12"/>
  <c r="R448" i="12"/>
  <c r="R447" i="12"/>
  <c r="R446" i="12"/>
  <c r="R445" i="12"/>
  <c r="R444" i="12"/>
  <c r="R443" i="12"/>
  <c r="R442" i="12"/>
  <c r="R441" i="12"/>
  <c r="R439" i="12"/>
  <c r="R438" i="12"/>
  <c r="R437" i="12"/>
  <c r="R436" i="12"/>
  <c r="R435" i="12"/>
  <c r="R434" i="12"/>
  <c r="R433" i="12"/>
  <c r="R432" i="12"/>
  <c r="R431" i="12"/>
  <c r="R430" i="12"/>
  <c r="R429" i="12"/>
  <c r="R428" i="12"/>
  <c r="R427" i="12"/>
  <c r="R426" i="12"/>
  <c r="R425" i="12"/>
  <c r="R424" i="12"/>
  <c r="R423" i="12"/>
  <c r="R422" i="12"/>
  <c r="R421" i="12"/>
  <c r="R420" i="12"/>
  <c r="R419" i="12"/>
  <c r="R418" i="12"/>
  <c r="R417" i="12"/>
  <c r="R416" i="12"/>
  <c r="R415" i="12"/>
  <c r="R414" i="12"/>
  <c r="R413" i="12"/>
  <c r="R412" i="12"/>
  <c r="R411" i="12"/>
  <c r="R410" i="12"/>
  <c r="R409" i="12"/>
  <c r="R408" i="12"/>
  <c r="R407" i="12"/>
  <c r="R405" i="12"/>
  <c r="R404" i="12"/>
  <c r="R403" i="12"/>
  <c r="R402" i="12"/>
  <c r="R401" i="12"/>
  <c r="R400" i="12"/>
  <c r="R399" i="12"/>
  <c r="R398" i="12"/>
  <c r="R397" i="12"/>
  <c r="R396" i="12"/>
  <c r="R395" i="12"/>
  <c r="R393" i="12"/>
  <c r="R392" i="12"/>
  <c r="R391" i="12"/>
  <c r="R390" i="12"/>
  <c r="R389" i="12"/>
  <c r="R388" i="12"/>
  <c r="R387" i="12"/>
  <c r="R386" i="12"/>
  <c r="R385" i="12"/>
  <c r="R384" i="12"/>
  <c r="R383" i="12"/>
  <c r="R382" i="12"/>
  <c r="R381" i="12"/>
  <c r="R380" i="12"/>
  <c r="R379" i="12"/>
  <c r="R378" i="12"/>
  <c r="R377" i="12"/>
  <c r="R376" i="12"/>
  <c r="R374" i="12"/>
  <c r="R373" i="12"/>
  <c r="R371" i="12"/>
  <c r="R372" i="12" s="1"/>
  <c r="R370" i="12"/>
  <c r="R369" i="12"/>
  <c r="R368" i="12"/>
  <c r="R367" i="12"/>
  <c r="R366" i="12"/>
  <c r="R365" i="12"/>
  <c r="R364" i="12"/>
  <c r="R363" i="12"/>
  <c r="R362" i="12"/>
  <c r="R361" i="12"/>
  <c r="R360" i="12"/>
  <c r="R359" i="12"/>
  <c r="R358" i="12"/>
  <c r="R357" i="12"/>
  <c r="R356" i="12"/>
  <c r="R355" i="12"/>
  <c r="R354" i="12"/>
  <c r="R353" i="12"/>
  <c r="R352" i="12"/>
  <c r="R351" i="12"/>
  <c r="R350" i="12"/>
  <c r="R349" i="12"/>
  <c r="R348" i="12"/>
  <c r="R347" i="12"/>
  <c r="R346" i="12"/>
  <c r="R345" i="12"/>
  <c r="R344" i="12"/>
  <c r="R343" i="12"/>
  <c r="R342" i="12"/>
  <c r="R341" i="12"/>
  <c r="R340" i="12"/>
  <c r="R339" i="12"/>
  <c r="R338" i="12"/>
  <c r="R337" i="12"/>
  <c r="R336" i="12"/>
  <c r="R335" i="12"/>
  <c r="R332" i="12"/>
  <c r="R331" i="12"/>
  <c r="R330" i="12"/>
  <c r="R314" i="12" s="1"/>
  <c r="R329" i="12"/>
  <c r="R328" i="12"/>
  <c r="R327" i="12"/>
  <c r="R326" i="12"/>
  <c r="R325" i="12"/>
  <c r="R324" i="12"/>
  <c r="R323" i="12"/>
  <c r="R322" i="12"/>
  <c r="R321" i="12"/>
  <c r="R320" i="12"/>
  <c r="R319" i="12"/>
  <c r="R318" i="12"/>
  <c r="R317" i="12"/>
  <c r="R316" i="12"/>
  <c r="R313" i="12"/>
  <c r="R312" i="12"/>
  <c r="R310" i="12"/>
  <c r="R309" i="12"/>
  <c r="R308" i="12"/>
  <c r="R307" i="12"/>
  <c r="R306" i="12"/>
  <c r="R305" i="12"/>
  <c r="R304" i="12"/>
  <c r="R303" i="12"/>
  <c r="R302" i="12"/>
  <c r="R301" i="12"/>
  <c r="R300" i="12"/>
  <c r="R299" i="12"/>
  <c r="R298" i="12"/>
  <c r="R297" i="12"/>
  <c r="R296" i="12"/>
  <c r="R295" i="12"/>
  <c r="R294" i="12"/>
  <c r="R293" i="12"/>
  <c r="R292" i="12"/>
  <c r="R291" i="12"/>
  <c r="R290" i="12"/>
  <c r="R289" i="12"/>
  <c r="R288" i="12"/>
  <c r="R287" i="12"/>
  <c r="R285" i="12"/>
  <c r="R284" i="12"/>
  <c r="R283" i="12"/>
  <c r="R282" i="12"/>
  <c r="R281" i="12"/>
  <c r="R280" i="12"/>
  <c r="R279" i="12"/>
  <c r="R278" i="12"/>
  <c r="R277" i="12"/>
  <c r="R276" i="12"/>
  <c r="R275" i="12"/>
  <c r="R274" i="12"/>
  <c r="R273" i="12"/>
  <c r="R272" i="12"/>
  <c r="R271" i="12"/>
  <c r="R270" i="12"/>
  <c r="R269" i="12"/>
  <c r="R268" i="12"/>
  <c r="R267" i="12"/>
  <c r="R266" i="12"/>
  <c r="R265" i="12"/>
  <c r="R264" i="12"/>
  <c r="R263" i="12"/>
  <c r="R262" i="12"/>
  <c r="R261" i="12"/>
  <c r="R260" i="12"/>
  <c r="R259" i="12"/>
  <c r="R258" i="12"/>
  <c r="R257" i="12"/>
  <c r="R256" i="12"/>
  <c r="R315" i="12" s="1"/>
  <c r="R255" i="12"/>
  <c r="R254" i="12"/>
  <c r="R252" i="12"/>
  <c r="R251" i="12"/>
  <c r="R250" i="12"/>
  <c r="R249" i="12"/>
  <c r="R248" i="12"/>
  <c r="R247" i="12"/>
  <c r="R246" i="12"/>
  <c r="R245" i="12"/>
  <c r="R244" i="12"/>
  <c r="R243" i="12"/>
  <c r="R241" i="12"/>
  <c r="R240" i="12"/>
  <c r="R239" i="12"/>
  <c r="R238" i="12"/>
  <c r="R237" i="12"/>
  <c r="R236" i="12"/>
  <c r="R235" i="12"/>
  <c r="R234" i="12"/>
  <c r="R233" i="12"/>
  <c r="R232" i="12"/>
  <c r="R231" i="12"/>
  <c r="R230" i="12"/>
  <c r="R229" i="12"/>
  <c r="R228" i="12"/>
  <c r="R227" i="12"/>
  <c r="R226" i="12"/>
  <c r="R225" i="12"/>
  <c r="R224" i="12"/>
  <c r="R223" i="12"/>
  <c r="R222" i="12"/>
  <c r="R221" i="12"/>
  <c r="R220" i="12"/>
  <c r="R219" i="12"/>
  <c r="R218" i="12"/>
  <c r="R217" i="12"/>
  <c r="R216" i="12"/>
  <c r="R215" i="12"/>
  <c r="R214" i="12"/>
  <c r="R213" i="12"/>
  <c r="R212" i="12"/>
  <c r="R211" i="12"/>
  <c r="R210" i="12"/>
  <c r="R209" i="12"/>
  <c r="R208" i="12"/>
  <c r="R206" i="12"/>
  <c r="R205" i="12"/>
  <c r="R204" i="12"/>
  <c r="R203" i="12"/>
  <c r="R202" i="12"/>
  <c r="R201" i="12"/>
  <c r="R200" i="12"/>
  <c r="R199" i="12"/>
  <c r="R198" i="12"/>
  <c r="R196" i="12"/>
  <c r="R195" i="12"/>
  <c r="R194" i="12"/>
  <c r="R193" i="12"/>
  <c r="R192" i="12"/>
  <c r="R191" i="12"/>
  <c r="R190" i="12"/>
  <c r="R189" i="12"/>
  <c r="R187" i="12"/>
  <c r="R186" i="12"/>
  <c r="R185" i="12"/>
  <c r="R184" i="12"/>
  <c r="R183" i="12"/>
  <c r="R182" i="12"/>
  <c r="R181" i="12"/>
  <c r="R180" i="12"/>
  <c r="R178" i="12"/>
  <c r="R177" i="12"/>
  <c r="R176" i="12"/>
  <c r="R175" i="12"/>
  <c r="R174" i="12"/>
  <c r="R173" i="12"/>
  <c r="R169" i="12"/>
  <c r="R168" i="12"/>
  <c r="R167" i="12"/>
  <c r="R166" i="12"/>
  <c r="R165" i="12"/>
  <c r="R164" i="12"/>
  <c r="R163" i="12"/>
  <c r="R162" i="12"/>
  <c r="R161" i="12"/>
  <c r="R160" i="12"/>
  <c r="R159" i="12"/>
  <c r="R158" i="12"/>
  <c r="R157" i="12"/>
  <c r="R156" i="12"/>
  <c r="R155" i="12"/>
  <c r="R154" i="12"/>
  <c r="R153" i="12"/>
  <c r="R171" i="12" s="1"/>
  <c r="R152" i="12"/>
  <c r="R151" i="12"/>
  <c r="R149" i="12"/>
  <c r="R148" i="12"/>
  <c r="R147" i="12"/>
  <c r="R146" i="12"/>
  <c r="R145" i="12"/>
  <c r="R144" i="12"/>
  <c r="R143" i="12"/>
  <c r="R142" i="12"/>
  <c r="R141" i="12"/>
  <c r="R140" i="12"/>
  <c r="R139" i="12"/>
  <c r="R138" i="12"/>
  <c r="R137" i="12"/>
  <c r="R136" i="12"/>
  <c r="R135" i="12"/>
  <c r="R133" i="12"/>
  <c r="R132" i="12"/>
  <c r="R131" i="12"/>
  <c r="R130" i="12"/>
  <c r="R129" i="12"/>
  <c r="R128" i="12"/>
  <c r="R127" i="12"/>
  <c r="R126" i="12"/>
  <c r="R125" i="12"/>
  <c r="R123" i="12"/>
  <c r="R122" i="12"/>
  <c r="R121" i="12"/>
  <c r="R120" i="12"/>
  <c r="R119" i="12"/>
  <c r="R118" i="12"/>
  <c r="R117" i="12"/>
  <c r="R116" i="12"/>
  <c r="R115" i="12"/>
  <c r="R113" i="12"/>
  <c r="R112" i="12"/>
  <c r="R111" i="12"/>
  <c r="R110" i="12"/>
  <c r="R109" i="12"/>
  <c r="R108" i="12"/>
  <c r="R107" i="12"/>
  <c r="R106" i="12"/>
  <c r="R105" i="12"/>
  <c r="R104" i="12"/>
  <c r="R103" i="12"/>
  <c r="R102" i="12"/>
  <c r="R101" i="12"/>
  <c r="R100" i="12"/>
  <c r="R99" i="12"/>
  <c r="R98" i="12"/>
  <c r="R97" i="12"/>
  <c r="R96" i="12"/>
  <c r="R95" i="12"/>
  <c r="R94" i="12"/>
  <c r="R93" i="12"/>
  <c r="R92" i="12"/>
  <c r="R91" i="12"/>
  <c r="R90" i="12"/>
  <c r="R89" i="12"/>
  <c r="R88" i="12"/>
  <c r="R87" i="12"/>
  <c r="R86" i="12"/>
  <c r="R85" i="12"/>
  <c r="R84" i="12"/>
  <c r="R83" i="12"/>
  <c r="R82" i="12"/>
  <c r="R81" i="12"/>
  <c r="R80" i="12"/>
  <c r="R79" i="12"/>
  <c r="R78" i="12"/>
  <c r="R77" i="12"/>
  <c r="R76" i="12"/>
  <c r="R75" i="12"/>
  <c r="R74" i="12"/>
  <c r="R73" i="12"/>
  <c r="R72" i="12"/>
  <c r="R71" i="12"/>
  <c r="R70" i="12"/>
  <c r="R69" i="12"/>
  <c r="R68" i="12"/>
  <c r="R67" i="12"/>
  <c r="R66" i="12"/>
  <c r="R65" i="12"/>
  <c r="R64" i="12"/>
  <c r="R63" i="12"/>
  <c r="R62" i="12"/>
  <c r="R61" i="12"/>
  <c r="R60" i="12"/>
  <c r="R59" i="12"/>
  <c r="R58" i="12"/>
  <c r="R57" i="12"/>
  <c r="R56" i="12"/>
  <c r="R55" i="12"/>
  <c r="R54" i="12"/>
  <c r="R53" i="12"/>
  <c r="R52" i="12"/>
  <c r="R51" i="12"/>
  <c r="R50" i="12"/>
  <c r="R49" i="12"/>
  <c r="R48" i="12"/>
  <c r="R47" i="12"/>
  <c r="R46" i="12"/>
  <c r="R45" i="12"/>
  <c r="R44" i="12"/>
  <c r="R43" i="12"/>
  <c r="R42" i="12"/>
  <c r="R41" i="12"/>
  <c r="R39" i="12"/>
  <c r="R37" i="12"/>
  <c r="R38" i="12" s="1"/>
  <c r="R36" i="12"/>
  <c r="R35" i="12"/>
  <c r="R34" i="12"/>
  <c r="R32" i="12"/>
  <c r="R31" i="12"/>
  <c r="R30" i="12"/>
  <c r="R29" i="12"/>
  <c r="R28" i="12"/>
  <c r="R27" i="12"/>
  <c r="R26" i="12"/>
  <c r="R25" i="12"/>
  <c r="R24" i="12"/>
  <c r="R23" i="12"/>
  <c r="R22" i="12"/>
  <c r="R21" i="12"/>
  <c r="R20" i="12"/>
  <c r="R19" i="12"/>
  <c r="R18" i="12"/>
  <c r="R17" i="12"/>
  <c r="R16" i="12"/>
  <c r="R172" i="12" l="1"/>
  <c r="R737" i="7" l="1"/>
  <c r="R736" i="7"/>
  <c r="R735" i="7"/>
  <c r="R734" i="7"/>
  <c r="R733" i="7"/>
  <c r="R732" i="7"/>
  <c r="R731" i="7"/>
  <c r="R730" i="7"/>
  <c r="R729" i="7"/>
  <c r="R728" i="7"/>
  <c r="R727" i="7"/>
  <c r="R726" i="7"/>
  <c r="R725" i="7"/>
  <c r="R724" i="7"/>
  <c r="R723" i="7"/>
  <c r="R722" i="7"/>
  <c r="R721" i="7"/>
  <c r="R720" i="7"/>
  <c r="R719" i="7"/>
  <c r="R718" i="7"/>
  <c r="R717" i="7"/>
  <c r="R716" i="7"/>
  <c r="R714" i="7"/>
  <c r="R713" i="7"/>
  <c r="R712" i="7"/>
  <c r="R711" i="7"/>
  <c r="R710" i="7"/>
  <c r="R709" i="7"/>
  <c r="R708" i="7"/>
  <c r="R707" i="7"/>
  <c r="R706" i="7"/>
  <c r="R705" i="7"/>
  <c r="R704" i="7"/>
  <c r="R703" i="7"/>
  <c r="R702" i="7"/>
  <c r="R701" i="7"/>
  <c r="R700" i="7"/>
  <c r="R699" i="7"/>
  <c r="R698" i="7"/>
  <c r="R697" i="7"/>
  <c r="R696" i="7"/>
  <c r="R695" i="7"/>
  <c r="R694" i="7"/>
  <c r="R693" i="7"/>
  <c r="R691" i="7"/>
  <c r="R690" i="7"/>
  <c r="R689" i="7"/>
  <c r="R688" i="7"/>
  <c r="R687" i="7"/>
  <c r="R686" i="7"/>
  <c r="R685" i="7"/>
  <c r="R683" i="7"/>
  <c r="R682" i="7"/>
  <c r="R681" i="7"/>
  <c r="R680" i="7"/>
  <c r="R679" i="7"/>
  <c r="R678" i="7"/>
  <c r="R677" i="7"/>
  <c r="R676" i="7"/>
  <c r="R675" i="7"/>
  <c r="R673" i="7"/>
  <c r="R672" i="7"/>
  <c r="R671" i="7"/>
  <c r="R670" i="7"/>
  <c r="R669" i="7"/>
  <c r="R668" i="7"/>
  <c r="R667" i="7"/>
  <c r="R666" i="7"/>
  <c r="R665" i="7"/>
  <c r="R663" i="7"/>
  <c r="R662" i="7"/>
  <c r="R661" i="7"/>
  <c r="R660" i="7"/>
  <c r="R659" i="7"/>
  <c r="R658" i="7"/>
  <c r="R657" i="7"/>
  <c r="R656" i="7"/>
  <c r="R655" i="7"/>
  <c r="R654" i="7"/>
  <c r="R653" i="7"/>
  <c r="R652" i="7"/>
  <c r="R651" i="7"/>
  <c r="R650" i="7"/>
  <c r="R649" i="7"/>
  <c r="R648" i="7"/>
  <c r="R647" i="7"/>
  <c r="R646" i="7"/>
  <c r="R645" i="7"/>
  <c r="R644" i="7"/>
  <c r="R642" i="7"/>
  <c r="R640" i="7"/>
  <c r="R639" i="7"/>
  <c r="R641" i="7" s="1"/>
  <c r="R637" i="7"/>
  <c r="R636" i="7"/>
  <c r="R635" i="7"/>
  <c r="R634" i="7"/>
  <c r="R633" i="7"/>
  <c r="R632" i="7"/>
  <c r="R631" i="7"/>
  <c r="R630" i="7"/>
  <c r="R629" i="7"/>
  <c r="R628" i="7"/>
  <c r="R627" i="7"/>
  <c r="R626" i="7"/>
  <c r="R623" i="7"/>
  <c r="R622" i="7"/>
  <c r="R621" i="7"/>
  <c r="R620" i="7"/>
  <c r="R619" i="7"/>
  <c r="R618" i="7"/>
  <c r="R617" i="7"/>
  <c r="R616" i="7"/>
  <c r="R615" i="7"/>
  <c r="R614" i="7"/>
  <c r="R613" i="7"/>
  <c r="R612" i="7"/>
  <c r="R611" i="7"/>
  <c r="R610" i="7"/>
  <c r="R609" i="7"/>
  <c r="R608" i="7"/>
  <c r="R607" i="7"/>
  <c r="R606" i="7"/>
  <c r="R604" i="7"/>
  <c r="R603" i="7"/>
  <c r="R602" i="7"/>
  <c r="R601" i="7"/>
  <c r="R600" i="7"/>
  <c r="R599" i="7"/>
  <c r="R598" i="7"/>
  <c r="R597" i="7"/>
  <c r="R596" i="7"/>
  <c r="R595" i="7"/>
  <c r="R594" i="7"/>
  <c r="R593" i="7"/>
  <c r="R592" i="7"/>
  <c r="R591" i="7"/>
  <c r="R590" i="7"/>
  <c r="R589" i="7"/>
  <c r="R588" i="7"/>
  <c r="R587" i="7"/>
  <c r="R586" i="7"/>
  <c r="R585" i="7"/>
  <c r="R584" i="7"/>
  <c r="R583" i="7"/>
  <c r="R582" i="7"/>
  <c r="R580" i="7"/>
  <c r="R579" i="7"/>
  <c r="R578" i="7"/>
  <c r="R577" i="7"/>
  <c r="R576" i="7"/>
  <c r="R575" i="7"/>
  <c r="R574" i="7"/>
  <c r="R573" i="7"/>
  <c r="R572" i="7"/>
  <c r="R571" i="7"/>
  <c r="R570" i="7"/>
  <c r="R569" i="7"/>
  <c r="R568" i="7"/>
  <c r="R567" i="7"/>
  <c r="R566" i="7"/>
  <c r="R565" i="7"/>
  <c r="R564" i="7"/>
  <c r="R563" i="7"/>
  <c r="R562" i="7"/>
  <c r="R561" i="7"/>
  <c r="R560" i="7"/>
  <c r="R559" i="7"/>
  <c r="R558" i="7"/>
  <c r="R557" i="7"/>
  <c r="R556" i="7"/>
  <c r="R555" i="7"/>
  <c r="R554" i="7"/>
  <c r="R553" i="7"/>
  <c r="R552" i="7"/>
  <c r="R551" i="7"/>
  <c r="R550" i="7"/>
  <c r="R549" i="7"/>
  <c r="R548" i="7"/>
  <c r="R547" i="7"/>
  <c r="R546" i="7"/>
  <c r="R545" i="7"/>
  <c r="R544" i="7"/>
  <c r="R543" i="7"/>
  <c r="R542" i="7"/>
  <c r="R541" i="7"/>
  <c r="R539" i="7"/>
  <c r="R538" i="7"/>
  <c r="R537" i="7"/>
  <c r="R536" i="7"/>
  <c r="R535" i="7"/>
  <c r="R534" i="7"/>
  <c r="R533" i="7"/>
  <c r="R532" i="7"/>
  <c r="R531" i="7"/>
  <c r="R530" i="7"/>
  <c r="R529" i="7"/>
  <c r="R528" i="7"/>
  <c r="R527" i="7"/>
  <c r="R526" i="7"/>
  <c r="R525" i="7"/>
  <c r="R524" i="7"/>
  <c r="R523" i="7"/>
  <c r="R522" i="7"/>
  <c r="R521" i="7"/>
  <c r="R520" i="7"/>
  <c r="R519" i="7"/>
  <c r="R518" i="7"/>
  <c r="R517" i="7"/>
  <c r="R516" i="7"/>
  <c r="R515" i="7"/>
  <c r="R514" i="7"/>
  <c r="R513" i="7"/>
  <c r="R512" i="7"/>
  <c r="R511" i="7"/>
  <c r="R510" i="7"/>
  <c r="R509" i="7"/>
  <c r="R508" i="7"/>
  <c r="R507" i="7"/>
  <c r="R506" i="7"/>
  <c r="R505" i="7"/>
  <c r="R504" i="7"/>
  <c r="R503" i="7"/>
  <c r="R502" i="7"/>
  <c r="R501" i="7"/>
  <c r="R500" i="7"/>
  <c r="R499" i="7"/>
  <c r="R498" i="7"/>
  <c r="R497" i="7"/>
  <c r="R496" i="7"/>
  <c r="R494" i="7"/>
  <c r="R493" i="7"/>
  <c r="R492" i="7"/>
  <c r="R491" i="7"/>
  <c r="R490" i="7"/>
  <c r="R489" i="7"/>
  <c r="R488" i="7"/>
  <c r="R487" i="7"/>
  <c r="R486" i="7"/>
  <c r="R485" i="7"/>
  <c r="R484" i="7"/>
  <c r="R483" i="7"/>
  <c r="R482" i="7"/>
  <c r="R481" i="7"/>
  <c r="R480" i="7"/>
  <c r="R479" i="7"/>
  <c r="R478" i="7"/>
  <c r="R476" i="7"/>
  <c r="R475" i="7"/>
  <c r="R474" i="7"/>
  <c r="R473" i="7"/>
  <c r="R472" i="7"/>
  <c r="R471" i="7"/>
  <c r="R470" i="7"/>
  <c r="R469" i="7"/>
  <c r="R468" i="7"/>
  <c r="R467" i="7"/>
  <c r="R466" i="7"/>
  <c r="R465" i="7"/>
  <c r="R464" i="7"/>
  <c r="R463" i="7"/>
  <c r="R462" i="7"/>
  <c r="R461" i="7"/>
  <c r="R460" i="7"/>
  <c r="R459" i="7"/>
  <c r="R458" i="7"/>
  <c r="R457" i="7"/>
  <c r="R456" i="7"/>
  <c r="R455" i="7"/>
  <c r="R454" i="7"/>
  <c r="R453" i="7"/>
  <c r="R452" i="7"/>
  <c r="R451" i="7"/>
  <c r="R450" i="7"/>
  <c r="R449" i="7"/>
  <c r="R448" i="7"/>
  <c r="R447" i="7"/>
  <c r="R446" i="7"/>
  <c r="R445" i="7"/>
  <c r="R444" i="7"/>
  <c r="R443" i="7"/>
  <c r="R442" i="7"/>
  <c r="R441" i="7"/>
  <c r="R439" i="7"/>
  <c r="R438" i="7"/>
  <c r="R437" i="7"/>
  <c r="R436" i="7"/>
  <c r="R435" i="7"/>
  <c r="R434" i="7"/>
  <c r="R433" i="7"/>
  <c r="R432" i="7"/>
  <c r="R431" i="7"/>
  <c r="R430" i="7"/>
  <c r="R429" i="7"/>
  <c r="R428" i="7"/>
  <c r="R427" i="7"/>
  <c r="R426" i="7"/>
  <c r="R425" i="7"/>
  <c r="R424" i="7"/>
  <c r="R423" i="7"/>
  <c r="R422" i="7"/>
  <c r="R421" i="7"/>
  <c r="R420" i="7"/>
  <c r="R419" i="7"/>
  <c r="R418" i="7"/>
  <c r="R417" i="7"/>
  <c r="R416" i="7"/>
  <c r="R415" i="7"/>
  <c r="R414" i="7"/>
  <c r="R413" i="7"/>
  <c r="R412" i="7"/>
  <c r="R411" i="7"/>
  <c r="R410" i="7"/>
  <c r="R409" i="7"/>
  <c r="R408" i="7"/>
  <c r="R407" i="7"/>
  <c r="R405" i="7"/>
  <c r="R404" i="7"/>
  <c r="R403" i="7"/>
  <c r="R402" i="7"/>
  <c r="R401" i="7"/>
  <c r="R400" i="7"/>
  <c r="R399" i="7"/>
  <c r="R398" i="7"/>
  <c r="R397" i="7"/>
  <c r="R396" i="7"/>
  <c r="R395" i="7"/>
  <c r="R393" i="7"/>
  <c r="R392" i="7"/>
  <c r="R391" i="7"/>
  <c r="R390" i="7"/>
  <c r="R389" i="7"/>
  <c r="R388" i="7"/>
  <c r="R387" i="7"/>
  <c r="R386" i="7"/>
  <c r="R385" i="7"/>
  <c r="R384" i="7"/>
  <c r="R383" i="7"/>
  <c r="R382" i="7"/>
  <c r="R381" i="7"/>
  <c r="R380" i="7"/>
  <c r="R379" i="7"/>
  <c r="R378" i="7"/>
  <c r="R377" i="7"/>
  <c r="R376" i="7"/>
  <c r="R374" i="7"/>
  <c r="R373" i="7"/>
  <c r="R372" i="7"/>
  <c r="R371" i="7"/>
  <c r="R370" i="7"/>
  <c r="R369" i="7"/>
  <c r="R368" i="7"/>
  <c r="R367" i="7"/>
  <c r="R366" i="7"/>
  <c r="R365" i="7"/>
  <c r="R364" i="7"/>
  <c r="R363" i="7"/>
  <c r="R362" i="7"/>
  <c r="R361" i="7"/>
  <c r="R360" i="7"/>
  <c r="R359" i="7"/>
  <c r="R358" i="7"/>
  <c r="R357" i="7"/>
  <c r="R356" i="7"/>
  <c r="R355" i="7"/>
  <c r="R354" i="7"/>
  <c r="R353" i="7"/>
  <c r="R352" i="7"/>
  <c r="R351" i="7"/>
  <c r="R350" i="7"/>
  <c r="R349" i="7"/>
  <c r="R348" i="7"/>
  <c r="R347" i="7"/>
  <c r="R346" i="7"/>
  <c r="R345" i="7"/>
  <c r="R344" i="7"/>
  <c r="R343" i="7"/>
  <c r="R342" i="7"/>
  <c r="R341" i="7"/>
  <c r="R340" i="7"/>
  <c r="R339" i="7"/>
  <c r="R338" i="7"/>
  <c r="R337" i="7"/>
  <c r="R336" i="7"/>
  <c r="R335" i="7"/>
  <c r="R332" i="7"/>
  <c r="R331" i="7"/>
  <c r="R330" i="7"/>
  <c r="R314" i="7" s="1"/>
  <c r="R329" i="7"/>
  <c r="R328" i="7"/>
  <c r="R327" i="7"/>
  <c r="R326" i="7"/>
  <c r="R325" i="7"/>
  <c r="R318" i="7"/>
  <c r="R317" i="7"/>
  <c r="R316" i="7"/>
  <c r="R321" i="7" s="1"/>
  <c r="R313" i="7"/>
  <c r="R312" i="7"/>
  <c r="R310" i="7"/>
  <c r="R309" i="7"/>
  <c r="R308" i="7"/>
  <c r="R307" i="7"/>
  <c r="R306" i="7"/>
  <c r="R305" i="7"/>
  <c r="R304" i="7"/>
  <c r="R303" i="7"/>
  <c r="R302" i="7"/>
  <c r="R301" i="7"/>
  <c r="R300" i="7"/>
  <c r="R299" i="7"/>
  <c r="R298" i="7"/>
  <c r="R297" i="7"/>
  <c r="R296" i="7"/>
  <c r="R295" i="7"/>
  <c r="R294" i="7"/>
  <c r="R293" i="7"/>
  <c r="R292" i="7"/>
  <c r="R291" i="7"/>
  <c r="R290" i="7"/>
  <c r="R289" i="7"/>
  <c r="R288" i="7"/>
  <c r="R287" i="7"/>
  <c r="R285" i="7"/>
  <c r="R284" i="7"/>
  <c r="R283" i="7"/>
  <c r="R282" i="7"/>
  <c r="R281" i="7"/>
  <c r="R280" i="7"/>
  <c r="R279" i="7"/>
  <c r="R278" i="7"/>
  <c r="R277" i="7"/>
  <c r="R276" i="7"/>
  <c r="R275" i="7"/>
  <c r="R274" i="7"/>
  <c r="R273" i="7"/>
  <c r="R272" i="7"/>
  <c r="R271" i="7"/>
  <c r="R270" i="7"/>
  <c r="R269" i="7"/>
  <c r="R268" i="7"/>
  <c r="R267" i="7"/>
  <c r="R266" i="7"/>
  <c r="R265" i="7"/>
  <c r="R264" i="7"/>
  <c r="R263" i="7"/>
  <c r="R262" i="7"/>
  <c r="R261" i="7"/>
  <c r="R260" i="7"/>
  <c r="R259" i="7"/>
  <c r="R258" i="7"/>
  <c r="R257" i="7"/>
  <c r="R256" i="7"/>
  <c r="R315" i="7" s="1"/>
  <c r="R255" i="7"/>
  <c r="R254" i="7"/>
  <c r="R252" i="7"/>
  <c r="R251" i="7"/>
  <c r="R250" i="7"/>
  <c r="R249" i="7"/>
  <c r="R248" i="7"/>
  <c r="R247" i="7"/>
  <c r="R246" i="7"/>
  <c r="R245" i="7"/>
  <c r="R244" i="7"/>
  <c r="R243" i="7"/>
  <c r="R241" i="7"/>
  <c r="R240" i="7"/>
  <c r="R239" i="7"/>
  <c r="R238" i="7"/>
  <c r="R237" i="7"/>
  <c r="R236" i="7"/>
  <c r="R235" i="7"/>
  <c r="R234" i="7"/>
  <c r="R233" i="7"/>
  <c r="R232" i="7"/>
  <c r="R231" i="7"/>
  <c r="R230" i="7"/>
  <c r="R229" i="7"/>
  <c r="R228" i="7"/>
  <c r="R227" i="7"/>
  <c r="R226" i="7"/>
  <c r="R225" i="7"/>
  <c r="R224" i="7"/>
  <c r="R223" i="7"/>
  <c r="R222" i="7"/>
  <c r="R221" i="7"/>
  <c r="R220" i="7"/>
  <c r="R219" i="7"/>
  <c r="R218" i="7"/>
  <c r="R217" i="7"/>
  <c r="R216" i="7"/>
  <c r="R215" i="7"/>
  <c r="R214" i="7"/>
  <c r="R213" i="7"/>
  <c r="R212" i="7"/>
  <c r="R211" i="7"/>
  <c r="R210" i="7"/>
  <c r="R209" i="7"/>
  <c r="R208" i="7"/>
  <c r="R206" i="7"/>
  <c r="R205" i="7"/>
  <c r="R204" i="7"/>
  <c r="R203" i="7"/>
  <c r="R202" i="7"/>
  <c r="R201" i="7"/>
  <c r="R200" i="7"/>
  <c r="R199" i="7"/>
  <c r="R198" i="7"/>
  <c r="R196" i="7"/>
  <c r="R195" i="7"/>
  <c r="R194" i="7"/>
  <c r="R193" i="7"/>
  <c r="R192" i="7"/>
  <c r="R191" i="7"/>
  <c r="R190" i="7"/>
  <c r="R189" i="7"/>
  <c r="R187" i="7"/>
  <c r="R186" i="7"/>
  <c r="R185" i="7"/>
  <c r="R184" i="7"/>
  <c r="R183" i="7"/>
  <c r="R182" i="7"/>
  <c r="R181" i="7"/>
  <c r="R180" i="7"/>
  <c r="R178" i="7"/>
  <c r="R177" i="7"/>
  <c r="R176" i="7"/>
  <c r="R175" i="7"/>
  <c r="R174" i="7"/>
  <c r="R173" i="7"/>
  <c r="R169" i="7"/>
  <c r="R168" i="7"/>
  <c r="R167" i="7"/>
  <c r="R166" i="7"/>
  <c r="R165" i="7"/>
  <c r="R164" i="7"/>
  <c r="R163" i="7"/>
  <c r="R162" i="7"/>
  <c r="R161" i="7"/>
  <c r="R160" i="7"/>
  <c r="R159" i="7"/>
  <c r="R158" i="7"/>
  <c r="R157" i="7"/>
  <c r="R156" i="7"/>
  <c r="R155" i="7"/>
  <c r="R154" i="7"/>
  <c r="R153" i="7"/>
  <c r="R152" i="7"/>
  <c r="R172" i="7" s="1"/>
  <c r="R151" i="7"/>
  <c r="R149" i="7"/>
  <c r="R148" i="7"/>
  <c r="R147" i="7"/>
  <c r="R146" i="7"/>
  <c r="R145" i="7"/>
  <c r="R144" i="7"/>
  <c r="R143" i="7"/>
  <c r="R142" i="7"/>
  <c r="R141" i="7"/>
  <c r="R140" i="7"/>
  <c r="R139" i="7"/>
  <c r="R138" i="7"/>
  <c r="R137" i="7"/>
  <c r="R136" i="7"/>
  <c r="R135" i="7"/>
  <c r="R133" i="7"/>
  <c r="R132" i="7"/>
  <c r="R131" i="7"/>
  <c r="R130" i="7"/>
  <c r="R129" i="7"/>
  <c r="R128" i="7"/>
  <c r="R127" i="7"/>
  <c r="R126" i="7"/>
  <c r="R125" i="7"/>
  <c r="R123" i="7"/>
  <c r="R122" i="7"/>
  <c r="R121" i="7"/>
  <c r="R120" i="7"/>
  <c r="R119" i="7"/>
  <c r="R118" i="7"/>
  <c r="R117" i="7"/>
  <c r="R116" i="7"/>
  <c r="R115" i="7"/>
  <c r="R113" i="7"/>
  <c r="R112" i="7"/>
  <c r="R111" i="7"/>
  <c r="R110" i="7"/>
  <c r="R109" i="7"/>
  <c r="R108" i="7"/>
  <c r="R107" i="7"/>
  <c r="R106" i="7"/>
  <c r="R105" i="7"/>
  <c r="R104" i="7"/>
  <c r="R103" i="7"/>
  <c r="R102" i="7"/>
  <c r="R101" i="7"/>
  <c r="R100" i="7"/>
  <c r="R99" i="7"/>
  <c r="R98" i="7"/>
  <c r="R97" i="7"/>
  <c r="R96" i="7"/>
  <c r="R95" i="7"/>
  <c r="R94" i="7"/>
  <c r="R93" i="7"/>
  <c r="R92" i="7"/>
  <c r="R91" i="7"/>
  <c r="R90" i="7"/>
  <c r="R89" i="7"/>
  <c r="R88" i="7"/>
  <c r="R87" i="7"/>
  <c r="R86" i="7"/>
  <c r="R85" i="7"/>
  <c r="R84" i="7"/>
  <c r="R83" i="7"/>
  <c r="R82" i="7"/>
  <c r="R81" i="7"/>
  <c r="R80" i="7"/>
  <c r="R79" i="7"/>
  <c r="R78" i="7"/>
  <c r="R77" i="7"/>
  <c r="R76" i="7"/>
  <c r="R75" i="7"/>
  <c r="R74" i="7"/>
  <c r="R73"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39" i="7"/>
  <c r="R38" i="7"/>
  <c r="R37" i="7"/>
  <c r="R36" i="7"/>
  <c r="R35" i="7"/>
  <c r="R34" i="7"/>
  <c r="R32" i="7"/>
  <c r="R31" i="7"/>
  <c r="R30" i="7"/>
  <c r="R29" i="7"/>
  <c r="R28" i="7"/>
  <c r="R27" i="7"/>
  <c r="R26" i="7"/>
  <c r="R25" i="7"/>
  <c r="R24" i="7"/>
  <c r="R23" i="7"/>
  <c r="R22" i="7"/>
  <c r="R21" i="7"/>
  <c r="R20" i="7"/>
  <c r="R19" i="7"/>
  <c r="R18" i="7"/>
  <c r="R17" i="7"/>
  <c r="R16" i="7"/>
  <c r="R323" i="7" l="1"/>
  <c r="R319" i="7"/>
  <c r="R322" i="7"/>
  <c r="R171" i="7"/>
  <c r="R320" i="7"/>
  <c r="R324" i="7"/>
  <c r="R737" i="6" l="1"/>
  <c r="R736" i="6"/>
  <c r="R735" i="6"/>
  <c r="R734" i="6"/>
  <c r="R733" i="6"/>
  <c r="R732" i="6"/>
  <c r="R731" i="6"/>
  <c r="R730" i="6"/>
  <c r="R729" i="6"/>
  <c r="R728" i="6"/>
  <c r="R727" i="6"/>
  <c r="R726" i="6"/>
  <c r="R725" i="6"/>
  <c r="R724" i="6"/>
  <c r="R723" i="6"/>
  <c r="R722" i="6"/>
  <c r="R721" i="6"/>
  <c r="R720" i="6"/>
  <c r="R719" i="6"/>
  <c r="R718" i="6"/>
  <c r="R717" i="6"/>
  <c r="R716" i="6"/>
  <c r="R714" i="6"/>
  <c r="R713" i="6"/>
  <c r="R712" i="6"/>
  <c r="R711" i="6"/>
  <c r="R710" i="6"/>
  <c r="R709" i="6"/>
  <c r="R708" i="6"/>
  <c r="R707" i="6"/>
  <c r="R706" i="6"/>
  <c r="R705" i="6"/>
  <c r="R704" i="6"/>
  <c r="R703" i="6"/>
  <c r="R702" i="6"/>
  <c r="R701" i="6"/>
  <c r="R700" i="6"/>
  <c r="R699" i="6"/>
  <c r="R698" i="6"/>
  <c r="R697" i="6"/>
  <c r="R696" i="6"/>
  <c r="R695" i="6"/>
  <c r="R694" i="6"/>
  <c r="R693" i="6"/>
  <c r="R691" i="6"/>
  <c r="R690" i="6" s="1"/>
  <c r="R689" i="6"/>
  <c r="R688" i="6"/>
  <c r="R687" i="6"/>
  <c r="R686" i="6"/>
  <c r="R685" i="6"/>
  <c r="R683" i="6"/>
  <c r="R682" i="6"/>
  <c r="R681" i="6"/>
  <c r="R680" i="6"/>
  <c r="R679" i="6"/>
  <c r="R678" i="6"/>
  <c r="R677" i="6"/>
  <c r="R676" i="6"/>
  <c r="R675" i="6"/>
  <c r="R673" i="6"/>
  <c r="R672" i="6"/>
  <c r="R671" i="6"/>
  <c r="R670" i="6"/>
  <c r="R669" i="6"/>
  <c r="R668" i="6"/>
  <c r="R667" i="6"/>
  <c r="R666" i="6"/>
  <c r="R665" i="6"/>
  <c r="R663" i="6"/>
  <c r="R662" i="6"/>
  <c r="R661" i="6"/>
  <c r="R660" i="6"/>
  <c r="R659" i="6"/>
  <c r="R658" i="6"/>
  <c r="R657" i="6"/>
  <c r="R656" i="6"/>
  <c r="R655" i="6"/>
  <c r="R654" i="6"/>
  <c r="R653" i="6"/>
  <c r="R652" i="6"/>
  <c r="R651" i="6"/>
  <c r="R650" i="6"/>
  <c r="R649" i="6"/>
  <c r="R648" i="6"/>
  <c r="R647" i="6"/>
  <c r="R646" i="6"/>
  <c r="R645" i="6"/>
  <c r="R644" i="6"/>
  <c r="R642" i="6"/>
  <c r="R640" i="6"/>
  <c r="R639" i="6"/>
  <c r="R641" i="6" s="1"/>
  <c r="R637" i="6"/>
  <c r="R636" i="6"/>
  <c r="R635" i="6"/>
  <c r="R634" i="6"/>
  <c r="R633" i="6"/>
  <c r="R632" i="6"/>
  <c r="R631" i="6"/>
  <c r="R630" i="6"/>
  <c r="R629" i="6"/>
  <c r="R628" i="6"/>
  <c r="R627" i="6"/>
  <c r="R626" i="6"/>
  <c r="R623" i="6"/>
  <c r="R622" i="6"/>
  <c r="R621" i="6"/>
  <c r="R620" i="6"/>
  <c r="R619" i="6"/>
  <c r="R618" i="6"/>
  <c r="R617" i="6"/>
  <c r="R616" i="6"/>
  <c r="R615" i="6"/>
  <c r="R614" i="6"/>
  <c r="R613" i="6"/>
  <c r="R612" i="6"/>
  <c r="R611" i="6"/>
  <c r="R610" i="6"/>
  <c r="R609" i="6"/>
  <c r="R608" i="6"/>
  <c r="R607" i="6"/>
  <c r="R606" i="6"/>
  <c r="R604" i="6"/>
  <c r="R603" i="6"/>
  <c r="R602" i="6"/>
  <c r="R601" i="6"/>
  <c r="R600" i="6"/>
  <c r="R599" i="6"/>
  <c r="R598" i="6"/>
  <c r="R597" i="6"/>
  <c r="R596" i="6"/>
  <c r="R595" i="6"/>
  <c r="R594" i="6"/>
  <c r="R593" i="6"/>
  <c r="R592" i="6"/>
  <c r="R591" i="6"/>
  <c r="R590" i="6"/>
  <c r="R589" i="6"/>
  <c r="R588" i="6"/>
  <c r="R587" i="6"/>
  <c r="R586" i="6"/>
  <c r="R585" i="6"/>
  <c r="R584" i="6"/>
  <c r="R583" i="6"/>
  <c r="R582" i="6"/>
  <c r="R580" i="6"/>
  <c r="R579" i="6"/>
  <c r="R578" i="6"/>
  <c r="R577" i="6"/>
  <c r="R576" i="6"/>
  <c r="R575" i="6"/>
  <c r="R574" i="6"/>
  <c r="R573" i="6"/>
  <c r="R572" i="6"/>
  <c r="R571" i="6"/>
  <c r="R570" i="6"/>
  <c r="R569" i="6"/>
  <c r="R568" i="6"/>
  <c r="R567" i="6"/>
  <c r="R566" i="6"/>
  <c r="R565" i="6"/>
  <c r="R564" i="6"/>
  <c r="R563" i="6"/>
  <c r="R562" i="6"/>
  <c r="R561" i="6"/>
  <c r="R560" i="6"/>
  <c r="R559" i="6"/>
  <c r="R558" i="6"/>
  <c r="R557" i="6"/>
  <c r="R556" i="6"/>
  <c r="R555" i="6"/>
  <c r="R554" i="6"/>
  <c r="R553" i="6"/>
  <c r="R552" i="6"/>
  <c r="R551" i="6"/>
  <c r="R550" i="6"/>
  <c r="R549" i="6"/>
  <c r="R548" i="6"/>
  <c r="R547" i="6"/>
  <c r="R546" i="6"/>
  <c r="R545" i="6"/>
  <c r="R544" i="6"/>
  <c r="R543" i="6"/>
  <c r="R542" i="6"/>
  <c r="R541" i="6"/>
  <c r="R539" i="6"/>
  <c r="R538" i="6"/>
  <c r="R537" i="6"/>
  <c r="R536" i="6"/>
  <c r="R535" i="6"/>
  <c r="R534" i="6"/>
  <c r="R533" i="6"/>
  <c r="R532" i="6"/>
  <c r="R531" i="6"/>
  <c r="R530" i="6"/>
  <c r="R529" i="6"/>
  <c r="R528" i="6"/>
  <c r="R527" i="6"/>
  <c r="R526" i="6"/>
  <c r="R525" i="6"/>
  <c r="R524" i="6"/>
  <c r="R523" i="6"/>
  <c r="R522" i="6"/>
  <c r="R521" i="6"/>
  <c r="R520" i="6"/>
  <c r="R519" i="6"/>
  <c r="R518" i="6"/>
  <c r="R517" i="6"/>
  <c r="R516" i="6"/>
  <c r="R515" i="6"/>
  <c r="R514" i="6"/>
  <c r="R513" i="6"/>
  <c r="R512" i="6"/>
  <c r="R511" i="6"/>
  <c r="R510" i="6"/>
  <c r="R509" i="6"/>
  <c r="R508" i="6"/>
  <c r="R507" i="6"/>
  <c r="R506" i="6"/>
  <c r="R505" i="6"/>
  <c r="R504" i="6"/>
  <c r="R503" i="6"/>
  <c r="R502" i="6"/>
  <c r="R501" i="6"/>
  <c r="R500" i="6"/>
  <c r="R499" i="6"/>
  <c r="R498" i="6"/>
  <c r="R497" i="6"/>
  <c r="R496" i="6"/>
  <c r="R494" i="6"/>
  <c r="R493" i="6"/>
  <c r="R492" i="6"/>
  <c r="R491" i="6"/>
  <c r="R490" i="6"/>
  <c r="R489" i="6"/>
  <c r="R488" i="6"/>
  <c r="R487" i="6"/>
  <c r="R486" i="6"/>
  <c r="R485" i="6"/>
  <c r="R484" i="6"/>
  <c r="R483" i="6"/>
  <c r="R482" i="6"/>
  <c r="R481" i="6"/>
  <c r="R480" i="6"/>
  <c r="R479" i="6"/>
  <c r="R478" i="6"/>
  <c r="R476" i="6"/>
  <c r="R475" i="6"/>
  <c r="R474" i="6"/>
  <c r="R473" i="6"/>
  <c r="R472" i="6"/>
  <c r="R471" i="6"/>
  <c r="R470" i="6"/>
  <c r="R469" i="6"/>
  <c r="R468" i="6"/>
  <c r="R467" i="6"/>
  <c r="R466" i="6"/>
  <c r="R465" i="6"/>
  <c r="R464" i="6"/>
  <c r="R463" i="6"/>
  <c r="R462" i="6"/>
  <c r="R461" i="6"/>
  <c r="R460" i="6"/>
  <c r="R459" i="6"/>
  <c r="R458" i="6"/>
  <c r="R457" i="6"/>
  <c r="R456" i="6"/>
  <c r="R455" i="6"/>
  <c r="R454" i="6"/>
  <c r="R453" i="6"/>
  <c r="R452" i="6"/>
  <c r="R451" i="6"/>
  <c r="R450" i="6"/>
  <c r="R449" i="6"/>
  <c r="R448" i="6"/>
  <c r="R447" i="6"/>
  <c r="R446" i="6"/>
  <c r="R445" i="6"/>
  <c r="R444" i="6"/>
  <c r="R443" i="6"/>
  <c r="R442" i="6"/>
  <c r="R441" i="6"/>
  <c r="R439" i="6"/>
  <c r="R438" i="6"/>
  <c r="R437" i="6"/>
  <c r="R436" i="6"/>
  <c r="R435" i="6"/>
  <c r="R434" i="6"/>
  <c r="R433" i="6"/>
  <c r="R432" i="6"/>
  <c r="R431" i="6"/>
  <c r="R430" i="6"/>
  <c r="R429" i="6"/>
  <c r="R428" i="6"/>
  <c r="R427" i="6"/>
  <c r="R426" i="6"/>
  <c r="R425" i="6"/>
  <c r="R424" i="6"/>
  <c r="R423" i="6"/>
  <c r="R422" i="6"/>
  <c r="R421" i="6"/>
  <c r="R420" i="6"/>
  <c r="R419" i="6"/>
  <c r="R418" i="6"/>
  <c r="R417" i="6"/>
  <c r="R416" i="6"/>
  <c r="R415" i="6"/>
  <c r="R414" i="6"/>
  <c r="R413" i="6"/>
  <c r="R412" i="6"/>
  <c r="R411" i="6"/>
  <c r="R410" i="6"/>
  <c r="R409" i="6"/>
  <c r="R408" i="6"/>
  <c r="R407" i="6"/>
  <c r="R405" i="6"/>
  <c r="R404" i="6"/>
  <c r="R403" i="6"/>
  <c r="R402" i="6"/>
  <c r="R401" i="6"/>
  <c r="R400" i="6"/>
  <c r="R399" i="6"/>
  <c r="R398" i="6"/>
  <c r="R397" i="6"/>
  <c r="R396" i="6"/>
  <c r="R395" i="6"/>
  <c r="R393" i="6"/>
  <c r="R392" i="6"/>
  <c r="R391" i="6"/>
  <c r="R390" i="6"/>
  <c r="R389" i="6"/>
  <c r="R388" i="6"/>
  <c r="R387" i="6"/>
  <c r="R386" i="6"/>
  <c r="R385" i="6"/>
  <c r="R384" i="6"/>
  <c r="R383" i="6"/>
  <c r="R382" i="6"/>
  <c r="R381" i="6"/>
  <c r="R380" i="6"/>
  <c r="R379" i="6"/>
  <c r="R378" i="6"/>
  <c r="R377" i="6"/>
  <c r="R376" i="6"/>
  <c r="R374" i="6"/>
  <c r="R373" i="6"/>
  <c r="R372" i="6"/>
  <c r="R371" i="6"/>
  <c r="R370" i="6"/>
  <c r="R369" i="6"/>
  <c r="R368" i="6"/>
  <c r="R367" i="6"/>
  <c r="R366" i="6"/>
  <c r="R365" i="6"/>
  <c r="R364" i="6"/>
  <c r="R363" i="6"/>
  <c r="R362" i="6"/>
  <c r="R361" i="6"/>
  <c r="R360" i="6"/>
  <c r="R359" i="6"/>
  <c r="R358" i="6"/>
  <c r="R357" i="6"/>
  <c r="R356" i="6"/>
  <c r="R355" i="6"/>
  <c r="R354" i="6"/>
  <c r="R353" i="6"/>
  <c r="R352" i="6"/>
  <c r="R351" i="6"/>
  <c r="R350" i="6"/>
  <c r="R349" i="6"/>
  <c r="R348" i="6"/>
  <c r="R347" i="6"/>
  <c r="R346" i="6"/>
  <c r="R345" i="6"/>
  <c r="R344" i="6"/>
  <c r="R343" i="6"/>
  <c r="R342" i="6"/>
  <c r="R341" i="6"/>
  <c r="R340" i="6"/>
  <c r="R339" i="6"/>
  <c r="R338" i="6"/>
  <c r="R337" i="6"/>
  <c r="R336" i="6"/>
  <c r="R335" i="6"/>
  <c r="R332" i="6"/>
  <c r="R331" i="6"/>
  <c r="R330" i="6"/>
  <c r="R314" i="6" s="1"/>
  <c r="R329" i="6"/>
  <c r="R328" i="6"/>
  <c r="R327" i="6"/>
  <c r="R326" i="6"/>
  <c r="R325" i="6"/>
  <c r="R318" i="6"/>
  <c r="R317" i="6"/>
  <c r="R316" i="6"/>
  <c r="R321" i="6" s="1"/>
  <c r="R313" i="6"/>
  <c r="R312" i="6"/>
  <c r="R310" i="6"/>
  <c r="R309" i="6"/>
  <c r="R308" i="6"/>
  <c r="R307" i="6"/>
  <c r="R306" i="6"/>
  <c r="R305" i="6"/>
  <c r="R304" i="6"/>
  <c r="R303" i="6"/>
  <c r="R302" i="6"/>
  <c r="R301" i="6"/>
  <c r="R300" i="6"/>
  <c r="R299" i="6"/>
  <c r="R298" i="6"/>
  <c r="R297" i="6"/>
  <c r="R296" i="6"/>
  <c r="R295" i="6"/>
  <c r="R294" i="6"/>
  <c r="R293" i="6"/>
  <c r="R292" i="6"/>
  <c r="R291" i="6"/>
  <c r="R290" i="6"/>
  <c r="R289" i="6"/>
  <c r="R288" i="6"/>
  <c r="R287" i="6"/>
  <c r="R285" i="6"/>
  <c r="R284" i="6"/>
  <c r="R283" i="6"/>
  <c r="R282" i="6"/>
  <c r="R281" i="6"/>
  <c r="R280" i="6"/>
  <c r="R279" i="6"/>
  <c r="R278" i="6"/>
  <c r="R277" i="6"/>
  <c r="R276" i="6"/>
  <c r="R275" i="6"/>
  <c r="R274" i="6"/>
  <c r="R273" i="6"/>
  <c r="R272" i="6"/>
  <c r="R271" i="6"/>
  <c r="R270" i="6"/>
  <c r="R269" i="6"/>
  <c r="R268" i="6"/>
  <c r="R267" i="6"/>
  <c r="R266" i="6"/>
  <c r="R265" i="6"/>
  <c r="R264" i="6"/>
  <c r="R263" i="6"/>
  <c r="R262" i="6"/>
  <c r="R261" i="6"/>
  <c r="R260" i="6"/>
  <c r="R259" i="6"/>
  <c r="R258" i="6"/>
  <c r="R257" i="6"/>
  <c r="R256" i="6"/>
  <c r="R315" i="6" s="1"/>
  <c r="R255" i="6"/>
  <c r="R254" i="6"/>
  <c r="R252" i="6"/>
  <c r="R251" i="6"/>
  <c r="R250" i="6"/>
  <c r="R249" i="6"/>
  <c r="R248" i="6"/>
  <c r="R247" i="6"/>
  <c r="R246" i="6"/>
  <c r="R245" i="6"/>
  <c r="R244" i="6"/>
  <c r="R243" i="6"/>
  <c r="R241" i="6"/>
  <c r="R240" i="6"/>
  <c r="R239" i="6"/>
  <c r="R238" i="6"/>
  <c r="R237" i="6"/>
  <c r="R236" i="6"/>
  <c r="R235" i="6"/>
  <c r="R234" i="6"/>
  <c r="R233" i="6"/>
  <c r="R232" i="6"/>
  <c r="R231" i="6"/>
  <c r="R230" i="6"/>
  <c r="R229" i="6"/>
  <c r="R228" i="6"/>
  <c r="R227" i="6"/>
  <c r="R226" i="6"/>
  <c r="R225" i="6"/>
  <c r="R224" i="6"/>
  <c r="R223" i="6"/>
  <c r="R222" i="6"/>
  <c r="R221" i="6"/>
  <c r="R220" i="6"/>
  <c r="R219" i="6"/>
  <c r="R218" i="6"/>
  <c r="R217" i="6"/>
  <c r="R216" i="6"/>
  <c r="R215" i="6"/>
  <c r="R214" i="6"/>
  <c r="R213" i="6"/>
  <c r="R212" i="6"/>
  <c r="R211" i="6"/>
  <c r="R210" i="6"/>
  <c r="R209" i="6"/>
  <c r="R208" i="6"/>
  <c r="R206" i="6"/>
  <c r="R205" i="6"/>
  <c r="R204" i="6"/>
  <c r="R203" i="6"/>
  <c r="R202" i="6"/>
  <c r="R201" i="6"/>
  <c r="R200" i="6"/>
  <c r="R199" i="6"/>
  <c r="R198" i="6"/>
  <c r="R196" i="6"/>
  <c r="R195" i="6"/>
  <c r="R194" i="6"/>
  <c r="R193" i="6"/>
  <c r="R192" i="6"/>
  <c r="R191" i="6"/>
  <c r="R190" i="6"/>
  <c r="R189" i="6"/>
  <c r="R187" i="6"/>
  <c r="R186" i="6"/>
  <c r="R185" i="6"/>
  <c r="R184" i="6"/>
  <c r="R183" i="6"/>
  <c r="R182" i="6"/>
  <c r="R181" i="6"/>
  <c r="R180" i="6"/>
  <c r="R178" i="6"/>
  <c r="R177" i="6"/>
  <c r="R176" i="6"/>
  <c r="R175" i="6"/>
  <c r="R174" i="6"/>
  <c r="R173" i="6"/>
  <c r="R169" i="6"/>
  <c r="R168" i="6"/>
  <c r="R167" i="6"/>
  <c r="R166" i="6"/>
  <c r="R165" i="6"/>
  <c r="R164" i="6"/>
  <c r="R163" i="6"/>
  <c r="R162" i="6"/>
  <c r="R161" i="6"/>
  <c r="R160" i="6"/>
  <c r="R159" i="6"/>
  <c r="R158" i="6"/>
  <c r="R157" i="6"/>
  <c r="R156" i="6"/>
  <c r="R155" i="6"/>
  <c r="R154" i="6"/>
  <c r="R153" i="6"/>
  <c r="R152" i="6"/>
  <c r="R171" i="6" s="1"/>
  <c r="R151" i="6"/>
  <c r="R149" i="6"/>
  <c r="R148" i="6"/>
  <c r="R147" i="6"/>
  <c r="R146" i="6"/>
  <c r="R145" i="6"/>
  <c r="R144" i="6"/>
  <c r="R143" i="6"/>
  <c r="R142" i="6"/>
  <c r="R141" i="6"/>
  <c r="R140" i="6"/>
  <c r="R139" i="6"/>
  <c r="R138" i="6"/>
  <c r="R137" i="6"/>
  <c r="R136" i="6"/>
  <c r="R135" i="6"/>
  <c r="R133" i="6"/>
  <c r="R132" i="6"/>
  <c r="R131" i="6"/>
  <c r="R130" i="6"/>
  <c r="R129" i="6"/>
  <c r="R128" i="6"/>
  <c r="R127" i="6"/>
  <c r="R126" i="6"/>
  <c r="R125" i="6"/>
  <c r="R123" i="6"/>
  <c r="R122" i="6"/>
  <c r="R121" i="6"/>
  <c r="R120" i="6"/>
  <c r="R119" i="6"/>
  <c r="R118" i="6"/>
  <c r="R117" i="6"/>
  <c r="R116" i="6"/>
  <c r="R115" i="6"/>
  <c r="R113" i="6"/>
  <c r="R112" i="6"/>
  <c r="R111" i="6"/>
  <c r="R110" i="6"/>
  <c r="R109" i="6"/>
  <c r="R108" i="6"/>
  <c r="R107" i="6"/>
  <c r="R106" i="6"/>
  <c r="R105" i="6"/>
  <c r="R104" i="6"/>
  <c r="R103" i="6"/>
  <c r="R102" i="6"/>
  <c r="R101" i="6"/>
  <c r="R100" i="6"/>
  <c r="R99" i="6"/>
  <c r="R98" i="6"/>
  <c r="R97" i="6"/>
  <c r="R96" i="6"/>
  <c r="R95" i="6"/>
  <c r="R94" i="6"/>
  <c r="R93" i="6"/>
  <c r="R92" i="6"/>
  <c r="R91" i="6"/>
  <c r="R90" i="6"/>
  <c r="R89" i="6"/>
  <c r="R88" i="6"/>
  <c r="R87" i="6"/>
  <c r="R86" i="6"/>
  <c r="R85" i="6"/>
  <c r="R84" i="6"/>
  <c r="R83" i="6"/>
  <c r="R82" i="6"/>
  <c r="R81" i="6"/>
  <c r="R80" i="6"/>
  <c r="R79" i="6"/>
  <c r="R78" i="6"/>
  <c r="R77" i="6"/>
  <c r="R76" i="6"/>
  <c r="R75" i="6"/>
  <c r="R74" i="6"/>
  <c r="R73" i="6"/>
  <c r="R72" i="6"/>
  <c r="R71" i="6"/>
  <c r="R70" i="6"/>
  <c r="R69" i="6"/>
  <c r="R68" i="6"/>
  <c r="R67" i="6"/>
  <c r="R66" i="6"/>
  <c r="R65" i="6"/>
  <c r="R64" i="6"/>
  <c r="R63" i="6"/>
  <c r="R62" i="6"/>
  <c r="R61" i="6"/>
  <c r="R60" i="6"/>
  <c r="R59" i="6"/>
  <c r="R58" i="6"/>
  <c r="R57" i="6"/>
  <c r="R56" i="6"/>
  <c r="R55" i="6"/>
  <c r="R54" i="6"/>
  <c r="R53" i="6"/>
  <c r="R52" i="6"/>
  <c r="R51" i="6"/>
  <c r="R50" i="6"/>
  <c r="R49" i="6"/>
  <c r="R48" i="6"/>
  <c r="R47" i="6"/>
  <c r="R46" i="6"/>
  <c r="R45" i="6"/>
  <c r="R44" i="6"/>
  <c r="R43" i="6"/>
  <c r="R42" i="6"/>
  <c r="R41" i="6"/>
  <c r="R39" i="6"/>
  <c r="R38" i="6"/>
  <c r="R37" i="6"/>
  <c r="R36" i="6"/>
  <c r="R35" i="6"/>
  <c r="R34" i="6"/>
  <c r="R32" i="6"/>
  <c r="R31" i="6"/>
  <c r="R30" i="6"/>
  <c r="R29" i="6"/>
  <c r="R28" i="6"/>
  <c r="R27" i="6"/>
  <c r="R26" i="6"/>
  <c r="R25" i="6"/>
  <c r="R24" i="6"/>
  <c r="R23" i="6"/>
  <c r="R22" i="6"/>
  <c r="R21" i="6"/>
  <c r="R20" i="6"/>
  <c r="R19" i="6"/>
  <c r="R18" i="6"/>
  <c r="R17" i="6"/>
  <c r="R16" i="6"/>
  <c r="R323" i="6" l="1"/>
  <c r="R172" i="6"/>
  <c r="R324" i="6"/>
  <c r="R322" i="6"/>
  <c r="R319" i="6"/>
  <c r="R320" i="6"/>
  <c r="R737" i="4" l="1"/>
  <c r="R736" i="4"/>
  <c r="R735" i="4"/>
  <c r="R734" i="4"/>
  <c r="R733" i="4"/>
  <c r="R732" i="4"/>
  <c r="R731" i="4"/>
  <c r="R730" i="4"/>
  <c r="R729" i="4"/>
  <c r="R728" i="4"/>
  <c r="R727" i="4"/>
  <c r="R726" i="4"/>
  <c r="R725" i="4"/>
  <c r="R724" i="4"/>
  <c r="R723" i="4"/>
  <c r="R722" i="4"/>
  <c r="R721" i="4"/>
  <c r="R720" i="4"/>
  <c r="R719" i="4"/>
  <c r="R718" i="4"/>
  <c r="R717" i="4"/>
  <c r="R716" i="4"/>
  <c r="R714" i="4"/>
  <c r="R713" i="4"/>
  <c r="R712" i="4"/>
  <c r="R711" i="4"/>
  <c r="R710" i="4"/>
  <c r="R709" i="4"/>
  <c r="R708" i="4"/>
  <c r="R707" i="4"/>
  <c r="R706" i="4"/>
  <c r="R705" i="4"/>
  <c r="R704" i="4"/>
  <c r="R703" i="4"/>
  <c r="R702" i="4"/>
  <c r="R701" i="4"/>
  <c r="R700" i="4"/>
  <c r="R699" i="4"/>
  <c r="R698" i="4"/>
  <c r="R697" i="4"/>
  <c r="R696" i="4"/>
  <c r="R695" i="4"/>
  <c r="R694" i="4"/>
  <c r="R693" i="4"/>
  <c r="R691" i="4"/>
  <c r="R690" i="4"/>
  <c r="R689" i="4"/>
  <c r="R688" i="4"/>
  <c r="R687" i="4"/>
  <c r="R686" i="4"/>
  <c r="R685" i="4"/>
  <c r="R683" i="4"/>
  <c r="R682" i="4"/>
  <c r="R681" i="4"/>
  <c r="R680" i="4"/>
  <c r="R679" i="4"/>
  <c r="R678" i="4"/>
  <c r="R677" i="4"/>
  <c r="R676" i="4"/>
  <c r="R675" i="4"/>
  <c r="R673" i="4"/>
  <c r="R672" i="4"/>
  <c r="R671" i="4"/>
  <c r="R670" i="4"/>
  <c r="R669" i="4"/>
  <c r="R668" i="4"/>
  <c r="R667" i="4"/>
  <c r="R666" i="4"/>
  <c r="R665" i="4"/>
  <c r="R663" i="4"/>
  <c r="R662" i="4"/>
  <c r="R661" i="4"/>
  <c r="R660" i="4"/>
  <c r="R659" i="4"/>
  <c r="R658" i="4"/>
  <c r="R657" i="4"/>
  <c r="R656" i="4"/>
  <c r="R655" i="4"/>
  <c r="R654" i="4"/>
  <c r="R653" i="4"/>
  <c r="R652" i="4"/>
  <c r="R651" i="4"/>
  <c r="R650" i="4"/>
  <c r="R649" i="4"/>
  <c r="R648" i="4"/>
  <c r="R647" i="4"/>
  <c r="R646" i="4"/>
  <c r="R645" i="4"/>
  <c r="R644" i="4"/>
  <c r="R642" i="4"/>
  <c r="R641" i="4"/>
  <c r="R640" i="4"/>
  <c r="R639" i="4"/>
  <c r="R637" i="4"/>
  <c r="R636" i="4"/>
  <c r="R635" i="4"/>
  <c r="R634" i="4"/>
  <c r="R633" i="4"/>
  <c r="R632" i="4"/>
  <c r="R631" i="4"/>
  <c r="R630" i="4"/>
  <c r="R629" i="4"/>
  <c r="R628" i="4"/>
  <c r="R627" i="4"/>
  <c r="R626" i="4"/>
  <c r="R623" i="4"/>
  <c r="R622" i="4"/>
  <c r="R621" i="4"/>
  <c r="R620" i="4"/>
  <c r="R619" i="4"/>
  <c r="R618" i="4"/>
  <c r="R617" i="4"/>
  <c r="R616" i="4"/>
  <c r="R615" i="4"/>
  <c r="R614" i="4"/>
  <c r="R613" i="4"/>
  <c r="R612" i="4"/>
  <c r="R611" i="4"/>
  <c r="R610" i="4"/>
  <c r="R609" i="4"/>
  <c r="R608" i="4"/>
  <c r="R607" i="4"/>
  <c r="R606" i="4"/>
  <c r="R604" i="4"/>
  <c r="R603" i="4"/>
  <c r="R602" i="4"/>
  <c r="R601" i="4"/>
  <c r="R600" i="4"/>
  <c r="R599" i="4"/>
  <c r="R598" i="4"/>
  <c r="R597" i="4"/>
  <c r="R596" i="4"/>
  <c r="R595" i="4"/>
  <c r="R594" i="4"/>
  <c r="R593" i="4"/>
  <c r="R592" i="4"/>
  <c r="R591" i="4"/>
  <c r="R590" i="4"/>
  <c r="R589" i="4"/>
  <c r="R588" i="4"/>
  <c r="R587" i="4"/>
  <c r="R586" i="4"/>
  <c r="R585" i="4"/>
  <c r="R584" i="4"/>
  <c r="R583" i="4"/>
  <c r="R582" i="4"/>
  <c r="R580" i="4"/>
  <c r="R579" i="4"/>
  <c r="R578" i="4"/>
  <c r="R577" i="4"/>
  <c r="R576" i="4"/>
  <c r="R575" i="4"/>
  <c r="R574" i="4"/>
  <c r="R573" i="4"/>
  <c r="R572" i="4"/>
  <c r="R571" i="4"/>
  <c r="R570" i="4"/>
  <c r="R569" i="4"/>
  <c r="R568" i="4"/>
  <c r="R567" i="4"/>
  <c r="R566" i="4"/>
  <c r="R565" i="4"/>
  <c r="R564" i="4"/>
  <c r="R563" i="4"/>
  <c r="R562" i="4"/>
  <c r="R561" i="4"/>
  <c r="R560" i="4"/>
  <c r="R559" i="4"/>
  <c r="R558" i="4"/>
  <c r="R557" i="4"/>
  <c r="R556" i="4"/>
  <c r="R555" i="4"/>
  <c r="R554" i="4"/>
  <c r="R553" i="4"/>
  <c r="R552" i="4"/>
  <c r="R551" i="4"/>
  <c r="R550" i="4"/>
  <c r="R549" i="4"/>
  <c r="R548" i="4"/>
  <c r="R547" i="4"/>
  <c r="R546" i="4"/>
  <c r="R545" i="4"/>
  <c r="R544" i="4"/>
  <c r="R543" i="4"/>
  <c r="R542" i="4"/>
  <c r="R541" i="4"/>
  <c r="R539" i="4"/>
  <c r="R538" i="4"/>
  <c r="R537" i="4"/>
  <c r="R536" i="4"/>
  <c r="R535" i="4"/>
  <c r="R534" i="4"/>
  <c r="R533" i="4"/>
  <c r="R532" i="4"/>
  <c r="R531" i="4"/>
  <c r="R530" i="4"/>
  <c r="R529" i="4"/>
  <c r="R528" i="4"/>
  <c r="R527" i="4"/>
  <c r="R526" i="4"/>
  <c r="R525" i="4"/>
  <c r="R524" i="4"/>
  <c r="R523" i="4"/>
  <c r="R522" i="4"/>
  <c r="R521" i="4"/>
  <c r="R520" i="4"/>
  <c r="R519" i="4"/>
  <c r="R518" i="4"/>
  <c r="R517" i="4"/>
  <c r="R516" i="4"/>
  <c r="R515" i="4"/>
  <c r="R514" i="4"/>
  <c r="R513" i="4"/>
  <c r="R512" i="4"/>
  <c r="R511" i="4"/>
  <c r="R510" i="4"/>
  <c r="R509" i="4"/>
  <c r="R508" i="4"/>
  <c r="R507" i="4"/>
  <c r="R506" i="4"/>
  <c r="R505" i="4"/>
  <c r="R504" i="4"/>
  <c r="R503" i="4"/>
  <c r="R502" i="4"/>
  <c r="R501" i="4"/>
  <c r="R500" i="4"/>
  <c r="R499" i="4"/>
  <c r="R498" i="4"/>
  <c r="R497" i="4"/>
  <c r="R496" i="4"/>
  <c r="R494" i="4"/>
  <c r="R493" i="4"/>
  <c r="R492" i="4"/>
  <c r="R491" i="4"/>
  <c r="R490" i="4"/>
  <c r="R489" i="4"/>
  <c r="R488" i="4"/>
  <c r="R487" i="4"/>
  <c r="R486" i="4"/>
  <c r="R485" i="4"/>
  <c r="R484" i="4"/>
  <c r="R483" i="4"/>
  <c r="R482" i="4"/>
  <c r="R481" i="4"/>
  <c r="R480" i="4"/>
  <c r="R479" i="4"/>
  <c r="R478" i="4"/>
  <c r="R476" i="4"/>
  <c r="R475" i="4"/>
  <c r="R474" i="4"/>
  <c r="R473" i="4"/>
  <c r="R472" i="4"/>
  <c r="R471" i="4"/>
  <c r="R470" i="4"/>
  <c r="R469" i="4"/>
  <c r="R468" i="4"/>
  <c r="R467" i="4"/>
  <c r="R466" i="4"/>
  <c r="R465" i="4"/>
  <c r="R464" i="4"/>
  <c r="R463" i="4"/>
  <c r="R462" i="4"/>
  <c r="R461" i="4"/>
  <c r="R460" i="4"/>
  <c r="R459" i="4"/>
  <c r="R458" i="4"/>
  <c r="R457" i="4"/>
  <c r="R456" i="4"/>
  <c r="R455" i="4"/>
  <c r="R454" i="4"/>
  <c r="R453" i="4"/>
  <c r="R452" i="4"/>
  <c r="R451" i="4"/>
  <c r="R450" i="4"/>
  <c r="R449" i="4"/>
  <c r="R448" i="4"/>
  <c r="R447" i="4"/>
  <c r="R446" i="4"/>
  <c r="R445" i="4"/>
  <c r="R444" i="4"/>
  <c r="R443" i="4"/>
  <c r="R442" i="4"/>
  <c r="R441" i="4"/>
  <c r="R439" i="4"/>
  <c r="R438" i="4"/>
  <c r="R437" i="4"/>
  <c r="R436" i="4"/>
  <c r="R435" i="4"/>
  <c r="R434" i="4"/>
  <c r="R433" i="4"/>
  <c r="R432" i="4"/>
  <c r="R431" i="4"/>
  <c r="R430" i="4"/>
  <c r="R429" i="4"/>
  <c r="R428" i="4"/>
  <c r="R427" i="4"/>
  <c r="R426" i="4"/>
  <c r="R425" i="4"/>
  <c r="R424" i="4"/>
  <c r="R423" i="4"/>
  <c r="R422" i="4"/>
  <c r="R421" i="4"/>
  <c r="R420" i="4"/>
  <c r="R419" i="4"/>
  <c r="R418" i="4"/>
  <c r="R417" i="4"/>
  <c r="R416" i="4"/>
  <c r="R415" i="4"/>
  <c r="R414" i="4"/>
  <c r="R413" i="4"/>
  <c r="R412" i="4"/>
  <c r="R411" i="4"/>
  <c r="R410" i="4"/>
  <c r="R409" i="4"/>
  <c r="R408" i="4"/>
  <c r="R407" i="4"/>
  <c r="R405" i="4"/>
  <c r="R404" i="4"/>
  <c r="R403" i="4"/>
  <c r="R402" i="4"/>
  <c r="R401" i="4"/>
  <c r="R400" i="4"/>
  <c r="R399" i="4"/>
  <c r="R398" i="4"/>
  <c r="R397" i="4"/>
  <c r="R396" i="4"/>
  <c r="R395" i="4"/>
  <c r="R393" i="4"/>
  <c r="R392" i="4"/>
  <c r="R391" i="4"/>
  <c r="R390" i="4"/>
  <c r="R389" i="4"/>
  <c r="R388" i="4"/>
  <c r="R387" i="4"/>
  <c r="R386" i="4"/>
  <c r="R385" i="4"/>
  <c r="R384" i="4"/>
  <c r="R383" i="4"/>
  <c r="R382" i="4"/>
  <c r="R381" i="4"/>
  <c r="R380" i="4"/>
  <c r="R379" i="4"/>
  <c r="R378" i="4"/>
  <c r="R377" i="4"/>
  <c r="R376" i="4"/>
  <c r="R374" i="4"/>
  <c r="R373" i="4"/>
  <c r="R372" i="4"/>
  <c r="R371" i="4"/>
  <c r="R370" i="4"/>
  <c r="R369" i="4"/>
  <c r="R368" i="4"/>
  <c r="R367" i="4"/>
  <c r="R366" i="4"/>
  <c r="R365" i="4"/>
  <c r="R364" i="4"/>
  <c r="R363" i="4"/>
  <c r="R362" i="4"/>
  <c r="R361" i="4"/>
  <c r="R360" i="4"/>
  <c r="R359" i="4"/>
  <c r="R358" i="4"/>
  <c r="R357" i="4"/>
  <c r="R356" i="4"/>
  <c r="R355" i="4"/>
  <c r="R354" i="4"/>
  <c r="R353" i="4"/>
  <c r="R352" i="4"/>
  <c r="R351" i="4"/>
  <c r="R350" i="4"/>
  <c r="R349" i="4"/>
  <c r="R348" i="4"/>
  <c r="R347" i="4"/>
  <c r="R346" i="4"/>
  <c r="R345" i="4"/>
  <c r="R344" i="4"/>
  <c r="R343" i="4"/>
  <c r="R342" i="4"/>
  <c r="R341" i="4"/>
  <c r="R340" i="4"/>
  <c r="R339" i="4"/>
  <c r="R338" i="4"/>
  <c r="R337" i="4"/>
  <c r="R336" i="4"/>
  <c r="R335" i="4"/>
  <c r="R332" i="4"/>
  <c r="R331" i="4"/>
  <c r="R330" i="4"/>
  <c r="R314" i="4" s="1"/>
  <c r="R329" i="4"/>
  <c r="R328" i="4"/>
  <c r="R327" i="4"/>
  <c r="R326" i="4"/>
  <c r="R325" i="4"/>
  <c r="R318" i="4"/>
  <c r="R317" i="4"/>
  <c r="R316" i="4"/>
  <c r="R321" i="4" s="1"/>
  <c r="R315" i="4"/>
  <c r="R313" i="4"/>
  <c r="R312" i="4"/>
  <c r="R310" i="4"/>
  <c r="R309" i="4"/>
  <c r="R308" i="4"/>
  <c r="R307" i="4"/>
  <c r="R306" i="4"/>
  <c r="R305" i="4"/>
  <c r="R304" i="4"/>
  <c r="R303" i="4"/>
  <c r="R302" i="4"/>
  <c r="R301" i="4"/>
  <c r="R300" i="4"/>
  <c r="R299" i="4"/>
  <c r="R298" i="4"/>
  <c r="R297" i="4"/>
  <c r="R296" i="4"/>
  <c r="R295" i="4"/>
  <c r="R294" i="4"/>
  <c r="R293" i="4"/>
  <c r="R292" i="4"/>
  <c r="R291" i="4"/>
  <c r="R290" i="4"/>
  <c r="R289" i="4"/>
  <c r="R288" i="4"/>
  <c r="R287" i="4"/>
  <c r="R285" i="4"/>
  <c r="R284" i="4"/>
  <c r="R283" i="4"/>
  <c r="R282" i="4"/>
  <c r="R281" i="4"/>
  <c r="R280" i="4"/>
  <c r="R279" i="4"/>
  <c r="R278" i="4"/>
  <c r="R277" i="4"/>
  <c r="R276" i="4"/>
  <c r="R275" i="4"/>
  <c r="R274" i="4"/>
  <c r="R273" i="4"/>
  <c r="R272" i="4"/>
  <c r="R271" i="4"/>
  <c r="R270" i="4"/>
  <c r="R269" i="4"/>
  <c r="R268" i="4"/>
  <c r="R267" i="4"/>
  <c r="R266" i="4"/>
  <c r="R265" i="4"/>
  <c r="R264" i="4"/>
  <c r="R263" i="4"/>
  <c r="R262" i="4"/>
  <c r="R261" i="4"/>
  <c r="R260" i="4"/>
  <c r="R259" i="4"/>
  <c r="R258" i="4"/>
  <c r="R257" i="4"/>
  <c r="R256" i="4"/>
  <c r="R255" i="4"/>
  <c r="R254" i="4"/>
  <c r="R252" i="4"/>
  <c r="R251" i="4"/>
  <c r="R250" i="4"/>
  <c r="R249" i="4"/>
  <c r="R248" i="4"/>
  <c r="R247" i="4"/>
  <c r="R246" i="4"/>
  <c r="R245" i="4"/>
  <c r="R244" i="4"/>
  <c r="R243" i="4"/>
  <c r="R241" i="4"/>
  <c r="R240" i="4"/>
  <c r="R239" i="4"/>
  <c r="R238" i="4"/>
  <c r="R237" i="4"/>
  <c r="R236" i="4"/>
  <c r="R235" i="4"/>
  <c r="R234" i="4"/>
  <c r="R233" i="4"/>
  <c r="R232" i="4"/>
  <c r="R231" i="4"/>
  <c r="R230" i="4"/>
  <c r="R229" i="4"/>
  <c r="R228" i="4"/>
  <c r="R227" i="4"/>
  <c r="R226" i="4"/>
  <c r="R225" i="4"/>
  <c r="R224" i="4"/>
  <c r="R223" i="4"/>
  <c r="R222" i="4"/>
  <c r="R221" i="4"/>
  <c r="R220" i="4"/>
  <c r="R219" i="4"/>
  <c r="R218" i="4"/>
  <c r="R217" i="4"/>
  <c r="R216" i="4"/>
  <c r="R215" i="4"/>
  <c r="R214" i="4"/>
  <c r="R213" i="4"/>
  <c r="R212" i="4"/>
  <c r="R211" i="4"/>
  <c r="R210" i="4"/>
  <c r="R209" i="4"/>
  <c r="R208" i="4"/>
  <c r="R206" i="4"/>
  <c r="R205" i="4"/>
  <c r="R204" i="4"/>
  <c r="R203" i="4"/>
  <c r="R202" i="4"/>
  <c r="R201" i="4"/>
  <c r="R200" i="4"/>
  <c r="R199" i="4"/>
  <c r="R198" i="4"/>
  <c r="R196" i="4"/>
  <c r="R195" i="4"/>
  <c r="R194" i="4"/>
  <c r="R193" i="4"/>
  <c r="R192" i="4"/>
  <c r="R191" i="4"/>
  <c r="R190" i="4"/>
  <c r="R189" i="4"/>
  <c r="R187" i="4"/>
  <c r="R186" i="4"/>
  <c r="R185" i="4"/>
  <c r="R184" i="4"/>
  <c r="R183" i="4"/>
  <c r="R182" i="4"/>
  <c r="R181" i="4"/>
  <c r="R180" i="4"/>
  <c r="R178" i="4"/>
  <c r="R177" i="4"/>
  <c r="R176" i="4"/>
  <c r="R175" i="4"/>
  <c r="R173" i="4" s="1"/>
  <c r="R174" i="4"/>
  <c r="R169" i="4"/>
  <c r="R168" i="4"/>
  <c r="R167" i="4"/>
  <c r="R166" i="4"/>
  <c r="R165" i="4"/>
  <c r="R164" i="4"/>
  <c r="R163" i="4"/>
  <c r="R162" i="4"/>
  <c r="R161" i="4"/>
  <c r="R160" i="4"/>
  <c r="R159" i="4"/>
  <c r="R158" i="4"/>
  <c r="R157" i="4"/>
  <c r="R156" i="4"/>
  <c r="R155" i="4"/>
  <c r="R154" i="4"/>
  <c r="R153" i="4"/>
  <c r="R152" i="4"/>
  <c r="R172" i="4" s="1"/>
  <c r="R151" i="4"/>
  <c r="R149" i="4"/>
  <c r="R148" i="4"/>
  <c r="R147" i="4"/>
  <c r="R146" i="4"/>
  <c r="R145" i="4"/>
  <c r="R144" i="4"/>
  <c r="R143" i="4"/>
  <c r="R142" i="4"/>
  <c r="R141" i="4"/>
  <c r="R140" i="4"/>
  <c r="R139" i="4"/>
  <c r="R138" i="4"/>
  <c r="R137" i="4"/>
  <c r="R136" i="4"/>
  <c r="R135" i="4"/>
  <c r="R133" i="4"/>
  <c r="R132" i="4"/>
  <c r="R131" i="4"/>
  <c r="R130" i="4"/>
  <c r="R129" i="4"/>
  <c r="R128" i="4"/>
  <c r="R127" i="4"/>
  <c r="R126" i="4"/>
  <c r="R125" i="4"/>
  <c r="R123" i="4"/>
  <c r="R122" i="4"/>
  <c r="R121" i="4"/>
  <c r="R120" i="4"/>
  <c r="R119" i="4"/>
  <c r="R118" i="4"/>
  <c r="R117" i="4"/>
  <c r="R116" i="4"/>
  <c r="R115" i="4"/>
  <c r="R113" i="4"/>
  <c r="R112" i="4"/>
  <c r="R111" i="4"/>
  <c r="R110" i="4"/>
  <c r="R109" i="4"/>
  <c r="R108" i="4"/>
  <c r="R107" i="4"/>
  <c r="R106" i="4"/>
  <c r="R105" i="4"/>
  <c r="R104" i="4"/>
  <c r="R103" i="4"/>
  <c r="R102" i="4"/>
  <c r="R101" i="4"/>
  <c r="R100" i="4"/>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39" i="4"/>
  <c r="R37" i="4"/>
  <c r="R38" i="4" s="1"/>
  <c r="R36" i="4"/>
  <c r="R35" i="4"/>
  <c r="R34" i="4"/>
  <c r="R32" i="4"/>
  <c r="R31" i="4"/>
  <c r="R30" i="4"/>
  <c r="R29" i="4"/>
  <c r="R28" i="4"/>
  <c r="R27" i="4"/>
  <c r="R26" i="4"/>
  <c r="R25" i="4"/>
  <c r="R24" i="4"/>
  <c r="R23" i="4"/>
  <c r="R22" i="4"/>
  <c r="R21" i="4"/>
  <c r="R20" i="4"/>
  <c r="R19" i="4"/>
  <c r="R18" i="4"/>
  <c r="R17" i="4"/>
  <c r="R16" i="4"/>
  <c r="R322" i="4" l="1"/>
  <c r="R171" i="4"/>
  <c r="R323" i="4"/>
  <c r="R324" i="4"/>
  <c r="R319" i="4"/>
  <c r="R320" i="4"/>
  <c r="R737" i="8" l="1"/>
  <c r="R736" i="8"/>
  <c r="R735" i="8"/>
  <c r="R734" i="8"/>
  <c r="R733" i="8"/>
  <c r="R732" i="8"/>
  <c r="R731" i="8"/>
  <c r="R730" i="8"/>
  <c r="R729" i="8"/>
  <c r="R728" i="8"/>
  <c r="R727" i="8"/>
  <c r="R726" i="8"/>
  <c r="R725" i="8"/>
  <c r="R724" i="8"/>
  <c r="R723" i="8"/>
  <c r="R722" i="8"/>
  <c r="R721" i="8"/>
  <c r="R720" i="8"/>
  <c r="R719" i="8"/>
  <c r="R718" i="8"/>
  <c r="R717" i="8"/>
  <c r="R716" i="8"/>
  <c r="R714" i="8"/>
  <c r="R713" i="8"/>
  <c r="R712" i="8"/>
  <c r="R711" i="8"/>
  <c r="R710" i="8"/>
  <c r="R709" i="8"/>
  <c r="R708" i="8"/>
  <c r="R707" i="8"/>
  <c r="R706" i="8"/>
  <c r="R705" i="8"/>
  <c r="R704" i="8"/>
  <c r="R703" i="8"/>
  <c r="R702" i="8"/>
  <c r="R701" i="8"/>
  <c r="R700" i="8"/>
  <c r="R699" i="8"/>
  <c r="R698" i="8"/>
  <c r="R697" i="8"/>
  <c r="R696" i="8"/>
  <c r="R695" i="8"/>
  <c r="R694" i="8"/>
  <c r="R693" i="8"/>
  <c r="R691" i="8"/>
  <c r="R690" i="8"/>
  <c r="R689" i="8"/>
  <c r="R688" i="8"/>
  <c r="R687" i="8"/>
  <c r="R686" i="8"/>
  <c r="R685" i="8"/>
  <c r="R683" i="8"/>
  <c r="R682" i="8"/>
  <c r="R681" i="8"/>
  <c r="R680" i="8"/>
  <c r="R679" i="8"/>
  <c r="R678" i="8"/>
  <c r="R677" i="8"/>
  <c r="R676" i="8"/>
  <c r="R675" i="8"/>
  <c r="R673" i="8"/>
  <c r="R672" i="8"/>
  <c r="R671" i="8"/>
  <c r="R670" i="8"/>
  <c r="R669" i="8"/>
  <c r="R668" i="8"/>
  <c r="R667" i="8"/>
  <c r="R666" i="8"/>
  <c r="R665" i="8"/>
  <c r="R663" i="8"/>
  <c r="R662" i="8"/>
  <c r="R661" i="8"/>
  <c r="R660" i="8"/>
  <c r="R659" i="8"/>
  <c r="R658" i="8"/>
  <c r="R657" i="8"/>
  <c r="R656" i="8"/>
  <c r="R655" i="8"/>
  <c r="R654" i="8"/>
  <c r="R653" i="8"/>
  <c r="R652" i="8"/>
  <c r="R651" i="8"/>
  <c r="R650" i="8"/>
  <c r="R649" i="8"/>
  <c r="R648" i="8"/>
  <c r="R647" i="8"/>
  <c r="R646" i="8"/>
  <c r="R645" i="8"/>
  <c r="R644" i="8"/>
  <c r="R642" i="8"/>
  <c r="R641" i="8"/>
  <c r="R640" i="8"/>
  <c r="R639" i="8"/>
  <c r="R637" i="8"/>
  <c r="R636" i="8"/>
  <c r="R635" i="8"/>
  <c r="R634" i="8"/>
  <c r="R633" i="8"/>
  <c r="R632" i="8"/>
  <c r="R631" i="8"/>
  <c r="R630" i="8"/>
  <c r="R629" i="8"/>
  <c r="R628" i="8"/>
  <c r="R627" i="8"/>
  <c r="R626" i="8"/>
  <c r="R623" i="8"/>
  <c r="R622" i="8"/>
  <c r="R621" i="8"/>
  <c r="R620" i="8"/>
  <c r="R619" i="8"/>
  <c r="R618" i="8"/>
  <c r="R617" i="8"/>
  <c r="R616" i="8"/>
  <c r="R615" i="8"/>
  <c r="R614" i="8"/>
  <c r="R613" i="8"/>
  <c r="R612" i="8"/>
  <c r="R611" i="8"/>
  <c r="R610" i="8"/>
  <c r="R609" i="8"/>
  <c r="R608" i="8"/>
  <c r="R607" i="8"/>
  <c r="R606" i="8"/>
  <c r="R604" i="8"/>
  <c r="R603" i="8"/>
  <c r="R602" i="8"/>
  <c r="R601" i="8"/>
  <c r="R600" i="8"/>
  <c r="R599" i="8"/>
  <c r="R598" i="8"/>
  <c r="R597" i="8"/>
  <c r="R596" i="8"/>
  <c r="R595" i="8"/>
  <c r="R594" i="8"/>
  <c r="R593" i="8"/>
  <c r="R592" i="8"/>
  <c r="R591" i="8"/>
  <c r="R590" i="8"/>
  <c r="R589" i="8"/>
  <c r="R588" i="8"/>
  <c r="R587" i="8"/>
  <c r="R586" i="8"/>
  <c r="R585" i="8"/>
  <c r="R584" i="8"/>
  <c r="R583" i="8"/>
  <c r="R582" i="8"/>
  <c r="R580" i="8"/>
  <c r="R579" i="8"/>
  <c r="R578" i="8"/>
  <c r="R577" i="8"/>
  <c r="R576" i="8"/>
  <c r="R575" i="8"/>
  <c r="R574" i="8"/>
  <c r="R573" i="8"/>
  <c r="R572" i="8"/>
  <c r="R571" i="8"/>
  <c r="R570" i="8"/>
  <c r="R569" i="8"/>
  <c r="R568" i="8"/>
  <c r="R567" i="8"/>
  <c r="R566" i="8"/>
  <c r="R565" i="8"/>
  <c r="R564" i="8"/>
  <c r="R563" i="8"/>
  <c r="R562" i="8"/>
  <c r="R561" i="8"/>
  <c r="R560" i="8"/>
  <c r="R559" i="8"/>
  <c r="R558" i="8"/>
  <c r="R557" i="8"/>
  <c r="R556" i="8"/>
  <c r="R555" i="8"/>
  <c r="R554" i="8"/>
  <c r="R553" i="8"/>
  <c r="R552" i="8"/>
  <c r="R551" i="8"/>
  <c r="R550" i="8"/>
  <c r="R549" i="8"/>
  <c r="R548" i="8"/>
  <c r="R547" i="8"/>
  <c r="R546" i="8"/>
  <c r="R545" i="8"/>
  <c r="R544" i="8"/>
  <c r="R543" i="8"/>
  <c r="R542" i="8"/>
  <c r="R541" i="8"/>
  <c r="R539" i="8"/>
  <c r="R538" i="8"/>
  <c r="R537" i="8"/>
  <c r="R536" i="8"/>
  <c r="R535" i="8"/>
  <c r="R534" i="8"/>
  <c r="R533" i="8"/>
  <c r="R532" i="8"/>
  <c r="R531" i="8"/>
  <c r="R530" i="8"/>
  <c r="R529" i="8"/>
  <c r="R528" i="8"/>
  <c r="R527" i="8"/>
  <c r="R526" i="8"/>
  <c r="R525" i="8"/>
  <c r="R524" i="8"/>
  <c r="R523" i="8"/>
  <c r="R522" i="8"/>
  <c r="R521" i="8"/>
  <c r="R520" i="8"/>
  <c r="R519" i="8"/>
  <c r="R518" i="8"/>
  <c r="R517" i="8"/>
  <c r="R516" i="8"/>
  <c r="R515" i="8"/>
  <c r="R514" i="8"/>
  <c r="R513" i="8"/>
  <c r="R512" i="8"/>
  <c r="R511" i="8"/>
  <c r="R510" i="8"/>
  <c r="R509" i="8"/>
  <c r="R508" i="8"/>
  <c r="R507" i="8"/>
  <c r="R506" i="8"/>
  <c r="R505" i="8"/>
  <c r="R504" i="8"/>
  <c r="R503" i="8"/>
  <c r="R502" i="8"/>
  <c r="R501" i="8"/>
  <c r="R500" i="8"/>
  <c r="R499" i="8"/>
  <c r="R498" i="8"/>
  <c r="R497" i="8"/>
  <c r="R496" i="8"/>
  <c r="R494" i="8"/>
  <c r="R493" i="8"/>
  <c r="R492" i="8"/>
  <c r="R491" i="8"/>
  <c r="R490" i="8"/>
  <c r="R489" i="8"/>
  <c r="R488" i="8"/>
  <c r="R487" i="8"/>
  <c r="R486" i="8"/>
  <c r="R485" i="8"/>
  <c r="R484" i="8"/>
  <c r="R483" i="8"/>
  <c r="R482" i="8"/>
  <c r="R481" i="8"/>
  <c r="R480" i="8"/>
  <c r="R479" i="8"/>
  <c r="R478" i="8"/>
  <c r="R476" i="8"/>
  <c r="R475" i="8"/>
  <c r="R474" i="8"/>
  <c r="R473" i="8"/>
  <c r="R472" i="8"/>
  <c r="R471" i="8"/>
  <c r="R470" i="8"/>
  <c r="R469" i="8"/>
  <c r="R468" i="8"/>
  <c r="R467" i="8"/>
  <c r="R466" i="8"/>
  <c r="R465" i="8"/>
  <c r="R464" i="8"/>
  <c r="R463" i="8"/>
  <c r="R462" i="8"/>
  <c r="R461" i="8"/>
  <c r="R460" i="8"/>
  <c r="R459" i="8"/>
  <c r="R458" i="8"/>
  <c r="R457" i="8"/>
  <c r="R456" i="8"/>
  <c r="R455" i="8"/>
  <c r="R454" i="8"/>
  <c r="R453" i="8"/>
  <c r="R452" i="8"/>
  <c r="R451" i="8"/>
  <c r="R450" i="8"/>
  <c r="R449" i="8"/>
  <c r="R448" i="8"/>
  <c r="R447" i="8"/>
  <c r="R446" i="8"/>
  <c r="R445" i="8"/>
  <c r="R444" i="8"/>
  <c r="R443" i="8"/>
  <c r="R442" i="8"/>
  <c r="R441" i="8"/>
  <c r="R439" i="8"/>
  <c r="R438" i="8"/>
  <c r="R437" i="8"/>
  <c r="R436" i="8"/>
  <c r="R435" i="8"/>
  <c r="R434" i="8"/>
  <c r="R433" i="8"/>
  <c r="R432" i="8"/>
  <c r="R431" i="8"/>
  <c r="R430" i="8"/>
  <c r="R429" i="8"/>
  <c r="R428" i="8"/>
  <c r="R427" i="8"/>
  <c r="R426" i="8"/>
  <c r="R425" i="8"/>
  <c r="R424" i="8"/>
  <c r="R423" i="8"/>
  <c r="R422" i="8"/>
  <c r="R421" i="8"/>
  <c r="R420" i="8"/>
  <c r="R419" i="8"/>
  <c r="R418" i="8"/>
  <c r="R417" i="8"/>
  <c r="R416" i="8"/>
  <c r="R415" i="8"/>
  <c r="R414" i="8"/>
  <c r="R413" i="8"/>
  <c r="R412" i="8"/>
  <c r="R411" i="8"/>
  <c r="R410" i="8"/>
  <c r="R409" i="8"/>
  <c r="R408" i="8"/>
  <c r="R407" i="8"/>
  <c r="R405" i="8"/>
  <c r="R404" i="8"/>
  <c r="R403" i="8"/>
  <c r="R402" i="8"/>
  <c r="R401" i="8"/>
  <c r="R400" i="8"/>
  <c r="R399" i="8"/>
  <c r="R398" i="8"/>
  <c r="R397" i="8"/>
  <c r="R396" i="8"/>
  <c r="R395" i="8"/>
  <c r="R393" i="8"/>
  <c r="R392" i="8"/>
  <c r="R391" i="8"/>
  <c r="R390" i="8"/>
  <c r="R389" i="8"/>
  <c r="R388" i="8"/>
  <c r="R387" i="8"/>
  <c r="R386" i="8"/>
  <c r="R385" i="8"/>
  <c r="R384" i="8"/>
  <c r="R383" i="8"/>
  <c r="R382" i="8"/>
  <c r="R381" i="8"/>
  <c r="R380" i="8"/>
  <c r="R379" i="8"/>
  <c r="R378" i="8"/>
  <c r="R377" i="8"/>
  <c r="R376" i="8"/>
  <c r="R374" i="8"/>
  <c r="R373" i="8"/>
  <c r="R372" i="8"/>
  <c r="R371" i="8"/>
  <c r="R370" i="8"/>
  <c r="R369" i="8"/>
  <c r="R368" i="8"/>
  <c r="R367" i="8"/>
  <c r="R366" i="8"/>
  <c r="R365" i="8"/>
  <c r="R364" i="8"/>
  <c r="R363" i="8"/>
  <c r="R362" i="8"/>
  <c r="R361" i="8"/>
  <c r="R360" i="8"/>
  <c r="R359" i="8"/>
  <c r="R358" i="8"/>
  <c r="R357" i="8"/>
  <c r="R356" i="8"/>
  <c r="R355" i="8"/>
  <c r="R354" i="8"/>
  <c r="R353" i="8"/>
  <c r="R352" i="8"/>
  <c r="R351" i="8"/>
  <c r="R350" i="8"/>
  <c r="R349" i="8"/>
  <c r="R348" i="8"/>
  <c r="R347" i="8"/>
  <c r="R346" i="8"/>
  <c r="R345" i="8"/>
  <c r="R344" i="8"/>
  <c r="R343" i="8"/>
  <c r="R342" i="8"/>
  <c r="R341" i="8"/>
  <c r="R340" i="8"/>
  <c r="R339" i="8"/>
  <c r="R338" i="8"/>
  <c r="R337" i="8"/>
  <c r="R336" i="8"/>
  <c r="R335" i="8"/>
  <c r="R332" i="8"/>
  <c r="R331" i="8"/>
  <c r="R330" i="8"/>
  <c r="R314" i="8" s="1"/>
  <c r="R329" i="8"/>
  <c r="R328" i="8"/>
  <c r="R327" i="8"/>
  <c r="R326" i="8"/>
  <c r="R325" i="8"/>
  <c r="R318" i="8"/>
  <c r="R317" i="8"/>
  <c r="R316" i="8"/>
  <c r="R321" i="8" s="1"/>
  <c r="R315" i="8"/>
  <c r="R313" i="8"/>
  <c r="R312" i="8"/>
  <c r="R310" i="8"/>
  <c r="R309" i="8"/>
  <c r="R308" i="8"/>
  <c r="R307" i="8"/>
  <c r="R306" i="8"/>
  <c r="R305" i="8"/>
  <c r="R304" i="8"/>
  <c r="R303" i="8"/>
  <c r="R302" i="8"/>
  <c r="R301" i="8"/>
  <c r="R300" i="8"/>
  <c r="R299" i="8"/>
  <c r="R298" i="8"/>
  <c r="R297" i="8"/>
  <c r="R296" i="8"/>
  <c r="R295" i="8"/>
  <c r="R294" i="8"/>
  <c r="R293" i="8"/>
  <c r="R292" i="8"/>
  <c r="R291" i="8"/>
  <c r="R290" i="8"/>
  <c r="R289" i="8"/>
  <c r="R288" i="8"/>
  <c r="R287" i="8"/>
  <c r="R285" i="8"/>
  <c r="R284" i="8"/>
  <c r="R283" i="8"/>
  <c r="R282" i="8"/>
  <c r="R281" i="8"/>
  <c r="R280" i="8"/>
  <c r="R279" i="8"/>
  <c r="R278" i="8"/>
  <c r="R277" i="8"/>
  <c r="R276" i="8"/>
  <c r="R275" i="8"/>
  <c r="R274" i="8"/>
  <c r="R273" i="8"/>
  <c r="R272" i="8"/>
  <c r="R271" i="8"/>
  <c r="R270" i="8"/>
  <c r="R269" i="8"/>
  <c r="R268" i="8"/>
  <c r="R267" i="8"/>
  <c r="R266" i="8"/>
  <c r="R265" i="8"/>
  <c r="R264" i="8"/>
  <c r="R263" i="8"/>
  <c r="R262" i="8"/>
  <c r="R261" i="8"/>
  <c r="R260" i="8"/>
  <c r="R259" i="8"/>
  <c r="R258" i="8"/>
  <c r="R257" i="8"/>
  <c r="R256" i="8"/>
  <c r="R255" i="8"/>
  <c r="R254" i="8"/>
  <c r="R252" i="8"/>
  <c r="R251" i="8"/>
  <c r="R250" i="8"/>
  <c r="R249" i="8"/>
  <c r="R248" i="8"/>
  <c r="R247" i="8"/>
  <c r="R246" i="8"/>
  <c r="R245" i="8"/>
  <c r="R244" i="8"/>
  <c r="R243" i="8"/>
  <c r="R241" i="8"/>
  <c r="R240" i="8"/>
  <c r="R239" i="8"/>
  <c r="R238" i="8"/>
  <c r="R237" i="8"/>
  <c r="R236" i="8"/>
  <c r="R235" i="8"/>
  <c r="R234" i="8"/>
  <c r="R233" i="8"/>
  <c r="R232" i="8"/>
  <c r="R231" i="8"/>
  <c r="R230" i="8"/>
  <c r="R229" i="8"/>
  <c r="R228" i="8"/>
  <c r="R227" i="8"/>
  <c r="R226" i="8"/>
  <c r="R225" i="8"/>
  <c r="R224" i="8"/>
  <c r="R223" i="8"/>
  <c r="R222" i="8"/>
  <c r="R221" i="8"/>
  <c r="R220" i="8"/>
  <c r="R219" i="8"/>
  <c r="R218" i="8"/>
  <c r="R217" i="8"/>
  <c r="R216" i="8"/>
  <c r="R215" i="8"/>
  <c r="R214" i="8"/>
  <c r="R213" i="8"/>
  <c r="R212" i="8"/>
  <c r="R211" i="8"/>
  <c r="R210" i="8"/>
  <c r="R209" i="8"/>
  <c r="R208" i="8"/>
  <c r="R206" i="8"/>
  <c r="R205" i="8"/>
  <c r="R204" i="8"/>
  <c r="R203" i="8"/>
  <c r="R202" i="8"/>
  <c r="R201" i="8"/>
  <c r="R200" i="8"/>
  <c r="R199" i="8"/>
  <c r="R198" i="8"/>
  <c r="R196" i="8"/>
  <c r="R195" i="8"/>
  <c r="R194" i="8"/>
  <c r="R193" i="8"/>
  <c r="R192" i="8"/>
  <c r="R191" i="8"/>
  <c r="R190" i="8"/>
  <c r="R189" i="8"/>
  <c r="R187" i="8"/>
  <c r="R186" i="8"/>
  <c r="R185" i="8"/>
  <c r="R184" i="8"/>
  <c r="R183" i="8"/>
  <c r="R182" i="8"/>
  <c r="R181" i="8"/>
  <c r="R180" i="8"/>
  <c r="R178" i="8"/>
  <c r="R177" i="8"/>
  <c r="R176" i="8"/>
  <c r="R175" i="8"/>
  <c r="R173" i="8" s="1"/>
  <c r="R174" i="8"/>
  <c r="R169" i="8"/>
  <c r="R168" i="8"/>
  <c r="R167" i="8"/>
  <c r="R166" i="8"/>
  <c r="R165" i="8"/>
  <c r="R164" i="8"/>
  <c r="R163" i="8"/>
  <c r="R162" i="8"/>
  <c r="R161" i="8"/>
  <c r="R160" i="8"/>
  <c r="R159" i="8"/>
  <c r="R158" i="8"/>
  <c r="R157" i="8"/>
  <c r="R156" i="8"/>
  <c r="R155" i="8"/>
  <c r="R154" i="8"/>
  <c r="R153" i="8"/>
  <c r="R152" i="8"/>
  <c r="R172" i="8" s="1"/>
  <c r="R151" i="8"/>
  <c r="R149" i="8"/>
  <c r="R148" i="8"/>
  <c r="R147" i="8"/>
  <c r="R146" i="8"/>
  <c r="R145" i="8"/>
  <c r="R144" i="8"/>
  <c r="R143" i="8"/>
  <c r="R142" i="8"/>
  <c r="R141" i="8"/>
  <c r="R140" i="8"/>
  <c r="R139" i="8"/>
  <c r="R138" i="8"/>
  <c r="R137" i="8"/>
  <c r="R136" i="8"/>
  <c r="R135" i="8"/>
  <c r="R133" i="8"/>
  <c r="R132" i="8"/>
  <c r="R131" i="8"/>
  <c r="R130" i="8"/>
  <c r="R129" i="8"/>
  <c r="R128" i="8"/>
  <c r="R127" i="8"/>
  <c r="R126" i="8"/>
  <c r="R125" i="8"/>
  <c r="R123" i="8"/>
  <c r="R122" i="8"/>
  <c r="R121" i="8"/>
  <c r="R120" i="8"/>
  <c r="R119" i="8"/>
  <c r="R118" i="8"/>
  <c r="R117" i="8"/>
  <c r="R116" i="8"/>
  <c r="R115" i="8"/>
  <c r="R113" i="8"/>
  <c r="R112" i="8"/>
  <c r="R111" i="8"/>
  <c r="R110" i="8"/>
  <c r="R109" i="8"/>
  <c r="R108" i="8"/>
  <c r="R107" i="8"/>
  <c r="R106" i="8"/>
  <c r="R105" i="8"/>
  <c r="R104" i="8"/>
  <c r="R103" i="8"/>
  <c r="R102" i="8"/>
  <c r="R101" i="8"/>
  <c r="R100" i="8"/>
  <c r="R99" i="8"/>
  <c r="R98" i="8"/>
  <c r="R97" i="8"/>
  <c r="R96" i="8"/>
  <c r="R95" i="8"/>
  <c r="R94" i="8"/>
  <c r="R93" i="8"/>
  <c r="R92" i="8"/>
  <c r="R91" i="8"/>
  <c r="R90" i="8"/>
  <c r="R89" i="8"/>
  <c r="R88" i="8"/>
  <c r="R87" i="8"/>
  <c r="R86" i="8"/>
  <c r="R85" i="8"/>
  <c r="R84" i="8"/>
  <c r="R83" i="8"/>
  <c r="R82" i="8"/>
  <c r="R81" i="8"/>
  <c r="R80" i="8"/>
  <c r="R79" i="8"/>
  <c r="R78" i="8"/>
  <c r="R77" i="8"/>
  <c r="R76" i="8"/>
  <c r="R75" i="8"/>
  <c r="R74" i="8"/>
  <c r="R73" i="8"/>
  <c r="R72" i="8"/>
  <c r="R71" i="8"/>
  <c r="R70" i="8"/>
  <c r="R69" i="8"/>
  <c r="R68" i="8"/>
  <c r="R67" i="8"/>
  <c r="R66" i="8"/>
  <c r="R65" i="8"/>
  <c r="R64" i="8"/>
  <c r="R63" i="8"/>
  <c r="R62" i="8"/>
  <c r="R61" i="8"/>
  <c r="R60" i="8"/>
  <c r="R59" i="8"/>
  <c r="R58" i="8"/>
  <c r="R57" i="8"/>
  <c r="R56" i="8"/>
  <c r="R55" i="8"/>
  <c r="R54" i="8"/>
  <c r="R53" i="8"/>
  <c r="R52" i="8"/>
  <c r="R51" i="8"/>
  <c r="R50" i="8"/>
  <c r="R49" i="8"/>
  <c r="R48" i="8"/>
  <c r="R47" i="8"/>
  <c r="R46" i="8"/>
  <c r="R45" i="8"/>
  <c r="R44" i="8"/>
  <c r="R43" i="8"/>
  <c r="R42" i="8"/>
  <c r="R41" i="8"/>
  <c r="R39" i="8"/>
  <c r="R37" i="8"/>
  <c r="R38" i="8" s="1"/>
  <c r="R36" i="8"/>
  <c r="R35" i="8"/>
  <c r="R34" i="8"/>
  <c r="R32" i="8"/>
  <c r="R31" i="8"/>
  <c r="R30" i="8"/>
  <c r="R29" i="8"/>
  <c r="R28" i="8"/>
  <c r="R27" i="8"/>
  <c r="R26" i="8"/>
  <c r="R25" i="8"/>
  <c r="R24" i="8"/>
  <c r="R23" i="8"/>
  <c r="R22" i="8"/>
  <c r="R21" i="8"/>
  <c r="R20" i="8"/>
  <c r="R19" i="8"/>
  <c r="R18" i="8"/>
  <c r="R17" i="8"/>
  <c r="R16" i="8"/>
  <c r="R322" i="8" l="1"/>
  <c r="R171" i="8"/>
  <c r="R323" i="8"/>
  <c r="R324" i="8"/>
  <c r="R319" i="8"/>
  <c r="R320" i="8"/>
  <c r="R737" i="10" l="1"/>
  <c r="R736" i="10"/>
  <c r="R735" i="10"/>
  <c r="R734" i="10"/>
  <c r="R733" i="10"/>
  <c r="R732" i="10"/>
  <c r="R731" i="10"/>
  <c r="R730" i="10"/>
  <c r="R729" i="10"/>
  <c r="R728" i="10"/>
  <c r="R727" i="10"/>
  <c r="R726" i="10"/>
  <c r="R725" i="10"/>
  <c r="R724" i="10"/>
  <c r="R723" i="10"/>
  <c r="R722" i="10"/>
  <c r="R721" i="10"/>
  <c r="R720" i="10"/>
  <c r="R719" i="10"/>
  <c r="R718" i="10"/>
  <c r="R717" i="10"/>
  <c r="R716" i="10"/>
  <c r="R714" i="10"/>
  <c r="R713" i="10"/>
  <c r="R712" i="10"/>
  <c r="R711" i="10"/>
  <c r="R710" i="10"/>
  <c r="R709" i="10"/>
  <c r="R708" i="10"/>
  <c r="R707" i="10"/>
  <c r="R706" i="10"/>
  <c r="R705" i="10"/>
  <c r="R704" i="10"/>
  <c r="R703" i="10"/>
  <c r="R702" i="10"/>
  <c r="R701" i="10"/>
  <c r="R700" i="10"/>
  <c r="R699" i="10"/>
  <c r="R698" i="10"/>
  <c r="R697" i="10"/>
  <c r="R696" i="10"/>
  <c r="R695" i="10"/>
  <c r="R694" i="10"/>
  <c r="R693" i="10"/>
  <c r="R691" i="10"/>
  <c r="R690" i="10"/>
  <c r="R689" i="10"/>
  <c r="R688" i="10"/>
  <c r="R687" i="10"/>
  <c r="R686" i="10"/>
  <c r="R685" i="10"/>
  <c r="R683" i="10"/>
  <c r="R682" i="10"/>
  <c r="R681" i="10"/>
  <c r="R680" i="10"/>
  <c r="R679" i="10"/>
  <c r="R678" i="10"/>
  <c r="R677" i="10"/>
  <c r="R676" i="10"/>
  <c r="R675" i="10"/>
  <c r="R673" i="10"/>
  <c r="R672" i="10"/>
  <c r="R671" i="10"/>
  <c r="R670" i="10"/>
  <c r="R669" i="10"/>
  <c r="R668" i="10"/>
  <c r="R667" i="10"/>
  <c r="R666" i="10"/>
  <c r="R665" i="10"/>
  <c r="R663" i="10"/>
  <c r="R662" i="10"/>
  <c r="R661" i="10"/>
  <c r="R660" i="10"/>
  <c r="R659" i="10"/>
  <c r="R658" i="10"/>
  <c r="R657" i="10"/>
  <c r="R656" i="10"/>
  <c r="R655" i="10"/>
  <c r="R654" i="10"/>
  <c r="R653" i="10"/>
  <c r="R652" i="10"/>
  <c r="R651" i="10"/>
  <c r="R650" i="10"/>
  <c r="R649" i="10"/>
  <c r="R648" i="10"/>
  <c r="R647" i="10"/>
  <c r="R646" i="10"/>
  <c r="R645" i="10"/>
  <c r="R644" i="10"/>
  <c r="R642" i="10"/>
  <c r="R640" i="10"/>
  <c r="R641" i="10" s="1"/>
  <c r="R639" i="10"/>
  <c r="R637" i="10"/>
  <c r="R636" i="10"/>
  <c r="R635" i="10"/>
  <c r="R634" i="10"/>
  <c r="R633" i="10"/>
  <c r="R632" i="10"/>
  <c r="R631" i="10"/>
  <c r="R630" i="10"/>
  <c r="R629" i="10"/>
  <c r="R628" i="10"/>
  <c r="R627" i="10"/>
  <c r="R626" i="10"/>
  <c r="R623" i="10"/>
  <c r="R622" i="10"/>
  <c r="R621" i="10"/>
  <c r="R620" i="10"/>
  <c r="R619" i="10"/>
  <c r="R618" i="10"/>
  <c r="R617" i="10"/>
  <c r="R616" i="10"/>
  <c r="R615" i="10"/>
  <c r="R614" i="10"/>
  <c r="R613" i="10"/>
  <c r="R612" i="10"/>
  <c r="R611" i="10"/>
  <c r="R610" i="10"/>
  <c r="R609" i="10"/>
  <c r="R608" i="10"/>
  <c r="R607" i="10"/>
  <c r="R606" i="10"/>
  <c r="R604" i="10"/>
  <c r="R603" i="10"/>
  <c r="R602" i="10"/>
  <c r="R601" i="10"/>
  <c r="R600" i="10"/>
  <c r="R599" i="10"/>
  <c r="R598" i="10"/>
  <c r="R597" i="10"/>
  <c r="R596" i="10"/>
  <c r="R595" i="10"/>
  <c r="R594" i="10"/>
  <c r="R593" i="10"/>
  <c r="R592" i="10"/>
  <c r="R591" i="10"/>
  <c r="R590" i="10"/>
  <c r="R589" i="10"/>
  <c r="R588" i="10"/>
  <c r="R587" i="10"/>
  <c r="R586" i="10"/>
  <c r="R585" i="10"/>
  <c r="R584" i="10"/>
  <c r="R583" i="10"/>
  <c r="R582" i="10"/>
  <c r="R580" i="10"/>
  <c r="R579" i="10"/>
  <c r="R578" i="10"/>
  <c r="R577" i="10"/>
  <c r="R576" i="10"/>
  <c r="R575" i="10"/>
  <c r="R574" i="10"/>
  <c r="R573" i="10"/>
  <c r="R572" i="10"/>
  <c r="R571" i="10"/>
  <c r="R570" i="10"/>
  <c r="R569" i="10"/>
  <c r="R568" i="10"/>
  <c r="R567" i="10"/>
  <c r="R566" i="10"/>
  <c r="R565" i="10"/>
  <c r="R564" i="10"/>
  <c r="R563" i="10"/>
  <c r="R562" i="10"/>
  <c r="R561" i="10"/>
  <c r="R560" i="10"/>
  <c r="R559" i="10"/>
  <c r="R558" i="10"/>
  <c r="R557" i="10"/>
  <c r="R556" i="10"/>
  <c r="R555" i="10"/>
  <c r="R554" i="10"/>
  <c r="R553" i="10"/>
  <c r="R552" i="10"/>
  <c r="R551" i="10"/>
  <c r="R550" i="10"/>
  <c r="R549" i="10"/>
  <c r="R548" i="10"/>
  <c r="R547" i="10"/>
  <c r="R546" i="10"/>
  <c r="R545" i="10"/>
  <c r="R544" i="10"/>
  <c r="R543" i="10"/>
  <c r="R542" i="10"/>
  <c r="R541" i="10"/>
  <c r="R539" i="10"/>
  <c r="R538" i="10"/>
  <c r="R537" i="10"/>
  <c r="R536" i="10"/>
  <c r="R535" i="10"/>
  <c r="R534" i="10"/>
  <c r="R533" i="10"/>
  <c r="R532" i="10"/>
  <c r="R531" i="10"/>
  <c r="R530" i="10"/>
  <c r="R529" i="10"/>
  <c r="R528" i="10"/>
  <c r="R527" i="10"/>
  <c r="R526" i="10"/>
  <c r="R525" i="10"/>
  <c r="R524" i="10"/>
  <c r="R523" i="10"/>
  <c r="R522" i="10"/>
  <c r="R521" i="10"/>
  <c r="R520" i="10"/>
  <c r="R519" i="10"/>
  <c r="R518" i="10"/>
  <c r="R517" i="10"/>
  <c r="R516" i="10"/>
  <c r="R515" i="10"/>
  <c r="R514" i="10"/>
  <c r="R513" i="10"/>
  <c r="R512" i="10"/>
  <c r="R511" i="10"/>
  <c r="R510" i="10"/>
  <c r="R509" i="10"/>
  <c r="R508" i="10"/>
  <c r="R507" i="10"/>
  <c r="R506" i="10"/>
  <c r="R505" i="10"/>
  <c r="R504" i="10"/>
  <c r="R503" i="10"/>
  <c r="R502" i="10"/>
  <c r="R501" i="10"/>
  <c r="R500" i="10"/>
  <c r="R499" i="10"/>
  <c r="R498" i="10"/>
  <c r="R497" i="10"/>
  <c r="R496" i="10"/>
  <c r="R494" i="10"/>
  <c r="R493" i="10"/>
  <c r="R492" i="10"/>
  <c r="R491" i="10"/>
  <c r="R490" i="10"/>
  <c r="R489" i="10"/>
  <c r="R488" i="10"/>
  <c r="R487" i="10"/>
  <c r="R486" i="10"/>
  <c r="R485" i="10"/>
  <c r="R484" i="10"/>
  <c r="R483" i="10"/>
  <c r="R482" i="10"/>
  <c r="R481" i="10"/>
  <c r="R480" i="10"/>
  <c r="R479" i="10"/>
  <c r="R478" i="10"/>
  <c r="R476" i="10"/>
  <c r="R475" i="10"/>
  <c r="R474" i="10"/>
  <c r="R473" i="10"/>
  <c r="R472" i="10"/>
  <c r="R471" i="10"/>
  <c r="R470" i="10"/>
  <c r="R469" i="10"/>
  <c r="R468" i="10"/>
  <c r="R467" i="10"/>
  <c r="R466" i="10"/>
  <c r="R465" i="10"/>
  <c r="R464" i="10"/>
  <c r="R463" i="10"/>
  <c r="R462" i="10"/>
  <c r="R461" i="10"/>
  <c r="R460" i="10"/>
  <c r="R459" i="10"/>
  <c r="R458" i="10"/>
  <c r="R457" i="10"/>
  <c r="R456" i="10"/>
  <c r="R455" i="10"/>
  <c r="R454" i="10"/>
  <c r="R453" i="10"/>
  <c r="R452" i="10"/>
  <c r="R451" i="10"/>
  <c r="R450" i="10"/>
  <c r="R449" i="10"/>
  <c r="R448" i="10"/>
  <c r="R447" i="10"/>
  <c r="R446" i="10"/>
  <c r="R445" i="10"/>
  <c r="R444" i="10"/>
  <c r="R443" i="10"/>
  <c r="R442" i="10"/>
  <c r="R441" i="10"/>
  <c r="R439" i="10"/>
  <c r="R438" i="10"/>
  <c r="R437" i="10"/>
  <c r="R436" i="10"/>
  <c r="R435" i="10"/>
  <c r="R434" i="10"/>
  <c r="R433" i="10"/>
  <c r="R432" i="10"/>
  <c r="R431" i="10"/>
  <c r="R430" i="10"/>
  <c r="R429" i="10"/>
  <c r="R428" i="10"/>
  <c r="R427" i="10"/>
  <c r="R426" i="10"/>
  <c r="R425" i="10"/>
  <c r="R424" i="10"/>
  <c r="R423" i="10"/>
  <c r="R422" i="10"/>
  <c r="R421" i="10"/>
  <c r="R420" i="10"/>
  <c r="R419" i="10"/>
  <c r="R418" i="10"/>
  <c r="R417" i="10"/>
  <c r="R416" i="10"/>
  <c r="R415" i="10"/>
  <c r="R414" i="10"/>
  <c r="R413" i="10"/>
  <c r="R412" i="10"/>
  <c r="R411" i="10"/>
  <c r="R410" i="10"/>
  <c r="R409" i="10"/>
  <c r="R408" i="10"/>
  <c r="R407" i="10"/>
  <c r="R405" i="10"/>
  <c r="R404" i="10"/>
  <c r="R403" i="10"/>
  <c r="R402" i="10"/>
  <c r="R401" i="10"/>
  <c r="R400" i="10"/>
  <c r="R399" i="10"/>
  <c r="R398" i="10"/>
  <c r="R397" i="10"/>
  <c r="R396" i="10"/>
  <c r="R395" i="10"/>
  <c r="R393" i="10"/>
  <c r="R392" i="10"/>
  <c r="R391" i="10"/>
  <c r="R390" i="10"/>
  <c r="R389" i="10"/>
  <c r="R388" i="10"/>
  <c r="R387" i="10"/>
  <c r="R386" i="10"/>
  <c r="R385" i="10"/>
  <c r="R384" i="10"/>
  <c r="R383" i="10"/>
  <c r="R382" i="10"/>
  <c r="R381" i="10"/>
  <c r="R380" i="10"/>
  <c r="R379" i="10"/>
  <c r="R378" i="10"/>
  <c r="R377" i="10"/>
  <c r="R376" i="10"/>
  <c r="R374" i="10"/>
  <c r="R373" i="10"/>
  <c r="R372" i="10"/>
  <c r="R371" i="10"/>
  <c r="R370" i="10"/>
  <c r="R369" i="10"/>
  <c r="R368" i="10"/>
  <c r="R367" i="10"/>
  <c r="R366" i="10"/>
  <c r="R365" i="10"/>
  <c r="R364" i="10"/>
  <c r="R363" i="10"/>
  <c r="R362" i="10"/>
  <c r="R361" i="10"/>
  <c r="R360" i="10"/>
  <c r="R359" i="10"/>
  <c r="R358" i="10"/>
  <c r="R357" i="10"/>
  <c r="R356" i="10"/>
  <c r="R355" i="10"/>
  <c r="R354" i="10"/>
  <c r="R353" i="10"/>
  <c r="R352" i="10"/>
  <c r="R351" i="10"/>
  <c r="R350" i="10"/>
  <c r="R349" i="10"/>
  <c r="R348" i="10"/>
  <c r="R347" i="10"/>
  <c r="R346" i="10"/>
  <c r="R345" i="10"/>
  <c r="R344" i="10"/>
  <c r="R343" i="10"/>
  <c r="R342" i="10"/>
  <c r="R341" i="10"/>
  <c r="R340" i="10"/>
  <c r="R339" i="10"/>
  <c r="R338" i="10"/>
  <c r="R337" i="10"/>
  <c r="R336" i="10"/>
  <c r="R335" i="10"/>
  <c r="R332" i="10"/>
  <c r="R331" i="10"/>
  <c r="R330" i="10"/>
  <c r="R329" i="10"/>
  <c r="R328" i="10"/>
  <c r="R327" i="10"/>
  <c r="R326" i="10"/>
  <c r="R325" i="10"/>
  <c r="R324" i="10"/>
  <c r="R323" i="10"/>
  <c r="R322" i="10"/>
  <c r="R321" i="10"/>
  <c r="R320" i="10"/>
  <c r="R319" i="10"/>
  <c r="R318" i="10"/>
  <c r="R317" i="10"/>
  <c r="R316" i="10"/>
  <c r="R315" i="10"/>
  <c r="R314" i="10"/>
  <c r="R313" i="10"/>
  <c r="R312" i="10"/>
  <c r="R310" i="10"/>
  <c r="R309" i="10"/>
  <c r="R308" i="10"/>
  <c r="R307" i="10"/>
  <c r="R306" i="10"/>
  <c r="R305" i="10"/>
  <c r="R304" i="10"/>
  <c r="R303" i="10"/>
  <c r="R302" i="10"/>
  <c r="R301" i="10"/>
  <c r="R300" i="10"/>
  <c r="R299" i="10"/>
  <c r="R298" i="10"/>
  <c r="R297" i="10"/>
  <c r="R296" i="10"/>
  <c r="R295" i="10"/>
  <c r="R294" i="10"/>
  <c r="R293" i="10"/>
  <c r="R292" i="10"/>
  <c r="R291" i="10"/>
  <c r="R290" i="10"/>
  <c r="R289" i="10"/>
  <c r="R288" i="10"/>
  <c r="R287" i="10"/>
  <c r="R285" i="10"/>
  <c r="R284" i="10"/>
  <c r="R283" i="10"/>
  <c r="R282" i="10"/>
  <c r="R281" i="10"/>
  <c r="R280" i="10"/>
  <c r="R279" i="10"/>
  <c r="R278" i="10"/>
  <c r="R277" i="10"/>
  <c r="R276" i="10"/>
  <c r="R275" i="10"/>
  <c r="R274" i="10"/>
  <c r="R273" i="10"/>
  <c r="R272" i="10"/>
  <c r="R271" i="10"/>
  <c r="R270" i="10"/>
  <c r="R269" i="10"/>
  <c r="R268" i="10"/>
  <c r="R267" i="10"/>
  <c r="R266" i="10"/>
  <c r="R265" i="10"/>
  <c r="R264" i="10"/>
  <c r="R263" i="10"/>
  <c r="R262" i="10"/>
  <c r="R261" i="10"/>
  <c r="R260" i="10"/>
  <c r="R259" i="10"/>
  <c r="R258" i="10"/>
  <c r="R257" i="10"/>
  <c r="R256" i="10"/>
  <c r="R255" i="10"/>
  <c r="R254" i="10"/>
  <c r="R252" i="10"/>
  <c r="R251" i="10"/>
  <c r="R250" i="10"/>
  <c r="R249" i="10"/>
  <c r="R248" i="10"/>
  <c r="R247" i="10"/>
  <c r="R246" i="10"/>
  <c r="R245" i="10"/>
  <c r="R244" i="10"/>
  <c r="R243" i="10"/>
  <c r="R241" i="10"/>
  <c r="R240" i="10"/>
  <c r="R239" i="10"/>
  <c r="R238" i="10"/>
  <c r="R237" i="10"/>
  <c r="R236" i="10"/>
  <c r="R235" i="10"/>
  <c r="R234" i="10"/>
  <c r="R233" i="10"/>
  <c r="R232" i="10"/>
  <c r="R231" i="10"/>
  <c r="R230" i="10"/>
  <c r="R229" i="10"/>
  <c r="R228" i="10"/>
  <c r="R227" i="10"/>
  <c r="R226" i="10"/>
  <c r="R225" i="10"/>
  <c r="R224" i="10"/>
  <c r="R223" i="10"/>
  <c r="R222" i="10"/>
  <c r="R221" i="10"/>
  <c r="R220" i="10"/>
  <c r="R219" i="10"/>
  <c r="R218" i="10"/>
  <c r="R217" i="10"/>
  <c r="R216" i="10"/>
  <c r="R215" i="10"/>
  <c r="R214" i="10"/>
  <c r="R213" i="10"/>
  <c r="R212" i="10"/>
  <c r="R211" i="10"/>
  <c r="R210" i="10"/>
  <c r="R209" i="10"/>
  <c r="R208" i="10"/>
  <c r="R206" i="10"/>
  <c r="R205" i="10"/>
  <c r="R204" i="10"/>
  <c r="R203" i="10"/>
  <c r="R202" i="10"/>
  <c r="R201" i="10"/>
  <c r="R200" i="10"/>
  <c r="R199" i="10"/>
  <c r="R198" i="10"/>
  <c r="R196" i="10"/>
  <c r="R195" i="10"/>
  <c r="R194" i="10"/>
  <c r="R193" i="10"/>
  <c r="R192" i="10"/>
  <c r="R191" i="10"/>
  <c r="R190" i="10"/>
  <c r="R189" i="10"/>
  <c r="R187" i="10"/>
  <c r="R186" i="10"/>
  <c r="R185" i="10"/>
  <c r="R184" i="10"/>
  <c r="R183" i="10"/>
  <c r="R182" i="10"/>
  <c r="R181" i="10"/>
  <c r="R180" i="10"/>
  <c r="R178" i="10"/>
  <c r="R177" i="10"/>
  <c r="R176" i="10"/>
  <c r="R175" i="10"/>
  <c r="R173" i="10" s="1"/>
  <c r="R174" i="10"/>
  <c r="R172" i="10"/>
  <c r="R171" i="10"/>
  <c r="R169" i="10"/>
  <c r="R168" i="10"/>
  <c r="R167" i="10"/>
  <c r="R166" i="10"/>
  <c r="R165" i="10"/>
  <c r="R164" i="10"/>
  <c r="R163" i="10"/>
  <c r="R162" i="10"/>
  <c r="R161" i="10"/>
  <c r="R160" i="10"/>
  <c r="R159" i="10"/>
  <c r="R158" i="10"/>
  <c r="R157" i="10"/>
  <c r="R156" i="10"/>
  <c r="R155" i="10"/>
  <c r="R154" i="10"/>
  <c r="R153" i="10"/>
  <c r="R152" i="10"/>
  <c r="R151" i="10"/>
  <c r="R149" i="10"/>
  <c r="R148" i="10"/>
  <c r="R147" i="10"/>
  <c r="R146" i="10"/>
  <c r="R145" i="10"/>
  <c r="R144" i="10"/>
  <c r="R143" i="10"/>
  <c r="R142" i="10"/>
  <c r="R141" i="10"/>
  <c r="R140" i="10"/>
  <c r="R139" i="10"/>
  <c r="R138" i="10"/>
  <c r="R137" i="10"/>
  <c r="R136" i="10"/>
  <c r="R135" i="10"/>
  <c r="R133" i="10"/>
  <c r="R132" i="10"/>
  <c r="R131" i="10"/>
  <c r="R130" i="10"/>
  <c r="R129" i="10"/>
  <c r="R128" i="10"/>
  <c r="R127" i="10"/>
  <c r="R126" i="10"/>
  <c r="R125" i="10"/>
  <c r="R123" i="10"/>
  <c r="R122" i="10"/>
  <c r="R121" i="10"/>
  <c r="R120" i="10"/>
  <c r="R119" i="10"/>
  <c r="R118" i="10"/>
  <c r="R117" i="10"/>
  <c r="R116" i="10"/>
  <c r="R115" i="10"/>
  <c r="R113" i="10"/>
  <c r="R112" i="10"/>
  <c r="R111" i="10"/>
  <c r="R110" i="10"/>
  <c r="R109" i="10"/>
  <c r="R108" i="10"/>
  <c r="R107" i="10"/>
  <c r="R106" i="10"/>
  <c r="R105" i="10"/>
  <c r="R104" i="10"/>
  <c r="R103" i="10"/>
  <c r="R102" i="10"/>
  <c r="R101" i="10"/>
  <c r="R100" i="10"/>
  <c r="R99" i="10"/>
  <c r="R98" i="10"/>
  <c r="R97" i="10"/>
  <c r="R96" i="10"/>
  <c r="R95" i="10"/>
  <c r="R94" i="10"/>
  <c r="R93" i="10"/>
  <c r="R92" i="10"/>
  <c r="R91" i="10"/>
  <c r="R90" i="10"/>
  <c r="R89" i="10"/>
  <c r="R88" i="10"/>
  <c r="R87" i="10"/>
  <c r="R86" i="10"/>
  <c r="R85" i="10"/>
  <c r="R84" i="10"/>
  <c r="R83" i="10"/>
  <c r="R82" i="10"/>
  <c r="R81" i="10"/>
  <c r="R80" i="10"/>
  <c r="R79" i="10"/>
  <c r="R78" i="10"/>
  <c r="R77" i="10"/>
  <c r="R76" i="10"/>
  <c r="R75" i="10"/>
  <c r="R74" i="10"/>
  <c r="R73"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39" i="10"/>
  <c r="R37" i="10"/>
  <c r="R38" i="10" s="1"/>
  <c r="R36" i="10"/>
  <c r="R35" i="10"/>
  <c r="R34" i="10"/>
  <c r="R32" i="10"/>
  <c r="R31" i="10"/>
  <c r="R30" i="10"/>
  <c r="R29" i="10"/>
  <c r="R28" i="10"/>
  <c r="R27" i="10"/>
  <c r="R26" i="10"/>
  <c r="R25" i="10"/>
  <c r="R24" i="10"/>
  <c r="R23" i="10"/>
  <c r="R22" i="10"/>
  <c r="R21" i="10"/>
  <c r="R20" i="10"/>
  <c r="R19" i="10"/>
  <c r="R18" i="10"/>
  <c r="R17" i="10"/>
  <c r="R16" i="10"/>
  <c r="R737" i="9" l="1"/>
  <c r="R736" i="9"/>
  <c r="R735" i="9"/>
  <c r="R734" i="9"/>
  <c r="R733" i="9"/>
  <c r="R732" i="9"/>
  <c r="R731" i="9"/>
  <c r="R730" i="9"/>
  <c r="R729" i="9"/>
  <c r="R728" i="9"/>
  <c r="R727" i="9"/>
  <c r="R726" i="9"/>
  <c r="R725" i="9"/>
  <c r="R724" i="9"/>
  <c r="R723" i="9"/>
  <c r="R722" i="9"/>
  <c r="R721" i="9"/>
  <c r="R720" i="9"/>
  <c r="R719" i="9"/>
  <c r="R718" i="9"/>
  <c r="R717" i="9"/>
  <c r="R716" i="9"/>
  <c r="R714" i="9"/>
  <c r="R713" i="9"/>
  <c r="R712" i="9"/>
  <c r="R711" i="9"/>
  <c r="R710" i="9"/>
  <c r="R709" i="9"/>
  <c r="R708" i="9"/>
  <c r="R707" i="9"/>
  <c r="R706" i="9"/>
  <c r="R705" i="9"/>
  <c r="R704" i="9"/>
  <c r="R703" i="9"/>
  <c r="R702" i="9"/>
  <c r="R701" i="9"/>
  <c r="R700" i="9"/>
  <c r="R699" i="9"/>
  <c r="R698" i="9"/>
  <c r="R697" i="9"/>
  <c r="R696" i="9"/>
  <c r="R695" i="9"/>
  <c r="R694" i="9"/>
  <c r="R693" i="9"/>
  <c r="R691" i="9"/>
  <c r="R690" i="9" s="1"/>
  <c r="R689" i="9"/>
  <c r="R688" i="9"/>
  <c r="R687" i="9"/>
  <c r="R686" i="9"/>
  <c r="R685" i="9"/>
  <c r="R683" i="9"/>
  <c r="R682" i="9"/>
  <c r="R681" i="9"/>
  <c r="R680" i="9"/>
  <c r="R679" i="9"/>
  <c r="R678" i="9"/>
  <c r="R677" i="9"/>
  <c r="R676" i="9"/>
  <c r="R675" i="9"/>
  <c r="R673" i="9"/>
  <c r="R672" i="9"/>
  <c r="R671" i="9"/>
  <c r="R670" i="9"/>
  <c r="R669" i="9"/>
  <c r="R668" i="9"/>
  <c r="R667" i="9"/>
  <c r="R666" i="9"/>
  <c r="R665" i="9"/>
  <c r="R663" i="9"/>
  <c r="R662" i="9"/>
  <c r="R661" i="9"/>
  <c r="R660" i="9"/>
  <c r="R659" i="9"/>
  <c r="R658" i="9"/>
  <c r="R657" i="9"/>
  <c r="R656" i="9"/>
  <c r="R655" i="9"/>
  <c r="R654" i="9"/>
  <c r="R653" i="9"/>
  <c r="R652" i="9"/>
  <c r="R651" i="9"/>
  <c r="R650" i="9"/>
  <c r="R649" i="9"/>
  <c r="R648" i="9"/>
  <c r="R647" i="9"/>
  <c r="R646" i="9"/>
  <c r="R645" i="9"/>
  <c r="R644" i="9"/>
  <c r="R642" i="9"/>
  <c r="R640" i="9"/>
  <c r="R639" i="9"/>
  <c r="R641" i="9" s="1"/>
  <c r="R637" i="9"/>
  <c r="R636" i="9"/>
  <c r="R635" i="9"/>
  <c r="R634" i="9"/>
  <c r="R633" i="9"/>
  <c r="R632" i="9"/>
  <c r="R631" i="9"/>
  <c r="R630" i="9"/>
  <c r="R629" i="9"/>
  <c r="R628" i="9"/>
  <c r="R627" i="9"/>
  <c r="R626" i="9"/>
  <c r="R623" i="9"/>
  <c r="R622" i="9"/>
  <c r="R621" i="9"/>
  <c r="R620" i="9"/>
  <c r="R619" i="9"/>
  <c r="R618" i="9"/>
  <c r="R617" i="9"/>
  <c r="R616" i="9"/>
  <c r="R615" i="9"/>
  <c r="R614" i="9"/>
  <c r="R613" i="9"/>
  <c r="R612" i="9"/>
  <c r="R611" i="9"/>
  <c r="R610" i="9"/>
  <c r="R609" i="9"/>
  <c r="R608" i="9"/>
  <c r="R607" i="9"/>
  <c r="R606" i="9"/>
  <c r="R604" i="9"/>
  <c r="R603" i="9"/>
  <c r="R602" i="9"/>
  <c r="R601" i="9"/>
  <c r="R600" i="9"/>
  <c r="R599" i="9"/>
  <c r="R598" i="9"/>
  <c r="R597" i="9"/>
  <c r="R596" i="9"/>
  <c r="R595" i="9"/>
  <c r="R594" i="9"/>
  <c r="R593" i="9"/>
  <c r="R592" i="9"/>
  <c r="R591" i="9"/>
  <c r="R590" i="9"/>
  <c r="R589" i="9"/>
  <c r="R588" i="9"/>
  <c r="R587" i="9"/>
  <c r="R586" i="9"/>
  <c r="R585" i="9"/>
  <c r="R584" i="9"/>
  <c r="R583" i="9"/>
  <c r="R582" i="9"/>
  <c r="R580" i="9"/>
  <c r="R579" i="9"/>
  <c r="R578" i="9"/>
  <c r="R577" i="9"/>
  <c r="R576" i="9"/>
  <c r="R575" i="9"/>
  <c r="R574" i="9"/>
  <c r="R573" i="9"/>
  <c r="R572" i="9"/>
  <c r="R571" i="9"/>
  <c r="R570" i="9"/>
  <c r="R569" i="9"/>
  <c r="R568" i="9"/>
  <c r="R567" i="9"/>
  <c r="R566" i="9"/>
  <c r="R565" i="9"/>
  <c r="R564" i="9"/>
  <c r="R563" i="9"/>
  <c r="R562" i="9"/>
  <c r="R561" i="9"/>
  <c r="R560" i="9"/>
  <c r="R559" i="9"/>
  <c r="R558" i="9"/>
  <c r="R557" i="9"/>
  <c r="R556" i="9"/>
  <c r="R555" i="9"/>
  <c r="R554" i="9"/>
  <c r="R553" i="9"/>
  <c r="R552" i="9"/>
  <c r="R551" i="9"/>
  <c r="R550" i="9"/>
  <c r="R549" i="9"/>
  <c r="R548" i="9"/>
  <c r="R547" i="9"/>
  <c r="R546" i="9"/>
  <c r="R545" i="9"/>
  <c r="R544" i="9"/>
  <c r="R543" i="9"/>
  <c r="R542" i="9"/>
  <c r="R541" i="9"/>
  <c r="R539" i="9"/>
  <c r="R538" i="9"/>
  <c r="R537" i="9"/>
  <c r="R536" i="9"/>
  <c r="R535" i="9"/>
  <c r="R534" i="9"/>
  <c r="R533" i="9"/>
  <c r="R532" i="9"/>
  <c r="R531" i="9"/>
  <c r="R530" i="9"/>
  <c r="R529" i="9"/>
  <c r="R528" i="9"/>
  <c r="R527" i="9"/>
  <c r="R526" i="9"/>
  <c r="R525" i="9"/>
  <c r="R524" i="9"/>
  <c r="R523" i="9"/>
  <c r="R522" i="9"/>
  <c r="R521" i="9"/>
  <c r="R520" i="9"/>
  <c r="R519" i="9"/>
  <c r="R518" i="9"/>
  <c r="R517" i="9"/>
  <c r="R516" i="9"/>
  <c r="R515" i="9"/>
  <c r="R514" i="9"/>
  <c r="R513" i="9"/>
  <c r="R512" i="9"/>
  <c r="R511" i="9"/>
  <c r="R510" i="9"/>
  <c r="R509" i="9"/>
  <c r="R508" i="9"/>
  <c r="R507" i="9"/>
  <c r="R506" i="9"/>
  <c r="R505" i="9"/>
  <c r="R504" i="9"/>
  <c r="R503" i="9"/>
  <c r="R502" i="9"/>
  <c r="R501" i="9"/>
  <c r="R500" i="9"/>
  <c r="R499" i="9"/>
  <c r="R498" i="9"/>
  <c r="R497" i="9"/>
  <c r="R496" i="9"/>
  <c r="R494" i="9"/>
  <c r="R493" i="9"/>
  <c r="R492" i="9"/>
  <c r="R491" i="9"/>
  <c r="R490" i="9"/>
  <c r="R489" i="9"/>
  <c r="R488" i="9"/>
  <c r="R487" i="9"/>
  <c r="R486" i="9"/>
  <c r="R485" i="9"/>
  <c r="R484" i="9"/>
  <c r="R483" i="9"/>
  <c r="R482" i="9"/>
  <c r="R481" i="9"/>
  <c r="R480" i="9"/>
  <c r="R479" i="9"/>
  <c r="R478" i="9"/>
  <c r="R476" i="9"/>
  <c r="R475" i="9"/>
  <c r="R474" i="9"/>
  <c r="R473" i="9"/>
  <c r="R472" i="9"/>
  <c r="R471" i="9"/>
  <c r="R470" i="9"/>
  <c r="R469" i="9"/>
  <c r="R468" i="9"/>
  <c r="R467" i="9"/>
  <c r="R466" i="9"/>
  <c r="R465" i="9"/>
  <c r="R464" i="9"/>
  <c r="R463" i="9"/>
  <c r="R462" i="9"/>
  <c r="R461" i="9"/>
  <c r="R460" i="9"/>
  <c r="R459" i="9"/>
  <c r="R458" i="9"/>
  <c r="R457" i="9"/>
  <c r="R456" i="9"/>
  <c r="R455" i="9"/>
  <c r="R454" i="9"/>
  <c r="R453" i="9"/>
  <c r="R452" i="9"/>
  <c r="R451" i="9"/>
  <c r="R450" i="9"/>
  <c r="R449" i="9"/>
  <c r="R448" i="9"/>
  <c r="R447" i="9"/>
  <c r="R446" i="9"/>
  <c r="R445" i="9"/>
  <c r="R444" i="9"/>
  <c r="R443" i="9"/>
  <c r="R442" i="9"/>
  <c r="R441" i="9"/>
  <c r="R439" i="9"/>
  <c r="R438" i="9"/>
  <c r="R437" i="9"/>
  <c r="R436" i="9"/>
  <c r="R435" i="9"/>
  <c r="R434" i="9"/>
  <c r="R433" i="9"/>
  <c r="R432" i="9"/>
  <c r="R431" i="9"/>
  <c r="R430" i="9"/>
  <c r="R429" i="9"/>
  <c r="R428" i="9"/>
  <c r="R427" i="9"/>
  <c r="R426" i="9"/>
  <c r="R425" i="9"/>
  <c r="R424" i="9"/>
  <c r="R423" i="9"/>
  <c r="R422" i="9"/>
  <c r="R421" i="9"/>
  <c r="R420" i="9"/>
  <c r="R419" i="9"/>
  <c r="R418" i="9"/>
  <c r="R417" i="9"/>
  <c r="R416" i="9"/>
  <c r="R415" i="9"/>
  <c r="R414" i="9"/>
  <c r="R413" i="9"/>
  <c r="R412" i="9"/>
  <c r="R411" i="9"/>
  <c r="R410" i="9"/>
  <c r="R409" i="9"/>
  <c r="R408" i="9"/>
  <c r="R407" i="9"/>
  <c r="R405" i="9"/>
  <c r="R404" i="9"/>
  <c r="R403" i="9"/>
  <c r="R402" i="9"/>
  <c r="R401" i="9"/>
  <c r="R400" i="9"/>
  <c r="R399" i="9"/>
  <c r="R398" i="9"/>
  <c r="R397" i="9"/>
  <c r="R396" i="9"/>
  <c r="R395" i="9"/>
  <c r="R393" i="9"/>
  <c r="R392" i="9"/>
  <c r="R391" i="9"/>
  <c r="R390" i="9"/>
  <c r="R389" i="9"/>
  <c r="R388" i="9"/>
  <c r="R387" i="9"/>
  <c r="R386" i="9"/>
  <c r="R385" i="9"/>
  <c r="R384" i="9"/>
  <c r="R383" i="9"/>
  <c r="R382" i="9"/>
  <c r="R381" i="9"/>
  <c r="R380" i="9"/>
  <c r="R379" i="9"/>
  <c r="R378" i="9"/>
  <c r="R377" i="9"/>
  <c r="R376" i="9"/>
  <c r="R374" i="9"/>
  <c r="R373" i="9"/>
  <c r="R371" i="9"/>
  <c r="R372" i="9" s="1"/>
  <c r="R370" i="9"/>
  <c r="R369" i="9"/>
  <c r="R368" i="9"/>
  <c r="R367" i="9"/>
  <c r="R366" i="9"/>
  <c r="R365" i="9"/>
  <c r="R364" i="9"/>
  <c r="R363" i="9"/>
  <c r="R362" i="9"/>
  <c r="R361" i="9"/>
  <c r="R360" i="9"/>
  <c r="R359" i="9"/>
  <c r="R358" i="9"/>
  <c r="R357" i="9"/>
  <c r="R356" i="9"/>
  <c r="R355" i="9"/>
  <c r="R354" i="9"/>
  <c r="R353" i="9"/>
  <c r="R352" i="9"/>
  <c r="R351" i="9"/>
  <c r="R350" i="9"/>
  <c r="R349" i="9"/>
  <c r="R348" i="9"/>
  <c r="R347" i="9"/>
  <c r="R346" i="9"/>
  <c r="R345" i="9"/>
  <c r="R344" i="9"/>
  <c r="R343" i="9"/>
  <c r="R342" i="9"/>
  <c r="R341" i="9"/>
  <c r="R340" i="9"/>
  <c r="R339" i="9"/>
  <c r="R338" i="9"/>
  <c r="R337" i="9"/>
  <c r="R336" i="9"/>
  <c r="R335" i="9"/>
  <c r="R332" i="9"/>
  <c r="R331" i="9"/>
  <c r="R330" i="9"/>
  <c r="R314" i="9" s="1"/>
  <c r="R329" i="9"/>
  <c r="R328" i="9"/>
  <c r="R327" i="9"/>
  <c r="R326" i="9"/>
  <c r="R325" i="9"/>
  <c r="R324" i="9"/>
  <c r="R323" i="9"/>
  <c r="R322" i="9"/>
  <c r="R321" i="9"/>
  <c r="R320" i="9"/>
  <c r="R319" i="9"/>
  <c r="R318" i="9"/>
  <c r="R317" i="9"/>
  <c r="R316" i="9"/>
  <c r="R313" i="9"/>
  <c r="R312" i="9"/>
  <c r="R310" i="9"/>
  <c r="R309" i="9"/>
  <c r="R308" i="9"/>
  <c r="R307" i="9"/>
  <c r="R306" i="9"/>
  <c r="R305" i="9"/>
  <c r="R304" i="9"/>
  <c r="R303" i="9"/>
  <c r="R302" i="9"/>
  <c r="R301" i="9"/>
  <c r="R300" i="9"/>
  <c r="R299" i="9"/>
  <c r="R298" i="9"/>
  <c r="R297" i="9"/>
  <c r="R296" i="9"/>
  <c r="R295" i="9"/>
  <c r="R294" i="9"/>
  <c r="R293" i="9"/>
  <c r="R292" i="9"/>
  <c r="R291" i="9"/>
  <c r="R290" i="9"/>
  <c r="R289" i="9"/>
  <c r="R288" i="9"/>
  <c r="R287" i="9"/>
  <c r="R285" i="9"/>
  <c r="R284" i="9"/>
  <c r="R283" i="9"/>
  <c r="R282" i="9"/>
  <c r="R281" i="9"/>
  <c r="R280" i="9"/>
  <c r="R279" i="9"/>
  <c r="R278" i="9"/>
  <c r="R277" i="9"/>
  <c r="R276" i="9"/>
  <c r="R275" i="9"/>
  <c r="R274" i="9"/>
  <c r="R273" i="9"/>
  <c r="R272" i="9"/>
  <c r="R271" i="9"/>
  <c r="R270" i="9"/>
  <c r="R269" i="9"/>
  <c r="R268" i="9"/>
  <c r="R267" i="9"/>
  <c r="R266" i="9"/>
  <c r="R265" i="9"/>
  <c r="R264" i="9"/>
  <c r="R263" i="9"/>
  <c r="R262" i="9"/>
  <c r="R261" i="9"/>
  <c r="R260" i="9"/>
  <c r="R259" i="9"/>
  <c r="R258" i="9"/>
  <c r="R257" i="9"/>
  <c r="R256" i="9"/>
  <c r="R315" i="9" s="1"/>
  <c r="R255" i="9"/>
  <c r="R254" i="9"/>
  <c r="R252" i="9"/>
  <c r="R251" i="9"/>
  <c r="R250" i="9"/>
  <c r="R249" i="9"/>
  <c r="R248" i="9"/>
  <c r="R247" i="9"/>
  <c r="R246" i="9"/>
  <c r="R245" i="9"/>
  <c r="R244" i="9"/>
  <c r="R243" i="9"/>
  <c r="R241" i="9"/>
  <c r="R240" i="9"/>
  <c r="R239" i="9"/>
  <c r="R238" i="9"/>
  <c r="R237" i="9"/>
  <c r="R236" i="9"/>
  <c r="R235" i="9"/>
  <c r="R234" i="9"/>
  <c r="R233" i="9"/>
  <c r="R232" i="9"/>
  <c r="R231" i="9"/>
  <c r="R230" i="9"/>
  <c r="R229" i="9"/>
  <c r="R228" i="9"/>
  <c r="R227" i="9"/>
  <c r="R226" i="9"/>
  <c r="R225" i="9"/>
  <c r="R224" i="9"/>
  <c r="R223" i="9"/>
  <c r="R222" i="9"/>
  <c r="R221" i="9"/>
  <c r="R220" i="9"/>
  <c r="R219" i="9"/>
  <c r="R218" i="9"/>
  <c r="R217" i="9"/>
  <c r="R216" i="9"/>
  <c r="R215" i="9"/>
  <c r="R214" i="9"/>
  <c r="R213" i="9"/>
  <c r="R212" i="9"/>
  <c r="R211" i="9"/>
  <c r="R210" i="9"/>
  <c r="R209" i="9"/>
  <c r="R208" i="9"/>
  <c r="R206" i="9"/>
  <c r="R205" i="9"/>
  <c r="R204" i="9"/>
  <c r="R203" i="9"/>
  <c r="R202" i="9"/>
  <c r="R201" i="9"/>
  <c r="R200" i="9"/>
  <c r="R199" i="9"/>
  <c r="R198" i="9"/>
  <c r="R196" i="9"/>
  <c r="R195" i="9"/>
  <c r="R194" i="9"/>
  <c r="R193" i="9"/>
  <c r="R192" i="9"/>
  <c r="R191" i="9"/>
  <c r="R190" i="9"/>
  <c r="R189" i="9"/>
  <c r="R187" i="9"/>
  <c r="R186" i="9"/>
  <c r="R185" i="9"/>
  <c r="R184" i="9"/>
  <c r="R183" i="9"/>
  <c r="R182" i="9"/>
  <c r="R181" i="9"/>
  <c r="R180" i="9"/>
  <c r="R178" i="9"/>
  <c r="R177" i="9"/>
  <c r="R176" i="9"/>
  <c r="R175" i="9"/>
  <c r="R174" i="9"/>
  <c r="R173" i="9"/>
  <c r="R169" i="9"/>
  <c r="R168" i="9"/>
  <c r="R167" i="9"/>
  <c r="R166" i="9"/>
  <c r="R165" i="9"/>
  <c r="R164" i="9"/>
  <c r="R163" i="9"/>
  <c r="R162" i="9"/>
  <c r="R161" i="9"/>
  <c r="R160" i="9"/>
  <c r="R159" i="9"/>
  <c r="R158" i="9"/>
  <c r="R157" i="9"/>
  <c r="R156" i="9"/>
  <c r="R155" i="9"/>
  <c r="R154" i="9"/>
  <c r="R153" i="9"/>
  <c r="R171" i="9" s="1"/>
  <c r="R152" i="9"/>
  <c r="R172" i="9" s="1"/>
  <c r="R151" i="9"/>
  <c r="R149" i="9"/>
  <c r="R148" i="9"/>
  <c r="R147" i="9"/>
  <c r="R146" i="9"/>
  <c r="R145" i="9"/>
  <c r="R144" i="9"/>
  <c r="R143" i="9"/>
  <c r="R142" i="9"/>
  <c r="R141" i="9"/>
  <c r="R140" i="9"/>
  <c r="R139" i="9"/>
  <c r="R138" i="9"/>
  <c r="R137" i="9"/>
  <c r="R136" i="9"/>
  <c r="R135" i="9"/>
  <c r="R133" i="9"/>
  <c r="R132" i="9"/>
  <c r="R131" i="9"/>
  <c r="R130" i="9"/>
  <c r="R129" i="9"/>
  <c r="R128" i="9"/>
  <c r="R127" i="9"/>
  <c r="R126" i="9"/>
  <c r="R125" i="9"/>
  <c r="R123" i="9"/>
  <c r="R122" i="9"/>
  <c r="R121" i="9"/>
  <c r="R120" i="9"/>
  <c r="R119" i="9"/>
  <c r="R118" i="9"/>
  <c r="R117" i="9"/>
  <c r="R116" i="9"/>
  <c r="R115" i="9"/>
  <c r="R113" i="9"/>
  <c r="R112" i="9"/>
  <c r="R111" i="9"/>
  <c r="R110" i="9"/>
  <c r="R109" i="9"/>
  <c r="R108" i="9"/>
  <c r="R107" i="9"/>
  <c r="R106" i="9"/>
  <c r="R105" i="9"/>
  <c r="R104" i="9"/>
  <c r="R103" i="9"/>
  <c r="R102" i="9"/>
  <c r="R101" i="9"/>
  <c r="R100" i="9"/>
  <c r="R99" i="9"/>
  <c r="R98" i="9"/>
  <c r="R97" i="9"/>
  <c r="R96" i="9"/>
  <c r="R95" i="9"/>
  <c r="R94" i="9"/>
  <c r="R93" i="9"/>
  <c r="R92" i="9"/>
  <c r="R91" i="9"/>
  <c r="R90" i="9"/>
  <c r="R89" i="9"/>
  <c r="R88" i="9"/>
  <c r="R87" i="9"/>
  <c r="R86" i="9"/>
  <c r="R85" i="9"/>
  <c r="R84" i="9"/>
  <c r="R83" i="9"/>
  <c r="R82" i="9"/>
  <c r="R81" i="9"/>
  <c r="R80" i="9"/>
  <c r="R79" i="9"/>
  <c r="R78" i="9"/>
  <c r="R77" i="9"/>
  <c r="R76" i="9"/>
  <c r="R75" i="9"/>
  <c r="R74" i="9"/>
  <c r="R73" i="9"/>
  <c r="R72" i="9"/>
  <c r="R71" i="9"/>
  <c r="R70" i="9"/>
  <c r="R69" i="9"/>
  <c r="R68" i="9"/>
  <c r="R67" i="9"/>
  <c r="R66" i="9"/>
  <c r="R65" i="9"/>
  <c r="R64" i="9"/>
  <c r="R63" i="9"/>
  <c r="R62" i="9"/>
  <c r="R61" i="9"/>
  <c r="R60" i="9"/>
  <c r="R59" i="9"/>
  <c r="R58" i="9"/>
  <c r="R57" i="9"/>
  <c r="R56" i="9"/>
  <c r="R55" i="9"/>
  <c r="R54" i="9"/>
  <c r="R53" i="9"/>
  <c r="R52" i="9"/>
  <c r="R51" i="9"/>
  <c r="R50" i="9"/>
  <c r="R49" i="9"/>
  <c r="R48" i="9"/>
  <c r="R47" i="9"/>
  <c r="R46" i="9"/>
  <c r="R45" i="9"/>
  <c r="R44" i="9"/>
  <c r="R43" i="9"/>
  <c r="R42" i="9"/>
  <c r="R41" i="9"/>
  <c r="R39" i="9"/>
  <c r="R37" i="9"/>
  <c r="R38" i="9" s="1"/>
  <c r="R36" i="9"/>
  <c r="R35" i="9"/>
  <c r="R34" i="9"/>
  <c r="R32" i="9"/>
  <c r="R31" i="9"/>
  <c r="R30" i="9"/>
  <c r="R29" i="9"/>
  <c r="R28" i="9"/>
  <c r="R27" i="9"/>
  <c r="R26" i="9"/>
  <c r="R25" i="9"/>
  <c r="R24" i="9"/>
  <c r="R23" i="9"/>
  <c r="R22" i="9"/>
  <c r="R21" i="9"/>
  <c r="R20" i="9"/>
  <c r="R19" i="9"/>
  <c r="R18" i="9"/>
  <c r="R17" i="9"/>
  <c r="R16" i="9"/>
  <c r="R737" i="3" l="1"/>
  <c r="R736" i="3"/>
  <c r="R735" i="3"/>
  <c r="R734" i="3"/>
  <c r="R733" i="3"/>
  <c r="R732" i="3"/>
  <c r="R731" i="3"/>
  <c r="R730" i="3"/>
  <c r="R729" i="3"/>
  <c r="R728" i="3"/>
  <c r="R727" i="3"/>
  <c r="R726" i="3"/>
  <c r="R725" i="3"/>
  <c r="R724" i="3"/>
  <c r="R723" i="3"/>
  <c r="R722" i="3"/>
  <c r="R721" i="3"/>
  <c r="R720" i="3"/>
  <c r="R719" i="3"/>
  <c r="R718" i="3"/>
  <c r="R717" i="3"/>
  <c r="R716" i="3"/>
  <c r="R714" i="3"/>
  <c r="R713" i="3"/>
  <c r="R712" i="3"/>
  <c r="R711" i="3"/>
  <c r="R710" i="3"/>
  <c r="R709" i="3"/>
  <c r="R708" i="3"/>
  <c r="R707" i="3"/>
  <c r="R706" i="3"/>
  <c r="R705" i="3"/>
  <c r="R704" i="3"/>
  <c r="R703" i="3"/>
  <c r="R702" i="3"/>
  <c r="R701" i="3"/>
  <c r="R700" i="3"/>
  <c r="R699" i="3"/>
  <c r="R698" i="3"/>
  <c r="R697" i="3"/>
  <c r="R696" i="3"/>
  <c r="R695" i="3"/>
  <c r="R694" i="3"/>
  <c r="R693" i="3"/>
  <c r="R691" i="3"/>
  <c r="R690" i="3" s="1"/>
  <c r="R689" i="3"/>
  <c r="R688" i="3"/>
  <c r="R687" i="3"/>
  <c r="R686" i="3"/>
  <c r="R685" i="3"/>
  <c r="R683" i="3"/>
  <c r="R682" i="3"/>
  <c r="R681" i="3"/>
  <c r="R680" i="3"/>
  <c r="R679" i="3"/>
  <c r="R678" i="3"/>
  <c r="R677" i="3"/>
  <c r="R676" i="3"/>
  <c r="R675" i="3"/>
  <c r="R673" i="3"/>
  <c r="R672" i="3"/>
  <c r="R671" i="3"/>
  <c r="R670" i="3"/>
  <c r="R669" i="3"/>
  <c r="R668" i="3"/>
  <c r="R667" i="3"/>
  <c r="R666" i="3"/>
  <c r="R665" i="3"/>
  <c r="R663" i="3"/>
  <c r="R662" i="3"/>
  <c r="R661" i="3"/>
  <c r="R660" i="3"/>
  <c r="R659" i="3"/>
  <c r="R658" i="3"/>
  <c r="R657" i="3"/>
  <c r="R656" i="3"/>
  <c r="R655" i="3"/>
  <c r="R654" i="3"/>
  <c r="R653" i="3"/>
  <c r="R652" i="3"/>
  <c r="R651" i="3"/>
  <c r="R650" i="3"/>
  <c r="R649" i="3"/>
  <c r="R648" i="3"/>
  <c r="R647" i="3"/>
  <c r="R646" i="3"/>
  <c r="R645" i="3"/>
  <c r="R644" i="3"/>
  <c r="R642" i="3"/>
  <c r="R640" i="3"/>
  <c r="R641" i="3" s="1"/>
  <c r="R639" i="3"/>
  <c r="R637" i="3"/>
  <c r="R636" i="3"/>
  <c r="R635" i="3"/>
  <c r="R634" i="3"/>
  <c r="R633" i="3"/>
  <c r="R632" i="3"/>
  <c r="R631" i="3"/>
  <c r="R630" i="3"/>
  <c r="R629" i="3"/>
  <c r="R628" i="3"/>
  <c r="R627" i="3"/>
  <c r="R626" i="3"/>
  <c r="R623" i="3"/>
  <c r="R622" i="3"/>
  <c r="R621" i="3"/>
  <c r="R620" i="3"/>
  <c r="R619" i="3"/>
  <c r="R618" i="3"/>
  <c r="R617" i="3"/>
  <c r="R616" i="3"/>
  <c r="R615" i="3"/>
  <c r="R614" i="3"/>
  <c r="R613" i="3"/>
  <c r="R612" i="3"/>
  <c r="R611" i="3"/>
  <c r="R610" i="3"/>
  <c r="R609" i="3"/>
  <c r="R608" i="3"/>
  <c r="R607" i="3"/>
  <c r="R606" i="3"/>
  <c r="R604" i="3"/>
  <c r="R603" i="3"/>
  <c r="R602" i="3"/>
  <c r="R601" i="3"/>
  <c r="R600" i="3"/>
  <c r="R599" i="3"/>
  <c r="R598" i="3"/>
  <c r="R597" i="3"/>
  <c r="R596" i="3"/>
  <c r="R595" i="3"/>
  <c r="R594" i="3"/>
  <c r="R593" i="3"/>
  <c r="R592" i="3"/>
  <c r="R591" i="3"/>
  <c r="R590" i="3"/>
  <c r="R589" i="3"/>
  <c r="R588" i="3"/>
  <c r="R587" i="3"/>
  <c r="R586" i="3"/>
  <c r="R585" i="3"/>
  <c r="R584" i="3"/>
  <c r="R583" i="3"/>
  <c r="R582" i="3"/>
  <c r="R580" i="3"/>
  <c r="R579" i="3"/>
  <c r="R578" i="3"/>
  <c r="R577" i="3"/>
  <c r="R576" i="3"/>
  <c r="R575" i="3"/>
  <c r="R574" i="3"/>
  <c r="R573" i="3"/>
  <c r="R572" i="3"/>
  <c r="R571" i="3"/>
  <c r="R570" i="3"/>
  <c r="R569" i="3"/>
  <c r="R568" i="3"/>
  <c r="R567" i="3"/>
  <c r="R566" i="3"/>
  <c r="R565" i="3"/>
  <c r="R564" i="3"/>
  <c r="R563" i="3"/>
  <c r="R562" i="3"/>
  <c r="R561" i="3"/>
  <c r="R560" i="3"/>
  <c r="R559" i="3"/>
  <c r="R558" i="3"/>
  <c r="R557" i="3"/>
  <c r="R556" i="3"/>
  <c r="R555" i="3"/>
  <c r="R554" i="3"/>
  <c r="R553" i="3"/>
  <c r="R552" i="3"/>
  <c r="R551" i="3"/>
  <c r="R550" i="3"/>
  <c r="R549" i="3"/>
  <c r="R548" i="3"/>
  <c r="R547" i="3"/>
  <c r="R546" i="3"/>
  <c r="R545" i="3"/>
  <c r="R544" i="3"/>
  <c r="R543" i="3"/>
  <c r="R542" i="3"/>
  <c r="R541" i="3"/>
  <c r="R539" i="3"/>
  <c r="R538" i="3"/>
  <c r="R537" i="3"/>
  <c r="R536" i="3"/>
  <c r="R535" i="3"/>
  <c r="R534" i="3"/>
  <c r="R533" i="3"/>
  <c r="R532" i="3"/>
  <c r="R531" i="3"/>
  <c r="R530" i="3"/>
  <c r="R529" i="3"/>
  <c r="R528" i="3"/>
  <c r="R527" i="3"/>
  <c r="R526" i="3"/>
  <c r="R525" i="3"/>
  <c r="R524" i="3"/>
  <c r="R523" i="3"/>
  <c r="R522" i="3"/>
  <c r="R521" i="3"/>
  <c r="R520" i="3"/>
  <c r="R519" i="3"/>
  <c r="R518" i="3"/>
  <c r="R517" i="3"/>
  <c r="R516" i="3"/>
  <c r="R515" i="3"/>
  <c r="R514" i="3"/>
  <c r="R513" i="3"/>
  <c r="R512" i="3"/>
  <c r="R511" i="3"/>
  <c r="R510" i="3"/>
  <c r="R509" i="3"/>
  <c r="R508" i="3"/>
  <c r="R507" i="3"/>
  <c r="R506" i="3"/>
  <c r="R505" i="3"/>
  <c r="R504" i="3"/>
  <c r="R503" i="3"/>
  <c r="R502" i="3"/>
  <c r="R501" i="3"/>
  <c r="R500" i="3"/>
  <c r="R499" i="3"/>
  <c r="R498" i="3"/>
  <c r="R497" i="3"/>
  <c r="R496" i="3"/>
  <c r="R494" i="3"/>
  <c r="R493" i="3"/>
  <c r="R492" i="3"/>
  <c r="R491" i="3"/>
  <c r="R490" i="3"/>
  <c r="R489" i="3"/>
  <c r="R488" i="3"/>
  <c r="R487" i="3"/>
  <c r="R486" i="3"/>
  <c r="R485" i="3"/>
  <c r="R484" i="3"/>
  <c r="R483" i="3"/>
  <c r="R482" i="3"/>
  <c r="R481" i="3"/>
  <c r="R480" i="3"/>
  <c r="R479" i="3"/>
  <c r="R478" i="3"/>
  <c r="R476" i="3"/>
  <c r="R475" i="3"/>
  <c r="R474" i="3"/>
  <c r="R473" i="3"/>
  <c r="R472" i="3"/>
  <c r="R471" i="3"/>
  <c r="R470" i="3"/>
  <c r="R469" i="3"/>
  <c r="R468" i="3"/>
  <c r="R467" i="3"/>
  <c r="R466" i="3"/>
  <c r="R465" i="3"/>
  <c r="R464" i="3"/>
  <c r="R463" i="3"/>
  <c r="R462" i="3"/>
  <c r="R461" i="3"/>
  <c r="R460" i="3"/>
  <c r="R459" i="3"/>
  <c r="R458" i="3"/>
  <c r="R457" i="3"/>
  <c r="R456" i="3"/>
  <c r="R455" i="3"/>
  <c r="R454" i="3"/>
  <c r="R453" i="3"/>
  <c r="R452" i="3"/>
  <c r="R451" i="3"/>
  <c r="R450" i="3"/>
  <c r="R449" i="3"/>
  <c r="R448" i="3"/>
  <c r="R447" i="3"/>
  <c r="R446" i="3"/>
  <c r="R445" i="3"/>
  <c r="R444" i="3"/>
  <c r="R443" i="3"/>
  <c r="R442" i="3"/>
  <c r="R441" i="3"/>
  <c r="R439" i="3"/>
  <c r="R438" i="3"/>
  <c r="R437" i="3"/>
  <c r="R436" i="3"/>
  <c r="R435" i="3"/>
  <c r="R434" i="3"/>
  <c r="R433" i="3"/>
  <c r="R432" i="3"/>
  <c r="R431" i="3"/>
  <c r="R430" i="3"/>
  <c r="R429" i="3"/>
  <c r="R428" i="3"/>
  <c r="R427" i="3"/>
  <c r="R426" i="3"/>
  <c r="R425" i="3"/>
  <c r="R424" i="3"/>
  <c r="R423" i="3"/>
  <c r="R422" i="3"/>
  <c r="R421" i="3"/>
  <c r="R420" i="3"/>
  <c r="R419" i="3"/>
  <c r="R418" i="3"/>
  <c r="R417" i="3"/>
  <c r="R416" i="3"/>
  <c r="R415" i="3"/>
  <c r="R414" i="3"/>
  <c r="R413" i="3"/>
  <c r="R412" i="3"/>
  <c r="R411" i="3"/>
  <c r="R410" i="3"/>
  <c r="R409" i="3"/>
  <c r="R408" i="3"/>
  <c r="R407" i="3"/>
  <c r="R405" i="3"/>
  <c r="R404" i="3"/>
  <c r="R403" i="3"/>
  <c r="R402" i="3"/>
  <c r="R401" i="3"/>
  <c r="R400" i="3"/>
  <c r="R399" i="3"/>
  <c r="R398" i="3"/>
  <c r="R397" i="3"/>
  <c r="R396" i="3"/>
  <c r="R395" i="3"/>
  <c r="R393" i="3"/>
  <c r="R392" i="3"/>
  <c r="R391" i="3"/>
  <c r="R390" i="3"/>
  <c r="R389" i="3"/>
  <c r="R388" i="3"/>
  <c r="R387" i="3"/>
  <c r="R386" i="3"/>
  <c r="R385" i="3"/>
  <c r="R384" i="3"/>
  <c r="R383" i="3"/>
  <c r="R382" i="3"/>
  <c r="R381" i="3"/>
  <c r="R380" i="3"/>
  <c r="R379" i="3"/>
  <c r="R378" i="3"/>
  <c r="R377" i="3"/>
  <c r="R376" i="3"/>
  <c r="R374" i="3"/>
  <c r="R373" i="3"/>
  <c r="R372" i="3"/>
  <c r="R371" i="3"/>
  <c r="R370" i="3"/>
  <c r="R369" i="3"/>
  <c r="R368" i="3"/>
  <c r="R367" i="3"/>
  <c r="R366" i="3"/>
  <c r="R365" i="3"/>
  <c r="R364" i="3"/>
  <c r="R363" i="3"/>
  <c r="R362" i="3"/>
  <c r="R361" i="3"/>
  <c r="R360" i="3"/>
  <c r="R359" i="3"/>
  <c r="R358" i="3"/>
  <c r="R357" i="3"/>
  <c r="R356" i="3"/>
  <c r="R355" i="3"/>
  <c r="R354" i="3"/>
  <c r="R353" i="3"/>
  <c r="R352" i="3"/>
  <c r="R351" i="3"/>
  <c r="R350" i="3"/>
  <c r="R349" i="3"/>
  <c r="R348" i="3"/>
  <c r="R347" i="3"/>
  <c r="R346" i="3"/>
  <c r="R345" i="3"/>
  <c r="R344" i="3"/>
  <c r="R343" i="3"/>
  <c r="R342" i="3"/>
  <c r="R341" i="3"/>
  <c r="R340" i="3"/>
  <c r="R339" i="3"/>
  <c r="R338" i="3"/>
  <c r="R337" i="3"/>
  <c r="R336" i="3"/>
  <c r="R335" i="3"/>
  <c r="R332" i="3"/>
  <c r="R331" i="3"/>
  <c r="R330" i="3"/>
  <c r="R314" i="3" s="1"/>
  <c r="R329" i="3"/>
  <c r="R328" i="3"/>
  <c r="R327" i="3"/>
  <c r="R326" i="3"/>
  <c r="R325" i="3"/>
  <c r="R318" i="3"/>
  <c r="R317" i="3"/>
  <c r="R316" i="3"/>
  <c r="R321" i="3" s="1"/>
  <c r="R315" i="3"/>
  <c r="R313" i="3"/>
  <c r="R312" i="3"/>
  <c r="R310" i="3"/>
  <c r="R309" i="3"/>
  <c r="R308" i="3"/>
  <c r="R307" i="3"/>
  <c r="R306" i="3"/>
  <c r="R305" i="3"/>
  <c r="R304" i="3"/>
  <c r="R303" i="3"/>
  <c r="R302" i="3"/>
  <c r="R301" i="3"/>
  <c r="R300" i="3"/>
  <c r="R299" i="3"/>
  <c r="R298" i="3"/>
  <c r="R297" i="3"/>
  <c r="R296" i="3"/>
  <c r="R295" i="3"/>
  <c r="R294" i="3"/>
  <c r="R293" i="3"/>
  <c r="R292" i="3"/>
  <c r="R291" i="3"/>
  <c r="R290" i="3"/>
  <c r="R289" i="3"/>
  <c r="R288" i="3"/>
  <c r="R287" i="3"/>
  <c r="R285" i="3"/>
  <c r="R284" i="3"/>
  <c r="R283" i="3"/>
  <c r="R282" i="3"/>
  <c r="R281" i="3"/>
  <c r="R280" i="3"/>
  <c r="R279" i="3"/>
  <c r="R278" i="3"/>
  <c r="R277" i="3"/>
  <c r="R276" i="3"/>
  <c r="R275" i="3"/>
  <c r="R274" i="3"/>
  <c r="R273" i="3"/>
  <c r="R272" i="3"/>
  <c r="R271" i="3"/>
  <c r="R270" i="3"/>
  <c r="R269" i="3"/>
  <c r="R268" i="3"/>
  <c r="R267" i="3"/>
  <c r="R266" i="3"/>
  <c r="R265" i="3"/>
  <c r="R264" i="3"/>
  <c r="R263" i="3"/>
  <c r="R262" i="3"/>
  <c r="R261" i="3"/>
  <c r="R260" i="3"/>
  <c r="R259" i="3"/>
  <c r="R258" i="3"/>
  <c r="R257" i="3"/>
  <c r="R256" i="3"/>
  <c r="R255" i="3"/>
  <c r="R254" i="3"/>
  <c r="R252" i="3"/>
  <c r="R251" i="3"/>
  <c r="R250" i="3"/>
  <c r="R249" i="3"/>
  <c r="R248" i="3"/>
  <c r="R247" i="3"/>
  <c r="R246" i="3"/>
  <c r="R245" i="3"/>
  <c r="R244" i="3"/>
  <c r="R243" i="3"/>
  <c r="R241" i="3"/>
  <c r="R240" i="3"/>
  <c r="R239" i="3"/>
  <c r="R238" i="3"/>
  <c r="R237" i="3"/>
  <c r="R236" i="3"/>
  <c r="R235" i="3"/>
  <c r="R234" i="3"/>
  <c r="R233" i="3"/>
  <c r="R232" i="3"/>
  <c r="R231" i="3"/>
  <c r="R230" i="3"/>
  <c r="R229" i="3"/>
  <c r="R228" i="3"/>
  <c r="R227" i="3"/>
  <c r="R226" i="3"/>
  <c r="R225" i="3"/>
  <c r="R224" i="3"/>
  <c r="R223" i="3"/>
  <c r="R222" i="3"/>
  <c r="R221" i="3"/>
  <c r="R220" i="3"/>
  <c r="R219" i="3"/>
  <c r="R218" i="3"/>
  <c r="R217" i="3"/>
  <c r="R216" i="3"/>
  <c r="R215" i="3"/>
  <c r="R214" i="3"/>
  <c r="R213" i="3"/>
  <c r="R212" i="3"/>
  <c r="R211" i="3"/>
  <c r="R210" i="3"/>
  <c r="R209" i="3"/>
  <c r="R208" i="3"/>
  <c r="R206" i="3"/>
  <c r="R205" i="3"/>
  <c r="R204" i="3"/>
  <c r="R203" i="3"/>
  <c r="R202" i="3"/>
  <c r="R201" i="3"/>
  <c r="R200" i="3"/>
  <c r="R199" i="3"/>
  <c r="R198" i="3"/>
  <c r="R196" i="3"/>
  <c r="R195" i="3"/>
  <c r="R194" i="3"/>
  <c r="R193" i="3"/>
  <c r="R192" i="3"/>
  <c r="R191" i="3"/>
  <c r="R190" i="3"/>
  <c r="R189" i="3"/>
  <c r="R187" i="3"/>
  <c r="R186" i="3"/>
  <c r="R185" i="3"/>
  <c r="R184" i="3"/>
  <c r="R183" i="3"/>
  <c r="R182" i="3"/>
  <c r="R181" i="3"/>
  <c r="R180" i="3"/>
  <c r="R178" i="3"/>
  <c r="R177" i="3"/>
  <c r="R176" i="3"/>
  <c r="R175" i="3"/>
  <c r="R173" i="3" s="1"/>
  <c r="R174" i="3"/>
  <c r="R172" i="3"/>
  <c r="R169" i="3"/>
  <c r="R168" i="3"/>
  <c r="R167" i="3"/>
  <c r="R166" i="3"/>
  <c r="R165" i="3"/>
  <c r="R164" i="3"/>
  <c r="R163" i="3"/>
  <c r="R162" i="3"/>
  <c r="R161" i="3"/>
  <c r="R160" i="3"/>
  <c r="R159" i="3"/>
  <c r="R158" i="3"/>
  <c r="R157" i="3"/>
  <c r="R156" i="3"/>
  <c r="R155" i="3"/>
  <c r="R154" i="3"/>
  <c r="R153" i="3"/>
  <c r="R171" i="3" s="1"/>
  <c r="R152" i="3"/>
  <c r="R151" i="3"/>
  <c r="R149" i="3"/>
  <c r="R148" i="3"/>
  <c r="R147" i="3"/>
  <c r="R146" i="3"/>
  <c r="R145" i="3"/>
  <c r="R144" i="3"/>
  <c r="R143" i="3"/>
  <c r="R142" i="3"/>
  <c r="R141" i="3"/>
  <c r="R140" i="3"/>
  <c r="R139" i="3"/>
  <c r="R138" i="3"/>
  <c r="R137" i="3"/>
  <c r="R136" i="3"/>
  <c r="R135" i="3"/>
  <c r="R133" i="3"/>
  <c r="R132" i="3"/>
  <c r="R131" i="3"/>
  <c r="R130" i="3"/>
  <c r="R129" i="3"/>
  <c r="R128" i="3"/>
  <c r="R127" i="3"/>
  <c r="R126" i="3"/>
  <c r="R125" i="3"/>
  <c r="R123" i="3"/>
  <c r="R122" i="3"/>
  <c r="R121" i="3"/>
  <c r="R120" i="3"/>
  <c r="R119" i="3"/>
  <c r="R118" i="3"/>
  <c r="R117" i="3"/>
  <c r="R116" i="3"/>
  <c r="R115" i="3"/>
  <c r="R113" i="3"/>
  <c r="R112" i="3"/>
  <c r="R111" i="3"/>
  <c r="R110" i="3"/>
  <c r="R109" i="3"/>
  <c r="R108" i="3"/>
  <c r="R107" i="3"/>
  <c r="R106" i="3"/>
  <c r="R105" i="3"/>
  <c r="R104" i="3"/>
  <c r="R103" i="3"/>
  <c r="R102" i="3"/>
  <c r="R101" i="3"/>
  <c r="R100" i="3"/>
  <c r="R99" i="3"/>
  <c r="R98" i="3"/>
  <c r="R97" i="3"/>
  <c r="R96" i="3"/>
  <c r="R95" i="3"/>
  <c r="R94" i="3"/>
  <c r="R93" i="3"/>
  <c r="R92" i="3"/>
  <c r="R91" i="3"/>
  <c r="R90" i="3"/>
  <c r="R89" i="3"/>
  <c r="R88" i="3"/>
  <c r="R87" i="3"/>
  <c r="R86" i="3"/>
  <c r="R85" i="3"/>
  <c r="R84" i="3"/>
  <c r="R83" i="3"/>
  <c r="R82" i="3"/>
  <c r="R81" i="3"/>
  <c r="R80" i="3"/>
  <c r="R79" i="3"/>
  <c r="R78" i="3"/>
  <c r="R77" i="3"/>
  <c r="R76" i="3"/>
  <c r="R75" i="3"/>
  <c r="R74" i="3"/>
  <c r="R73" i="3"/>
  <c r="R72" i="3"/>
  <c r="R71" i="3"/>
  <c r="R70" i="3"/>
  <c r="R69" i="3"/>
  <c r="R68" i="3"/>
  <c r="R67" i="3"/>
  <c r="R66" i="3"/>
  <c r="R65" i="3"/>
  <c r="R64" i="3"/>
  <c r="R63" i="3"/>
  <c r="R62" i="3"/>
  <c r="R61" i="3"/>
  <c r="R60" i="3"/>
  <c r="R59" i="3"/>
  <c r="R58" i="3"/>
  <c r="R57" i="3"/>
  <c r="R56" i="3"/>
  <c r="R55" i="3"/>
  <c r="R54" i="3"/>
  <c r="R53" i="3"/>
  <c r="R52" i="3"/>
  <c r="R51" i="3"/>
  <c r="R50" i="3"/>
  <c r="R49" i="3"/>
  <c r="R48" i="3"/>
  <c r="R47" i="3"/>
  <c r="R46" i="3"/>
  <c r="R45" i="3"/>
  <c r="R44" i="3"/>
  <c r="R43" i="3"/>
  <c r="R42" i="3"/>
  <c r="R41" i="3"/>
  <c r="R39" i="3"/>
  <c r="R37" i="3"/>
  <c r="R38" i="3" s="1"/>
  <c r="R36" i="3"/>
  <c r="R35" i="3"/>
  <c r="R34" i="3"/>
  <c r="R32" i="3"/>
  <c r="R31" i="3"/>
  <c r="R30" i="3"/>
  <c r="R29" i="3"/>
  <c r="R28" i="3"/>
  <c r="R27" i="3"/>
  <c r="R26" i="3"/>
  <c r="R25" i="3"/>
  <c r="R24" i="3"/>
  <c r="R23" i="3"/>
  <c r="R22" i="3"/>
  <c r="R21" i="3"/>
  <c r="R20" i="3"/>
  <c r="R19" i="3"/>
  <c r="R18" i="3"/>
  <c r="R17" i="3"/>
  <c r="R16" i="3"/>
  <c r="R319" i="3" l="1"/>
  <c r="R320" i="3"/>
  <c r="R322" i="3"/>
  <c r="R323" i="3"/>
  <c r="R324" i="3"/>
  <c r="R737" i="1" l="1"/>
  <c r="R736" i="1"/>
  <c r="R735" i="1"/>
  <c r="R734" i="1"/>
  <c r="R733" i="1"/>
  <c r="R732" i="1"/>
  <c r="R731" i="1"/>
  <c r="R730" i="1"/>
  <c r="R729" i="1"/>
  <c r="R728" i="1"/>
  <c r="R727" i="1"/>
  <c r="R726" i="1"/>
  <c r="R725" i="1"/>
  <c r="R724" i="1"/>
  <c r="R723" i="1"/>
  <c r="R722" i="1"/>
  <c r="R721" i="1"/>
  <c r="R720" i="1"/>
  <c r="R719" i="1"/>
  <c r="R718" i="1"/>
  <c r="R717" i="1"/>
  <c r="R716" i="1"/>
  <c r="R714" i="1"/>
  <c r="R713" i="1"/>
  <c r="R712" i="1"/>
  <c r="R711" i="1"/>
  <c r="R710" i="1"/>
  <c r="R709" i="1"/>
  <c r="R708" i="1"/>
  <c r="R707" i="1"/>
  <c r="R706" i="1"/>
  <c r="R705" i="1"/>
  <c r="R704" i="1"/>
  <c r="R703" i="1"/>
  <c r="R702" i="1"/>
  <c r="R701" i="1"/>
  <c r="R700" i="1"/>
  <c r="R699" i="1"/>
  <c r="R698" i="1"/>
  <c r="R697" i="1"/>
  <c r="R696" i="1"/>
  <c r="R695" i="1"/>
  <c r="R694" i="1"/>
  <c r="R693" i="1"/>
  <c r="R691" i="1"/>
  <c r="R690" i="1"/>
  <c r="R689" i="1"/>
  <c r="R688" i="1"/>
  <c r="R687" i="1"/>
  <c r="R686" i="1"/>
  <c r="R685" i="1"/>
  <c r="R683" i="1"/>
  <c r="R682" i="1"/>
  <c r="R681" i="1"/>
  <c r="R680" i="1"/>
  <c r="R679" i="1"/>
  <c r="R678" i="1"/>
  <c r="R677" i="1"/>
  <c r="R676" i="1"/>
  <c r="R675" i="1"/>
  <c r="R673" i="1"/>
  <c r="R672" i="1"/>
  <c r="R671" i="1"/>
  <c r="R670" i="1"/>
  <c r="R669" i="1"/>
  <c r="R668" i="1"/>
  <c r="R667" i="1"/>
  <c r="R666" i="1"/>
  <c r="R665" i="1"/>
  <c r="R663" i="1"/>
  <c r="R662" i="1"/>
  <c r="R661" i="1"/>
  <c r="R660" i="1"/>
  <c r="R659" i="1"/>
  <c r="R658" i="1"/>
  <c r="R657" i="1"/>
  <c r="R656" i="1"/>
  <c r="R655" i="1"/>
  <c r="R654" i="1"/>
  <c r="R653" i="1"/>
  <c r="R652" i="1"/>
  <c r="R651" i="1"/>
  <c r="R650" i="1"/>
  <c r="R649" i="1"/>
  <c r="R648" i="1"/>
  <c r="R647" i="1"/>
  <c r="R646" i="1"/>
  <c r="R645" i="1"/>
  <c r="R644" i="1"/>
  <c r="R642" i="1"/>
  <c r="R641" i="1"/>
  <c r="R640" i="1"/>
  <c r="R639" i="1"/>
  <c r="R637" i="1"/>
  <c r="R636" i="1"/>
  <c r="R635" i="1"/>
  <c r="R634" i="1"/>
  <c r="R633" i="1"/>
  <c r="R632" i="1"/>
  <c r="R631" i="1"/>
  <c r="R630" i="1"/>
  <c r="R629" i="1"/>
  <c r="R628" i="1"/>
  <c r="R627" i="1"/>
  <c r="R626" i="1"/>
  <c r="R623" i="1"/>
  <c r="R622" i="1"/>
  <c r="R621" i="1"/>
  <c r="R620" i="1"/>
  <c r="R619" i="1"/>
  <c r="R618" i="1"/>
  <c r="R617" i="1"/>
  <c r="R616" i="1"/>
  <c r="R615" i="1"/>
  <c r="R614" i="1"/>
  <c r="R613" i="1"/>
  <c r="R612" i="1"/>
  <c r="R611" i="1"/>
  <c r="R610" i="1"/>
  <c r="R609" i="1"/>
  <c r="R608" i="1"/>
  <c r="R607" i="1"/>
  <c r="R606" i="1"/>
  <c r="R604" i="1"/>
  <c r="R603" i="1"/>
  <c r="R602" i="1"/>
  <c r="R601" i="1"/>
  <c r="R600" i="1"/>
  <c r="R599" i="1"/>
  <c r="R598" i="1"/>
  <c r="R597" i="1"/>
  <c r="R596" i="1"/>
  <c r="R595" i="1"/>
  <c r="R594" i="1"/>
  <c r="R593" i="1"/>
  <c r="R592" i="1"/>
  <c r="R591" i="1"/>
  <c r="R590" i="1"/>
  <c r="R589" i="1"/>
  <c r="R588" i="1"/>
  <c r="R587" i="1"/>
  <c r="R586" i="1"/>
  <c r="R585" i="1"/>
  <c r="R584" i="1"/>
  <c r="R583" i="1"/>
  <c r="R582"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4" i="1"/>
  <c r="R493" i="1"/>
  <c r="R492" i="1"/>
  <c r="R491" i="1"/>
  <c r="R490" i="1"/>
  <c r="R489" i="1"/>
  <c r="R488" i="1"/>
  <c r="R487" i="1"/>
  <c r="R486" i="1"/>
  <c r="R485" i="1"/>
  <c r="R484" i="1"/>
  <c r="R483" i="1"/>
  <c r="R482" i="1"/>
  <c r="R481" i="1"/>
  <c r="R480" i="1"/>
  <c r="R479" i="1"/>
  <c r="R478"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5" i="1"/>
  <c r="R404" i="1"/>
  <c r="R403" i="1"/>
  <c r="R402" i="1"/>
  <c r="R401" i="1"/>
  <c r="R400" i="1"/>
  <c r="R399" i="1"/>
  <c r="R398" i="1"/>
  <c r="R397" i="1"/>
  <c r="R396" i="1"/>
  <c r="R395" i="1"/>
  <c r="R393" i="1"/>
  <c r="R392" i="1"/>
  <c r="R391" i="1"/>
  <c r="R390" i="1"/>
  <c r="R389" i="1"/>
  <c r="R388" i="1"/>
  <c r="R387" i="1"/>
  <c r="R386" i="1"/>
  <c r="R385" i="1"/>
  <c r="R384" i="1"/>
  <c r="R383" i="1"/>
  <c r="R382" i="1"/>
  <c r="R381" i="1"/>
  <c r="R380" i="1"/>
  <c r="R379" i="1"/>
  <c r="R378" i="1"/>
  <c r="R377" i="1"/>
  <c r="R376" i="1"/>
  <c r="R374" i="1"/>
  <c r="R373"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2" i="1"/>
  <c r="R331" i="1"/>
  <c r="R330" i="1"/>
  <c r="R329" i="1"/>
  <c r="R328" i="1"/>
  <c r="R327" i="1"/>
  <c r="R326" i="1"/>
  <c r="R325" i="1"/>
  <c r="R318" i="1"/>
  <c r="R317" i="1"/>
  <c r="R316" i="1"/>
  <c r="R321" i="1" s="1"/>
  <c r="R314" i="1"/>
  <c r="R313" i="1"/>
  <c r="R312" i="1"/>
  <c r="R310" i="1"/>
  <c r="R309" i="1"/>
  <c r="R308" i="1"/>
  <c r="R307" i="1"/>
  <c r="R306" i="1"/>
  <c r="R305" i="1"/>
  <c r="R304" i="1"/>
  <c r="R303" i="1"/>
  <c r="R302" i="1"/>
  <c r="R301" i="1"/>
  <c r="R300" i="1"/>
  <c r="R299" i="1"/>
  <c r="R298" i="1"/>
  <c r="R297" i="1"/>
  <c r="R296" i="1"/>
  <c r="R295" i="1"/>
  <c r="R294" i="1"/>
  <c r="R293" i="1"/>
  <c r="R292" i="1"/>
  <c r="R291" i="1"/>
  <c r="R290" i="1"/>
  <c r="R289" i="1"/>
  <c r="R288" i="1"/>
  <c r="R287"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315" i="1" s="1"/>
  <c r="R255" i="1"/>
  <c r="R254" i="1"/>
  <c r="R252" i="1"/>
  <c r="R251" i="1"/>
  <c r="R250" i="1"/>
  <c r="R249" i="1"/>
  <c r="R248" i="1"/>
  <c r="R247" i="1"/>
  <c r="R246" i="1"/>
  <c r="R245" i="1"/>
  <c r="R244" i="1"/>
  <c r="R243"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6" i="1"/>
  <c r="R205" i="1"/>
  <c r="R204" i="1"/>
  <c r="R203" i="1"/>
  <c r="R202" i="1"/>
  <c r="R201" i="1"/>
  <c r="R200" i="1"/>
  <c r="R199" i="1"/>
  <c r="R198" i="1"/>
  <c r="R196" i="1"/>
  <c r="R195" i="1"/>
  <c r="R194" i="1"/>
  <c r="R193" i="1"/>
  <c r="R192" i="1"/>
  <c r="R191" i="1"/>
  <c r="R190" i="1"/>
  <c r="R189" i="1"/>
  <c r="R187" i="1"/>
  <c r="R186" i="1"/>
  <c r="R185" i="1"/>
  <c r="R184" i="1"/>
  <c r="R183" i="1"/>
  <c r="R182" i="1"/>
  <c r="R181" i="1"/>
  <c r="R180" i="1"/>
  <c r="R178" i="1"/>
  <c r="R177" i="1"/>
  <c r="R176" i="1"/>
  <c r="R175" i="1"/>
  <c r="R174" i="1"/>
  <c r="R173" i="1"/>
  <c r="R172" i="1"/>
  <c r="R171" i="1"/>
  <c r="R169" i="1"/>
  <c r="R168" i="1"/>
  <c r="R167" i="1"/>
  <c r="R166" i="1"/>
  <c r="R165" i="1"/>
  <c r="R164" i="1"/>
  <c r="R163" i="1"/>
  <c r="R162" i="1"/>
  <c r="R161" i="1"/>
  <c r="R160" i="1"/>
  <c r="R159" i="1"/>
  <c r="R158" i="1"/>
  <c r="R157" i="1"/>
  <c r="R156" i="1"/>
  <c r="R155" i="1"/>
  <c r="R154" i="1"/>
  <c r="R153" i="1"/>
  <c r="R152" i="1"/>
  <c r="R151" i="1"/>
  <c r="R149" i="1"/>
  <c r="R148" i="1"/>
  <c r="R147" i="1"/>
  <c r="R146" i="1"/>
  <c r="R145" i="1"/>
  <c r="R144" i="1"/>
  <c r="R143" i="1"/>
  <c r="R142" i="1"/>
  <c r="R141" i="1"/>
  <c r="R140" i="1"/>
  <c r="R139" i="1"/>
  <c r="R138" i="1"/>
  <c r="R137" i="1"/>
  <c r="R136" i="1"/>
  <c r="R135" i="1"/>
  <c r="R133" i="1"/>
  <c r="R132" i="1"/>
  <c r="R131" i="1"/>
  <c r="R130" i="1"/>
  <c r="R129" i="1"/>
  <c r="R128" i="1"/>
  <c r="R127" i="1"/>
  <c r="R126" i="1"/>
  <c r="R125" i="1"/>
  <c r="R123" i="1"/>
  <c r="R122" i="1"/>
  <c r="R121" i="1"/>
  <c r="R120" i="1"/>
  <c r="R119" i="1"/>
  <c r="R118" i="1"/>
  <c r="R117" i="1"/>
  <c r="R116" i="1"/>
  <c r="R115"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39" i="1"/>
  <c r="R38" i="1"/>
  <c r="R37" i="1"/>
  <c r="R36" i="1"/>
  <c r="R35" i="1"/>
  <c r="R34" i="1"/>
  <c r="R32" i="1"/>
  <c r="R31" i="1"/>
  <c r="R30" i="1"/>
  <c r="R29" i="1"/>
  <c r="R28" i="1"/>
  <c r="R27" i="1"/>
  <c r="R26" i="1"/>
  <c r="R25" i="1"/>
  <c r="R24" i="1"/>
  <c r="R23" i="1"/>
  <c r="R22" i="1"/>
  <c r="R21" i="1"/>
  <c r="R20" i="1"/>
  <c r="R19" i="1"/>
  <c r="R18" i="1"/>
  <c r="R17" i="1"/>
  <c r="R16" i="1"/>
  <c r="R372" i="1" l="1"/>
  <c r="R323" i="1"/>
  <c r="R319" i="1"/>
  <c r="R320" i="1"/>
  <c r="R324" i="1"/>
  <c r="R322" i="1"/>
  <c r="H17" i="12" l="1"/>
  <c r="I17" i="12"/>
  <c r="H18" i="12"/>
  <c r="I18" i="12"/>
  <c r="H19" i="12"/>
  <c r="I19" i="12"/>
  <c r="H20" i="12"/>
  <c r="I20" i="12"/>
  <c r="H21" i="12"/>
  <c r="I21" i="12"/>
  <c r="H22" i="12"/>
  <c r="I22" i="12"/>
  <c r="H23" i="12"/>
  <c r="I23" i="12"/>
  <c r="H24" i="12"/>
  <c r="I24" i="12"/>
  <c r="H25" i="12"/>
  <c r="I25" i="12"/>
  <c r="H26" i="12"/>
  <c r="I26" i="12"/>
  <c r="H27" i="12"/>
  <c r="I27" i="12"/>
  <c r="H28" i="12"/>
  <c r="I28" i="12"/>
  <c r="H29" i="12"/>
  <c r="I29" i="12"/>
  <c r="H30" i="12"/>
  <c r="I30" i="12"/>
  <c r="H31" i="12"/>
  <c r="I31" i="12"/>
  <c r="H32" i="12"/>
  <c r="I32" i="12"/>
  <c r="H34" i="12"/>
  <c r="I34" i="12"/>
  <c r="H35" i="12"/>
  <c r="I35" i="12"/>
  <c r="H36" i="12"/>
  <c r="I36" i="12"/>
  <c r="H37" i="12"/>
  <c r="I37" i="12"/>
  <c r="H38" i="12"/>
  <c r="I38" i="12"/>
  <c r="H39" i="12"/>
  <c r="I39" i="12"/>
  <c r="K40" i="12"/>
  <c r="L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97" i="12"/>
  <c r="I97" i="12"/>
  <c r="H98" i="12"/>
  <c r="I98" i="12"/>
  <c r="H99" i="12"/>
  <c r="I99" i="12"/>
  <c r="H100" i="12"/>
  <c r="I100" i="12"/>
  <c r="H101" i="12"/>
  <c r="I101" i="12"/>
  <c r="H102" i="12"/>
  <c r="I102" i="12"/>
  <c r="H103" i="12"/>
  <c r="I103" i="12"/>
  <c r="H104" i="12"/>
  <c r="I104" i="12"/>
  <c r="H105" i="12"/>
  <c r="I105" i="12"/>
  <c r="H106" i="12"/>
  <c r="I106" i="12"/>
  <c r="H107" i="12"/>
  <c r="I107" i="12"/>
  <c r="H108" i="12"/>
  <c r="I108" i="12"/>
  <c r="H109" i="12"/>
  <c r="I109" i="12"/>
  <c r="H110" i="12"/>
  <c r="I110" i="12"/>
  <c r="H111" i="12"/>
  <c r="I111" i="12"/>
  <c r="H112" i="12"/>
  <c r="I112" i="12"/>
  <c r="H113" i="12"/>
  <c r="I113" i="12"/>
  <c r="H115" i="12"/>
  <c r="I115" i="12"/>
  <c r="H116" i="12"/>
  <c r="I116" i="12"/>
  <c r="H117" i="12"/>
  <c r="I117" i="12"/>
  <c r="H118" i="12"/>
  <c r="I118" i="12"/>
  <c r="H119" i="12"/>
  <c r="I119" i="12"/>
  <c r="H120" i="12"/>
  <c r="I120" i="12"/>
  <c r="H121" i="12"/>
  <c r="I121" i="12"/>
  <c r="H122" i="12"/>
  <c r="I122" i="12"/>
  <c r="H123" i="12"/>
  <c r="I123" i="12"/>
  <c r="L124" i="12"/>
  <c r="H125" i="12"/>
  <c r="I125" i="12"/>
  <c r="H126" i="12"/>
  <c r="I126" i="12"/>
  <c r="H127" i="12"/>
  <c r="I127" i="12"/>
  <c r="H128" i="12"/>
  <c r="I128" i="12"/>
  <c r="H129" i="12"/>
  <c r="I129" i="12"/>
  <c r="H130" i="12"/>
  <c r="I130" i="12"/>
  <c r="H131" i="12"/>
  <c r="I131" i="12"/>
  <c r="H132" i="12"/>
  <c r="I132" i="12"/>
  <c r="H133" i="12"/>
  <c r="I133"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1" i="12"/>
  <c r="I171" i="12"/>
  <c r="H172" i="12"/>
  <c r="I172" i="12"/>
  <c r="H173" i="12"/>
  <c r="I173" i="12"/>
  <c r="H174" i="12"/>
  <c r="I174" i="12"/>
  <c r="H175" i="12"/>
  <c r="I175" i="12"/>
  <c r="H176" i="12"/>
  <c r="I176" i="12"/>
  <c r="H177" i="12"/>
  <c r="I177" i="12"/>
  <c r="H178" i="12"/>
  <c r="I178" i="12"/>
  <c r="H180" i="12"/>
  <c r="I180" i="12"/>
  <c r="H181" i="12"/>
  <c r="I181" i="12"/>
  <c r="H182" i="12"/>
  <c r="I182" i="12"/>
  <c r="H183" i="12"/>
  <c r="I183" i="12"/>
  <c r="H184" i="12"/>
  <c r="I184" i="12"/>
  <c r="H185" i="12"/>
  <c r="I185" i="12"/>
  <c r="H186" i="12"/>
  <c r="I186" i="12"/>
  <c r="H187" i="12"/>
  <c r="I187" i="12"/>
  <c r="H189" i="12"/>
  <c r="I189" i="12"/>
  <c r="H190" i="12"/>
  <c r="I190" i="12"/>
  <c r="H191" i="12"/>
  <c r="I191" i="12"/>
  <c r="H192" i="12"/>
  <c r="I192" i="12"/>
  <c r="H193" i="12"/>
  <c r="I193" i="12"/>
  <c r="H194" i="12"/>
  <c r="I194" i="12"/>
  <c r="H195" i="12"/>
  <c r="I195" i="12"/>
  <c r="H196" i="12"/>
  <c r="I196" i="12"/>
  <c r="H198" i="12"/>
  <c r="I198" i="12"/>
  <c r="H199" i="12"/>
  <c r="I199" i="12"/>
  <c r="H200" i="12"/>
  <c r="I200" i="12"/>
  <c r="H201" i="12"/>
  <c r="I201" i="12"/>
  <c r="H202" i="12"/>
  <c r="I202" i="12"/>
  <c r="H203" i="12"/>
  <c r="I203" i="12"/>
  <c r="H204" i="12"/>
  <c r="I204" i="12"/>
  <c r="H205" i="12"/>
  <c r="I205" i="12"/>
  <c r="H206" i="12"/>
  <c r="I206" i="12"/>
  <c r="K207" i="12"/>
  <c r="L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3" i="12"/>
  <c r="I243" i="12"/>
  <c r="H244" i="12"/>
  <c r="I244" i="12"/>
  <c r="H245" i="12"/>
  <c r="I245" i="12"/>
  <c r="H246" i="12"/>
  <c r="I246" i="12"/>
  <c r="H247" i="12"/>
  <c r="I247" i="12"/>
  <c r="H248" i="12"/>
  <c r="I248" i="12"/>
  <c r="H249" i="12"/>
  <c r="I249" i="12"/>
  <c r="H250" i="12"/>
  <c r="I250" i="12"/>
  <c r="H251" i="12"/>
  <c r="I251" i="12"/>
  <c r="H252" i="12"/>
  <c r="I252" i="12"/>
  <c r="H254" i="12"/>
  <c r="I254" i="12"/>
  <c r="H255" i="12"/>
  <c r="I255" i="12"/>
  <c r="H256" i="12"/>
  <c r="I256" i="12"/>
  <c r="H257" i="12"/>
  <c r="I257" i="12"/>
  <c r="H258" i="12"/>
  <c r="I258" i="12"/>
  <c r="H259" i="12"/>
  <c r="I259" i="12"/>
  <c r="H260" i="12"/>
  <c r="I260" i="12"/>
  <c r="H261" i="12"/>
  <c r="I261" i="12"/>
  <c r="H262" i="12"/>
  <c r="I262" i="12"/>
  <c r="H263" i="12"/>
  <c r="I263" i="12"/>
  <c r="H264" i="12"/>
  <c r="I264" i="12"/>
  <c r="H265" i="12"/>
  <c r="I265" i="12"/>
  <c r="H266" i="12"/>
  <c r="I266" i="12"/>
  <c r="H267" i="12"/>
  <c r="I267" i="12"/>
  <c r="H268" i="12"/>
  <c r="I268" i="12"/>
  <c r="H269" i="12"/>
  <c r="I269" i="12"/>
  <c r="H270" i="12"/>
  <c r="I270" i="12"/>
  <c r="H271" i="12"/>
  <c r="I271" i="12"/>
  <c r="H272" i="12"/>
  <c r="I272" i="12"/>
  <c r="H273" i="12"/>
  <c r="I273" i="12"/>
  <c r="H274" i="12"/>
  <c r="I274" i="12"/>
  <c r="H275" i="12"/>
  <c r="I275" i="12"/>
  <c r="H276" i="12"/>
  <c r="I276" i="12"/>
  <c r="H277" i="12"/>
  <c r="I277" i="12"/>
  <c r="H278" i="12"/>
  <c r="I278" i="12"/>
  <c r="H279" i="12"/>
  <c r="I279" i="12"/>
  <c r="H280" i="12"/>
  <c r="I280" i="12"/>
  <c r="H281" i="12"/>
  <c r="I281" i="12"/>
  <c r="H282" i="12"/>
  <c r="I282" i="12"/>
  <c r="H283" i="12"/>
  <c r="I283" i="12"/>
  <c r="H284" i="12"/>
  <c r="I284" i="12"/>
  <c r="H285" i="12"/>
  <c r="I285" i="12"/>
  <c r="H287" i="12"/>
  <c r="I287" i="12"/>
  <c r="H288" i="12"/>
  <c r="I288" i="12"/>
  <c r="H289" i="12"/>
  <c r="I289" i="12"/>
  <c r="H290" i="12"/>
  <c r="I290" i="12"/>
  <c r="H291" i="12"/>
  <c r="I291" i="12"/>
  <c r="H292" i="12"/>
  <c r="I292" i="12"/>
  <c r="H293" i="12"/>
  <c r="I293" i="12"/>
  <c r="H294" i="12"/>
  <c r="I294" i="12"/>
  <c r="H295" i="12"/>
  <c r="I295" i="12"/>
  <c r="H296" i="12"/>
  <c r="I296" i="12"/>
  <c r="H297" i="12"/>
  <c r="I297" i="12"/>
  <c r="H298" i="12"/>
  <c r="I298" i="12"/>
  <c r="H299" i="12"/>
  <c r="I299" i="12"/>
  <c r="H300" i="12"/>
  <c r="I300" i="12"/>
  <c r="H301" i="12"/>
  <c r="I301" i="12"/>
  <c r="H302" i="12"/>
  <c r="I302" i="12"/>
  <c r="H303" i="12"/>
  <c r="I303" i="12"/>
  <c r="H304" i="12"/>
  <c r="I304" i="12"/>
  <c r="H305" i="12"/>
  <c r="I305" i="12"/>
  <c r="H306" i="12"/>
  <c r="I306" i="12"/>
  <c r="H307" i="12"/>
  <c r="I307" i="12"/>
  <c r="H308" i="12"/>
  <c r="I308" i="12"/>
  <c r="H309" i="12"/>
  <c r="I309" i="12"/>
  <c r="H310" i="12"/>
  <c r="I310" i="12"/>
  <c r="H312" i="12"/>
  <c r="I312" i="12"/>
  <c r="H313" i="12"/>
  <c r="I313" i="12"/>
  <c r="H314" i="12"/>
  <c r="I314" i="12"/>
  <c r="H315" i="12"/>
  <c r="I315" i="12"/>
  <c r="H316" i="12"/>
  <c r="I316" i="12"/>
  <c r="H317" i="12"/>
  <c r="I317" i="12"/>
  <c r="H318" i="12"/>
  <c r="I318" i="12"/>
  <c r="H319" i="12"/>
  <c r="I319" i="12"/>
  <c r="H320" i="12"/>
  <c r="I320" i="12"/>
  <c r="H321" i="12"/>
  <c r="I321" i="12"/>
  <c r="H322" i="12"/>
  <c r="I322" i="12"/>
  <c r="H323" i="12"/>
  <c r="I323" i="12"/>
  <c r="H324" i="12"/>
  <c r="I324" i="12"/>
  <c r="H325" i="12"/>
  <c r="I325" i="12"/>
  <c r="H326" i="12"/>
  <c r="I326" i="12"/>
  <c r="H327" i="12"/>
  <c r="I327" i="12"/>
  <c r="H328" i="12"/>
  <c r="I328" i="12"/>
  <c r="H329" i="12"/>
  <c r="I329" i="12"/>
  <c r="H330" i="12"/>
  <c r="I330" i="12"/>
  <c r="H331" i="12"/>
  <c r="I331" i="12"/>
  <c r="H332" i="12"/>
  <c r="I332" i="12"/>
  <c r="L333" i="12"/>
  <c r="H335" i="12"/>
  <c r="I335" i="12"/>
  <c r="H336" i="12"/>
  <c r="I336" i="12"/>
  <c r="H337" i="12"/>
  <c r="I337" i="12"/>
  <c r="H338" i="12"/>
  <c r="I338" i="12"/>
  <c r="H339" i="12"/>
  <c r="I339" i="12"/>
  <c r="H340" i="12"/>
  <c r="I340" i="12"/>
  <c r="H341" i="12"/>
  <c r="I341" i="12"/>
  <c r="H342" i="12"/>
  <c r="I342" i="12"/>
  <c r="H343" i="12"/>
  <c r="I343" i="12"/>
  <c r="H344" i="12"/>
  <c r="I344" i="12"/>
  <c r="H345" i="12"/>
  <c r="I345" i="12"/>
  <c r="H346" i="12"/>
  <c r="I346" i="12"/>
  <c r="H347" i="12"/>
  <c r="I347" i="12"/>
  <c r="H348" i="12"/>
  <c r="I348" i="12"/>
  <c r="H349" i="12"/>
  <c r="I349" i="12"/>
  <c r="H350" i="12"/>
  <c r="I350" i="12"/>
  <c r="H351" i="12"/>
  <c r="I351" i="12"/>
  <c r="H352" i="12"/>
  <c r="I352" i="12"/>
  <c r="H353" i="12"/>
  <c r="I353" i="12"/>
  <c r="H354" i="12"/>
  <c r="I354" i="12"/>
  <c r="H355" i="12"/>
  <c r="I355" i="12"/>
  <c r="H356" i="12"/>
  <c r="I356" i="12"/>
  <c r="H357" i="12"/>
  <c r="I357" i="12"/>
  <c r="H358" i="12"/>
  <c r="I358" i="12"/>
  <c r="H359" i="12"/>
  <c r="I359" i="12"/>
  <c r="H360" i="12"/>
  <c r="I360" i="12"/>
  <c r="H361" i="12"/>
  <c r="I361" i="12"/>
  <c r="H362" i="12"/>
  <c r="I362" i="12"/>
  <c r="H363" i="12"/>
  <c r="I363" i="12"/>
  <c r="H364" i="12"/>
  <c r="I364" i="12"/>
  <c r="H365" i="12"/>
  <c r="I365" i="12"/>
  <c r="H366" i="12"/>
  <c r="I366" i="12"/>
  <c r="H367" i="12"/>
  <c r="I367" i="12"/>
  <c r="H368" i="12"/>
  <c r="I368" i="12"/>
  <c r="H369" i="12"/>
  <c r="I369" i="12"/>
  <c r="H370" i="12"/>
  <c r="I370" i="12"/>
  <c r="H371" i="12"/>
  <c r="I371" i="12"/>
  <c r="H372" i="12"/>
  <c r="I372" i="12"/>
  <c r="H373" i="12"/>
  <c r="I373" i="12"/>
  <c r="H374" i="12"/>
  <c r="I374" i="12"/>
  <c r="K375" i="12"/>
  <c r="L375" i="12"/>
  <c r="H376" i="12"/>
  <c r="I376" i="12"/>
  <c r="H377" i="12"/>
  <c r="I377" i="12"/>
  <c r="H378" i="12"/>
  <c r="I378" i="12"/>
  <c r="H379" i="12"/>
  <c r="I379" i="12"/>
  <c r="H380" i="12"/>
  <c r="I380" i="12"/>
  <c r="H381" i="12"/>
  <c r="I381" i="12"/>
  <c r="H382" i="12"/>
  <c r="I382" i="12"/>
  <c r="H383" i="12"/>
  <c r="I383" i="12"/>
  <c r="H384" i="12"/>
  <c r="I384" i="12"/>
  <c r="H385" i="12"/>
  <c r="I385" i="12"/>
  <c r="H386" i="12"/>
  <c r="I386" i="12"/>
  <c r="H387" i="12"/>
  <c r="I387" i="12"/>
  <c r="H388" i="12"/>
  <c r="I388" i="12"/>
  <c r="H389" i="12"/>
  <c r="I389" i="12"/>
  <c r="H390" i="12"/>
  <c r="I390" i="12"/>
  <c r="H391" i="12"/>
  <c r="I391" i="12"/>
  <c r="H392" i="12"/>
  <c r="I392" i="12"/>
  <c r="H393" i="12"/>
  <c r="I393" i="12"/>
  <c r="H395" i="12"/>
  <c r="I395" i="12"/>
  <c r="H396" i="12"/>
  <c r="I396" i="12"/>
  <c r="H397" i="12"/>
  <c r="I397" i="12"/>
  <c r="H398" i="12"/>
  <c r="I398" i="12"/>
  <c r="H399" i="12"/>
  <c r="I399" i="12"/>
  <c r="H400" i="12"/>
  <c r="I400" i="12"/>
  <c r="H401" i="12"/>
  <c r="I401" i="12"/>
  <c r="H402" i="12"/>
  <c r="I402" i="12"/>
  <c r="H403" i="12"/>
  <c r="I403" i="12"/>
  <c r="H404" i="12"/>
  <c r="I404" i="12"/>
  <c r="H405" i="12"/>
  <c r="I405" i="12"/>
  <c r="H407" i="12"/>
  <c r="I407" i="12"/>
  <c r="H408" i="12"/>
  <c r="I408" i="12"/>
  <c r="H409" i="12"/>
  <c r="I409" i="12"/>
  <c r="H410" i="12"/>
  <c r="I410" i="12"/>
  <c r="H411" i="12"/>
  <c r="I411" i="12"/>
  <c r="H412" i="12"/>
  <c r="I412" i="12"/>
  <c r="H413" i="12"/>
  <c r="I413" i="12"/>
  <c r="H414" i="12"/>
  <c r="I414" i="12"/>
  <c r="H415" i="12"/>
  <c r="I415" i="12"/>
  <c r="H416" i="12"/>
  <c r="I416" i="12"/>
  <c r="H417" i="12"/>
  <c r="I417" i="12"/>
  <c r="H418" i="12"/>
  <c r="I418" i="12"/>
  <c r="H419" i="12"/>
  <c r="I419" i="12"/>
  <c r="H420" i="12"/>
  <c r="I420" i="12"/>
  <c r="H421" i="12"/>
  <c r="I421" i="12"/>
  <c r="H422" i="12"/>
  <c r="I422" i="12"/>
  <c r="H423" i="12"/>
  <c r="I423" i="12"/>
  <c r="H424" i="12"/>
  <c r="I424" i="12"/>
  <c r="H425" i="12"/>
  <c r="I425" i="12"/>
  <c r="H426" i="12"/>
  <c r="I426" i="12"/>
  <c r="H427" i="12"/>
  <c r="I427" i="12"/>
  <c r="H428" i="12"/>
  <c r="I428" i="12"/>
  <c r="H429" i="12"/>
  <c r="I429" i="12"/>
  <c r="H430" i="12"/>
  <c r="I430" i="12"/>
  <c r="H431" i="12"/>
  <c r="I431" i="12"/>
  <c r="H432" i="12"/>
  <c r="I432" i="12"/>
  <c r="H433" i="12"/>
  <c r="I433" i="12"/>
  <c r="H434" i="12"/>
  <c r="I434" i="12"/>
  <c r="H435" i="12"/>
  <c r="I435" i="12"/>
  <c r="H436" i="12"/>
  <c r="I436" i="12"/>
  <c r="H437" i="12"/>
  <c r="I437" i="12"/>
  <c r="H438" i="12"/>
  <c r="I438" i="12"/>
  <c r="H439" i="12"/>
  <c r="I439" i="12"/>
  <c r="H441" i="12"/>
  <c r="I441" i="12"/>
  <c r="H442" i="12"/>
  <c r="I442" i="12"/>
  <c r="H443" i="12"/>
  <c r="I443" i="12"/>
  <c r="H444" i="12"/>
  <c r="I444" i="12"/>
  <c r="H445" i="12"/>
  <c r="I445" i="12"/>
  <c r="H446" i="12"/>
  <c r="I446" i="12"/>
  <c r="H447" i="12"/>
  <c r="I447" i="12"/>
  <c r="H448" i="12"/>
  <c r="I448" i="12"/>
  <c r="H449" i="12"/>
  <c r="I449" i="12"/>
  <c r="H450" i="12"/>
  <c r="I450" i="12"/>
  <c r="H451" i="12"/>
  <c r="I451" i="12"/>
  <c r="H452" i="12"/>
  <c r="I452" i="12"/>
  <c r="H453" i="12"/>
  <c r="I453" i="12"/>
  <c r="H454" i="12"/>
  <c r="I454" i="12"/>
  <c r="H455" i="12"/>
  <c r="I455" i="12"/>
  <c r="H456" i="12"/>
  <c r="I456" i="12"/>
  <c r="H457" i="12"/>
  <c r="I457" i="12"/>
  <c r="H458" i="12"/>
  <c r="I458" i="12"/>
  <c r="H459" i="12"/>
  <c r="I459" i="12"/>
  <c r="H460" i="12"/>
  <c r="I460" i="12"/>
  <c r="H461" i="12"/>
  <c r="I461" i="12"/>
  <c r="H462" i="12"/>
  <c r="I462" i="12"/>
  <c r="H463" i="12"/>
  <c r="I463" i="12"/>
  <c r="H464" i="12"/>
  <c r="I464" i="12"/>
  <c r="H465" i="12"/>
  <c r="I465" i="12"/>
  <c r="H466" i="12"/>
  <c r="I466" i="12"/>
  <c r="H467" i="12"/>
  <c r="I467" i="12"/>
  <c r="H468" i="12"/>
  <c r="I468" i="12"/>
  <c r="H469" i="12"/>
  <c r="I469" i="12"/>
  <c r="H470" i="12"/>
  <c r="I470" i="12"/>
  <c r="H471" i="12"/>
  <c r="I471" i="12"/>
  <c r="H472" i="12"/>
  <c r="I472" i="12"/>
  <c r="H473" i="12"/>
  <c r="I473" i="12"/>
  <c r="H474" i="12"/>
  <c r="I474" i="12"/>
  <c r="H475" i="12"/>
  <c r="I475" i="12"/>
  <c r="H476" i="12"/>
  <c r="I476" i="12"/>
  <c r="L477" i="12"/>
  <c r="H478" i="12"/>
  <c r="I478" i="12"/>
  <c r="H479" i="12"/>
  <c r="I479" i="12"/>
  <c r="H480" i="12"/>
  <c r="I480" i="12"/>
  <c r="H481" i="12"/>
  <c r="I481" i="12"/>
  <c r="H482" i="12"/>
  <c r="I482" i="12"/>
  <c r="H483" i="12"/>
  <c r="I483" i="12"/>
  <c r="H484" i="12"/>
  <c r="I484" i="12"/>
  <c r="H485" i="12"/>
  <c r="I485" i="12"/>
  <c r="H486" i="12"/>
  <c r="I486" i="12"/>
  <c r="H487" i="12"/>
  <c r="I487" i="12"/>
  <c r="H488" i="12"/>
  <c r="I488" i="12"/>
  <c r="H489" i="12"/>
  <c r="I489" i="12"/>
  <c r="H490" i="12"/>
  <c r="I490" i="12"/>
  <c r="H491" i="12"/>
  <c r="I491" i="12"/>
  <c r="H492" i="12"/>
  <c r="I492" i="12"/>
  <c r="H493" i="12"/>
  <c r="I493" i="12"/>
  <c r="H494" i="12"/>
  <c r="I494" i="12"/>
  <c r="L495" i="12"/>
  <c r="H496" i="12"/>
  <c r="I496" i="12"/>
  <c r="H497" i="12"/>
  <c r="I497" i="12"/>
  <c r="H498" i="12"/>
  <c r="I498" i="12"/>
  <c r="H499" i="12"/>
  <c r="I499" i="12"/>
  <c r="H500" i="12"/>
  <c r="I500" i="12"/>
  <c r="H501" i="12"/>
  <c r="I501" i="12"/>
  <c r="H502" i="12"/>
  <c r="I502" i="12"/>
  <c r="H503" i="12"/>
  <c r="I503" i="12"/>
  <c r="H504" i="12"/>
  <c r="I504" i="12"/>
  <c r="H505" i="12"/>
  <c r="I505" i="12"/>
  <c r="H506" i="12"/>
  <c r="I506" i="12"/>
  <c r="H507" i="12"/>
  <c r="I507" i="12"/>
  <c r="H508" i="12"/>
  <c r="I508" i="12"/>
  <c r="H509" i="12"/>
  <c r="I509" i="12"/>
  <c r="H510" i="12"/>
  <c r="I510" i="12"/>
  <c r="H511" i="12"/>
  <c r="I511" i="12"/>
  <c r="H512" i="12"/>
  <c r="I512" i="12"/>
  <c r="H513" i="12"/>
  <c r="I513" i="12"/>
  <c r="H514" i="12"/>
  <c r="I514" i="12"/>
  <c r="H515" i="12"/>
  <c r="I515" i="12"/>
  <c r="H516" i="12"/>
  <c r="I516" i="12"/>
  <c r="H517" i="12"/>
  <c r="I517" i="12"/>
  <c r="H518" i="12"/>
  <c r="I518" i="12"/>
  <c r="H519" i="12"/>
  <c r="I519" i="12"/>
  <c r="H520" i="12"/>
  <c r="I520" i="12"/>
  <c r="H521" i="12"/>
  <c r="I521" i="12"/>
  <c r="H522" i="12"/>
  <c r="I522" i="12"/>
  <c r="H523" i="12"/>
  <c r="I523" i="12"/>
  <c r="H524" i="12"/>
  <c r="I524" i="12"/>
  <c r="H525" i="12"/>
  <c r="I525" i="12"/>
  <c r="H526" i="12"/>
  <c r="I526" i="12"/>
  <c r="H527" i="12"/>
  <c r="I527" i="12"/>
  <c r="H528" i="12"/>
  <c r="I528" i="12"/>
  <c r="H529" i="12"/>
  <c r="I529" i="12"/>
  <c r="H530" i="12"/>
  <c r="I530" i="12"/>
  <c r="H531" i="12"/>
  <c r="I531" i="12"/>
  <c r="H532" i="12"/>
  <c r="I532" i="12"/>
  <c r="H533" i="12"/>
  <c r="I533" i="12"/>
  <c r="H534" i="12"/>
  <c r="I534" i="12"/>
  <c r="H535" i="12"/>
  <c r="I535" i="12"/>
  <c r="H536" i="12"/>
  <c r="I536" i="12"/>
  <c r="H537" i="12"/>
  <c r="I537" i="12"/>
  <c r="H538" i="12"/>
  <c r="I538" i="12"/>
  <c r="H539" i="12"/>
  <c r="I539" i="12"/>
  <c r="H541" i="12"/>
  <c r="I541" i="12"/>
  <c r="H542" i="12"/>
  <c r="I542" i="12"/>
  <c r="H543" i="12"/>
  <c r="I543" i="12"/>
  <c r="H544" i="12"/>
  <c r="I544" i="12"/>
  <c r="H545" i="12"/>
  <c r="I545" i="12"/>
  <c r="H546" i="12"/>
  <c r="I546" i="12"/>
  <c r="H547" i="12"/>
  <c r="I547" i="12"/>
  <c r="H548" i="12"/>
  <c r="I548" i="12"/>
  <c r="H549" i="12"/>
  <c r="I549" i="12"/>
  <c r="H550" i="12"/>
  <c r="I550" i="12"/>
  <c r="H551" i="12"/>
  <c r="I551" i="12"/>
  <c r="H552" i="12"/>
  <c r="I552" i="12"/>
  <c r="H553" i="12"/>
  <c r="I553" i="12"/>
  <c r="H554" i="12"/>
  <c r="I554" i="12"/>
  <c r="H555" i="12"/>
  <c r="I555" i="12"/>
  <c r="H556" i="12"/>
  <c r="I556" i="12"/>
  <c r="H557" i="12"/>
  <c r="I557" i="12"/>
  <c r="H558" i="12"/>
  <c r="I558" i="12"/>
  <c r="H559" i="12"/>
  <c r="I559" i="12"/>
  <c r="H560" i="12"/>
  <c r="I560" i="12"/>
  <c r="H561" i="12"/>
  <c r="I561" i="12"/>
  <c r="H562" i="12"/>
  <c r="I562" i="12"/>
  <c r="H563" i="12"/>
  <c r="I563" i="12"/>
  <c r="H564" i="12"/>
  <c r="I564" i="12"/>
  <c r="H565" i="12"/>
  <c r="I565" i="12"/>
  <c r="H566" i="12"/>
  <c r="I566" i="12"/>
  <c r="H567" i="12"/>
  <c r="I567" i="12"/>
  <c r="H568" i="12"/>
  <c r="I568" i="12"/>
  <c r="H569" i="12"/>
  <c r="I569" i="12"/>
  <c r="H570" i="12"/>
  <c r="I570" i="12"/>
  <c r="H571" i="12"/>
  <c r="I571" i="12"/>
  <c r="H572" i="12"/>
  <c r="I572" i="12"/>
  <c r="H573" i="12"/>
  <c r="I573" i="12"/>
  <c r="H574" i="12"/>
  <c r="I574" i="12"/>
  <c r="H575" i="12"/>
  <c r="I575" i="12"/>
  <c r="H576" i="12"/>
  <c r="I576" i="12"/>
  <c r="H577" i="12"/>
  <c r="I577" i="12"/>
  <c r="H578" i="12"/>
  <c r="I578" i="12"/>
  <c r="H579" i="12"/>
  <c r="I579" i="12"/>
  <c r="H580" i="12"/>
  <c r="I580" i="12"/>
  <c r="H582" i="12"/>
  <c r="I582" i="12"/>
  <c r="H583" i="12"/>
  <c r="I583" i="12"/>
  <c r="H584" i="12"/>
  <c r="I584" i="12"/>
  <c r="H585" i="12"/>
  <c r="I585" i="12"/>
  <c r="H586" i="12"/>
  <c r="I586" i="12"/>
  <c r="H587" i="12"/>
  <c r="I587" i="12"/>
  <c r="H588" i="12"/>
  <c r="I588" i="12"/>
  <c r="H589" i="12"/>
  <c r="I589" i="12"/>
  <c r="H590" i="12"/>
  <c r="I590" i="12"/>
  <c r="H591" i="12"/>
  <c r="I591" i="12"/>
  <c r="H592" i="12"/>
  <c r="I592" i="12"/>
  <c r="H593" i="12"/>
  <c r="I593" i="12"/>
  <c r="H594" i="12"/>
  <c r="I594" i="12"/>
  <c r="H595" i="12"/>
  <c r="I595" i="12"/>
  <c r="H596" i="12"/>
  <c r="I596" i="12"/>
  <c r="H597" i="12"/>
  <c r="I597" i="12"/>
  <c r="H598" i="12"/>
  <c r="I598" i="12"/>
  <c r="H599" i="12"/>
  <c r="I599" i="12"/>
  <c r="H600" i="12"/>
  <c r="I600" i="12"/>
  <c r="H601" i="12"/>
  <c r="I601" i="12"/>
  <c r="H602" i="12"/>
  <c r="I602" i="12"/>
  <c r="H603" i="12"/>
  <c r="I603" i="12"/>
  <c r="H604" i="12"/>
  <c r="I604" i="12"/>
  <c r="H606" i="12"/>
  <c r="I606" i="12"/>
  <c r="H607" i="12"/>
  <c r="I607" i="12"/>
  <c r="H608" i="12"/>
  <c r="I608" i="12"/>
  <c r="H609" i="12"/>
  <c r="I609" i="12"/>
  <c r="H610" i="12"/>
  <c r="I610" i="12"/>
  <c r="H611" i="12"/>
  <c r="I611" i="12"/>
  <c r="H612" i="12"/>
  <c r="I612" i="12"/>
  <c r="H613" i="12"/>
  <c r="I613" i="12"/>
  <c r="H614" i="12"/>
  <c r="I614" i="12"/>
  <c r="H615" i="12"/>
  <c r="I615" i="12"/>
  <c r="H616" i="12"/>
  <c r="I616" i="12"/>
  <c r="H617" i="12"/>
  <c r="I617" i="12"/>
  <c r="H618" i="12"/>
  <c r="I618" i="12"/>
  <c r="H619" i="12"/>
  <c r="I619" i="12"/>
  <c r="H620" i="12"/>
  <c r="I620" i="12"/>
  <c r="H621" i="12"/>
  <c r="I621" i="12"/>
  <c r="H622" i="12"/>
  <c r="I622" i="12"/>
  <c r="H623" i="12"/>
  <c r="I623" i="12"/>
  <c r="H626" i="12"/>
  <c r="I626" i="12"/>
  <c r="H627" i="12"/>
  <c r="I627" i="12"/>
  <c r="H628" i="12"/>
  <c r="I628" i="12"/>
  <c r="H629" i="12"/>
  <c r="I629" i="12"/>
  <c r="H630" i="12"/>
  <c r="I630" i="12"/>
  <c r="H631" i="12"/>
  <c r="I631" i="12"/>
  <c r="H632" i="12"/>
  <c r="I632" i="12"/>
  <c r="H633" i="12"/>
  <c r="I633" i="12"/>
  <c r="H634" i="12"/>
  <c r="I634" i="12"/>
  <c r="H635" i="12"/>
  <c r="I635" i="12"/>
  <c r="H636" i="12"/>
  <c r="I636" i="12"/>
  <c r="H637" i="12"/>
  <c r="I637" i="12"/>
  <c r="H639" i="12"/>
  <c r="I639" i="12"/>
  <c r="H640" i="12"/>
  <c r="I640" i="12"/>
  <c r="H641" i="12"/>
  <c r="I641" i="12"/>
  <c r="H642" i="12"/>
  <c r="I642" i="12"/>
  <c r="H644" i="12"/>
  <c r="I644" i="12"/>
  <c r="H645" i="12"/>
  <c r="I645" i="12"/>
  <c r="H646" i="12"/>
  <c r="I646" i="12"/>
  <c r="H647" i="12"/>
  <c r="I647" i="12"/>
  <c r="H648" i="12"/>
  <c r="I648" i="12"/>
  <c r="H649" i="12"/>
  <c r="I649" i="12"/>
  <c r="H650" i="12"/>
  <c r="I650" i="12"/>
  <c r="H651" i="12"/>
  <c r="I651" i="12"/>
  <c r="H652" i="12"/>
  <c r="I652" i="12"/>
  <c r="H653" i="12"/>
  <c r="I653" i="12"/>
  <c r="H654" i="12"/>
  <c r="I654" i="12"/>
  <c r="H655" i="12"/>
  <c r="I655" i="12"/>
  <c r="H656" i="12"/>
  <c r="I656" i="12"/>
  <c r="H657" i="12"/>
  <c r="I657" i="12"/>
  <c r="H658" i="12"/>
  <c r="I658" i="12"/>
  <c r="H659" i="12"/>
  <c r="I659" i="12"/>
  <c r="H660" i="12"/>
  <c r="I660" i="12"/>
  <c r="H661" i="12"/>
  <c r="I661" i="12"/>
  <c r="H662" i="12"/>
  <c r="I662" i="12"/>
  <c r="H663" i="12"/>
  <c r="I663" i="12"/>
  <c r="H665" i="12"/>
  <c r="I665" i="12"/>
  <c r="H666" i="12"/>
  <c r="I666" i="12"/>
  <c r="H667" i="12"/>
  <c r="I667" i="12"/>
  <c r="H668" i="12"/>
  <c r="I668" i="12"/>
  <c r="H669" i="12"/>
  <c r="I669" i="12"/>
  <c r="H670" i="12"/>
  <c r="I670" i="12"/>
  <c r="H671" i="12"/>
  <c r="I671" i="12"/>
  <c r="H672" i="12"/>
  <c r="I672" i="12"/>
  <c r="H673" i="12"/>
  <c r="I673" i="12"/>
  <c r="H675" i="12"/>
  <c r="I675" i="12"/>
  <c r="H676" i="12"/>
  <c r="I676" i="12"/>
  <c r="H677" i="12"/>
  <c r="I677" i="12"/>
  <c r="H678" i="12"/>
  <c r="I678" i="12"/>
  <c r="H679" i="12"/>
  <c r="I679" i="12"/>
  <c r="H680" i="12"/>
  <c r="I680" i="12"/>
  <c r="H681" i="12"/>
  <c r="I681" i="12"/>
  <c r="H682" i="12"/>
  <c r="I682" i="12"/>
  <c r="H683" i="12"/>
  <c r="I683" i="12"/>
  <c r="H685" i="12"/>
  <c r="I685" i="12"/>
  <c r="H686" i="12"/>
  <c r="I686" i="12"/>
  <c r="H687" i="12"/>
  <c r="I687" i="12"/>
  <c r="H688" i="12"/>
  <c r="I688" i="12"/>
  <c r="H689" i="12"/>
  <c r="I689" i="12"/>
  <c r="H690" i="12"/>
  <c r="I690" i="12"/>
  <c r="H691" i="12"/>
  <c r="I691" i="12"/>
  <c r="H693" i="12"/>
  <c r="I693" i="12"/>
  <c r="H694" i="12"/>
  <c r="I694" i="12"/>
  <c r="H695" i="12"/>
  <c r="I695" i="12"/>
  <c r="H696" i="12"/>
  <c r="I696" i="12"/>
  <c r="H697" i="12"/>
  <c r="I697" i="12"/>
  <c r="H698" i="12"/>
  <c r="I698" i="12"/>
  <c r="H699" i="12"/>
  <c r="I699" i="12"/>
  <c r="H700" i="12"/>
  <c r="I700" i="12"/>
  <c r="H701" i="12"/>
  <c r="I701" i="12"/>
  <c r="H702" i="12"/>
  <c r="I702" i="12"/>
  <c r="H703" i="12"/>
  <c r="I703" i="12"/>
  <c r="H704" i="12"/>
  <c r="I704" i="12"/>
  <c r="H705" i="12"/>
  <c r="I705" i="12"/>
  <c r="H706" i="12"/>
  <c r="I706" i="12"/>
  <c r="H707" i="12"/>
  <c r="I707" i="12"/>
  <c r="H708" i="12"/>
  <c r="I708" i="12"/>
  <c r="H709" i="12"/>
  <c r="I709" i="12"/>
  <c r="H710" i="12"/>
  <c r="I710" i="12"/>
  <c r="H711" i="12"/>
  <c r="I711" i="12"/>
  <c r="H712" i="12"/>
  <c r="I712" i="12"/>
  <c r="H713" i="12"/>
  <c r="I713" i="12"/>
  <c r="H714" i="12"/>
  <c r="I714" i="12"/>
  <c r="H716" i="12"/>
  <c r="I716" i="12"/>
  <c r="H717" i="12"/>
  <c r="I717" i="12"/>
  <c r="H718" i="12"/>
  <c r="I718" i="12"/>
  <c r="H719" i="12"/>
  <c r="I719" i="12"/>
  <c r="H720" i="12"/>
  <c r="I720" i="12"/>
  <c r="H721" i="12"/>
  <c r="I721" i="12"/>
  <c r="H722" i="12"/>
  <c r="I722" i="12"/>
  <c r="H723" i="12"/>
  <c r="I723" i="12"/>
  <c r="H724" i="12"/>
  <c r="I724" i="12"/>
  <c r="H725" i="12"/>
  <c r="I725" i="12"/>
  <c r="H726" i="12"/>
  <c r="I726" i="12"/>
  <c r="H727" i="12"/>
  <c r="I727" i="12"/>
  <c r="H728" i="12"/>
  <c r="I728" i="12"/>
  <c r="H729" i="12"/>
  <c r="I729" i="12"/>
  <c r="H730" i="12"/>
  <c r="I730" i="12"/>
  <c r="H731" i="12"/>
  <c r="I731" i="12"/>
  <c r="H732" i="12"/>
  <c r="I732" i="12"/>
  <c r="H733" i="12"/>
  <c r="I733" i="12"/>
  <c r="H734" i="12"/>
  <c r="I734" i="12"/>
  <c r="H735" i="12"/>
  <c r="I735" i="12"/>
  <c r="H736" i="12"/>
  <c r="I736" i="12"/>
  <c r="H737" i="12"/>
  <c r="I737" i="12"/>
  <c r="I16" i="12"/>
  <c r="H16" i="12"/>
  <c r="H17" i="7"/>
  <c r="I17" i="7"/>
  <c r="H18" i="7"/>
  <c r="I18" i="7"/>
  <c r="H19" i="7"/>
  <c r="I19" i="7"/>
  <c r="H20" i="7"/>
  <c r="I20" i="7"/>
  <c r="H21" i="7"/>
  <c r="I21" i="7"/>
  <c r="H22" i="7"/>
  <c r="I22" i="7"/>
  <c r="H23" i="7"/>
  <c r="I23" i="7"/>
  <c r="H24" i="7"/>
  <c r="I24" i="7"/>
  <c r="H25" i="7"/>
  <c r="I25" i="7"/>
  <c r="H26" i="7"/>
  <c r="I26" i="7"/>
  <c r="H27" i="7"/>
  <c r="I27" i="7"/>
  <c r="H28" i="7"/>
  <c r="I28" i="7"/>
  <c r="H29" i="7"/>
  <c r="I29" i="7"/>
  <c r="H30" i="7"/>
  <c r="I30" i="7"/>
  <c r="H31" i="7"/>
  <c r="I31" i="7"/>
  <c r="H32" i="7"/>
  <c r="I32" i="7"/>
  <c r="K33" i="7"/>
  <c r="H34" i="7"/>
  <c r="I34" i="7"/>
  <c r="H35" i="7"/>
  <c r="I35" i="7"/>
  <c r="H36" i="7"/>
  <c r="I36" i="7"/>
  <c r="H37" i="7"/>
  <c r="I37" i="7"/>
  <c r="H38" i="7"/>
  <c r="I38" i="7"/>
  <c r="H39" i="7"/>
  <c r="I39" i="7"/>
  <c r="L40" i="7"/>
  <c r="H41" i="7"/>
  <c r="I41" i="7"/>
  <c r="H42" i="7"/>
  <c r="I42" i="7"/>
  <c r="H43" i="7"/>
  <c r="I43" i="7"/>
  <c r="H44" i="7"/>
  <c r="I44" i="7"/>
  <c r="H45" i="7"/>
  <c r="I45" i="7"/>
  <c r="H46" i="7"/>
  <c r="I46" i="7"/>
  <c r="H47" i="7"/>
  <c r="I47" i="7"/>
  <c r="H48" i="7"/>
  <c r="I48" i="7"/>
  <c r="H49" i="7"/>
  <c r="I49" i="7"/>
  <c r="H50" i="7"/>
  <c r="I50" i="7"/>
  <c r="H51" i="7"/>
  <c r="I51" i="7"/>
  <c r="H52" i="7"/>
  <c r="I52" i="7"/>
  <c r="H53" i="7"/>
  <c r="I53" i="7"/>
  <c r="H54" i="7"/>
  <c r="I54" i="7"/>
  <c r="H55" i="7"/>
  <c r="I55" i="7"/>
  <c r="H56" i="7"/>
  <c r="I56" i="7"/>
  <c r="H57" i="7"/>
  <c r="I57" i="7"/>
  <c r="H58" i="7"/>
  <c r="I58" i="7"/>
  <c r="H59" i="7"/>
  <c r="I59" i="7"/>
  <c r="H60" i="7"/>
  <c r="I60" i="7"/>
  <c r="H61" i="7"/>
  <c r="I61" i="7"/>
  <c r="H62" i="7"/>
  <c r="I62" i="7"/>
  <c r="H63" i="7"/>
  <c r="I63" i="7"/>
  <c r="H64" i="7"/>
  <c r="I64" i="7"/>
  <c r="H65" i="7"/>
  <c r="I65" i="7"/>
  <c r="H66" i="7"/>
  <c r="I66" i="7"/>
  <c r="H67" i="7"/>
  <c r="I67" i="7"/>
  <c r="H68" i="7"/>
  <c r="I68" i="7"/>
  <c r="H69" i="7"/>
  <c r="I69" i="7"/>
  <c r="H70" i="7"/>
  <c r="I70" i="7"/>
  <c r="H71" i="7"/>
  <c r="I71" i="7"/>
  <c r="H72" i="7"/>
  <c r="I72" i="7"/>
  <c r="H73" i="7"/>
  <c r="I73" i="7"/>
  <c r="H74" i="7"/>
  <c r="I74" i="7"/>
  <c r="H75" i="7"/>
  <c r="I75" i="7"/>
  <c r="H76" i="7"/>
  <c r="I76" i="7"/>
  <c r="H77" i="7"/>
  <c r="I77" i="7"/>
  <c r="H78" i="7"/>
  <c r="I78" i="7"/>
  <c r="H79" i="7"/>
  <c r="I79" i="7"/>
  <c r="H80" i="7"/>
  <c r="I80" i="7"/>
  <c r="H81" i="7"/>
  <c r="I81" i="7"/>
  <c r="H82" i="7"/>
  <c r="I82" i="7"/>
  <c r="H83" i="7"/>
  <c r="I83" i="7"/>
  <c r="H84" i="7"/>
  <c r="I84" i="7"/>
  <c r="H85" i="7"/>
  <c r="I85" i="7"/>
  <c r="H86" i="7"/>
  <c r="I86" i="7"/>
  <c r="H87" i="7"/>
  <c r="I87" i="7"/>
  <c r="H88" i="7"/>
  <c r="I88" i="7"/>
  <c r="H89" i="7"/>
  <c r="I89" i="7"/>
  <c r="H90" i="7"/>
  <c r="I90" i="7"/>
  <c r="H91" i="7"/>
  <c r="I91" i="7"/>
  <c r="H92" i="7"/>
  <c r="I92" i="7"/>
  <c r="H93" i="7"/>
  <c r="I93" i="7"/>
  <c r="H94" i="7"/>
  <c r="I94" i="7"/>
  <c r="H95" i="7"/>
  <c r="I95" i="7"/>
  <c r="H96" i="7"/>
  <c r="I96" i="7"/>
  <c r="H97" i="7"/>
  <c r="I97" i="7"/>
  <c r="H98" i="7"/>
  <c r="I98" i="7"/>
  <c r="H99" i="7"/>
  <c r="I99" i="7"/>
  <c r="H100" i="7"/>
  <c r="I100" i="7"/>
  <c r="H101" i="7"/>
  <c r="I101" i="7"/>
  <c r="H102" i="7"/>
  <c r="I102" i="7"/>
  <c r="H103" i="7"/>
  <c r="I103" i="7"/>
  <c r="H104" i="7"/>
  <c r="I104" i="7"/>
  <c r="H105" i="7"/>
  <c r="I105" i="7"/>
  <c r="H106" i="7"/>
  <c r="I106" i="7"/>
  <c r="H107" i="7"/>
  <c r="I107" i="7"/>
  <c r="H108" i="7"/>
  <c r="I108" i="7"/>
  <c r="H109" i="7"/>
  <c r="I109" i="7"/>
  <c r="H110" i="7"/>
  <c r="I110" i="7"/>
  <c r="H111" i="7"/>
  <c r="I111" i="7"/>
  <c r="H112" i="7"/>
  <c r="I112" i="7"/>
  <c r="H113" i="7"/>
  <c r="I113" i="7"/>
  <c r="H115" i="7"/>
  <c r="I115" i="7"/>
  <c r="H116" i="7"/>
  <c r="I116" i="7"/>
  <c r="H117" i="7"/>
  <c r="I117" i="7"/>
  <c r="H118" i="7"/>
  <c r="I118" i="7"/>
  <c r="H119" i="7"/>
  <c r="I119" i="7"/>
  <c r="H120" i="7"/>
  <c r="I120" i="7"/>
  <c r="H121" i="7"/>
  <c r="I121" i="7"/>
  <c r="H122" i="7"/>
  <c r="I122" i="7"/>
  <c r="H123" i="7"/>
  <c r="I123" i="7"/>
  <c r="L124" i="7"/>
  <c r="H125" i="7"/>
  <c r="I125" i="7"/>
  <c r="H126" i="7"/>
  <c r="I126" i="7"/>
  <c r="H127" i="7"/>
  <c r="I127" i="7"/>
  <c r="H128" i="7"/>
  <c r="I128" i="7"/>
  <c r="H129" i="7"/>
  <c r="I129" i="7"/>
  <c r="H130" i="7"/>
  <c r="I130" i="7"/>
  <c r="H131" i="7"/>
  <c r="I131" i="7"/>
  <c r="H132" i="7"/>
  <c r="I132" i="7"/>
  <c r="H133" i="7"/>
  <c r="I133" i="7"/>
  <c r="L134" i="7"/>
  <c r="H135" i="7"/>
  <c r="I135" i="7"/>
  <c r="H136" i="7"/>
  <c r="I136" i="7"/>
  <c r="H137" i="7"/>
  <c r="I137" i="7"/>
  <c r="H138" i="7"/>
  <c r="I138" i="7"/>
  <c r="H139" i="7"/>
  <c r="I139" i="7"/>
  <c r="H140" i="7"/>
  <c r="I140" i="7"/>
  <c r="H141" i="7"/>
  <c r="I141" i="7"/>
  <c r="H142" i="7"/>
  <c r="I142" i="7"/>
  <c r="H143" i="7"/>
  <c r="I143" i="7"/>
  <c r="H144" i="7"/>
  <c r="I144" i="7"/>
  <c r="H145" i="7"/>
  <c r="I145" i="7"/>
  <c r="H146" i="7"/>
  <c r="I146" i="7"/>
  <c r="H147" i="7"/>
  <c r="I147" i="7"/>
  <c r="H148" i="7"/>
  <c r="I148" i="7"/>
  <c r="H149" i="7"/>
  <c r="I149" i="7"/>
  <c r="H151" i="7"/>
  <c r="I151" i="7"/>
  <c r="H152" i="7"/>
  <c r="I152" i="7"/>
  <c r="H153" i="7"/>
  <c r="I153" i="7"/>
  <c r="H154" i="7"/>
  <c r="I154" i="7"/>
  <c r="H155" i="7"/>
  <c r="I155" i="7"/>
  <c r="H156" i="7"/>
  <c r="I156" i="7"/>
  <c r="H157" i="7"/>
  <c r="I157" i="7"/>
  <c r="H158" i="7"/>
  <c r="I158" i="7"/>
  <c r="H159" i="7"/>
  <c r="I159" i="7"/>
  <c r="H160" i="7"/>
  <c r="I160" i="7"/>
  <c r="H161" i="7"/>
  <c r="I161" i="7"/>
  <c r="H162" i="7"/>
  <c r="I162" i="7"/>
  <c r="H163" i="7"/>
  <c r="I163" i="7"/>
  <c r="H164" i="7"/>
  <c r="I164" i="7"/>
  <c r="H165" i="7"/>
  <c r="I165" i="7"/>
  <c r="H166" i="7"/>
  <c r="I166" i="7"/>
  <c r="H167" i="7"/>
  <c r="I167" i="7"/>
  <c r="H168" i="7"/>
  <c r="I168" i="7"/>
  <c r="H169" i="7"/>
  <c r="I169" i="7"/>
  <c r="K170" i="7"/>
  <c r="H171" i="7"/>
  <c r="I171" i="7"/>
  <c r="H172" i="7"/>
  <c r="I172" i="7"/>
  <c r="H173" i="7"/>
  <c r="I173" i="7"/>
  <c r="H174" i="7"/>
  <c r="I174" i="7"/>
  <c r="H175" i="7"/>
  <c r="I175" i="7"/>
  <c r="H176" i="7"/>
  <c r="I176" i="7"/>
  <c r="H177" i="7"/>
  <c r="I177" i="7"/>
  <c r="H178" i="7"/>
  <c r="I178" i="7"/>
  <c r="H180" i="7"/>
  <c r="I180" i="7"/>
  <c r="H181" i="7"/>
  <c r="I181" i="7"/>
  <c r="H182" i="7"/>
  <c r="I182" i="7"/>
  <c r="H183" i="7"/>
  <c r="I183" i="7"/>
  <c r="H184" i="7"/>
  <c r="I184" i="7"/>
  <c r="H185" i="7"/>
  <c r="I185" i="7"/>
  <c r="H186" i="7"/>
  <c r="I186" i="7"/>
  <c r="H187" i="7"/>
  <c r="I187" i="7"/>
  <c r="K188" i="7"/>
  <c r="H189" i="7"/>
  <c r="I189" i="7"/>
  <c r="H190" i="7"/>
  <c r="I190" i="7"/>
  <c r="H191" i="7"/>
  <c r="I191" i="7"/>
  <c r="H192" i="7"/>
  <c r="I192" i="7"/>
  <c r="H193" i="7"/>
  <c r="I193" i="7"/>
  <c r="H194" i="7"/>
  <c r="I194" i="7"/>
  <c r="H195" i="7"/>
  <c r="I195" i="7"/>
  <c r="H196" i="7"/>
  <c r="I196" i="7"/>
  <c r="H198" i="7"/>
  <c r="I198" i="7"/>
  <c r="H199" i="7"/>
  <c r="I199" i="7"/>
  <c r="H200" i="7"/>
  <c r="I200" i="7"/>
  <c r="H201" i="7"/>
  <c r="I201" i="7"/>
  <c r="H202" i="7"/>
  <c r="I202" i="7"/>
  <c r="H203" i="7"/>
  <c r="I203" i="7"/>
  <c r="H204" i="7"/>
  <c r="I204" i="7"/>
  <c r="H205" i="7"/>
  <c r="I205" i="7"/>
  <c r="H206" i="7"/>
  <c r="I206" i="7"/>
  <c r="L207" i="7"/>
  <c r="H208" i="7"/>
  <c r="I208" i="7"/>
  <c r="H209" i="7"/>
  <c r="I209" i="7"/>
  <c r="H210" i="7"/>
  <c r="I210" i="7"/>
  <c r="H211" i="7"/>
  <c r="I211" i="7"/>
  <c r="H212" i="7"/>
  <c r="I212" i="7"/>
  <c r="H213" i="7"/>
  <c r="I213" i="7"/>
  <c r="H214" i="7"/>
  <c r="I214" i="7"/>
  <c r="H215" i="7"/>
  <c r="I215" i="7"/>
  <c r="H216" i="7"/>
  <c r="I216" i="7"/>
  <c r="H217" i="7"/>
  <c r="I217" i="7"/>
  <c r="H218" i="7"/>
  <c r="I218" i="7"/>
  <c r="H219" i="7"/>
  <c r="I219" i="7"/>
  <c r="H220" i="7"/>
  <c r="I220" i="7"/>
  <c r="H221" i="7"/>
  <c r="I221" i="7"/>
  <c r="H222" i="7"/>
  <c r="I222" i="7"/>
  <c r="H223" i="7"/>
  <c r="I223" i="7"/>
  <c r="H224" i="7"/>
  <c r="I224" i="7"/>
  <c r="H225" i="7"/>
  <c r="I225" i="7"/>
  <c r="H226" i="7"/>
  <c r="I226" i="7"/>
  <c r="H227" i="7"/>
  <c r="I227" i="7"/>
  <c r="H228" i="7"/>
  <c r="I228" i="7"/>
  <c r="H229" i="7"/>
  <c r="I229" i="7"/>
  <c r="H230" i="7"/>
  <c r="I230" i="7"/>
  <c r="H231" i="7"/>
  <c r="I231" i="7"/>
  <c r="H232" i="7"/>
  <c r="I232" i="7"/>
  <c r="H233" i="7"/>
  <c r="I233" i="7"/>
  <c r="H234" i="7"/>
  <c r="I234" i="7"/>
  <c r="H235" i="7"/>
  <c r="I235" i="7"/>
  <c r="H236" i="7"/>
  <c r="I236" i="7"/>
  <c r="H237" i="7"/>
  <c r="I237" i="7"/>
  <c r="H238" i="7"/>
  <c r="I238" i="7"/>
  <c r="H239" i="7"/>
  <c r="I239" i="7"/>
  <c r="H240" i="7"/>
  <c r="I240" i="7"/>
  <c r="H241" i="7"/>
  <c r="I241" i="7"/>
  <c r="K242" i="7"/>
  <c r="H243" i="7"/>
  <c r="I243" i="7"/>
  <c r="H244" i="7"/>
  <c r="I244" i="7"/>
  <c r="H245" i="7"/>
  <c r="I245" i="7"/>
  <c r="H246" i="7"/>
  <c r="I246" i="7"/>
  <c r="H247" i="7"/>
  <c r="I247" i="7"/>
  <c r="H248" i="7"/>
  <c r="I248" i="7"/>
  <c r="H249" i="7"/>
  <c r="I249" i="7"/>
  <c r="H250" i="7"/>
  <c r="I250" i="7"/>
  <c r="H251" i="7"/>
  <c r="I251" i="7"/>
  <c r="H252" i="7"/>
  <c r="I252" i="7"/>
  <c r="L253" i="7"/>
  <c r="H254" i="7"/>
  <c r="I254" i="7"/>
  <c r="H255" i="7"/>
  <c r="I255" i="7"/>
  <c r="H256" i="7"/>
  <c r="I256" i="7"/>
  <c r="H257" i="7"/>
  <c r="I257" i="7"/>
  <c r="H258" i="7"/>
  <c r="I258" i="7"/>
  <c r="H259" i="7"/>
  <c r="I259" i="7"/>
  <c r="H260" i="7"/>
  <c r="I260" i="7"/>
  <c r="H261" i="7"/>
  <c r="I261" i="7"/>
  <c r="H262" i="7"/>
  <c r="I262" i="7"/>
  <c r="H263" i="7"/>
  <c r="I263" i="7"/>
  <c r="H264" i="7"/>
  <c r="I264" i="7"/>
  <c r="H265" i="7"/>
  <c r="I265" i="7"/>
  <c r="H266" i="7"/>
  <c r="I266" i="7"/>
  <c r="H267" i="7"/>
  <c r="I267" i="7"/>
  <c r="H268" i="7"/>
  <c r="I268" i="7"/>
  <c r="H269" i="7"/>
  <c r="I269" i="7"/>
  <c r="H270" i="7"/>
  <c r="I270" i="7"/>
  <c r="H271" i="7"/>
  <c r="I271" i="7"/>
  <c r="H272" i="7"/>
  <c r="I272" i="7"/>
  <c r="H273" i="7"/>
  <c r="I273" i="7"/>
  <c r="H274" i="7"/>
  <c r="I274" i="7"/>
  <c r="H275" i="7"/>
  <c r="I275" i="7"/>
  <c r="H276" i="7"/>
  <c r="I276" i="7"/>
  <c r="H277" i="7"/>
  <c r="I277" i="7"/>
  <c r="H278" i="7"/>
  <c r="I278" i="7"/>
  <c r="H279" i="7"/>
  <c r="I279" i="7"/>
  <c r="H280" i="7"/>
  <c r="I280" i="7"/>
  <c r="H281" i="7"/>
  <c r="I281" i="7"/>
  <c r="H282" i="7"/>
  <c r="I282" i="7"/>
  <c r="H283" i="7"/>
  <c r="I283" i="7"/>
  <c r="H284" i="7"/>
  <c r="I284" i="7"/>
  <c r="H285" i="7"/>
  <c r="I285" i="7"/>
  <c r="H287" i="7"/>
  <c r="I287" i="7"/>
  <c r="H288" i="7"/>
  <c r="I288" i="7"/>
  <c r="H289" i="7"/>
  <c r="I289" i="7"/>
  <c r="H290" i="7"/>
  <c r="I290" i="7"/>
  <c r="H291" i="7"/>
  <c r="I291" i="7"/>
  <c r="H292" i="7"/>
  <c r="I292" i="7"/>
  <c r="H293" i="7"/>
  <c r="I293" i="7"/>
  <c r="H294" i="7"/>
  <c r="I294" i="7"/>
  <c r="H295" i="7"/>
  <c r="I295" i="7"/>
  <c r="H296" i="7"/>
  <c r="I296" i="7"/>
  <c r="H297" i="7"/>
  <c r="I297" i="7"/>
  <c r="H298" i="7"/>
  <c r="I298" i="7"/>
  <c r="H299" i="7"/>
  <c r="I299" i="7"/>
  <c r="H300" i="7"/>
  <c r="I300" i="7"/>
  <c r="H301" i="7"/>
  <c r="I301" i="7"/>
  <c r="H302" i="7"/>
  <c r="I302" i="7"/>
  <c r="H303" i="7"/>
  <c r="I303" i="7"/>
  <c r="H304" i="7"/>
  <c r="I304" i="7"/>
  <c r="H305" i="7"/>
  <c r="I305" i="7"/>
  <c r="H306" i="7"/>
  <c r="I306" i="7"/>
  <c r="H307" i="7"/>
  <c r="I307" i="7"/>
  <c r="H308" i="7"/>
  <c r="I308" i="7"/>
  <c r="H309" i="7"/>
  <c r="I309" i="7"/>
  <c r="H310" i="7"/>
  <c r="I310" i="7"/>
  <c r="H312" i="7"/>
  <c r="I312" i="7"/>
  <c r="H313" i="7"/>
  <c r="I313" i="7"/>
  <c r="H314" i="7"/>
  <c r="I314" i="7"/>
  <c r="H315" i="7"/>
  <c r="I315" i="7"/>
  <c r="H316" i="7"/>
  <c r="I316" i="7"/>
  <c r="H317" i="7"/>
  <c r="I317" i="7"/>
  <c r="H318" i="7"/>
  <c r="I318" i="7"/>
  <c r="H319" i="7"/>
  <c r="I319" i="7"/>
  <c r="H320" i="7"/>
  <c r="I320" i="7"/>
  <c r="H321" i="7"/>
  <c r="I321" i="7"/>
  <c r="H322" i="7"/>
  <c r="I322" i="7"/>
  <c r="H323" i="7"/>
  <c r="I323" i="7"/>
  <c r="H324" i="7"/>
  <c r="I324" i="7"/>
  <c r="H325" i="7"/>
  <c r="I325" i="7"/>
  <c r="H326" i="7"/>
  <c r="I326" i="7"/>
  <c r="H327" i="7"/>
  <c r="I327" i="7"/>
  <c r="H328" i="7"/>
  <c r="I328" i="7"/>
  <c r="H329" i="7"/>
  <c r="I329" i="7"/>
  <c r="H330" i="7"/>
  <c r="I330" i="7"/>
  <c r="H331" i="7"/>
  <c r="I331" i="7"/>
  <c r="H332" i="7"/>
  <c r="I332" i="7"/>
  <c r="L333" i="7"/>
  <c r="H335" i="7"/>
  <c r="I335" i="7"/>
  <c r="H336" i="7"/>
  <c r="I336" i="7"/>
  <c r="H337" i="7"/>
  <c r="I337" i="7"/>
  <c r="H338" i="7"/>
  <c r="I338" i="7"/>
  <c r="H339" i="7"/>
  <c r="I339" i="7"/>
  <c r="H340" i="7"/>
  <c r="I340" i="7"/>
  <c r="H341" i="7"/>
  <c r="I341" i="7"/>
  <c r="H342" i="7"/>
  <c r="I342" i="7"/>
  <c r="H343" i="7"/>
  <c r="I343" i="7"/>
  <c r="H344" i="7"/>
  <c r="I344" i="7"/>
  <c r="H345" i="7"/>
  <c r="I345" i="7"/>
  <c r="H346" i="7"/>
  <c r="I346" i="7"/>
  <c r="H347" i="7"/>
  <c r="I347" i="7"/>
  <c r="H348" i="7"/>
  <c r="I348" i="7"/>
  <c r="H349" i="7"/>
  <c r="I349" i="7"/>
  <c r="H350" i="7"/>
  <c r="I350" i="7"/>
  <c r="H351" i="7"/>
  <c r="I351" i="7"/>
  <c r="H352" i="7"/>
  <c r="I352" i="7"/>
  <c r="H353" i="7"/>
  <c r="I353" i="7"/>
  <c r="H354" i="7"/>
  <c r="I354" i="7"/>
  <c r="H355" i="7"/>
  <c r="I355" i="7"/>
  <c r="H356" i="7"/>
  <c r="I356" i="7"/>
  <c r="H357" i="7"/>
  <c r="I357" i="7"/>
  <c r="H358" i="7"/>
  <c r="I358" i="7"/>
  <c r="H359" i="7"/>
  <c r="I359" i="7"/>
  <c r="H360" i="7"/>
  <c r="I360" i="7"/>
  <c r="H361" i="7"/>
  <c r="I361" i="7"/>
  <c r="H362" i="7"/>
  <c r="I362" i="7"/>
  <c r="H363" i="7"/>
  <c r="I363" i="7"/>
  <c r="H364" i="7"/>
  <c r="I364" i="7"/>
  <c r="H365" i="7"/>
  <c r="I365" i="7"/>
  <c r="H366" i="7"/>
  <c r="I366" i="7"/>
  <c r="H367" i="7"/>
  <c r="I367" i="7"/>
  <c r="H368" i="7"/>
  <c r="I368" i="7"/>
  <c r="H369" i="7"/>
  <c r="I369" i="7"/>
  <c r="H370" i="7"/>
  <c r="I370" i="7"/>
  <c r="H371" i="7"/>
  <c r="I371" i="7"/>
  <c r="H372" i="7"/>
  <c r="I372" i="7"/>
  <c r="H373" i="7"/>
  <c r="I373" i="7"/>
  <c r="H374" i="7"/>
  <c r="I374" i="7"/>
  <c r="L375" i="7"/>
  <c r="H376" i="7"/>
  <c r="I376" i="7"/>
  <c r="H377" i="7"/>
  <c r="I377" i="7"/>
  <c r="H378" i="7"/>
  <c r="I378" i="7"/>
  <c r="H379" i="7"/>
  <c r="I379" i="7"/>
  <c r="H380" i="7"/>
  <c r="I380" i="7"/>
  <c r="H381" i="7"/>
  <c r="I381" i="7"/>
  <c r="H382" i="7"/>
  <c r="I382" i="7"/>
  <c r="H383" i="7"/>
  <c r="I383" i="7"/>
  <c r="H384" i="7"/>
  <c r="I384" i="7"/>
  <c r="H385" i="7"/>
  <c r="I385" i="7"/>
  <c r="H386" i="7"/>
  <c r="I386" i="7"/>
  <c r="H387" i="7"/>
  <c r="I387" i="7"/>
  <c r="H388" i="7"/>
  <c r="I388" i="7"/>
  <c r="H389" i="7"/>
  <c r="I389" i="7"/>
  <c r="H390" i="7"/>
  <c r="I390" i="7"/>
  <c r="H391" i="7"/>
  <c r="I391" i="7"/>
  <c r="H392" i="7"/>
  <c r="I392" i="7"/>
  <c r="H393" i="7"/>
  <c r="I393" i="7"/>
  <c r="H395" i="7"/>
  <c r="I395" i="7"/>
  <c r="H396" i="7"/>
  <c r="I396" i="7"/>
  <c r="H397" i="7"/>
  <c r="I397" i="7"/>
  <c r="H398" i="7"/>
  <c r="I398" i="7"/>
  <c r="H399" i="7"/>
  <c r="I399" i="7"/>
  <c r="H400" i="7"/>
  <c r="I400" i="7"/>
  <c r="H401" i="7"/>
  <c r="I401" i="7"/>
  <c r="H402" i="7"/>
  <c r="I402" i="7"/>
  <c r="H403" i="7"/>
  <c r="I403" i="7"/>
  <c r="H404" i="7"/>
  <c r="I404" i="7"/>
  <c r="H405" i="7"/>
  <c r="I405" i="7"/>
  <c r="H407" i="7"/>
  <c r="I407" i="7"/>
  <c r="H408" i="7"/>
  <c r="I408" i="7"/>
  <c r="H409" i="7"/>
  <c r="I409" i="7"/>
  <c r="H410" i="7"/>
  <c r="I410" i="7"/>
  <c r="H411" i="7"/>
  <c r="I411" i="7"/>
  <c r="H412" i="7"/>
  <c r="I412" i="7"/>
  <c r="H413" i="7"/>
  <c r="I413" i="7"/>
  <c r="H414" i="7"/>
  <c r="I414" i="7"/>
  <c r="H415" i="7"/>
  <c r="I415" i="7"/>
  <c r="H416" i="7"/>
  <c r="I416" i="7"/>
  <c r="H417" i="7"/>
  <c r="I417" i="7"/>
  <c r="H418" i="7"/>
  <c r="I418" i="7"/>
  <c r="H419" i="7"/>
  <c r="I419" i="7"/>
  <c r="H420" i="7"/>
  <c r="I420" i="7"/>
  <c r="H421" i="7"/>
  <c r="I421" i="7"/>
  <c r="H422" i="7"/>
  <c r="I422" i="7"/>
  <c r="H423" i="7"/>
  <c r="I423" i="7"/>
  <c r="H424" i="7"/>
  <c r="I424" i="7"/>
  <c r="H425" i="7"/>
  <c r="I425" i="7"/>
  <c r="H426" i="7"/>
  <c r="I426" i="7"/>
  <c r="H427" i="7"/>
  <c r="I427" i="7"/>
  <c r="H428" i="7"/>
  <c r="I428" i="7"/>
  <c r="H429" i="7"/>
  <c r="I429" i="7"/>
  <c r="H430" i="7"/>
  <c r="I430" i="7"/>
  <c r="H431" i="7"/>
  <c r="I431" i="7"/>
  <c r="H432" i="7"/>
  <c r="I432" i="7"/>
  <c r="H433" i="7"/>
  <c r="I433" i="7"/>
  <c r="H434" i="7"/>
  <c r="I434" i="7"/>
  <c r="H435" i="7"/>
  <c r="I435" i="7"/>
  <c r="H436" i="7"/>
  <c r="I436" i="7"/>
  <c r="H437" i="7"/>
  <c r="I437" i="7"/>
  <c r="H438" i="7"/>
  <c r="I438" i="7"/>
  <c r="H439" i="7"/>
  <c r="I439" i="7"/>
  <c r="K440" i="7"/>
  <c r="H441" i="7"/>
  <c r="I441" i="7"/>
  <c r="H442" i="7"/>
  <c r="I442" i="7"/>
  <c r="H443" i="7"/>
  <c r="I443" i="7"/>
  <c r="H444" i="7"/>
  <c r="I444" i="7"/>
  <c r="H445" i="7"/>
  <c r="I445" i="7"/>
  <c r="H446" i="7"/>
  <c r="I446" i="7"/>
  <c r="H447" i="7"/>
  <c r="I447" i="7"/>
  <c r="H448" i="7"/>
  <c r="I448" i="7"/>
  <c r="H449" i="7"/>
  <c r="I449" i="7"/>
  <c r="H450" i="7"/>
  <c r="I450" i="7"/>
  <c r="H451" i="7"/>
  <c r="I451" i="7"/>
  <c r="H452" i="7"/>
  <c r="I452" i="7"/>
  <c r="H453" i="7"/>
  <c r="I453" i="7"/>
  <c r="H454" i="7"/>
  <c r="I454" i="7"/>
  <c r="H455" i="7"/>
  <c r="I455" i="7"/>
  <c r="H456" i="7"/>
  <c r="I456" i="7"/>
  <c r="H457" i="7"/>
  <c r="I457" i="7"/>
  <c r="H458" i="7"/>
  <c r="I458" i="7"/>
  <c r="H459" i="7"/>
  <c r="I459" i="7"/>
  <c r="H460" i="7"/>
  <c r="I460" i="7"/>
  <c r="H461" i="7"/>
  <c r="I461" i="7"/>
  <c r="H462" i="7"/>
  <c r="I462" i="7"/>
  <c r="H463" i="7"/>
  <c r="I463" i="7"/>
  <c r="H464" i="7"/>
  <c r="I464" i="7"/>
  <c r="H465" i="7"/>
  <c r="I465" i="7"/>
  <c r="H466" i="7"/>
  <c r="I466" i="7"/>
  <c r="H467" i="7"/>
  <c r="I467" i="7"/>
  <c r="H468" i="7"/>
  <c r="I468" i="7"/>
  <c r="H469" i="7"/>
  <c r="I469" i="7"/>
  <c r="H470" i="7"/>
  <c r="I470" i="7"/>
  <c r="H471" i="7"/>
  <c r="I471" i="7"/>
  <c r="H472" i="7"/>
  <c r="I472" i="7"/>
  <c r="H473" i="7"/>
  <c r="I473" i="7"/>
  <c r="H474" i="7"/>
  <c r="I474" i="7"/>
  <c r="H475" i="7"/>
  <c r="I475" i="7"/>
  <c r="H476" i="7"/>
  <c r="I476" i="7"/>
  <c r="L477" i="7"/>
  <c r="H478" i="7"/>
  <c r="I478" i="7"/>
  <c r="H479" i="7"/>
  <c r="I479" i="7"/>
  <c r="H480" i="7"/>
  <c r="I480" i="7"/>
  <c r="H481" i="7"/>
  <c r="I481" i="7"/>
  <c r="H482" i="7"/>
  <c r="I482" i="7"/>
  <c r="H483" i="7"/>
  <c r="I483" i="7"/>
  <c r="H484" i="7"/>
  <c r="I484" i="7"/>
  <c r="H485" i="7"/>
  <c r="I485" i="7"/>
  <c r="H486" i="7"/>
  <c r="I486" i="7"/>
  <c r="H487" i="7"/>
  <c r="I487" i="7"/>
  <c r="H488" i="7"/>
  <c r="I488" i="7"/>
  <c r="H489" i="7"/>
  <c r="I489" i="7"/>
  <c r="H490" i="7"/>
  <c r="I490" i="7"/>
  <c r="H491" i="7"/>
  <c r="I491" i="7"/>
  <c r="H492" i="7"/>
  <c r="I492" i="7"/>
  <c r="H493" i="7"/>
  <c r="I493" i="7"/>
  <c r="H494" i="7"/>
  <c r="I494" i="7"/>
  <c r="L495" i="7"/>
  <c r="H496" i="7"/>
  <c r="I496" i="7"/>
  <c r="H497" i="7"/>
  <c r="I497" i="7"/>
  <c r="H498" i="7"/>
  <c r="I498" i="7"/>
  <c r="H499" i="7"/>
  <c r="I499" i="7"/>
  <c r="H500" i="7"/>
  <c r="I500" i="7"/>
  <c r="H501" i="7"/>
  <c r="I501" i="7"/>
  <c r="H502" i="7"/>
  <c r="I502" i="7"/>
  <c r="H503" i="7"/>
  <c r="I503" i="7"/>
  <c r="H504" i="7"/>
  <c r="I504" i="7"/>
  <c r="H505" i="7"/>
  <c r="I505" i="7"/>
  <c r="H506" i="7"/>
  <c r="I506" i="7"/>
  <c r="H507" i="7"/>
  <c r="I507" i="7"/>
  <c r="H508" i="7"/>
  <c r="I508" i="7"/>
  <c r="H509" i="7"/>
  <c r="I509" i="7"/>
  <c r="H510" i="7"/>
  <c r="I510" i="7"/>
  <c r="H511" i="7"/>
  <c r="I511" i="7"/>
  <c r="H512" i="7"/>
  <c r="I512" i="7"/>
  <c r="H513" i="7"/>
  <c r="I513" i="7"/>
  <c r="H514" i="7"/>
  <c r="I514" i="7"/>
  <c r="H515" i="7"/>
  <c r="I515" i="7"/>
  <c r="H516" i="7"/>
  <c r="I516" i="7"/>
  <c r="H517" i="7"/>
  <c r="I517" i="7"/>
  <c r="H518" i="7"/>
  <c r="I518" i="7"/>
  <c r="H519" i="7"/>
  <c r="I519" i="7"/>
  <c r="H520" i="7"/>
  <c r="I520" i="7"/>
  <c r="H521" i="7"/>
  <c r="I521" i="7"/>
  <c r="H522" i="7"/>
  <c r="I522" i="7"/>
  <c r="H523" i="7"/>
  <c r="I523" i="7"/>
  <c r="H524" i="7"/>
  <c r="I524" i="7"/>
  <c r="H525" i="7"/>
  <c r="I525" i="7"/>
  <c r="H526" i="7"/>
  <c r="I526" i="7"/>
  <c r="H527" i="7"/>
  <c r="I527" i="7"/>
  <c r="H528" i="7"/>
  <c r="I528" i="7"/>
  <c r="H529" i="7"/>
  <c r="I529" i="7"/>
  <c r="H530" i="7"/>
  <c r="I530" i="7"/>
  <c r="H531" i="7"/>
  <c r="I531" i="7"/>
  <c r="H532" i="7"/>
  <c r="I532" i="7"/>
  <c r="H533" i="7"/>
  <c r="I533" i="7"/>
  <c r="H534" i="7"/>
  <c r="I534" i="7"/>
  <c r="H535" i="7"/>
  <c r="I535" i="7"/>
  <c r="H536" i="7"/>
  <c r="I536" i="7"/>
  <c r="H537" i="7"/>
  <c r="I537" i="7"/>
  <c r="H538" i="7"/>
  <c r="I538" i="7"/>
  <c r="H539" i="7"/>
  <c r="I539" i="7"/>
  <c r="H541" i="7"/>
  <c r="I541" i="7"/>
  <c r="H542" i="7"/>
  <c r="I542" i="7"/>
  <c r="H543" i="7"/>
  <c r="I543" i="7"/>
  <c r="H544" i="7"/>
  <c r="I544" i="7"/>
  <c r="H545" i="7"/>
  <c r="I545" i="7"/>
  <c r="H546" i="7"/>
  <c r="I546" i="7"/>
  <c r="H547" i="7"/>
  <c r="I547" i="7"/>
  <c r="H548" i="7"/>
  <c r="I548" i="7"/>
  <c r="H549" i="7"/>
  <c r="I549" i="7"/>
  <c r="H550" i="7"/>
  <c r="I550" i="7"/>
  <c r="H551" i="7"/>
  <c r="I551" i="7"/>
  <c r="H552" i="7"/>
  <c r="I552" i="7"/>
  <c r="H553" i="7"/>
  <c r="I553" i="7"/>
  <c r="H554" i="7"/>
  <c r="I554" i="7"/>
  <c r="H555" i="7"/>
  <c r="I555" i="7"/>
  <c r="H556" i="7"/>
  <c r="I556" i="7"/>
  <c r="H557" i="7"/>
  <c r="I557" i="7"/>
  <c r="H558" i="7"/>
  <c r="I558" i="7"/>
  <c r="H559" i="7"/>
  <c r="I559" i="7"/>
  <c r="H560" i="7"/>
  <c r="I560" i="7"/>
  <c r="H561" i="7"/>
  <c r="I561" i="7"/>
  <c r="H562" i="7"/>
  <c r="I562" i="7"/>
  <c r="H563" i="7"/>
  <c r="I563" i="7"/>
  <c r="H564" i="7"/>
  <c r="I564" i="7"/>
  <c r="H565" i="7"/>
  <c r="I565" i="7"/>
  <c r="H566" i="7"/>
  <c r="I566" i="7"/>
  <c r="H567" i="7"/>
  <c r="I567" i="7"/>
  <c r="H568" i="7"/>
  <c r="I568" i="7"/>
  <c r="H569" i="7"/>
  <c r="I569" i="7"/>
  <c r="H570" i="7"/>
  <c r="I570" i="7"/>
  <c r="H571" i="7"/>
  <c r="I571" i="7"/>
  <c r="H572" i="7"/>
  <c r="I572" i="7"/>
  <c r="H573" i="7"/>
  <c r="I573" i="7"/>
  <c r="H574" i="7"/>
  <c r="I574" i="7"/>
  <c r="H575" i="7"/>
  <c r="I575" i="7"/>
  <c r="H576" i="7"/>
  <c r="I576" i="7"/>
  <c r="H577" i="7"/>
  <c r="I577" i="7"/>
  <c r="H578" i="7"/>
  <c r="I578" i="7"/>
  <c r="H579" i="7"/>
  <c r="I579" i="7"/>
  <c r="H580" i="7"/>
  <c r="I580" i="7"/>
  <c r="H582" i="7"/>
  <c r="I582" i="7"/>
  <c r="H583" i="7"/>
  <c r="I583" i="7"/>
  <c r="H584" i="7"/>
  <c r="I584" i="7"/>
  <c r="H585" i="7"/>
  <c r="I585" i="7"/>
  <c r="H586" i="7"/>
  <c r="I586" i="7"/>
  <c r="H587" i="7"/>
  <c r="I587" i="7"/>
  <c r="H588" i="7"/>
  <c r="I588" i="7"/>
  <c r="H589" i="7"/>
  <c r="I589" i="7"/>
  <c r="H590" i="7"/>
  <c r="I590" i="7"/>
  <c r="H591" i="7"/>
  <c r="I591" i="7"/>
  <c r="H592" i="7"/>
  <c r="I592" i="7"/>
  <c r="H593" i="7"/>
  <c r="I593" i="7"/>
  <c r="H594" i="7"/>
  <c r="I594" i="7"/>
  <c r="H595" i="7"/>
  <c r="I595" i="7"/>
  <c r="H596" i="7"/>
  <c r="I596" i="7"/>
  <c r="H597" i="7"/>
  <c r="I597" i="7"/>
  <c r="H598" i="7"/>
  <c r="I598" i="7"/>
  <c r="H599" i="7"/>
  <c r="I599" i="7"/>
  <c r="H600" i="7"/>
  <c r="I600" i="7"/>
  <c r="H601" i="7"/>
  <c r="I601" i="7"/>
  <c r="H602" i="7"/>
  <c r="I602" i="7"/>
  <c r="H603" i="7"/>
  <c r="I603" i="7"/>
  <c r="H604" i="7"/>
  <c r="I604" i="7"/>
  <c r="H606" i="7"/>
  <c r="I606" i="7"/>
  <c r="H607" i="7"/>
  <c r="I607" i="7"/>
  <c r="H608" i="7"/>
  <c r="I608" i="7"/>
  <c r="H609" i="7"/>
  <c r="I609" i="7"/>
  <c r="H610" i="7"/>
  <c r="I610" i="7"/>
  <c r="H611" i="7"/>
  <c r="I611" i="7"/>
  <c r="H612" i="7"/>
  <c r="I612" i="7"/>
  <c r="H613" i="7"/>
  <c r="I613" i="7"/>
  <c r="H614" i="7"/>
  <c r="I614" i="7"/>
  <c r="H615" i="7"/>
  <c r="I615" i="7"/>
  <c r="H616" i="7"/>
  <c r="I616" i="7"/>
  <c r="H617" i="7"/>
  <c r="I617" i="7"/>
  <c r="H618" i="7"/>
  <c r="I618" i="7"/>
  <c r="H619" i="7"/>
  <c r="I619" i="7"/>
  <c r="H620" i="7"/>
  <c r="I620" i="7"/>
  <c r="H621" i="7"/>
  <c r="I621" i="7"/>
  <c r="H622" i="7"/>
  <c r="I622" i="7"/>
  <c r="H623" i="7"/>
  <c r="I623" i="7"/>
  <c r="L625" i="7"/>
  <c r="H626" i="7"/>
  <c r="I626" i="7"/>
  <c r="H627" i="7"/>
  <c r="I627" i="7"/>
  <c r="H628" i="7"/>
  <c r="I628" i="7"/>
  <c r="H629" i="7"/>
  <c r="I629" i="7"/>
  <c r="H630" i="7"/>
  <c r="I630" i="7"/>
  <c r="H631" i="7"/>
  <c r="I631" i="7"/>
  <c r="H632" i="7"/>
  <c r="I632" i="7"/>
  <c r="H633" i="7"/>
  <c r="I633" i="7"/>
  <c r="H634" i="7"/>
  <c r="I634" i="7"/>
  <c r="H635" i="7"/>
  <c r="I635" i="7"/>
  <c r="H636" i="7"/>
  <c r="I636" i="7"/>
  <c r="H637" i="7"/>
  <c r="I637" i="7"/>
  <c r="K638" i="7"/>
  <c r="H639" i="7"/>
  <c r="I639" i="7"/>
  <c r="H640" i="7"/>
  <c r="I640" i="7"/>
  <c r="H641" i="7"/>
  <c r="I641" i="7"/>
  <c r="H642" i="7"/>
  <c r="I642" i="7"/>
  <c r="H644" i="7"/>
  <c r="I644" i="7"/>
  <c r="H645" i="7"/>
  <c r="I645" i="7"/>
  <c r="H646" i="7"/>
  <c r="I646" i="7"/>
  <c r="H647" i="7"/>
  <c r="I647" i="7"/>
  <c r="H648" i="7"/>
  <c r="I648" i="7"/>
  <c r="H649" i="7"/>
  <c r="I649" i="7"/>
  <c r="H650" i="7"/>
  <c r="I650" i="7"/>
  <c r="H651" i="7"/>
  <c r="I651" i="7"/>
  <c r="H652" i="7"/>
  <c r="I652" i="7"/>
  <c r="H653" i="7"/>
  <c r="I653" i="7"/>
  <c r="H654" i="7"/>
  <c r="I654" i="7"/>
  <c r="H655" i="7"/>
  <c r="I655" i="7"/>
  <c r="H656" i="7"/>
  <c r="I656" i="7"/>
  <c r="H657" i="7"/>
  <c r="I657" i="7"/>
  <c r="H658" i="7"/>
  <c r="I658" i="7"/>
  <c r="H659" i="7"/>
  <c r="I659" i="7"/>
  <c r="H660" i="7"/>
  <c r="I660" i="7"/>
  <c r="H661" i="7"/>
  <c r="I661" i="7"/>
  <c r="H662" i="7"/>
  <c r="I662" i="7"/>
  <c r="H663" i="7"/>
  <c r="I663" i="7"/>
  <c r="H665" i="7"/>
  <c r="I665" i="7"/>
  <c r="H666" i="7"/>
  <c r="I666" i="7"/>
  <c r="H667" i="7"/>
  <c r="I667" i="7"/>
  <c r="H668" i="7"/>
  <c r="I668" i="7"/>
  <c r="H669" i="7"/>
  <c r="I669" i="7"/>
  <c r="H670" i="7"/>
  <c r="I670" i="7"/>
  <c r="H671" i="7"/>
  <c r="I671" i="7"/>
  <c r="H672" i="7"/>
  <c r="I672" i="7"/>
  <c r="H673" i="7"/>
  <c r="I673" i="7"/>
  <c r="K674" i="7"/>
  <c r="H675" i="7"/>
  <c r="I675" i="7"/>
  <c r="H676" i="7"/>
  <c r="I676" i="7"/>
  <c r="H677" i="7"/>
  <c r="I677" i="7"/>
  <c r="H678" i="7"/>
  <c r="I678" i="7"/>
  <c r="H679" i="7"/>
  <c r="I679" i="7"/>
  <c r="H680" i="7"/>
  <c r="I680" i="7"/>
  <c r="H681" i="7"/>
  <c r="I681" i="7"/>
  <c r="H682" i="7"/>
  <c r="I682" i="7"/>
  <c r="H683" i="7"/>
  <c r="I683" i="7"/>
  <c r="H685" i="7"/>
  <c r="I685" i="7"/>
  <c r="H686" i="7"/>
  <c r="I686" i="7"/>
  <c r="H687" i="7"/>
  <c r="I687" i="7"/>
  <c r="H688" i="7"/>
  <c r="I688" i="7"/>
  <c r="H689" i="7"/>
  <c r="I689" i="7"/>
  <c r="H690" i="7"/>
  <c r="I690" i="7"/>
  <c r="H691" i="7"/>
  <c r="I691" i="7"/>
  <c r="K692" i="7"/>
  <c r="H693" i="7"/>
  <c r="I693" i="7"/>
  <c r="H694" i="7"/>
  <c r="I694" i="7"/>
  <c r="H695" i="7"/>
  <c r="I695" i="7"/>
  <c r="H696" i="7"/>
  <c r="I696" i="7"/>
  <c r="H697" i="7"/>
  <c r="I697" i="7"/>
  <c r="H698" i="7"/>
  <c r="I698" i="7"/>
  <c r="H699" i="7"/>
  <c r="I699" i="7"/>
  <c r="H700" i="7"/>
  <c r="I700" i="7"/>
  <c r="H701" i="7"/>
  <c r="I701" i="7"/>
  <c r="H702" i="7"/>
  <c r="I702" i="7"/>
  <c r="H703" i="7"/>
  <c r="I703" i="7"/>
  <c r="H704" i="7"/>
  <c r="I704" i="7"/>
  <c r="H705" i="7"/>
  <c r="I705" i="7"/>
  <c r="H706" i="7"/>
  <c r="I706" i="7"/>
  <c r="H707" i="7"/>
  <c r="I707" i="7"/>
  <c r="H708" i="7"/>
  <c r="I708" i="7"/>
  <c r="H709" i="7"/>
  <c r="I709" i="7"/>
  <c r="H710" i="7"/>
  <c r="I710" i="7"/>
  <c r="H711" i="7"/>
  <c r="I711" i="7"/>
  <c r="H712" i="7"/>
  <c r="I712" i="7"/>
  <c r="H713" i="7"/>
  <c r="I713" i="7"/>
  <c r="H714" i="7"/>
  <c r="I714" i="7"/>
  <c r="L715" i="7"/>
  <c r="H716" i="7"/>
  <c r="I716" i="7"/>
  <c r="H717" i="7"/>
  <c r="I717" i="7"/>
  <c r="H718" i="7"/>
  <c r="I718" i="7"/>
  <c r="H719" i="7"/>
  <c r="I719" i="7"/>
  <c r="H720" i="7"/>
  <c r="I720" i="7"/>
  <c r="H721" i="7"/>
  <c r="I721" i="7"/>
  <c r="H722" i="7"/>
  <c r="I722" i="7"/>
  <c r="H723" i="7"/>
  <c r="I723" i="7"/>
  <c r="H724" i="7"/>
  <c r="I724" i="7"/>
  <c r="H725" i="7"/>
  <c r="I725" i="7"/>
  <c r="H726" i="7"/>
  <c r="I726" i="7"/>
  <c r="H727" i="7"/>
  <c r="I727" i="7"/>
  <c r="H728" i="7"/>
  <c r="I728" i="7"/>
  <c r="H729" i="7"/>
  <c r="I729" i="7"/>
  <c r="H730" i="7"/>
  <c r="I730" i="7"/>
  <c r="H731" i="7"/>
  <c r="I731" i="7"/>
  <c r="H732" i="7"/>
  <c r="I732" i="7"/>
  <c r="H733" i="7"/>
  <c r="I733" i="7"/>
  <c r="H734" i="7"/>
  <c r="I734" i="7"/>
  <c r="H735" i="7"/>
  <c r="I735" i="7"/>
  <c r="H736" i="7"/>
  <c r="I736" i="7"/>
  <c r="H737" i="7"/>
  <c r="I737" i="7"/>
  <c r="I16" i="7"/>
  <c r="H16" i="7"/>
  <c r="H17" i="6"/>
  <c r="I17" i="6"/>
  <c r="H18" i="6"/>
  <c r="I18" i="6"/>
  <c r="H19" i="6"/>
  <c r="I19" i="6"/>
  <c r="H20" i="6"/>
  <c r="I20" i="6"/>
  <c r="H21" i="6"/>
  <c r="I21" i="6"/>
  <c r="H22" i="6"/>
  <c r="I22" i="6"/>
  <c r="H23" i="6"/>
  <c r="I23" i="6"/>
  <c r="H24" i="6"/>
  <c r="I24" i="6"/>
  <c r="H25" i="6"/>
  <c r="I25" i="6"/>
  <c r="H26" i="6"/>
  <c r="I26" i="6"/>
  <c r="H27" i="6"/>
  <c r="I27" i="6"/>
  <c r="H28" i="6"/>
  <c r="I28" i="6"/>
  <c r="H29" i="6"/>
  <c r="I29" i="6"/>
  <c r="H30" i="6"/>
  <c r="I30" i="6"/>
  <c r="H31" i="6"/>
  <c r="I31" i="6"/>
  <c r="H32" i="6"/>
  <c r="I32" i="6"/>
  <c r="K33" i="6"/>
  <c r="H34" i="6"/>
  <c r="I34" i="6"/>
  <c r="H35" i="6"/>
  <c r="I35" i="6"/>
  <c r="H36" i="6"/>
  <c r="I36" i="6"/>
  <c r="H37" i="6"/>
  <c r="I37" i="6"/>
  <c r="H38" i="6"/>
  <c r="I38" i="6"/>
  <c r="H39" i="6"/>
  <c r="I39" i="6"/>
  <c r="K40" i="6"/>
  <c r="L40" i="6"/>
  <c r="H41" i="6"/>
  <c r="I41" i="6"/>
  <c r="H42" i="6"/>
  <c r="I42" i="6"/>
  <c r="H43" i="6"/>
  <c r="I43" i="6"/>
  <c r="H44" i="6"/>
  <c r="I44" i="6"/>
  <c r="H45" i="6"/>
  <c r="I45" i="6"/>
  <c r="H46" i="6"/>
  <c r="I46" i="6"/>
  <c r="H47" i="6"/>
  <c r="I47" i="6"/>
  <c r="H48" i="6"/>
  <c r="I48" i="6"/>
  <c r="H49" i="6"/>
  <c r="I49" i="6"/>
  <c r="H50" i="6"/>
  <c r="I50" i="6"/>
  <c r="H51" i="6"/>
  <c r="I51" i="6"/>
  <c r="H52" i="6"/>
  <c r="I52" i="6"/>
  <c r="H53" i="6"/>
  <c r="I53" i="6"/>
  <c r="H54" i="6"/>
  <c r="I54" i="6"/>
  <c r="H55" i="6"/>
  <c r="I55" i="6"/>
  <c r="H56" i="6"/>
  <c r="I56" i="6"/>
  <c r="H57" i="6"/>
  <c r="I57" i="6"/>
  <c r="H58" i="6"/>
  <c r="I58" i="6"/>
  <c r="H59" i="6"/>
  <c r="I59" i="6"/>
  <c r="H60" i="6"/>
  <c r="I60" i="6"/>
  <c r="H61" i="6"/>
  <c r="I61" i="6"/>
  <c r="H62" i="6"/>
  <c r="I62" i="6"/>
  <c r="H63" i="6"/>
  <c r="I63" i="6"/>
  <c r="H64" i="6"/>
  <c r="I64" i="6"/>
  <c r="H65" i="6"/>
  <c r="I65" i="6"/>
  <c r="H66" i="6"/>
  <c r="I66" i="6"/>
  <c r="H67" i="6"/>
  <c r="I67" i="6"/>
  <c r="H68" i="6"/>
  <c r="I68" i="6"/>
  <c r="H69" i="6"/>
  <c r="I69" i="6"/>
  <c r="H70" i="6"/>
  <c r="I70" i="6"/>
  <c r="H71" i="6"/>
  <c r="I71" i="6"/>
  <c r="H72" i="6"/>
  <c r="I72" i="6"/>
  <c r="H73" i="6"/>
  <c r="I73" i="6"/>
  <c r="H74" i="6"/>
  <c r="I74" i="6"/>
  <c r="H75" i="6"/>
  <c r="I75" i="6"/>
  <c r="H76" i="6"/>
  <c r="I76" i="6"/>
  <c r="H77" i="6"/>
  <c r="I77" i="6"/>
  <c r="H78" i="6"/>
  <c r="I78" i="6"/>
  <c r="H79" i="6"/>
  <c r="I79" i="6"/>
  <c r="H80" i="6"/>
  <c r="I80" i="6"/>
  <c r="H81" i="6"/>
  <c r="I81" i="6"/>
  <c r="H82" i="6"/>
  <c r="I82" i="6"/>
  <c r="H83" i="6"/>
  <c r="I83" i="6"/>
  <c r="H84" i="6"/>
  <c r="I84" i="6"/>
  <c r="H85" i="6"/>
  <c r="I85" i="6"/>
  <c r="H86" i="6"/>
  <c r="I86" i="6"/>
  <c r="H87" i="6"/>
  <c r="I87" i="6"/>
  <c r="H88" i="6"/>
  <c r="I88" i="6"/>
  <c r="H89" i="6"/>
  <c r="I89" i="6"/>
  <c r="H90" i="6"/>
  <c r="I90" i="6"/>
  <c r="H91" i="6"/>
  <c r="I91" i="6"/>
  <c r="H92" i="6"/>
  <c r="I92" i="6"/>
  <c r="H93" i="6"/>
  <c r="I93" i="6"/>
  <c r="H94" i="6"/>
  <c r="I94" i="6"/>
  <c r="H95" i="6"/>
  <c r="I95" i="6"/>
  <c r="H96" i="6"/>
  <c r="I96" i="6"/>
  <c r="H97" i="6"/>
  <c r="I97" i="6"/>
  <c r="H98" i="6"/>
  <c r="I98" i="6"/>
  <c r="H99" i="6"/>
  <c r="I99" i="6"/>
  <c r="H100" i="6"/>
  <c r="I100" i="6"/>
  <c r="H101" i="6"/>
  <c r="I101" i="6"/>
  <c r="H102" i="6"/>
  <c r="I102" i="6"/>
  <c r="H103" i="6"/>
  <c r="I103" i="6"/>
  <c r="H104" i="6"/>
  <c r="I104" i="6"/>
  <c r="H105" i="6"/>
  <c r="I105" i="6"/>
  <c r="H106" i="6"/>
  <c r="I106" i="6"/>
  <c r="H107" i="6"/>
  <c r="I107" i="6"/>
  <c r="H108" i="6"/>
  <c r="I108" i="6"/>
  <c r="H109" i="6"/>
  <c r="I109" i="6"/>
  <c r="H110" i="6"/>
  <c r="I110" i="6"/>
  <c r="H111" i="6"/>
  <c r="I111" i="6"/>
  <c r="H112" i="6"/>
  <c r="I112" i="6"/>
  <c r="H113" i="6"/>
  <c r="I113" i="6"/>
  <c r="H115" i="6"/>
  <c r="I115" i="6"/>
  <c r="H116" i="6"/>
  <c r="I116" i="6"/>
  <c r="H117" i="6"/>
  <c r="I117" i="6"/>
  <c r="H118" i="6"/>
  <c r="I118" i="6"/>
  <c r="H119" i="6"/>
  <c r="I119" i="6"/>
  <c r="H120" i="6"/>
  <c r="I120" i="6"/>
  <c r="H121" i="6"/>
  <c r="I121" i="6"/>
  <c r="H122" i="6"/>
  <c r="I122" i="6"/>
  <c r="H123" i="6"/>
  <c r="I123" i="6"/>
  <c r="K124" i="6"/>
  <c r="L124" i="6"/>
  <c r="H125" i="6"/>
  <c r="I125" i="6"/>
  <c r="H126" i="6"/>
  <c r="I126" i="6"/>
  <c r="H127" i="6"/>
  <c r="I127" i="6"/>
  <c r="H128" i="6"/>
  <c r="I128" i="6"/>
  <c r="H129" i="6"/>
  <c r="I129" i="6"/>
  <c r="H130" i="6"/>
  <c r="I130" i="6"/>
  <c r="H131" i="6"/>
  <c r="I131" i="6"/>
  <c r="H132" i="6"/>
  <c r="I132" i="6"/>
  <c r="H133" i="6"/>
  <c r="I133" i="6"/>
  <c r="L134" i="6"/>
  <c r="H135" i="6"/>
  <c r="I135" i="6"/>
  <c r="H136" i="6"/>
  <c r="I136" i="6"/>
  <c r="H137" i="6"/>
  <c r="I137" i="6"/>
  <c r="H138" i="6"/>
  <c r="I138" i="6"/>
  <c r="H139" i="6"/>
  <c r="I139" i="6"/>
  <c r="H140" i="6"/>
  <c r="I140" i="6"/>
  <c r="H141" i="6"/>
  <c r="I141" i="6"/>
  <c r="H142" i="6"/>
  <c r="I142" i="6"/>
  <c r="H143" i="6"/>
  <c r="I143" i="6"/>
  <c r="H144" i="6"/>
  <c r="I144" i="6"/>
  <c r="H145" i="6"/>
  <c r="I145" i="6"/>
  <c r="H146" i="6"/>
  <c r="I146" i="6"/>
  <c r="H147" i="6"/>
  <c r="I147" i="6"/>
  <c r="H148" i="6"/>
  <c r="I148" i="6"/>
  <c r="H149" i="6"/>
  <c r="I149" i="6"/>
  <c r="H151" i="6"/>
  <c r="I151" i="6"/>
  <c r="H152" i="6"/>
  <c r="I152" i="6"/>
  <c r="H153" i="6"/>
  <c r="I153" i="6"/>
  <c r="H154" i="6"/>
  <c r="I154" i="6"/>
  <c r="H155" i="6"/>
  <c r="I155" i="6"/>
  <c r="H156" i="6"/>
  <c r="I156" i="6"/>
  <c r="H157" i="6"/>
  <c r="I157" i="6"/>
  <c r="H158" i="6"/>
  <c r="I158" i="6"/>
  <c r="H159" i="6"/>
  <c r="I159" i="6"/>
  <c r="H160" i="6"/>
  <c r="I160" i="6"/>
  <c r="H161" i="6"/>
  <c r="I161" i="6"/>
  <c r="H162" i="6"/>
  <c r="I162" i="6"/>
  <c r="H163" i="6"/>
  <c r="I163" i="6"/>
  <c r="H164" i="6"/>
  <c r="I164" i="6"/>
  <c r="H165" i="6"/>
  <c r="I165" i="6"/>
  <c r="H166" i="6"/>
  <c r="I166" i="6"/>
  <c r="H167" i="6"/>
  <c r="I167" i="6"/>
  <c r="H168" i="6"/>
  <c r="I168" i="6"/>
  <c r="H169" i="6"/>
  <c r="I169" i="6"/>
  <c r="H171" i="6"/>
  <c r="I171" i="6"/>
  <c r="H172" i="6"/>
  <c r="I172" i="6"/>
  <c r="H173" i="6"/>
  <c r="I173" i="6"/>
  <c r="H174" i="6"/>
  <c r="I174" i="6"/>
  <c r="H175" i="6"/>
  <c r="I175" i="6"/>
  <c r="H176" i="6"/>
  <c r="I176" i="6"/>
  <c r="H177" i="6"/>
  <c r="I177" i="6"/>
  <c r="H178" i="6"/>
  <c r="I178" i="6"/>
  <c r="H180" i="6"/>
  <c r="I180" i="6"/>
  <c r="H181" i="6"/>
  <c r="I181" i="6"/>
  <c r="H182" i="6"/>
  <c r="I182" i="6"/>
  <c r="H183" i="6"/>
  <c r="I183" i="6"/>
  <c r="H184" i="6"/>
  <c r="I184" i="6"/>
  <c r="H185" i="6"/>
  <c r="I185" i="6"/>
  <c r="H186" i="6"/>
  <c r="I186" i="6"/>
  <c r="H187" i="6"/>
  <c r="I187" i="6"/>
  <c r="K188" i="6"/>
  <c r="H189" i="6"/>
  <c r="I189" i="6"/>
  <c r="H190" i="6"/>
  <c r="I190" i="6"/>
  <c r="H191" i="6"/>
  <c r="I191" i="6"/>
  <c r="H192" i="6"/>
  <c r="I192" i="6"/>
  <c r="H193" i="6"/>
  <c r="I193" i="6"/>
  <c r="H194" i="6"/>
  <c r="I194" i="6"/>
  <c r="H195" i="6"/>
  <c r="I195" i="6"/>
  <c r="H196" i="6"/>
  <c r="I196" i="6"/>
  <c r="H198" i="6"/>
  <c r="I198" i="6"/>
  <c r="H199" i="6"/>
  <c r="I199" i="6"/>
  <c r="H200" i="6"/>
  <c r="I200" i="6"/>
  <c r="H201" i="6"/>
  <c r="I201" i="6"/>
  <c r="H202" i="6"/>
  <c r="I202" i="6"/>
  <c r="H203" i="6"/>
  <c r="I203" i="6"/>
  <c r="H204" i="6"/>
  <c r="I204" i="6"/>
  <c r="H205" i="6"/>
  <c r="I205" i="6"/>
  <c r="H206" i="6"/>
  <c r="I206" i="6"/>
  <c r="K207" i="6"/>
  <c r="L207" i="6"/>
  <c r="H208" i="6"/>
  <c r="I208" i="6"/>
  <c r="H209" i="6"/>
  <c r="I209" i="6"/>
  <c r="H210" i="6"/>
  <c r="I210" i="6"/>
  <c r="H211" i="6"/>
  <c r="I211" i="6"/>
  <c r="H212" i="6"/>
  <c r="I212" i="6"/>
  <c r="H213" i="6"/>
  <c r="I213" i="6"/>
  <c r="H214" i="6"/>
  <c r="I214" i="6"/>
  <c r="H215" i="6"/>
  <c r="I215" i="6"/>
  <c r="H216" i="6"/>
  <c r="I216" i="6"/>
  <c r="H217" i="6"/>
  <c r="I217" i="6"/>
  <c r="H218" i="6"/>
  <c r="I218" i="6"/>
  <c r="H219" i="6"/>
  <c r="I219" i="6"/>
  <c r="H220" i="6"/>
  <c r="I220" i="6"/>
  <c r="H221" i="6"/>
  <c r="I221" i="6"/>
  <c r="H222" i="6"/>
  <c r="I222" i="6"/>
  <c r="H223" i="6"/>
  <c r="I223" i="6"/>
  <c r="H224" i="6"/>
  <c r="I224" i="6"/>
  <c r="H225" i="6"/>
  <c r="I225" i="6"/>
  <c r="H226" i="6"/>
  <c r="I226" i="6"/>
  <c r="H227" i="6"/>
  <c r="I227" i="6"/>
  <c r="H228" i="6"/>
  <c r="I228" i="6"/>
  <c r="H229" i="6"/>
  <c r="I229" i="6"/>
  <c r="H230" i="6"/>
  <c r="I230" i="6"/>
  <c r="H231" i="6"/>
  <c r="I231" i="6"/>
  <c r="H232" i="6"/>
  <c r="I232" i="6"/>
  <c r="H233" i="6"/>
  <c r="I233" i="6"/>
  <c r="H234" i="6"/>
  <c r="I234" i="6"/>
  <c r="H235" i="6"/>
  <c r="I235" i="6"/>
  <c r="H236" i="6"/>
  <c r="I236" i="6"/>
  <c r="H237" i="6"/>
  <c r="I237" i="6"/>
  <c r="H238" i="6"/>
  <c r="I238" i="6"/>
  <c r="H239" i="6"/>
  <c r="I239" i="6"/>
  <c r="H240" i="6"/>
  <c r="I240" i="6"/>
  <c r="H241" i="6"/>
  <c r="I241" i="6"/>
  <c r="K242" i="6"/>
  <c r="H243" i="6"/>
  <c r="I243" i="6"/>
  <c r="H244" i="6"/>
  <c r="I244" i="6"/>
  <c r="H245" i="6"/>
  <c r="I245" i="6"/>
  <c r="H246" i="6"/>
  <c r="I246" i="6"/>
  <c r="H247" i="6"/>
  <c r="I247" i="6"/>
  <c r="H248" i="6"/>
  <c r="I248" i="6"/>
  <c r="H249" i="6"/>
  <c r="I249" i="6"/>
  <c r="H250" i="6"/>
  <c r="I250" i="6"/>
  <c r="H251" i="6"/>
  <c r="I251" i="6"/>
  <c r="H252" i="6"/>
  <c r="I252" i="6"/>
  <c r="H254" i="6"/>
  <c r="I254" i="6"/>
  <c r="H255" i="6"/>
  <c r="I255" i="6"/>
  <c r="H256" i="6"/>
  <c r="I256" i="6"/>
  <c r="H257" i="6"/>
  <c r="I257" i="6"/>
  <c r="H258" i="6"/>
  <c r="I258" i="6"/>
  <c r="H259" i="6"/>
  <c r="I259" i="6"/>
  <c r="H260" i="6"/>
  <c r="I260" i="6"/>
  <c r="H261" i="6"/>
  <c r="I261" i="6"/>
  <c r="H262" i="6"/>
  <c r="I262" i="6"/>
  <c r="H263" i="6"/>
  <c r="I263" i="6"/>
  <c r="H264" i="6"/>
  <c r="I264" i="6"/>
  <c r="H265" i="6"/>
  <c r="I265" i="6"/>
  <c r="H266" i="6"/>
  <c r="I266" i="6"/>
  <c r="H267" i="6"/>
  <c r="I267" i="6"/>
  <c r="H268" i="6"/>
  <c r="I268" i="6"/>
  <c r="H269" i="6"/>
  <c r="I269" i="6"/>
  <c r="H270" i="6"/>
  <c r="I270" i="6"/>
  <c r="H271" i="6"/>
  <c r="I271" i="6"/>
  <c r="H272" i="6"/>
  <c r="I272" i="6"/>
  <c r="H273" i="6"/>
  <c r="I273" i="6"/>
  <c r="H274" i="6"/>
  <c r="I274" i="6"/>
  <c r="H275" i="6"/>
  <c r="I275" i="6"/>
  <c r="H276" i="6"/>
  <c r="I276" i="6"/>
  <c r="H277" i="6"/>
  <c r="I277" i="6"/>
  <c r="H278" i="6"/>
  <c r="I278" i="6"/>
  <c r="H279" i="6"/>
  <c r="I279" i="6"/>
  <c r="H280" i="6"/>
  <c r="I280" i="6"/>
  <c r="H281" i="6"/>
  <c r="I281" i="6"/>
  <c r="H282" i="6"/>
  <c r="I282" i="6"/>
  <c r="H283" i="6"/>
  <c r="I283" i="6"/>
  <c r="H284" i="6"/>
  <c r="I284" i="6"/>
  <c r="H285" i="6"/>
  <c r="I285" i="6"/>
  <c r="H287" i="6"/>
  <c r="I287" i="6"/>
  <c r="H288" i="6"/>
  <c r="I288" i="6"/>
  <c r="H289" i="6"/>
  <c r="I289" i="6"/>
  <c r="H290" i="6"/>
  <c r="I290" i="6"/>
  <c r="H291" i="6"/>
  <c r="I291" i="6"/>
  <c r="H292" i="6"/>
  <c r="I292" i="6"/>
  <c r="H293" i="6"/>
  <c r="I293" i="6"/>
  <c r="H294" i="6"/>
  <c r="I294" i="6"/>
  <c r="H295" i="6"/>
  <c r="I295" i="6"/>
  <c r="H296" i="6"/>
  <c r="I296" i="6"/>
  <c r="H297" i="6"/>
  <c r="I297" i="6"/>
  <c r="H298" i="6"/>
  <c r="I298" i="6"/>
  <c r="H299" i="6"/>
  <c r="I299" i="6"/>
  <c r="H300" i="6"/>
  <c r="I300" i="6"/>
  <c r="H301" i="6"/>
  <c r="I301" i="6"/>
  <c r="H302" i="6"/>
  <c r="I302" i="6"/>
  <c r="H303" i="6"/>
  <c r="I303" i="6"/>
  <c r="H304" i="6"/>
  <c r="I304" i="6"/>
  <c r="H305" i="6"/>
  <c r="I305" i="6"/>
  <c r="H306" i="6"/>
  <c r="I306" i="6"/>
  <c r="H307" i="6"/>
  <c r="I307" i="6"/>
  <c r="H308" i="6"/>
  <c r="I308" i="6"/>
  <c r="H309" i="6"/>
  <c r="I309" i="6"/>
  <c r="H310" i="6"/>
  <c r="I310" i="6"/>
  <c r="H312" i="6"/>
  <c r="I312" i="6"/>
  <c r="H313" i="6"/>
  <c r="I313" i="6"/>
  <c r="H314" i="6"/>
  <c r="I314" i="6"/>
  <c r="H315" i="6"/>
  <c r="I315" i="6"/>
  <c r="H316" i="6"/>
  <c r="I316" i="6"/>
  <c r="H317" i="6"/>
  <c r="I317" i="6"/>
  <c r="H318" i="6"/>
  <c r="I318" i="6"/>
  <c r="H319" i="6"/>
  <c r="I319" i="6"/>
  <c r="H320" i="6"/>
  <c r="I320" i="6"/>
  <c r="H321" i="6"/>
  <c r="I321" i="6"/>
  <c r="H322" i="6"/>
  <c r="I322" i="6"/>
  <c r="H323" i="6"/>
  <c r="I323" i="6"/>
  <c r="H324" i="6"/>
  <c r="I324" i="6"/>
  <c r="H325" i="6"/>
  <c r="I325" i="6"/>
  <c r="H326" i="6"/>
  <c r="I326" i="6"/>
  <c r="H327" i="6"/>
  <c r="I327" i="6"/>
  <c r="H328" i="6"/>
  <c r="I328" i="6"/>
  <c r="H329" i="6"/>
  <c r="I329" i="6"/>
  <c r="H330" i="6"/>
  <c r="I330" i="6"/>
  <c r="H331" i="6"/>
  <c r="I331" i="6"/>
  <c r="H332" i="6"/>
  <c r="I332" i="6"/>
  <c r="K333" i="6"/>
  <c r="L333" i="6"/>
  <c r="H335" i="6"/>
  <c r="I335" i="6"/>
  <c r="H336" i="6"/>
  <c r="I336" i="6"/>
  <c r="H337" i="6"/>
  <c r="I337" i="6"/>
  <c r="H338" i="6"/>
  <c r="I338" i="6"/>
  <c r="H339" i="6"/>
  <c r="I339" i="6"/>
  <c r="H340" i="6"/>
  <c r="I340" i="6"/>
  <c r="H341" i="6"/>
  <c r="I341" i="6"/>
  <c r="H342" i="6"/>
  <c r="I342" i="6"/>
  <c r="H343" i="6"/>
  <c r="I343" i="6"/>
  <c r="H344" i="6"/>
  <c r="I344" i="6"/>
  <c r="H345" i="6"/>
  <c r="I345" i="6"/>
  <c r="H346" i="6"/>
  <c r="I346" i="6"/>
  <c r="H347" i="6"/>
  <c r="I347" i="6"/>
  <c r="H348" i="6"/>
  <c r="I348" i="6"/>
  <c r="H349" i="6"/>
  <c r="I349" i="6"/>
  <c r="H350" i="6"/>
  <c r="I350" i="6"/>
  <c r="H351" i="6"/>
  <c r="I351" i="6"/>
  <c r="H352" i="6"/>
  <c r="I352" i="6"/>
  <c r="H353" i="6"/>
  <c r="I353" i="6"/>
  <c r="H354" i="6"/>
  <c r="I354" i="6"/>
  <c r="H355" i="6"/>
  <c r="I355" i="6"/>
  <c r="H356" i="6"/>
  <c r="I356" i="6"/>
  <c r="H357" i="6"/>
  <c r="I357" i="6"/>
  <c r="H358" i="6"/>
  <c r="I358" i="6"/>
  <c r="H359" i="6"/>
  <c r="I359" i="6"/>
  <c r="H360" i="6"/>
  <c r="I360" i="6"/>
  <c r="H361" i="6"/>
  <c r="I361" i="6"/>
  <c r="H362" i="6"/>
  <c r="I362" i="6"/>
  <c r="H363" i="6"/>
  <c r="I363" i="6"/>
  <c r="H364" i="6"/>
  <c r="I364" i="6"/>
  <c r="H365" i="6"/>
  <c r="I365" i="6"/>
  <c r="H366" i="6"/>
  <c r="I366" i="6"/>
  <c r="H367" i="6"/>
  <c r="I367" i="6"/>
  <c r="H368" i="6"/>
  <c r="I368" i="6"/>
  <c r="H369" i="6"/>
  <c r="I369" i="6"/>
  <c r="H370" i="6"/>
  <c r="I370" i="6"/>
  <c r="H371" i="6"/>
  <c r="I371" i="6"/>
  <c r="H372" i="6"/>
  <c r="I372" i="6"/>
  <c r="H373" i="6"/>
  <c r="I373" i="6"/>
  <c r="H374" i="6"/>
  <c r="I374" i="6"/>
  <c r="K375" i="6"/>
  <c r="L375" i="6"/>
  <c r="H376" i="6"/>
  <c r="I376" i="6"/>
  <c r="H377" i="6"/>
  <c r="I377" i="6"/>
  <c r="H378" i="6"/>
  <c r="I378" i="6"/>
  <c r="H379" i="6"/>
  <c r="I379" i="6"/>
  <c r="H380" i="6"/>
  <c r="I380" i="6"/>
  <c r="H381" i="6"/>
  <c r="I381" i="6"/>
  <c r="H382" i="6"/>
  <c r="I382" i="6"/>
  <c r="H383" i="6"/>
  <c r="I383" i="6"/>
  <c r="H384" i="6"/>
  <c r="I384" i="6"/>
  <c r="H385" i="6"/>
  <c r="I385" i="6"/>
  <c r="H386" i="6"/>
  <c r="I386" i="6"/>
  <c r="H387" i="6"/>
  <c r="I387" i="6"/>
  <c r="H388" i="6"/>
  <c r="I388" i="6"/>
  <c r="H389" i="6"/>
  <c r="I389" i="6"/>
  <c r="H390" i="6"/>
  <c r="I390" i="6"/>
  <c r="H391" i="6"/>
  <c r="I391" i="6"/>
  <c r="H392" i="6"/>
  <c r="I392" i="6"/>
  <c r="H393" i="6"/>
  <c r="I393" i="6"/>
  <c r="H395" i="6"/>
  <c r="I395" i="6"/>
  <c r="H396" i="6"/>
  <c r="I396" i="6"/>
  <c r="H397" i="6"/>
  <c r="I397" i="6"/>
  <c r="H398" i="6"/>
  <c r="I398" i="6"/>
  <c r="H399" i="6"/>
  <c r="I399" i="6"/>
  <c r="H400" i="6"/>
  <c r="I400" i="6"/>
  <c r="H401" i="6"/>
  <c r="I401" i="6"/>
  <c r="H402" i="6"/>
  <c r="I402" i="6"/>
  <c r="H403" i="6"/>
  <c r="I403" i="6"/>
  <c r="H404" i="6"/>
  <c r="I404" i="6"/>
  <c r="H405" i="6"/>
  <c r="I405" i="6"/>
  <c r="H407" i="6"/>
  <c r="I407" i="6"/>
  <c r="H408" i="6"/>
  <c r="I408" i="6"/>
  <c r="H409" i="6"/>
  <c r="I409" i="6"/>
  <c r="H410" i="6"/>
  <c r="I410" i="6"/>
  <c r="H411" i="6"/>
  <c r="I411" i="6"/>
  <c r="H412" i="6"/>
  <c r="I412" i="6"/>
  <c r="H413" i="6"/>
  <c r="I413" i="6"/>
  <c r="H414" i="6"/>
  <c r="I414" i="6"/>
  <c r="H415" i="6"/>
  <c r="I415" i="6"/>
  <c r="H416" i="6"/>
  <c r="I416" i="6"/>
  <c r="H417" i="6"/>
  <c r="I417" i="6"/>
  <c r="H418" i="6"/>
  <c r="I418" i="6"/>
  <c r="H419" i="6"/>
  <c r="I419" i="6"/>
  <c r="H420" i="6"/>
  <c r="I420" i="6"/>
  <c r="H421" i="6"/>
  <c r="I421" i="6"/>
  <c r="H422" i="6"/>
  <c r="I422" i="6"/>
  <c r="H423" i="6"/>
  <c r="I423" i="6"/>
  <c r="H424" i="6"/>
  <c r="I424" i="6"/>
  <c r="H425" i="6"/>
  <c r="I425" i="6"/>
  <c r="H426" i="6"/>
  <c r="I426" i="6"/>
  <c r="H427" i="6"/>
  <c r="I427" i="6"/>
  <c r="H428" i="6"/>
  <c r="I428" i="6"/>
  <c r="H429" i="6"/>
  <c r="I429" i="6"/>
  <c r="H430" i="6"/>
  <c r="I430" i="6"/>
  <c r="H431" i="6"/>
  <c r="I431" i="6"/>
  <c r="H432" i="6"/>
  <c r="I432" i="6"/>
  <c r="H433" i="6"/>
  <c r="I433" i="6"/>
  <c r="H434" i="6"/>
  <c r="I434" i="6"/>
  <c r="H435" i="6"/>
  <c r="I435" i="6"/>
  <c r="H436" i="6"/>
  <c r="I436" i="6"/>
  <c r="H437" i="6"/>
  <c r="I437" i="6"/>
  <c r="H438" i="6"/>
  <c r="I438" i="6"/>
  <c r="H439" i="6"/>
  <c r="I439" i="6"/>
  <c r="K440" i="6"/>
  <c r="H441" i="6"/>
  <c r="I441" i="6"/>
  <c r="H442" i="6"/>
  <c r="I442" i="6"/>
  <c r="H443" i="6"/>
  <c r="I443" i="6"/>
  <c r="H444" i="6"/>
  <c r="I444" i="6"/>
  <c r="H445" i="6"/>
  <c r="I445" i="6"/>
  <c r="H446" i="6"/>
  <c r="I446" i="6"/>
  <c r="H447" i="6"/>
  <c r="I447" i="6"/>
  <c r="H448" i="6"/>
  <c r="I448" i="6"/>
  <c r="H449" i="6"/>
  <c r="I449" i="6"/>
  <c r="H450" i="6"/>
  <c r="I450" i="6"/>
  <c r="H451" i="6"/>
  <c r="I451" i="6"/>
  <c r="H452" i="6"/>
  <c r="I452" i="6"/>
  <c r="H453" i="6"/>
  <c r="I453" i="6"/>
  <c r="H454" i="6"/>
  <c r="I454" i="6"/>
  <c r="H455" i="6"/>
  <c r="I455" i="6"/>
  <c r="H456" i="6"/>
  <c r="I456" i="6"/>
  <c r="H457" i="6"/>
  <c r="I457" i="6"/>
  <c r="H458" i="6"/>
  <c r="I458" i="6"/>
  <c r="H459" i="6"/>
  <c r="I459" i="6"/>
  <c r="H460" i="6"/>
  <c r="I460" i="6"/>
  <c r="H461" i="6"/>
  <c r="I461" i="6"/>
  <c r="H462" i="6"/>
  <c r="I462" i="6"/>
  <c r="H463" i="6"/>
  <c r="I463" i="6"/>
  <c r="H464" i="6"/>
  <c r="I464" i="6"/>
  <c r="H465" i="6"/>
  <c r="I465" i="6"/>
  <c r="H466" i="6"/>
  <c r="I466" i="6"/>
  <c r="H467" i="6"/>
  <c r="I467" i="6"/>
  <c r="H468" i="6"/>
  <c r="I468" i="6"/>
  <c r="H469" i="6"/>
  <c r="I469" i="6"/>
  <c r="H470" i="6"/>
  <c r="I470" i="6"/>
  <c r="H471" i="6"/>
  <c r="I471" i="6"/>
  <c r="H472" i="6"/>
  <c r="I472" i="6"/>
  <c r="H473" i="6"/>
  <c r="I473" i="6"/>
  <c r="H474" i="6"/>
  <c r="I474" i="6"/>
  <c r="H475" i="6"/>
  <c r="I475" i="6"/>
  <c r="H476" i="6"/>
  <c r="I476" i="6"/>
  <c r="L477" i="6"/>
  <c r="H478" i="6"/>
  <c r="I478" i="6"/>
  <c r="H479" i="6"/>
  <c r="I479" i="6"/>
  <c r="H480" i="6"/>
  <c r="I480" i="6"/>
  <c r="H481" i="6"/>
  <c r="I481" i="6"/>
  <c r="H482" i="6"/>
  <c r="I482" i="6"/>
  <c r="H483" i="6"/>
  <c r="I483" i="6"/>
  <c r="H484" i="6"/>
  <c r="I484" i="6"/>
  <c r="H485" i="6"/>
  <c r="I485" i="6"/>
  <c r="H486" i="6"/>
  <c r="I486" i="6"/>
  <c r="H487" i="6"/>
  <c r="I487" i="6"/>
  <c r="H488" i="6"/>
  <c r="I488" i="6"/>
  <c r="H489" i="6"/>
  <c r="I489" i="6"/>
  <c r="H490" i="6"/>
  <c r="I490" i="6"/>
  <c r="H491" i="6"/>
  <c r="I491" i="6"/>
  <c r="H492" i="6"/>
  <c r="I492" i="6"/>
  <c r="H493" i="6"/>
  <c r="I493" i="6"/>
  <c r="H494" i="6"/>
  <c r="I494" i="6"/>
  <c r="K495" i="6"/>
  <c r="L495" i="6"/>
  <c r="H496" i="6"/>
  <c r="I496" i="6"/>
  <c r="H497" i="6"/>
  <c r="I497" i="6"/>
  <c r="H498" i="6"/>
  <c r="I498" i="6"/>
  <c r="H499" i="6"/>
  <c r="I499" i="6"/>
  <c r="H500" i="6"/>
  <c r="I500" i="6"/>
  <c r="H501" i="6"/>
  <c r="I501" i="6"/>
  <c r="H502" i="6"/>
  <c r="I502" i="6"/>
  <c r="H503" i="6"/>
  <c r="I503" i="6"/>
  <c r="H504" i="6"/>
  <c r="I504" i="6"/>
  <c r="H505" i="6"/>
  <c r="I505" i="6"/>
  <c r="H506" i="6"/>
  <c r="I506" i="6"/>
  <c r="H507" i="6"/>
  <c r="I507" i="6"/>
  <c r="H508" i="6"/>
  <c r="I508" i="6"/>
  <c r="H509" i="6"/>
  <c r="I509" i="6"/>
  <c r="H510" i="6"/>
  <c r="I510" i="6"/>
  <c r="H511" i="6"/>
  <c r="I511" i="6"/>
  <c r="H512" i="6"/>
  <c r="I512" i="6"/>
  <c r="H513" i="6"/>
  <c r="I513" i="6"/>
  <c r="H514" i="6"/>
  <c r="I514" i="6"/>
  <c r="H515" i="6"/>
  <c r="I515" i="6"/>
  <c r="H516" i="6"/>
  <c r="I516" i="6"/>
  <c r="H517" i="6"/>
  <c r="I517" i="6"/>
  <c r="H518" i="6"/>
  <c r="I518" i="6"/>
  <c r="H519" i="6"/>
  <c r="I519" i="6"/>
  <c r="H520" i="6"/>
  <c r="I520" i="6"/>
  <c r="H521" i="6"/>
  <c r="I521" i="6"/>
  <c r="H522" i="6"/>
  <c r="I522" i="6"/>
  <c r="H523" i="6"/>
  <c r="I523" i="6"/>
  <c r="H524" i="6"/>
  <c r="I524" i="6"/>
  <c r="H525" i="6"/>
  <c r="I525" i="6"/>
  <c r="H526" i="6"/>
  <c r="I526" i="6"/>
  <c r="H527" i="6"/>
  <c r="I527" i="6"/>
  <c r="H528" i="6"/>
  <c r="I528" i="6"/>
  <c r="H529" i="6"/>
  <c r="I529" i="6"/>
  <c r="H530" i="6"/>
  <c r="I530" i="6"/>
  <c r="H531" i="6"/>
  <c r="I531" i="6"/>
  <c r="H532" i="6"/>
  <c r="I532" i="6"/>
  <c r="H533" i="6"/>
  <c r="I533" i="6"/>
  <c r="H534" i="6"/>
  <c r="I534" i="6"/>
  <c r="H535" i="6"/>
  <c r="I535" i="6"/>
  <c r="H536" i="6"/>
  <c r="I536" i="6"/>
  <c r="H537" i="6"/>
  <c r="I537" i="6"/>
  <c r="H538" i="6"/>
  <c r="I538" i="6"/>
  <c r="H539" i="6"/>
  <c r="I539" i="6"/>
  <c r="H541" i="6"/>
  <c r="I541" i="6"/>
  <c r="H542" i="6"/>
  <c r="I542" i="6"/>
  <c r="H543" i="6"/>
  <c r="I543" i="6"/>
  <c r="H544" i="6"/>
  <c r="I544" i="6"/>
  <c r="H545" i="6"/>
  <c r="I545" i="6"/>
  <c r="H546" i="6"/>
  <c r="I546" i="6"/>
  <c r="H547" i="6"/>
  <c r="I547" i="6"/>
  <c r="H548" i="6"/>
  <c r="I548" i="6"/>
  <c r="H549" i="6"/>
  <c r="I549" i="6"/>
  <c r="H550" i="6"/>
  <c r="I550" i="6"/>
  <c r="H551" i="6"/>
  <c r="I551" i="6"/>
  <c r="H552" i="6"/>
  <c r="I552" i="6"/>
  <c r="H553" i="6"/>
  <c r="I553" i="6"/>
  <c r="H554" i="6"/>
  <c r="I554" i="6"/>
  <c r="H555" i="6"/>
  <c r="I555" i="6"/>
  <c r="H556" i="6"/>
  <c r="I556" i="6"/>
  <c r="H557" i="6"/>
  <c r="I557" i="6"/>
  <c r="H558" i="6"/>
  <c r="I558" i="6"/>
  <c r="H559" i="6"/>
  <c r="I559" i="6"/>
  <c r="H560" i="6"/>
  <c r="I560" i="6"/>
  <c r="H561" i="6"/>
  <c r="I561" i="6"/>
  <c r="H562" i="6"/>
  <c r="I562" i="6"/>
  <c r="H563" i="6"/>
  <c r="I563" i="6"/>
  <c r="H564" i="6"/>
  <c r="I564" i="6"/>
  <c r="H565" i="6"/>
  <c r="I565" i="6"/>
  <c r="H566" i="6"/>
  <c r="I566" i="6"/>
  <c r="H567" i="6"/>
  <c r="I567" i="6"/>
  <c r="H568" i="6"/>
  <c r="I568" i="6"/>
  <c r="H569" i="6"/>
  <c r="I569" i="6"/>
  <c r="H570" i="6"/>
  <c r="I570" i="6"/>
  <c r="H571" i="6"/>
  <c r="I571" i="6"/>
  <c r="H572" i="6"/>
  <c r="I572" i="6"/>
  <c r="H573" i="6"/>
  <c r="I573" i="6"/>
  <c r="H574" i="6"/>
  <c r="I574" i="6"/>
  <c r="H575" i="6"/>
  <c r="I575" i="6"/>
  <c r="H576" i="6"/>
  <c r="I576" i="6"/>
  <c r="H577" i="6"/>
  <c r="I577" i="6"/>
  <c r="H578" i="6"/>
  <c r="I578" i="6"/>
  <c r="H579" i="6"/>
  <c r="I579" i="6"/>
  <c r="H580" i="6"/>
  <c r="I580" i="6"/>
  <c r="H582" i="6"/>
  <c r="I582" i="6"/>
  <c r="H583" i="6"/>
  <c r="I583" i="6"/>
  <c r="H584" i="6"/>
  <c r="I584" i="6"/>
  <c r="H585" i="6"/>
  <c r="I585" i="6"/>
  <c r="H586" i="6"/>
  <c r="I586" i="6"/>
  <c r="H587" i="6"/>
  <c r="I587" i="6"/>
  <c r="H588" i="6"/>
  <c r="I588" i="6"/>
  <c r="H589" i="6"/>
  <c r="I589" i="6"/>
  <c r="H590" i="6"/>
  <c r="I590" i="6"/>
  <c r="H591" i="6"/>
  <c r="I591" i="6"/>
  <c r="H592" i="6"/>
  <c r="I592" i="6"/>
  <c r="H593" i="6"/>
  <c r="I593" i="6"/>
  <c r="H594" i="6"/>
  <c r="I594" i="6"/>
  <c r="H595" i="6"/>
  <c r="I595" i="6"/>
  <c r="H596" i="6"/>
  <c r="I596" i="6"/>
  <c r="H597" i="6"/>
  <c r="I597" i="6"/>
  <c r="H598" i="6"/>
  <c r="I598" i="6"/>
  <c r="H599" i="6"/>
  <c r="I599" i="6"/>
  <c r="H600" i="6"/>
  <c r="I600" i="6"/>
  <c r="H601" i="6"/>
  <c r="I601" i="6"/>
  <c r="H602" i="6"/>
  <c r="I602" i="6"/>
  <c r="H603" i="6"/>
  <c r="I603" i="6"/>
  <c r="H604" i="6"/>
  <c r="I604" i="6"/>
  <c r="H606" i="6"/>
  <c r="I606" i="6"/>
  <c r="H607" i="6"/>
  <c r="I607" i="6"/>
  <c r="H608" i="6"/>
  <c r="I608" i="6"/>
  <c r="H609" i="6"/>
  <c r="I609" i="6"/>
  <c r="H610" i="6"/>
  <c r="I610" i="6"/>
  <c r="H611" i="6"/>
  <c r="I611" i="6"/>
  <c r="H612" i="6"/>
  <c r="I612" i="6"/>
  <c r="H613" i="6"/>
  <c r="I613" i="6"/>
  <c r="H614" i="6"/>
  <c r="I614" i="6"/>
  <c r="H615" i="6"/>
  <c r="I615" i="6"/>
  <c r="H616" i="6"/>
  <c r="I616" i="6"/>
  <c r="H617" i="6"/>
  <c r="I617" i="6"/>
  <c r="H618" i="6"/>
  <c r="I618" i="6"/>
  <c r="H619" i="6"/>
  <c r="I619" i="6"/>
  <c r="H620" i="6"/>
  <c r="I620" i="6"/>
  <c r="H621" i="6"/>
  <c r="I621" i="6"/>
  <c r="H622" i="6"/>
  <c r="I622" i="6"/>
  <c r="H623" i="6"/>
  <c r="I623" i="6"/>
  <c r="L625" i="6"/>
  <c r="H626" i="6"/>
  <c r="I626" i="6"/>
  <c r="H627" i="6"/>
  <c r="I627" i="6"/>
  <c r="H628" i="6"/>
  <c r="I628" i="6"/>
  <c r="H629" i="6"/>
  <c r="I629" i="6"/>
  <c r="H630" i="6"/>
  <c r="I630" i="6"/>
  <c r="H631" i="6"/>
  <c r="I631" i="6"/>
  <c r="H632" i="6"/>
  <c r="I632" i="6"/>
  <c r="H633" i="6"/>
  <c r="I633" i="6"/>
  <c r="H634" i="6"/>
  <c r="I634" i="6"/>
  <c r="H635" i="6"/>
  <c r="I635" i="6"/>
  <c r="H636" i="6"/>
  <c r="I636" i="6"/>
  <c r="H637" i="6"/>
  <c r="I637" i="6"/>
  <c r="K638" i="6"/>
  <c r="H639" i="6"/>
  <c r="I639" i="6"/>
  <c r="H640" i="6"/>
  <c r="I640" i="6"/>
  <c r="H641" i="6"/>
  <c r="I641" i="6"/>
  <c r="H642" i="6"/>
  <c r="I642" i="6"/>
  <c r="L643" i="6"/>
  <c r="H644" i="6"/>
  <c r="I644" i="6"/>
  <c r="H645" i="6"/>
  <c r="I645" i="6"/>
  <c r="H646" i="6"/>
  <c r="I646" i="6"/>
  <c r="H647" i="6"/>
  <c r="I647" i="6"/>
  <c r="H648" i="6"/>
  <c r="I648" i="6"/>
  <c r="H649" i="6"/>
  <c r="I649" i="6"/>
  <c r="H650" i="6"/>
  <c r="I650" i="6"/>
  <c r="H651" i="6"/>
  <c r="I651" i="6"/>
  <c r="H652" i="6"/>
  <c r="I652" i="6"/>
  <c r="H653" i="6"/>
  <c r="I653" i="6"/>
  <c r="H654" i="6"/>
  <c r="I654" i="6"/>
  <c r="H655" i="6"/>
  <c r="I655" i="6"/>
  <c r="H656" i="6"/>
  <c r="I656" i="6"/>
  <c r="H657" i="6"/>
  <c r="I657" i="6"/>
  <c r="H658" i="6"/>
  <c r="I658" i="6"/>
  <c r="H659" i="6"/>
  <c r="I659" i="6"/>
  <c r="H660" i="6"/>
  <c r="I660" i="6"/>
  <c r="H661" i="6"/>
  <c r="I661" i="6"/>
  <c r="H662" i="6"/>
  <c r="I662" i="6"/>
  <c r="H663" i="6"/>
  <c r="I663" i="6"/>
  <c r="H665" i="6"/>
  <c r="I665" i="6"/>
  <c r="H666" i="6"/>
  <c r="I666" i="6"/>
  <c r="H667" i="6"/>
  <c r="I667" i="6"/>
  <c r="H668" i="6"/>
  <c r="I668" i="6"/>
  <c r="H669" i="6"/>
  <c r="I669" i="6"/>
  <c r="H670" i="6"/>
  <c r="I670" i="6"/>
  <c r="H671" i="6"/>
  <c r="I671" i="6"/>
  <c r="H672" i="6"/>
  <c r="I672" i="6"/>
  <c r="H673" i="6"/>
  <c r="I673" i="6"/>
  <c r="K674" i="6"/>
  <c r="H675" i="6"/>
  <c r="I675" i="6"/>
  <c r="H676" i="6"/>
  <c r="I676" i="6"/>
  <c r="H677" i="6"/>
  <c r="I677" i="6"/>
  <c r="H678" i="6"/>
  <c r="I678" i="6"/>
  <c r="H679" i="6"/>
  <c r="I679" i="6"/>
  <c r="H680" i="6"/>
  <c r="I680" i="6"/>
  <c r="H681" i="6"/>
  <c r="I681" i="6"/>
  <c r="H682" i="6"/>
  <c r="I682" i="6"/>
  <c r="H683" i="6"/>
  <c r="I683" i="6"/>
  <c r="H685" i="6"/>
  <c r="I685" i="6"/>
  <c r="H686" i="6"/>
  <c r="I686" i="6"/>
  <c r="H687" i="6"/>
  <c r="I687" i="6"/>
  <c r="H688" i="6"/>
  <c r="I688" i="6"/>
  <c r="H689" i="6"/>
  <c r="I689" i="6"/>
  <c r="H690" i="6"/>
  <c r="I690" i="6"/>
  <c r="H691" i="6"/>
  <c r="I691" i="6"/>
  <c r="K692" i="6"/>
  <c r="H693" i="6"/>
  <c r="I693" i="6"/>
  <c r="H694" i="6"/>
  <c r="I694" i="6"/>
  <c r="H695" i="6"/>
  <c r="I695" i="6"/>
  <c r="H696" i="6"/>
  <c r="I696" i="6"/>
  <c r="H697" i="6"/>
  <c r="I697" i="6"/>
  <c r="H698" i="6"/>
  <c r="I698" i="6"/>
  <c r="H699" i="6"/>
  <c r="I699" i="6"/>
  <c r="H700" i="6"/>
  <c r="I700" i="6"/>
  <c r="H701" i="6"/>
  <c r="I701" i="6"/>
  <c r="H702" i="6"/>
  <c r="I702" i="6"/>
  <c r="H703" i="6"/>
  <c r="I703" i="6"/>
  <c r="H704" i="6"/>
  <c r="I704" i="6"/>
  <c r="H705" i="6"/>
  <c r="I705" i="6"/>
  <c r="H706" i="6"/>
  <c r="I706" i="6"/>
  <c r="H707" i="6"/>
  <c r="I707" i="6"/>
  <c r="H708" i="6"/>
  <c r="I708" i="6"/>
  <c r="H709" i="6"/>
  <c r="I709" i="6"/>
  <c r="H710" i="6"/>
  <c r="I710" i="6"/>
  <c r="H711" i="6"/>
  <c r="I711" i="6"/>
  <c r="H712" i="6"/>
  <c r="I712" i="6"/>
  <c r="H713" i="6"/>
  <c r="I713" i="6"/>
  <c r="H714" i="6"/>
  <c r="I714" i="6"/>
  <c r="L715" i="6"/>
  <c r="H716" i="6"/>
  <c r="I716" i="6"/>
  <c r="H717" i="6"/>
  <c r="I717" i="6"/>
  <c r="H718" i="6"/>
  <c r="I718" i="6"/>
  <c r="H719" i="6"/>
  <c r="I719" i="6"/>
  <c r="H720" i="6"/>
  <c r="I720" i="6"/>
  <c r="H721" i="6"/>
  <c r="I721" i="6"/>
  <c r="H722" i="6"/>
  <c r="I722" i="6"/>
  <c r="H723" i="6"/>
  <c r="I723" i="6"/>
  <c r="H724" i="6"/>
  <c r="I724" i="6"/>
  <c r="H725" i="6"/>
  <c r="I725" i="6"/>
  <c r="H726" i="6"/>
  <c r="I726" i="6"/>
  <c r="H727" i="6"/>
  <c r="I727" i="6"/>
  <c r="H728" i="6"/>
  <c r="I728" i="6"/>
  <c r="H729" i="6"/>
  <c r="I729" i="6"/>
  <c r="H730" i="6"/>
  <c r="I730" i="6"/>
  <c r="H731" i="6"/>
  <c r="I731" i="6"/>
  <c r="H732" i="6"/>
  <c r="I732" i="6"/>
  <c r="H733" i="6"/>
  <c r="I733" i="6"/>
  <c r="H734" i="6"/>
  <c r="I734" i="6"/>
  <c r="H735" i="6"/>
  <c r="I735" i="6"/>
  <c r="H736" i="6"/>
  <c r="I736" i="6"/>
  <c r="H737" i="6"/>
  <c r="I737" i="6"/>
  <c r="I16" i="6"/>
  <c r="H16" i="6"/>
  <c r="H17" i="4"/>
  <c r="I17" i="4"/>
  <c r="H18" i="4"/>
  <c r="I18" i="4"/>
  <c r="H19" i="4"/>
  <c r="I19" i="4"/>
  <c r="H20" i="4"/>
  <c r="I20" i="4"/>
  <c r="H21" i="4"/>
  <c r="I21" i="4"/>
  <c r="H22" i="4"/>
  <c r="I22" i="4"/>
  <c r="H23" i="4"/>
  <c r="I23" i="4"/>
  <c r="H24" i="4"/>
  <c r="I24" i="4"/>
  <c r="H25" i="4"/>
  <c r="I25" i="4"/>
  <c r="H26" i="4"/>
  <c r="I26" i="4"/>
  <c r="H27" i="4"/>
  <c r="I27" i="4"/>
  <c r="H28" i="4"/>
  <c r="I28" i="4"/>
  <c r="H29" i="4"/>
  <c r="I29" i="4"/>
  <c r="H30" i="4"/>
  <c r="I30" i="4"/>
  <c r="H31" i="4"/>
  <c r="I31" i="4"/>
  <c r="H32" i="4"/>
  <c r="I32" i="4"/>
  <c r="K33" i="4"/>
  <c r="H34" i="4"/>
  <c r="I34" i="4"/>
  <c r="H35" i="4"/>
  <c r="I35" i="4"/>
  <c r="H36" i="4"/>
  <c r="I36" i="4"/>
  <c r="H37" i="4"/>
  <c r="I37" i="4"/>
  <c r="H38" i="4"/>
  <c r="I38" i="4"/>
  <c r="H39" i="4"/>
  <c r="I39" i="4"/>
  <c r="L40" i="4"/>
  <c r="H41" i="4"/>
  <c r="I41" i="4"/>
  <c r="H42" i="4"/>
  <c r="I42" i="4"/>
  <c r="H43" i="4"/>
  <c r="I43" i="4"/>
  <c r="H44" i="4"/>
  <c r="I44" i="4"/>
  <c r="H45" i="4"/>
  <c r="I45" i="4"/>
  <c r="H46" i="4"/>
  <c r="I46" i="4"/>
  <c r="H47" i="4"/>
  <c r="I47" i="4"/>
  <c r="H48" i="4"/>
  <c r="I48" i="4"/>
  <c r="H49" i="4"/>
  <c r="I49" i="4"/>
  <c r="H50" i="4"/>
  <c r="I50" i="4"/>
  <c r="H51" i="4"/>
  <c r="I51" i="4"/>
  <c r="H52" i="4"/>
  <c r="I52" i="4"/>
  <c r="H53" i="4"/>
  <c r="I53" i="4"/>
  <c r="H54" i="4"/>
  <c r="I54" i="4"/>
  <c r="H55" i="4"/>
  <c r="I55" i="4"/>
  <c r="H56" i="4"/>
  <c r="I56" i="4"/>
  <c r="H57" i="4"/>
  <c r="I57" i="4"/>
  <c r="H58" i="4"/>
  <c r="I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 r="H98" i="4"/>
  <c r="I98" i="4"/>
  <c r="H99" i="4"/>
  <c r="I99" i="4"/>
  <c r="H100" i="4"/>
  <c r="I100" i="4"/>
  <c r="H101" i="4"/>
  <c r="I101" i="4"/>
  <c r="H102" i="4"/>
  <c r="I102" i="4"/>
  <c r="H103" i="4"/>
  <c r="I103" i="4"/>
  <c r="H104" i="4"/>
  <c r="I104" i="4"/>
  <c r="H105" i="4"/>
  <c r="I105" i="4"/>
  <c r="H106" i="4"/>
  <c r="I106" i="4"/>
  <c r="H107" i="4"/>
  <c r="I107" i="4"/>
  <c r="H108" i="4"/>
  <c r="I108" i="4"/>
  <c r="H109" i="4"/>
  <c r="I109" i="4"/>
  <c r="H110" i="4"/>
  <c r="I110" i="4"/>
  <c r="H111" i="4"/>
  <c r="I111" i="4"/>
  <c r="H112" i="4"/>
  <c r="I112" i="4"/>
  <c r="H113" i="4"/>
  <c r="I113" i="4"/>
  <c r="H115" i="4"/>
  <c r="I115" i="4"/>
  <c r="H116" i="4"/>
  <c r="I116" i="4"/>
  <c r="H117" i="4"/>
  <c r="I117" i="4"/>
  <c r="H118" i="4"/>
  <c r="I118" i="4"/>
  <c r="H119" i="4"/>
  <c r="I119" i="4"/>
  <c r="H120" i="4"/>
  <c r="I120" i="4"/>
  <c r="H121" i="4"/>
  <c r="I121" i="4"/>
  <c r="H122" i="4"/>
  <c r="I122" i="4"/>
  <c r="H123" i="4"/>
  <c r="I123" i="4"/>
  <c r="L124" i="4"/>
  <c r="H125" i="4"/>
  <c r="I125" i="4"/>
  <c r="H126" i="4"/>
  <c r="I126" i="4"/>
  <c r="H127" i="4"/>
  <c r="I127" i="4"/>
  <c r="H128" i="4"/>
  <c r="I128" i="4"/>
  <c r="H129" i="4"/>
  <c r="I129" i="4"/>
  <c r="H130" i="4"/>
  <c r="I130" i="4"/>
  <c r="H131" i="4"/>
  <c r="I131" i="4"/>
  <c r="H132" i="4"/>
  <c r="I132" i="4"/>
  <c r="H133" i="4"/>
  <c r="I133" i="4"/>
  <c r="H135" i="4"/>
  <c r="I135" i="4"/>
  <c r="H136" i="4"/>
  <c r="I136" i="4"/>
  <c r="H137" i="4"/>
  <c r="I137" i="4"/>
  <c r="H138" i="4"/>
  <c r="I138" i="4"/>
  <c r="H139" i="4"/>
  <c r="I139" i="4"/>
  <c r="H140" i="4"/>
  <c r="I140" i="4"/>
  <c r="H141" i="4"/>
  <c r="I141" i="4"/>
  <c r="H142" i="4"/>
  <c r="I142" i="4"/>
  <c r="H143" i="4"/>
  <c r="I143" i="4"/>
  <c r="H144" i="4"/>
  <c r="I144" i="4"/>
  <c r="H145" i="4"/>
  <c r="I145" i="4"/>
  <c r="H146" i="4"/>
  <c r="I146" i="4"/>
  <c r="H147" i="4"/>
  <c r="I147" i="4"/>
  <c r="H148" i="4"/>
  <c r="I148" i="4"/>
  <c r="H149" i="4"/>
  <c r="I149" i="4"/>
  <c r="H151" i="4"/>
  <c r="I151" i="4"/>
  <c r="H152" i="4"/>
  <c r="I152" i="4"/>
  <c r="H153" i="4"/>
  <c r="I153" i="4"/>
  <c r="H154" i="4"/>
  <c r="I154" i="4"/>
  <c r="H155" i="4"/>
  <c r="I155" i="4"/>
  <c r="H156" i="4"/>
  <c r="I156" i="4"/>
  <c r="H157" i="4"/>
  <c r="I157" i="4"/>
  <c r="H158" i="4"/>
  <c r="I158" i="4"/>
  <c r="H159" i="4"/>
  <c r="I159" i="4"/>
  <c r="H160" i="4"/>
  <c r="I160" i="4"/>
  <c r="H161" i="4"/>
  <c r="I161" i="4"/>
  <c r="H162" i="4"/>
  <c r="I162" i="4"/>
  <c r="H163" i="4"/>
  <c r="I163" i="4"/>
  <c r="H164" i="4"/>
  <c r="I164" i="4"/>
  <c r="H165" i="4"/>
  <c r="I165" i="4"/>
  <c r="H166" i="4"/>
  <c r="I166" i="4"/>
  <c r="H167" i="4"/>
  <c r="I167" i="4"/>
  <c r="H168" i="4"/>
  <c r="I168" i="4"/>
  <c r="H169" i="4"/>
  <c r="I169" i="4"/>
  <c r="K170" i="4"/>
  <c r="H171" i="4"/>
  <c r="I171" i="4"/>
  <c r="H172" i="4"/>
  <c r="I172" i="4"/>
  <c r="H173" i="4"/>
  <c r="I173" i="4"/>
  <c r="H174" i="4"/>
  <c r="I174" i="4"/>
  <c r="H175" i="4"/>
  <c r="I175" i="4"/>
  <c r="H176" i="4"/>
  <c r="I176" i="4"/>
  <c r="H177" i="4"/>
  <c r="I177" i="4"/>
  <c r="H178" i="4"/>
  <c r="I178" i="4"/>
  <c r="H180" i="4"/>
  <c r="I180" i="4"/>
  <c r="H181" i="4"/>
  <c r="I181" i="4"/>
  <c r="H182" i="4"/>
  <c r="I182" i="4"/>
  <c r="H183" i="4"/>
  <c r="I183" i="4"/>
  <c r="H184" i="4"/>
  <c r="I184" i="4"/>
  <c r="H185" i="4"/>
  <c r="I185" i="4"/>
  <c r="H186" i="4"/>
  <c r="I186" i="4"/>
  <c r="H187" i="4"/>
  <c r="I187" i="4"/>
  <c r="K188" i="4"/>
  <c r="H189" i="4"/>
  <c r="I189" i="4"/>
  <c r="H190" i="4"/>
  <c r="I190" i="4"/>
  <c r="H191" i="4"/>
  <c r="I191" i="4"/>
  <c r="H192" i="4"/>
  <c r="I192" i="4"/>
  <c r="H193" i="4"/>
  <c r="I193" i="4"/>
  <c r="H194" i="4"/>
  <c r="I194" i="4"/>
  <c r="H195" i="4"/>
  <c r="I195" i="4"/>
  <c r="H196" i="4"/>
  <c r="I196" i="4"/>
  <c r="H198" i="4"/>
  <c r="I198" i="4"/>
  <c r="H199" i="4"/>
  <c r="I199" i="4"/>
  <c r="H200" i="4"/>
  <c r="I200" i="4"/>
  <c r="H201" i="4"/>
  <c r="I201" i="4"/>
  <c r="H202" i="4"/>
  <c r="I202" i="4"/>
  <c r="H203" i="4"/>
  <c r="I203" i="4"/>
  <c r="H204" i="4"/>
  <c r="I204" i="4"/>
  <c r="H205" i="4"/>
  <c r="I205" i="4"/>
  <c r="H206" i="4"/>
  <c r="I206" i="4"/>
  <c r="L207" i="4"/>
  <c r="H208" i="4"/>
  <c r="I208" i="4"/>
  <c r="H209" i="4"/>
  <c r="I209" i="4"/>
  <c r="H210" i="4"/>
  <c r="I210" i="4"/>
  <c r="H211" i="4"/>
  <c r="I211" i="4"/>
  <c r="H212" i="4"/>
  <c r="I212" i="4"/>
  <c r="H213" i="4"/>
  <c r="I213" i="4"/>
  <c r="H214" i="4"/>
  <c r="I214" i="4"/>
  <c r="H215" i="4"/>
  <c r="I215" i="4"/>
  <c r="H216" i="4"/>
  <c r="I216" i="4"/>
  <c r="H217" i="4"/>
  <c r="I217" i="4"/>
  <c r="H218" i="4"/>
  <c r="I218" i="4"/>
  <c r="H219" i="4"/>
  <c r="I219" i="4"/>
  <c r="H220" i="4"/>
  <c r="I220" i="4"/>
  <c r="H221" i="4"/>
  <c r="I221" i="4"/>
  <c r="H222" i="4"/>
  <c r="I222" i="4"/>
  <c r="H223" i="4"/>
  <c r="I223" i="4"/>
  <c r="H224" i="4"/>
  <c r="I224" i="4"/>
  <c r="H225" i="4"/>
  <c r="I225" i="4"/>
  <c r="H226" i="4"/>
  <c r="I226" i="4"/>
  <c r="H227" i="4"/>
  <c r="I227" i="4"/>
  <c r="H228" i="4"/>
  <c r="I228" i="4"/>
  <c r="H229" i="4"/>
  <c r="I229" i="4"/>
  <c r="H230" i="4"/>
  <c r="I230" i="4"/>
  <c r="H231" i="4"/>
  <c r="I231" i="4"/>
  <c r="H232" i="4"/>
  <c r="I232" i="4"/>
  <c r="H233" i="4"/>
  <c r="I233" i="4"/>
  <c r="H234" i="4"/>
  <c r="I234" i="4"/>
  <c r="H235" i="4"/>
  <c r="I235" i="4"/>
  <c r="H236" i="4"/>
  <c r="I236" i="4"/>
  <c r="H237" i="4"/>
  <c r="I237" i="4"/>
  <c r="H238" i="4"/>
  <c r="I238" i="4"/>
  <c r="H239" i="4"/>
  <c r="I239" i="4"/>
  <c r="H240" i="4"/>
  <c r="I240" i="4"/>
  <c r="H241" i="4"/>
  <c r="I241" i="4"/>
  <c r="K242" i="4"/>
  <c r="H243" i="4"/>
  <c r="I243" i="4"/>
  <c r="H244" i="4"/>
  <c r="I244" i="4"/>
  <c r="H245" i="4"/>
  <c r="I245" i="4"/>
  <c r="H246" i="4"/>
  <c r="I246" i="4"/>
  <c r="H247" i="4"/>
  <c r="I247" i="4"/>
  <c r="H248" i="4"/>
  <c r="I248" i="4"/>
  <c r="H249" i="4"/>
  <c r="I249" i="4"/>
  <c r="H250" i="4"/>
  <c r="I250" i="4"/>
  <c r="H251" i="4"/>
  <c r="I251" i="4"/>
  <c r="H252" i="4"/>
  <c r="I252" i="4"/>
  <c r="H254" i="4"/>
  <c r="I254" i="4"/>
  <c r="H255" i="4"/>
  <c r="I255" i="4"/>
  <c r="H256" i="4"/>
  <c r="I256" i="4"/>
  <c r="H257" i="4"/>
  <c r="I257" i="4"/>
  <c r="H258" i="4"/>
  <c r="I258" i="4"/>
  <c r="H259" i="4"/>
  <c r="I259" i="4"/>
  <c r="H260" i="4"/>
  <c r="I260" i="4"/>
  <c r="H261" i="4"/>
  <c r="I261" i="4"/>
  <c r="H262" i="4"/>
  <c r="I262" i="4"/>
  <c r="H263" i="4"/>
  <c r="I263" i="4"/>
  <c r="H264" i="4"/>
  <c r="I264" i="4"/>
  <c r="H265" i="4"/>
  <c r="I265" i="4"/>
  <c r="H266" i="4"/>
  <c r="I266" i="4"/>
  <c r="H267" i="4"/>
  <c r="I267" i="4"/>
  <c r="H268" i="4"/>
  <c r="I268" i="4"/>
  <c r="H269" i="4"/>
  <c r="I269" i="4"/>
  <c r="H270" i="4"/>
  <c r="I270" i="4"/>
  <c r="H271" i="4"/>
  <c r="I271" i="4"/>
  <c r="H272" i="4"/>
  <c r="I272" i="4"/>
  <c r="H273" i="4"/>
  <c r="I273" i="4"/>
  <c r="H274" i="4"/>
  <c r="I274" i="4"/>
  <c r="H275" i="4"/>
  <c r="I275" i="4"/>
  <c r="H276" i="4"/>
  <c r="I276" i="4"/>
  <c r="H277" i="4"/>
  <c r="I277" i="4"/>
  <c r="H278" i="4"/>
  <c r="I278" i="4"/>
  <c r="H279" i="4"/>
  <c r="I279" i="4"/>
  <c r="H280" i="4"/>
  <c r="I280" i="4"/>
  <c r="H281" i="4"/>
  <c r="I281" i="4"/>
  <c r="H282" i="4"/>
  <c r="I282" i="4"/>
  <c r="H283" i="4"/>
  <c r="I283" i="4"/>
  <c r="H284" i="4"/>
  <c r="I284" i="4"/>
  <c r="H285" i="4"/>
  <c r="I285" i="4"/>
  <c r="H287" i="4"/>
  <c r="I287" i="4"/>
  <c r="H288" i="4"/>
  <c r="I288" i="4"/>
  <c r="H289" i="4"/>
  <c r="I289" i="4"/>
  <c r="H290" i="4"/>
  <c r="I290" i="4"/>
  <c r="H291" i="4"/>
  <c r="I291" i="4"/>
  <c r="H292" i="4"/>
  <c r="I292" i="4"/>
  <c r="H293" i="4"/>
  <c r="I293" i="4"/>
  <c r="H294" i="4"/>
  <c r="I294" i="4"/>
  <c r="H295" i="4"/>
  <c r="I295" i="4"/>
  <c r="H296" i="4"/>
  <c r="I296" i="4"/>
  <c r="H297" i="4"/>
  <c r="I297" i="4"/>
  <c r="H298" i="4"/>
  <c r="I298" i="4"/>
  <c r="H299" i="4"/>
  <c r="I299" i="4"/>
  <c r="H300" i="4"/>
  <c r="I300" i="4"/>
  <c r="H301" i="4"/>
  <c r="I301" i="4"/>
  <c r="H302" i="4"/>
  <c r="I302" i="4"/>
  <c r="H303" i="4"/>
  <c r="I303" i="4"/>
  <c r="H304" i="4"/>
  <c r="I304" i="4"/>
  <c r="H305" i="4"/>
  <c r="I305" i="4"/>
  <c r="H306" i="4"/>
  <c r="I306" i="4"/>
  <c r="H307" i="4"/>
  <c r="I307" i="4"/>
  <c r="H308" i="4"/>
  <c r="I308" i="4"/>
  <c r="H309" i="4"/>
  <c r="I309" i="4"/>
  <c r="H310" i="4"/>
  <c r="I310" i="4"/>
  <c r="H312" i="4"/>
  <c r="I312" i="4"/>
  <c r="H313" i="4"/>
  <c r="I313" i="4"/>
  <c r="H314" i="4"/>
  <c r="I314" i="4"/>
  <c r="H315" i="4"/>
  <c r="I315" i="4"/>
  <c r="H316" i="4"/>
  <c r="I316" i="4"/>
  <c r="H317" i="4"/>
  <c r="I317" i="4"/>
  <c r="H318" i="4"/>
  <c r="I318" i="4"/>
  <c r="H319" i="4"/>
  <c r="I319" i="4"/>
  <c r="H320" i="4"/>
  <c r="I320" i="4"/>
  <c r="H321" i="4"/>
  <c r="I321" i="4"/>
  <c r="H322" i="4"/>
  <c r="I322" i="4"/>
  <c r="H323" i="4"/>
  <c r="I323" i="4"/>
  <c r="H324" i="4"/>
  <c r="I324" i="4"/>
  <c r="H325" i="4"/>
  <c r="I325" i="4"/>
  <c r="H326" i="4"/>
  <c r="I326" i="4"/>
  <c r="H327" i="4"/>
  <c r="I327" i="4"/>
  <c r="H328" i="4"/>
  <c r="I328" i="4"/>
  <c r="H329" i="4"/>
  <c r="I329" i="4"/>
  <c r="H330" i="4"/>
  <c r="I330" i="4"/>
  <c r="H331" i="4"/>
  <c r="I331" i="4"/>
  <c r="H332" i="4"/>
  <c r="I332" i="4"/>
  <c r="L333" i="4"/>
  <c r="H335" i="4"/>
  <c r="I335" i="4"/>
  <c r="H336" i="4"/>
  <c r="I336" i="4"/>
  <c r="H337" i="4"/>
  <c r="I337" i="4"/>
  <c r="H338" i="4"/>
  <c r="I338" i="4"/>
  <c r="H339" i="4"/>
  <c r="I339" i="4"/>
  <c r="H340" i="4"/>
  <c r="I340" i="4"/>
  <c r="H341" i="4"/>
  <c r="I341" i="4"/>
  <c r="H342" i="4"/>
  <c r="I342" i="4"/>
  <c r="H343" i="4"/>
  <c r="I343" i="4"/>
  <c r="H344" i="4"/>
  <c r="I344" i="4"/>
  <c r="H345" i="4"/>
  <c r="I345" i="4"/>
  <c r="H346" i="4"/>
  <c r="I346" i="4"/>
  <c r="H347" i="4"/>
  <c r="I347" i="4"/>
  <c r="H348" i="4"/>
  <c r="I348" i="4"/>
  <c r="H349" i="4"/>
  <c r="I349" i="4"/>
  <c r="H350" i="4"/>
  <c r="I350" i="4"/>
  <c r="H351" i="4"/>
  <c r="I351" i="4"/>
  <c r="H352" i="4"/>
  <c r="I352" i="4"/>
  <c r="H353" i="4"/>
  <c r="I353" i="4"/>
  <c r="H354" i="4"/>
  <c r="I354" i="4"/>
  <c r="H355" i="4"/>
  <c r="I355" i="4"/>
  <c r="H356" i="4"/>
  <c r="I356" i="4"/>
  <c r="H357" i="4"/>
  <c r="I357" i="4"/>
  <c r="H358" i="4"/>
  <c r="I358" i="4"/>
  <c r="H359" i="4"/>
  <c r="I359" i="4"/>
  <c r="H360" i="4"/>
  <c r="I360" i="4"/>
  <c r="H361" i="4"/>
  <c r="I361" i="4"/>
  <c r="H362" i="4"/>
  <c r="I362" i="4"/>
  <c r="H363" i="4"/>
  <c r="I363" i="4"/>
  <c r="H364" i="4"/>
  <c r="I364" i="4"/>
  <c r="H365" i="4"/>
  <c r="I365" i="4"/>
  <c r="H366" i="4"/>
  <c r="I366" i="4"/>
  <c r="H367" i="4"/>
  <c r="I367" i="4"/>
  <c r="H368" i="4"/>
  <c r="I368" i="4"/>
  <c r="H369" i="4"/>
  <c r="I369" i="4"/>
  <c r="H370" i="4"/>
  <c r="I370" i="4"/>
  <c r="H371" i="4"/>
  <c r="I371" i="4"/>
  <c r="H372" i="4"/>
  <c r="I372" i="4"/>
  <c r="H373" i="4"/>
  <c r="I373" i="4"/>
  <c r="H374" i="4"/>
  <c r="I374" i="4"/>
  <c r="L375" i="4"/>
  <c r="H376" i="4"/>
  <c r="I376" i="4"/>
  <c r="H377" i="4"/>
  <c r="I377" i="4"/>
  <c r="H378" i="4"/>
  <c r="I378" i="4"/>
  <c r="H379" i="4"/>
  <c r="I379" i="4"/>
  <c r="H380" i="4"/>
  <c r="I380" i="4"/>
  <c r="H381" i="4"/>
  <c r="I381" i="4"/>
  <c r="H382" i="4"/>
  <c r="I382" i="4"/>
  <c r="H383" i="4"/>
  <c r="I383" i="4"/>
  <c r="H384" i="4"/>
  <c r="I384" i="4"/>
  <c r="H385" i="4"/>
  <c r="I385" i="4"/>
  <c r="H386" i="4"/>
  <c r="I386" i="4"/>
  <c r="H387" i="4"/>
  <c r="I387" i="4"/>
  <c r="H388" i="4"/>
  <c r="I388" i="4"/>
  <c r="H389" i="4"/>
  <c r="I389" i="4"/>
  <c r="H390" i="4"/>
  <c r="I390" i="4"/>
  <c r="H391" i="4"/>
  <c r="I391" i="4"/>
  <c r="H392" i="4"/>
  <c r="I392" i="4"/>
  <c r="H393" i="4"/>
  <c r="I393" i="4"/>
  <c r="H395" i="4"/>
  <c r="I395" i="4"/>
  <c r="H396" i="4"/>
  <c r="I396" i="4"/>
  <c r="H397" i="4"/>
  <c r="I397" i="4"/>
  <c r="H398" i="4"/>
  <c r="I398" i="4"/>
  <c r="H399" i="4"/>
  <c r="I399" i="4"/>
  <c r="H400" i="4"/>
  <c r="I400" i="4"/>
  <c r="H401" i="4"/>
  <c r="I401" i="4"/>
  <c r="H402" i="4"/>
  <c r="I402" i="4"/>
  <c r="H403" i="4"/>
  <c r="I403" i="4"/>
  <c r="H404" i="4"/>
  <c r="I404" i="4"/>
  <c r="H405" i="4"/>
  <c r="I405" i="4"/>
  <c r="H407" i="4"/>
  <c r="I407" i="4"/>
  <c r="H408" i="4"/>
  <c r="I408" i="4"/>
  <c r="H409" i="4"/>
  <c r="I409" i="4"/>
  <c r="H410" i="4"/>
  <c r="I410" i="4"/>
  <c r="H411" i="4"/>
  <c r="I411" i="4"/>
  <c r="H412" i="4"/>
  <c r="I412" i="4"/>
  <c r="H413" i="4"/>
  <c r="I413" i="4"/>
  <c r="H414" i="4"/>
  <c r="I414" i="4"/>
  <c r="H415" i="4"/>
  <c r="I415" i="4"/>
  <c r="H416" i="4"/>
  <c r="I416" i="4"/>
  <c r="H417" i="4"/>
  <c r="I417" i="4"/>
  <c r="H418" i="4"/>
  <c r="I418" i="4"/>
  <c r="H419" i="4"/>
  <c r="I419" i="4"/>
  <c r="H420" i="4"/>
  <c r="I420" i="4"/>
  <c r="H421" i="4"/>
  <c r="I421" i="4"/>
  <c r="H422" i="4"/>
  <c r="I422" i="4"/>
  <c r="H423" i="4"/>
  <c r="I423" i="4"/>
  <c r="H424" i="4"/>
  <c r="I424" i="4"/>
  <c r="H425" i="4"/>
  <c r="I425" i="4"/>
  <c r="H426" i="4"/>
  <c r="I426" i="4"/>
  <c r="H427" i="4"/>
  <c r="I427" i="4"/>
  <c r="H428" i="4"/>
  <c r="I428" i="4"/>
  <c r="H429" i="4"/>
  <c r="I429" i="4"/>
  <c r="H430" i="4"/>
  <c r="I430" i="4"/>
  <c r="H431" i="4"/>
  <c r="I431" i="4"/>
  <c r="H432" i="4"/>
  <c r="I432" i="4"/>
  <c r="H433" i="4"/>
  <c r="I433" i="4"/>
  <c r="H434" i="4"/>
  <c r="I434" i="4"/>
  <c r="H435" i="4"/>
  <c r="I435" i="4"/>
  <c r="H436" i="4"/>
  <c r="I436" i="4"/>
  <c r="H437" i="4"/>
  <c r="I437" i="4"/>
  <c r="H438" i="4"/>
  <c r="I438" i="4"/>
  <c r="H439" i="4"/>
  <c r="I439" i="4"/>
  <c r="H441" i="4"/>
  <c r="I441" i="4"/>
  <c r="H442" i="4"/>
  <c r="I442" i="4"/>
  <c r="H443" i="4"/>
  <c r="I443" i="4"/>
  <c r="H444" i="4"/>
  <c r="I444" i="4"/>
  <c r="H445" i="4"/>
  <c r="I445" i="4"/>
  <c r="H446" i="4"/>
  <c r="I446" i="4"/>
  <c r="H447" i="4"/>
  <c r="I447" i="4"/>
  <c r="H448" i="4"/>
  <c r="I448" i="4"/>
  <c r="H449" i="4"/>
  <c r="I449" i="4"/>
  <c r="H450" i="4"/>
  <c r="I450" i="4"/>
  <c r="H451" i="4"/>
  <c r="I451" i="4"/>
  <c r="H452" i="4"/>
  <c r="I452" i="4"/>
  <c r="H453" i="4"/>
  <c r="I453" i="4"/>
  <c r="H454" i="4"/>
  <c r="I454" i="4"/>
  <c r="H455" i="4"/>
  <c r="I455" i="4"/>
  <c r="H456" i="4"/>
  <c r="I456" i="4"/>
  <c r="H457" i="4"/>
  <c r="I457" i="4"/>
  <c r="H458" i="4"/>
  <c r="I458" i="4"/>
  <c r="H459" i="4"/>
  <c r="I459" i="4"/>
  <c r="H460" i="4"/>
  <c r="I460" i="4"/>
  <c r="H461" i="4"/>
  <c r="I461" i="4"/>
  <c r="H462" i="4"/>
  <c r="I462" i="4"/>
  <c r="H463" i="4"/>
  <c r="I463" i="4"/>
  <c r="H464" i="4"/>
  <c r="I464" i="4"/>
  <c r="H465" i="4"/>
  <c r="I465" i="4"/>
  <c r="H466" i="4"/>
  <c r="I466" i="4"/>
  <c r="H467" i="4"/>
  <c r="I467" i="4"/>
  <c r="H468" i="4"/>
  <c r="I468" i="4"/>
  <c r="H469" i="4"/>
  <c r="I469" i="4"/>
  <c r="H470" i="4"/>
  <c r="I470" i="4"/>
  <c r="H471" i="4"/>
  <c r="I471" i="4"/>
  <c r="H472" i="4"/>
  <c r="I472" i="4"/>
  <c r="H473" i="4"/>
  <c r="I473" i="4"/>
  <c r="H474" i="4"/>
  <c r="I474" i="4"/>
  <c r="H475" i="4"/>
  <c r="I475" i="4"/>
  <c r="H476" i="4"/>
  <c r="I476" i="4"/>
  <c r="L477" i="4"/>
  <c r="H478" i="4"/>
  <c r="I478" i="4"/>
  <c r="H479" i="4"/>
  <c r="I479" i="4"/>
  <c r="H480" i="4"/>
  <c r="I480" i="4"/>
  <c r="H481" i="4"/>
  <c r="I481" i="4"/>
  <c r="H482" i="4"/>
  <c r="I482" i="4"/>
  <c r="H483" i="4"/>
  <c r="I483" i="4"/>
  <c r="H484" i="4"/>
  <c r="I484" i="4"/>
  <c r="H485" i="4"/>
  <c r="I485" i="4"/>
  <c r="H486" i="4"/>
  <c r="I486" i="4"/>
  <c r="H487" i="4"/>
  <c r="I487" i="4"/>
  <c r="H488" i="4"/>
  <c r="I488" i="4"/>
  <c r="H489" i="4"/>
  <c r="I489" i="4"/>
  <c r="H490" i="4"/>
  <c r="I490" i="4"/>
  <c r="H491" i="4"/>
  <c r="I491" i="4"/>
  <c r="H492" i="4"/>
  <c r="I492" i="4"/>
  <c r="H493" i="4"/>
  <c r="I493" i="4"/>
  <c r="H494" i="4"/>
  <c r="I494" i="4"/>
  <c r="L495" i="4"/>
  <c r="H496" i="4"/>
  <c r="I496" i="4"/>
  <c r="H497" i="4"/>
  <c r="I497" i="4"/>
  <c r="H498" i="4"/>
  <c r="I498" i="4"/>
  <c r="H499" i="4"/>
  <c r="I499" i="4"/>
  <c r="H500" i="4"/>
  <c r="I500" i="4"/>
  <c r="H501" i="4"/>
  <c r="I501" i="4"/>
  <c r="H502" i="4"/>
  <c r="I502" i="4"/>
  <c r="H503" i="4"/>
  <c r="I503" i="4"/>
  <c r="H504" i="4"/>
  <c r="I504" i="4"/>
  <c r="H505" i="4"/>
  <c r="I505" i="4"/>
  <c r="H506" i="4"/>
  <c r="I506" i="4"/>
  <c r="H507" i="4"/>
  <c r="I507" i="4"/>
  <c r="H508" i="4"/>
  <c r="I508" i="4"/>
  <c r="H509" i="4"/>
  <c r="I509" i="4"/>
  <c r="H510" i="4"/>
  <c r="I510" i="4"/>
  <c r="H511" i="4"/>
  <c r="I511" i="4"/>
  <c r="H512" i="4"/>
  <c r="I512" i="4"/>
  <c r="H513" i="4"/>
  <c r="I513" i="4"/>
  <c r="H514" i="4"/>
  <c r="I514" i="4"/>
  <c r="H515" i="4"/>
  <c r="I515" i="4"/>
  <c r="H516" i="4"/>
  <c r="I516" i="4"/>
  <c r="H517" i="4"/>
  <c r="I517" i="4"/>
  <c r="H518" i="4"/>
  <c r="I518" i="4"/>
  <c r="H519" i="4"/>
  <c r="I519" i="4"/>
  <c r="H520" i="4"/>
  <c r="I520" i="4"/>
  <c r="H521" i="4"/>
  <c r="I521" i="4"/>
  <c r="H522" i="4"/>
  <c r="I522" i="4"/>
  <c r="H523" i="4"/>
  <c r="I523" i="4"/>
  <c r="H524" i="4"/>
  <c r="I524" i="4"/>
  <c r="H525" i="4"/>
  <c r="I525" i="4"/>
  <c r="H526" i="4"/>
  <c r="I526" i="4"/>
  <c r="H527" i="4"/>
  <c r="I527" i="4"/>
  <c r="H528" i="4"/>
  <c r="I528" i="4"/>
  <c r="H529" i="4"/>
  <c r="I529" i="4"/>
  <c r="H530" i="4"/>
  <c r="I530" i="4"/>
  <c r="H531" i="4"/>
  <c r="I531" i="4"/>
  <c r="H532" i="4"/>
  <c r="I532" i="4"/>
  <c r="H533" i="4"/>
  <c r="I533" i="4"/>
  <c r="H534" i="4"/>
  <c r="I534" i="4"/>
  <c r="H535" i="4"/>
  <c r="I535" i="4"/>
  <c r="H536" i="4"/>
  <c r="I536" i="4"/>
  <c r="H537" i="4"/>
  <c r="I537" i="4"/>
  <c r="H538" i="4"/>
  <c r="I538" i="4"/>
  <c r="H539" i="4"/>
  <c r="I539" i="4"/>
  <c r="H541" i="4"/>
  <c r="I541" i="4"/>
  <c r="H542" i="4"/>
  <c r="I542" i="4"/>
  <c r="H543" i="4"/>
  <c r="I543" i="4"/>
  <c r="H544" i="4"/>
  <c r="I544" i="4"/>
  <c r="H545" i="4"/>
  <c r="I545" i="4"/>
  <c r="H546" i="4"/>
  <c r="I546" i="4"/>
  <c r="H547" i="4"/>
  <c r="I547" i="4"/>
  <c r="H548" i="4"/>
  <c r="I548" i="4"/>
  <c r="H549" i="4"/>
  <c r="I549" i="4"/>
  <c r="H550" i="4"/>
  <c r="I550" i="4"/>
  <c r="H551" i="4"/>
  <c r="I551" i="4"/>
  <c r="H552" i="4"/>
  <c r="I552" i="4"/>
  <c r="H553" i="4"/>
  <c r="I553" i="4"/>
  <c r="H554" i="4"/>
  <c r="I554" i="4"/>
  <c r="H555" i="4"/>
  <c r="I555" i="4"/>
  <c r="H556" i="4"/>
  <c r="I556" i="4"/>
  <c r="H557" i="4"/>
  <c r="I557" i="4"/>
  <c r="H558" i="4"/>
  <c r="I558" i="4"/>
  <c r="H559" i="4"/>
  <c r="I559" i="4"/>
  <c r="H560" i="4"/>
  <c r="I560" i="4"/>
  <c r="H561" i="4"/>
  <c r="I561" i="4"/>
  <c r="H562" i="4"/>
  <c r="I562" i="4"/>
  <c r="H563" i="4"/>
  <c r="I563" i="4"/>
  <c r="H564" i="4"/>
  <c r="I564" i="4"/>
  <c r="H565" i="4"/>
  <c r="I565" i="4"/>
  <c r="H566" i="4"/>
  <c r="I566" i="4"/>
  <c r="H567" i="4"/>
  <c r="I567" i="4"/>
  <c r="H568" i="4"/>
  <c r="I568" i="4"/>
  <c r="H569" i="4"/>
  <c r="I569" i="4"/>
  <c r="H570" i="4"/>
  <c r="I570" i="4"/>
  <c r="H571" i="4"/>
  <c r="I571" i="4"/>
  <c r="H572" i="4"/>
  <c r="I572" i="4"/>
  <c r="H573" i="4"/>
  <c r="I573" i="4"/>
  <c r="H574" i="4"/>
  <c r="I574" i="4"/>
  <c r="H575" i="4"/>
  <c r="I575" i="4"/>
  <c r="H576" i="4"/>
  <c r="I576" i="4"/>
  <c r="H577" i="4"/>
  <c r="I577" i="4"/>
  <c r="H578" i="4"/>
  <c r="I578" i="4"/>
  <c r="H579" i="4"/>
  <c r="I579" i="4"/>
  <c r="H580" i="4"/>
  <c r="I580" i="4"/>
  <c r="H582" i="4"/>
  <c r="I582" i="4"/>
  <c r="H583" i="4"/>
  <c r="I583" i="4"/>
  <c r="H584" i="4"/>
  <c r="I584" i="4"/>
  <c r="H585" i="4"/>
  <c r="I585" i="4"/>
  <c r="H586" i="4"/>
  <c r="I586" i="4"/>
  <c r="H587" i="4"/>
  <c r="I587" i="4"/>
  <c r="H588" i="4"/>
  <c r="I588" i="4"/>
  <c r="H589" i="4"/>
  <c r="I589" i="4"/>
  <c r="H590" i="4"/>
  <c r="I590" i="4"/>
  <c r="H591" i="4"/>
  <c r="I591" i="4"/>
  <c r="H592" i="4"/>
  <c r="I592" i="4"/>
  <c r="H593" i="4"/>
  <c r="I593" i="4"/>
  <c r="H594" i="4"/>
  <c r="I594" i="4"/>
  <c r="H595" i="4"/>
  <c r="I595" i="4"/>
  <c r="H596" i="4"/>
  <c r="I596" i="4"/>
  <c r="H597" i="4"/>
  <c r="I597" i="4"/>
  <c r="H598" i="4"/>
  <c r="I598" i="4"/>
  <c r="H599" i="4"/>
  <c r="I599" i="4"/>
  <c r="H600" i="4"/>
  <c r="I600" i="4"/>
  <c r="H601" i="4"/>
  <c r="I601" i="4"/>
  <c r="H602" i="4"/>
  <c r="I602" i="4"/>
  <c r="H603" i="4"/>
  <c r="I603" i="4"/>
  <c r="H604" i="4"/>
  <c r="I604" i="4"/>
  <c r="H606" i="4"/>
  <c r="I606" i="4"/>
  <c r="H607" i="4"/>
  <c r="I607" i="4"/>
  <c r="H608" i="4"/>
  <c r="I608" i="4"/>
  <c r="H609" i="4"/>
  <c r="I609" i="4"/>
  <c r="H610" i="4"/>
  <c r="I610" i="4"/>
  <c r="H611" i="4"/>
  <c r="I611" i="4"/>
  <c r="H612" i="4"/>
  <c r="I612" i="4"/>
  <c r="H613" i="4"/>
  <c r="I613" i="4"/>
  <c r="H614" i="4"/>
  <c r="I614" i="4"/>
  <c r="H615" i="4"/>
  <c r="I615" i="4"/>
  <c r="H616" i="4"/>
  <c r="I616" i="4"/>
  <c r="H617" i="4"/>
  <c r="I617" i="4"/>
  <c r="H618" i="4"/>
  <c r="I618" i="4"/>
  <c r="H619" i="4"/>
  <c r="I619" i="4"/>
  <c r="H620" i="4"/>
  <c r="I620" i="4"/>
  <c r="H621" i="4"/>
  <c r="I621" i="4"/>
  <c r="H622" i="4"/>
  <c r="I622" i="4"/>
  <c r="H623" i="4"/>
  <c r="I623" i="4"/>
  <c r="H626" i="4"/>
  <c r="I626" i="4"/>
  <c r="H627" i="4"/>
  <c r="I627" i="4"/>
  <c r="H628" i="4"/>
  <c r="I628" i="4"/>
  <c r="H629" i="4"/>
  <c r="I629" i="4"/>
  <c r="H630" i="4"/>
  <c r="I630" i="4"/>
  <c r="H631" i="4"/>
  <c r="I631" i="4"/>
  <c r="H632" i="4"/>
  <c r="I632" i="4"/>
  <c r="H633" i="4"/>
  <c r="I633" i="4"/>
  <c r="H634" i="4"/>
  <c r="I634" i="4"/>
  <c r="H635" i="4"/>
  <c r="I635" i="4"/>
  <c r="H636" i="4"/>
  <c r="I636" i="4"/>
  <c r="H637" i="4"/>
  <c r="I637" i="4"/>
  <c r="K638" i="4"/>
  <c r="H639" i="4"/>
  <c r="I639" i="4"/>
  <c r="H640" i="4"/>
  <c r="I640" i="4"/>
  <c r="H641" i="4"/>
  <c r="I641" i="4"/>
  <c r="H642" i="4"/>
  <c r="I642" i="4"/>
  <c r="H644" i="4"/>
  <c r="I644" i="4"/>
  <c r="H645" i="4"/>
  <c r="I645" i="4"/>
  <c r="H646" i="4"/>
  <c r="I646" i="4"/>
  <c r="H647" i="4"/>
  <c r="I647" i="4"/>
  <c r="H648" i="4"/>
  <c r="I648" i="4"/>
  <c r="H649" i="4"/>
  <c r="I649" i="4"/>
  <c r="H650" i="4"/>
  <c r="I650" i="4"/>
  <c r="H651" i="4"/>
  <c r="I651" i="4"/>
  <c r="H652" i="4"/>
  <c r="I652" i="4"/>
  <c r="H653" i="4"/>
  <c r="I653" i="4"/>
  <c r="H654" i="4"/>
  <c r="I654" i="4"/>
  <c r="H655" i="4"/>
  <c r="I655" i="4"/>
  <c r="H656" i="4"/>
  <c r="I656" i="4"/>
  <c r="H657" i="4"/>
  <c r="I657" i="4"/>
  <c r="H658" i="4"/>
  <c r="I658" i="4"/>
  <c r="H659" i="4"/>
  <c r="I659" i="4"/>
  <c r="H660" i="4"/>
  <c r="I660" i="4"/>
  <c r="H661" i="4"/>
  <c r="I661" i="4"/>
  <c r="H662" i="4"/>
  <c r="I662" i="4"/>
  <c r="H663" i="4"/>
  <c r="I663" i="4"/>
  <c r="H665" i="4"/>
  <c r="I665" i="4"/>
  <c r="H666" i="4"/>
  <c r="I666" i="4"/>
  <c r="H667" i="4"/>
  <c r="I667" i="4"/>
  <c r="H668" i="4"/>
  <c r="I668" i="4"/>
  <c r="H669" i="4"/>
  <c r="I669" i="4"/>
  <c r="H670" i="4"/>
  <c r="I670" i="4"/>
  <c r="H671" i="4"/>
  <c r="I671" i="4"/>
  <c r="H672" i="4"/>
  <c r="I672" i="4"/>
  <c r="H673" i="4"/>
  <c r="I673" i="4"/>
  <c r="K674" i="4"/>
  <c r="H675" i="4"/>
  <c r="I675" i="4"/>
  <c r="H676" i="4"/>
  <c r="I676" i="4"/>
  <c r="H677" i="4"/>
  <c r="I677" i="4"/>
  <c r="H678" i="4"/>
  <c r="I678" i="4"/>
  <c r="H679" i="4"/>
  <c r="I679" i="4"/>
  <c r="H680" i="4"/>
  <c r="I680" i="4"/>
  <c r="H681" i="4"/>
  <c r="I681" i="4"/>
  <c r="H682" i="4"/>
  <c r="I682" i="4"/>
  <c r="H683" i="4"/>
  <c r="I683" i="4"/>
  <c r="H685" i="4"/>
  <c r="I685" i="4"/>
  <c r="H686" i="4"/>
  <c r="I686" i="4"/>
  <c r="H687" i="4"/>
  <c r="I687" i="4"/>
  <c r="H688" i="4"/>
  <c r="I688" i="4"/>
  <c r="H689" i="4"/>
  <c r="I689" i="4"/>
  <c r="H690" i="4"/>
  <c r="I690" i="4"/>
  <c r="H691" i="4"/>
  <c r="I691" i="4"/>
  <c r="K692" i="4"/>
  <c r="H693" i="4"/>
  <c r="I693" i="4"/>
  <c r="H694" i="4"/>
  <c r="I694" i="4"/>
  <c r="H695" i="4"/>
  <c r="I695" i="4"/>
  <c r="H696" i="4"/>
  <c r="I696" i="4"/>
  <c r="H697" i="4"/>
  <c r="I697" i="4"/>
  <c r="H698" i="4"/>
  <c r="I698" i="4"/>
  <c r="H699" i="4"/>
  <c r="I699" i="4"/>
  <c r="H700" i="4"/>
  <c r="I700" i="4"/>
  <c r="H701" i="4"/>
  <c r="I701" i="4"/>
  <c r="H702" i="4"/>
  <c r="I702" i="4"/>
  <c r="H703" i="4"/>
  <c r="I703" i="4"/>
  <c r="H704" i="4"/>
  <c r="I704" i="4"/>
  <c r="H705" i="4"/>
  <c r="I705" i="4"/>
  <c r="H706" i="4"/>
  <c r="I706" i="4"/>
  <c r="H707" i="4"/>
  <c r="I707" i="4"/>
  <c r="H708" i="4"/>
  <c r="I708" i="4"/>
  <c r="H709" i="4"/>
  <c r="I709" i="4"/>
  <c r="H710" i="4"/>
  <c r="I710" i="4"/>
  <c r="H711" i="4"/>
  <c r="I711" i="4"/>
  <c r="H712" i="4"/>
  <c r="I712" i="4"/>
  <c r="H713" i="4"/>
  <c r="I713" i="4"/>
  <c r="H714" i="4"/>
  <c r="I714" i="4"/>
  <c r="L715" i="4"/>
  <c r="H716" i="4"/>
  <c r="I716" i="4"/>
  <c r="H717" i="4"/>
  <c r="I717" i="4"/>
  <c r="H718" i="4"/>
  <c r="I718" i="4"/>
  <c r="H719" i="4"/>
  <c r="I719" i="4"/>
  <c r="H720" i="4"/>
  <c r="I720" i="4"/>
  <c r="H721" i="4"/>
  <c r="I721" i="4"/>
  <c r="H722" i="4"/>
  <c r="I722" i="4"/>
  <c r="H723" i="4"/>
  <c r="I723" i="4"/>
  <c r="H724" i="4"/>
  <c r="I724" i="4"/>
  <c r="H725" i="4"/>
  <c r="I725" i="4"/>
  <c r="H726" i="4"/>
  <c r="I726" i="4"/>
  <c r="H727" i="4"/>
  <c r="I727" i="4"/>
  <c r="H728" i="4"/>
  <c r="I728" i="4"/>
  <c r="H729" i="4"/>
  <c r="I729" i="4"/>
  <c r="H730" i="4"/>
  <c r="I730" i="4"/>
  <c r="H731" i="4"/>
  <c r="I731" i="4"/>
  <c r="H732" i="4"/>
  <c r="I732" i="4"/>
  <c r="H733" i="4"/>
  <c r="I733" i="4"/>
  <c r="H734" i="4"/>
  <c r="I734" i="4"/>
  <c r="H735" i="4"/>
  <c r="I735" i="4"/>
  <c r="H736" i="4"/>
  <c r="I736" i="4"/>
  <c r="H737" i="4"/>
  <c r="I737" i="4"/>
  <c r="I16" i="4"/>
  <c r="H16" i="4"/>
  <c r="H17" i="8"/>
  <c r="I17" i="8"/>
  <c r="H18" i="8"/>
  <c r="I18" i="8"/>
  <c r="H19" i="8"/>
  <c r="I19" i="8"/>
  <c r="H20" i="8"/>
  <c r="I20" i="8"/>
  <c r="H21" i="8"/>
  <c r="I21" i="8"/>
  <c r="H22" i="8"/>
  <c r="I22" i="8"/>
  <c r="H23" i="8"/>
  <c r="I23" i="8"/>
  <c r="H24" i="8"/>
  <c r="I24" i="8"/>
  <c r="H25" i="8"/>
  <c r="I25" i="8"/>
  <c r="H26" i="8"/>
  <c r="I26" i="8"/>
  <c r="H27" i="8"/>
  <c r="I27" i="8"/>
  <c r="H28" i="8"/>
  <c r="I28" i="8"/>
  <c r="H29" i="8"/>
  <c r="I29" i="8"/>
  <c r="H30" i="8"/>
  <c r="I30" i="8"/>
  <c r="H31" i="8"/>
  <c r="I31" i="8"/>
  <c r="H32" i="8"/>
  <c r="I32" i="8"/>
  <c r="K33" i="8"/>
  <c r="H34" i="8"/>
  <c r="I34" i="8"/>
  <c r="H35" i="8"/>
  <c r="I35" i="8"/>
  <c r="H36" i="8"/>
  <c r="I36" i="8"/>
  <c r="H37" i="8"/>
  <c r="I37" i="8"/>
  <c r="H38" i="8"/>
  <c r="I38" i="8"/>
  <c r="H39" i="8"/>
  <c r="I39" i="8"/>
  <c r="L40" i="8"/>
  <c r="H41" i="8"/>
  <c r="I41" i="8"/>
  <c r="H42" i="8"/>
  <c r="I42" i="8"/>
  <c r="H43" i="8"/>
  <c r="I43" i="8"/>
  <c r="H44" i="8"/>
  <c r="I44" i="8"/>
  <c r="H45" i="8"/>
  <c r="I45" i="8"/>
  <c r="H46" i="8"/>
  <c r="I46" i="8"/>
  <c r="H47" i="8"/>
  <c r="I47" i="8"/>
  <c r="H48" i="8"/>
  <c r="I48" i="8"/>
  <c r="H49" i="8"/>
  <c r="I49" i="8"/>
  <c r="H50" i="8"/>
  <c r="I50" i="8"/>
  <c r="H51" i="8"/>
  <c r="I51" i="8"/>
  <c r="H52" i="8"/>
  <c r="I52" i="8"/>
  <c r="H53" i="8"/>
  <c r="I53" i="8"/>
  <c r="H54" i="8"/>
  <c r="I54" i="8"/>
  <c r="H55" i="8"/>
  <c r="I55" i="8"/>
  <c r="H56" i="8"/>
  <c r="I56" i="8"/>
  <c r="H57" i="8"/>
  <c r="I57" i="8"/>
  <c r="H58" i="8"/>
  <c r="I58" i="8"/>
  <c r="H59" i="8"/>
  <c r="I59" i="8"/>
  <c r="H60" i="8"/>
  <c r="I60" i="8"/>
  <c r="H61" i="8"/>
  <c r="I61" i="8"/>
  <c r="H62" i="8"/>
  <c r="I62" i="8"/>
  <c r="H63" i="8"/>
  <c r="I63" i="8"/>
  <c r="H64" i="8"/>
  <c r="I64" i="8"/>
  <c r="H65" i="8"/>
  <c r="I65" i="8"/>
  <c r="H66" i="8"/>
  <c r="I66" i="8"/>
  <c r="H67" i="8"/>
  <c r="I67" i="8"/>
  <c r="H68" i="8"/>
  <c r="I68" i="8"/>
  <c r="H69" i="8"/>
  <c r="I69" i="8"/>
  <c r="H70" i="8"/>
  <c r="I70" i="8"/>
  <c r="H71" i="8"/>
  <c r="I71" i="8"/>
  <c r="H72" i="8"/>
  <c r="I72" i="8"/>
  <c r="H73" i="8"/>
  <c r="I73" i="8"/>
  <c r="H74" i="8"/>
  <c r="I74" i="8"/>
  <c r="H75" i="8"/>
  <c r="I75" i="8"/>
  <c r="H76" i="8"/>
  <c r="I76" i="8"/>
  <c r="H77" i="8"/>
  <c r="I77" i="8"/>
  <c r="H78" i="8"/>
  <c r="I78" i="8"/>
  <c r="H79" i="8"/>
  <c r="I79" i="8"/>
  <c r="H80" i="8"/>
  <c r="I80" i="8"/>
  <c r="H81" i="8"/>
  <c r="I81" i="8"/>
  <c r="H82" i="8"/>
  <c r="I82" i="8"/>
  <c r="H83" i="8"/>
  <c r="I83" i="8"/>
  <c r="H84" i="8"/>
  <c r="I84" i="8"/>
  <c r="H85" i="8"/>
  <c r="I85" i="8"/>
  <c r="H86" i="8"/>
  <c r="I86" i="8"/>
  <c r="H87" i="8"/>
  <c r="I87" i="8"/>
  <c r="H88" i="8"/>
  <c r="I88" i="8"/>
  <c r="H89" i="8"/>
  <c r="I89" i="8"/>
  <c r="H90" i="8"/>
  <c r="I90" i="8"/>
  <c r="H91" i="8"/>
  <c r="I91" i="8"/>
  <c r="H92" i="8"/>
  <c r="I92" i="8"/>
  <c r="H93" i="8"/>
  <c r="I93" i="8"/>
  <c r="H94" i="8"/>
  <c r="I94" i="8"/>
  <c r="H95" i="8"/>
  <c r="I95" i="8"/>
  <c r="H96" i="8"/>
  <c r="I96" i="8"/>
  <c r="H97" i="8"/>
  <c r="I97" i="8"/>
  <c r="H98" i="8"/>
  <c r="I98" i="8"/>
  <c r="H99" i="8"/>
  <c r="I99" i="8"/>
  <c r="H100" i="8"/>
  <c r="I100" i="8"/>
  <c r="H101" i="8"/>
  <c r="I101" i="8"/>
  <c r="H102" i="8"/>
  <c r="I102" i="8"/>
  <c r="H103" i="8"/>
  <c r="I103" i="8"/>
  <c r="H104" i="8"/>
  <c r="I104" i="8"/>
  <c r="H105" i="8"/>
  <c r="I105" i="8"/>
  <c r="H106" i="8"/>
  <c r="I106" i="8"/>
  <c r="H107" i="8"/>
  <c r="I107" i="8"/>
  <c r="H108" i="8"/>
  <c r="I108" i="8"/>
  <c r="H109" i="8"/>
  <c r="I109" i="8"/>
  <c r="H110" i="8"/>
  <c r="I110" i="8"/>
  <c r="H111" i="8"/>
  <c r="I111" i="8"/>
  <c r="H112" i="8"/>
  <c r="I112" i="8"/>
  <c r="H113" i="8"/>
  <c r="I113" i="8"/>
  <c r="H115" i="8"/>
  <c r="I115" i="8"/>
  <c r="H116" i="8"/>
  <c r="I116" i="8"/>
  <c r="H117" i="8"/>
  <c r="I117" i="8"/>
  <c r="H118" i="8"/>
  <c r="I118" i="8"/>
  <c r="H119" i="8"/>
  <c r="I119" i="8"/>
  <c r="H120" i="8"/>
  <c r="I120" i="8"/>
  <c r="H121" i="8"/>
  <c r="I121" i="8"/>
  <c r="H122" i="8"/>
  <c r="I122" i="8"/>
  <c r="H123" i="8"/>
  <c r="I123" i="8"/>
  <c r="K124" i="8"/>
  <c r="L124" i="8"/>
  <c r="H125" i="8"/>
  <c r="I125" i="8"/>
  <c r="H126" i="8"/>
  <c r="I126" i="8"/>
  <c r="H127" i="8"/>
  <c r="I127" i="8"/>
  <c r="H128" i="8"/>
  <c r="I128" i="8"/>
  <c r="H129" i="8"/>
  <c r="I129" i="8"/>
  <c r="H130" i="8"/>
  <c r="I130" i="8"/>
  <c r="H131" i="8"/>
  <c r="I131" i="8"/>
  <c r="H132" i="8"/>
  <c r="I132" i="8"/>
  <c r="H133" i="8"/>
  <c r="I133" i="8"/>
  <c r="H135" i="8"/>
  <c r="I135" i="8"/>
  <c r="H136" i="8"/>
  <c r="I136" i="8"/>
  <c r="H137" i="8"/>
  <c r="I137" i="8"/>
  <c r="H138" i="8"/>
  <c r="I138" i="8"/>
  <c r="H139" i="8"/>
  <c r="I139" i="8"/>
  <c r="H140" i="8"/>
  <c r="I140" i="8"/>
  <c r="H141" i="8"/>
  <c r="I141" i="8"/>
  <c r="H142" i="8"/>
  <c r="I142" i="8"/>
  <c r="H143" i="8"/>
  <c r="I143" i="8"/>
  <c r="H144" i="8"/>
  <c r="I144" i="8"/>
  <c r="H145" i="8"/>
  <c r="I145" i="8"/>
  <c r="H146" i="8"/>
  <c r="I146" i="8"/>
  <c r="H147" i="8"/>
  <c r="I147" i="8"/>
  <c r="H148" i="8"/>
  <c r="I148" i="8"/>
  <c r="H149" i="8"/>
  <c r="I149" i="8"/>
  <c r="H151" i="8"/>
  <c r="I151" i="8"/>
  <c r="H152" i="8"/>
  <c r="I152" i="8"/>
  <c r="H153" i="8"/>
  <c r="I153" i="8"/>
  <c r="H154" i="8"/>
  <c r="I154" i="8"/>
  <c r="H155" i="8"/>
  <c r="I155" i="8"/>
  <c r="H156" i="8"/>
  <c r="I156" i="8"/>
  <c r="H157" i="8"/>
  <c r="I157" i="8"/>
  <c r="H158" i="8"/>
  <c r="I158" i="8"/>
  <c r="H159" i="8"/>
  <c r="I159" i="8"/>
  <c r="H160" i="8"/>
  <c r="I160" i="8"/>
  <c r="H161" i="8"/>
  <c r="I161" i="8"/>
  <c r="H162" i="8"/>
  <c r="I162" i="8"/>
  <c r="H163" i="8"/>
  <c r="I163" i="8"/>
  <c r="H164" i="8"/>
  <c r="I164" i="8"/>
  <c r="H165" i="8"/>
  <c r="I165" i="8"/>
  <c r="H166" i="8"/>
  <c r="I166" i="8"/>
  <c r="H167" i="8"/>
  <c r="I167" i="8"/>
  <c r="H168" i="8"/>
  <c r="I168" i="8"/>
  <c r="H169" i="8"/>
  <c r="I169" i="8"/>
  <c r="K170" i="8"/>
  <c r="H171" i="8"/>
  <c r="I171" i="8"/>
  <c r="H172" i="8"/>
  <c r="I172" i="8"/>
  <c r="H173" i="8"/>
  <c r="I173" i="8"/>
  <c r="H174" i="8"/>
  <c r="I174" i="8"/>
  <c r="H175" i="8"/>
  <c r="I175" i="8"/>
  <c r="H176" i="8"/>
  <c r="I176" i="8"/>
  <c r="H177" i="8"/>
  <c r="I177" i="8"/>
  <c r="H178" i="8"/>
  <c r="I178" i="8"/>
  <c r="H180" i="8"/>
  <c r="I180" i="8"/>
  <c r="H181" i="8"/>
  <c r="I181" i="8"/>
  <c r="H182" i="8"/>
  <c r="I182" i="8"/>
  <c r="H183" i="8"/>
  <c r="I183" i="8"/>
  <c r="H184" i="8"/>
  <c r="I184" i="8"/>
  <c r="H185" i="8"/>
  <c r="I185" i="8"/>
  <c r="H186" i="8"/>
  <c r="I186" i="8"/>
  <c r="H187" i="8"/>
  <c r="I187" i="8"/>
  <c r="H189" i="8"/>
  <c r="I189" i="8"/>
  <c r="H190" i="8"/>
  <c r="I190" i="8"/>
  <c r="H191" i="8"/>
  <c r="I191" i="8"/>
  <c r="H192" i="8"/>
  <c r="I192" i="8"/>
  <c r="H193" i="8"/>
  <c r="I193" i="8"/>
  <c r="H194" i="8"/>
  <c r="I194" i="8"/>
  <c r="H195" i="8"/>
  <c r="I195" i="8"/>
  <c r="H196" i="8"/>
  <c r="I196" i="8"/>
  <c r="H198" i="8"/>
  <c r="I198" i="8"/>
  <c r="H199" i="8"/>
  <c r="I199" i="8"/>
  <c r="H200" i="8"/>
  <c r="I200" i="8"/>
  <c r="H201" i="8"/>
  <c r="I201" i="8"/>
  <c r="H202" i="8"/>
  <c r="I202" i="8"/>
  <c r="H203" i="8"/>
  <c r="I203" i="8"/>
  <c r="H204" i="8"/>
  <c r="I204" i="8"/>
  <c r="H205" i="8"/>
  <c r="I205" i="8"/>
  <c r="H206" i="8"/>
  <c r="I206" i="8"/>
  <c r="K207" i="8"/>
  <c r="L207" i="8"/>
  <c r="H208" i="8"/>
  <c r="I208" i="8"/>
  <c r="H209" i="8"/>
  <c r="I209" i="8"/>
  <c r="H210" i="8"/>
  <c r="I210" i="8"/>
  <c r="H211" i="8"/>
  <c r="I211" i="8"/>
  <c r="H212" i="8"/>
  <c r="I212" i="8"/>
  <c r="H213" i="8"/>
  <c r="I213" i="8"/>
  <c r="H214" i="8"/>
  <c r="I214" i="8"/>
  <c r="H215" i="8"/>
  <c r="I215" i="8"/>
  <c r="H216" i="8"/>
  <c r="I216" i="8"/>
  <c r="H217" i="8"/>
  <c r="I217" i="8"/>
  <c r="H218" i="8"/>
  <c r="I218" i="8"/>
  <c r="H219" i="8"/>
  <c r="I219" i="8"/>
  <c r="H220" i="8"/>
  <c r="I220" i="8"/>
  <c r="H221" i="8"/>
  <c r="I221" i="8"/>
  <c r="H222" i="8"/>
  <c r="I222" i="8"/>
  <c r="H223" i="8"/>
  <c r="I223" i="8"/>
  <c r="H224" i="8"/>
  <c r="I224" i="8"/>
  <c r="H225" i="8"/>
  <c r="I225" i="8"/>
  <c r="H226" i="8"/>
  <c r="I226" i="8"/>
  <c r="H227" i="8"/>
  <c r="I227" i="8"/>
  <c r="H228" i="8"/>
  <c r="I228" i="8"/>
  <c r="H229" i="8"/>
  <c r="I229" i="8"/>
  <c r="H230" i="8"/>
  <c r="I230" i="8"/>
  <c r="H231" i="8"/>
  <c r="I231" i="8"/>
  <c r="H232" i="8"/>
  <c r="I232" i="8"/>
  <c r="H233" i="8"/>
  <c r="I233" i="8"/>
  <c r="H234" i="8"/>
  <c r="I234" i="8"/>
  <c r="H235" i="8"/>
  <c r="I235" i="8"/>
  <c r="H236" i="8"/>
  <c r="I236" i="8"/>
  <c r="H237" i="8"/>
  <c r="I237" i="8"/>
  <c r="H238" i="8"/>
  <c r="I238" i="8"/>
  <c r="H239" i="8"/>
  <c r="I239" i="8"/>
  <c r="H240" i="8"/>
  <c r="I240" i="8"/>
  <c r="H241" i="8"/>
  <c r="I241" i="8"/>
  <c r="K242" i="8"/>
  <c r="H243" i="8"/>
  <c r="I243" i="8"/>
  <c r="H244" i="8"/>
  <c r="I244" i="8"/>
  <c r="H245" i="8"/>
  <c r="I245" i="8"/>
  <c r="H246" i="8"/>
  <c r="I246" i="8"/>
  <c r="H247" i="8"/>
  <c r="I247" i="8"/>
  <c r="H248" i="8"/>
  <c r="I248" i="8"/>
  <c r="H249" i="8"/>
  <c r="I249" i="8"/>
  <c r="H250" i="8"/>
  <c r="I250" i="8"/>
  <c r="H251" i="8"/>
  <c r="I251" i="8"/>
  <c r="H252" i="8"/>
  <c r="I252" i="8"/>
  <c r="H254" i="8"/>
  <c r="I254" i="8"/>
  <c r="H255" i="8"/>
  <c r="I255" i="8"/>
  <c r="H256" i="8"/>
  <c r="I256" i="8"/>
  <c r="H257" i="8"/>
  <c r="I257" i="8"/>
  <c r="H258" i="8"/>
  <c r="I258" i="8"/>
  <c r="H259" i="8"/>
  <c r="I259" i="8"/>
  <c r="H260" i="8"/>
  <c r="I260" i="8"/>
  <c r="H261" i="8"/>
  <c r="I261" i="8"/>
  <c r="H262" i="8"/>
  <c r="I262" i="8"/>
  <c r="H263" i="8"/>
  <c r="I263" i="8"/>
  <c r="H264" i="8"/>
  <c r="I264" i="8"/>
  <c r="H265" i="8"/>
  <c r="I265" i="8"/>
  <c r="H266" i="8"/>
  <c r="I266" i="8"/>
  <c r="H267" i="8"/>
  <c r="I267" i="8"/>
  <c r="H268" i="8"/>
  <c r="I268" i="8"/>
  <c r="H269" i="8"/>
  <c r="I269" i="8"/>
  <c r="H270" i="8"/>
  <c r="I270" i="8"/>
  <c r="H271" i="8"/>
  <c r="I271" i="8"/>
  <c r="H272" i="8"/>
  <c r="I272" i="8"/>
  <c r="H273" i="8"/>
  <c r="I273" i="8"/>
  <c r="H274" i="8"/>
  <c r="I274" i="8"/>
  <c r="H275" i="8"/>
  <c r="I275" i="8"/>
  <c r="H276" i="8"/>
  <c r="I276" i="8"/>
  <c r="H277" i="8"/>
  <c r="I277" i="8"/>
  <c r="H278" i="8"/>
  <c r="I278" i="8"/>
  <c r="H279" i="8"/>
  <c r="I279" i="8"/>
  <c r="H280" i="8"/>
  <c r="I280" i="8"/>
  <c r="H281" i="8"/>
  <c r="I281" i="8"/>
  <c r="H282" i="8"/>
  <c r="I282" i="8"/>
  <c r="H283" i="8"/>
  <c r="I283" i="8"/>
  <c r="H284" i="8"/>
  <c r="I284" i="8"/>
  <c r="H285" i="8"/>
  <c r="I285" i="8"/>
  <c r="H287" i="8"/>
  <c r="I287" i="8"/>
  <c r="H288" i="8"/>
  <c r="I288" i="8"/>
  <c r="H289" i="8"/>
  <c r="I289" i="8"/>
  <c r="H290" i="8"/>
  <c r="I290" i="8"/>
  <c r="H291" i="8"/>
  <c r="I291" i="8"/>
  <c r="H292" i="8"/>
  <c r="I292" i="8"/>
  <c r="H293" i="8"/>
  <c r="I293" i="8"/>
  <c r="H294" i="8"/>
  <c r="I294" i="8"/>
  <c r="H295" i="8"/>
  <c r="I295" i="8"/>
  <c r="H296" i="8"/>
  <c r="I296" i="8"/>
  <c r="H297" i="8"/>
  <c r="I297" i="8"/>
  <c r="H298" i="8"/>
  <c r="I298" i="8"/>
  <c r="H299" i="8"/>
  <c r="I299" i="8"/>
  <c r="H300" i="8"/>
  <c r="I300" i="8"/>
  <c r="H301" i="8"/>
  <c r="I301" i="8"/>
  <c r="H302" i="8"/>
  <c r="I302" i="8"/>
  <c r="H303" i="8"/>
  <c r="I303" i="8"/>
  <c r="H304" i="8"/>
  <c r="I304" i="8"/>
  <c r="H305" i="8"/>
  <c r="I305" i="8"/>
  <c r="H306" i="8"/>
  <c r="I306" i="8"/>
  <c r="H307" i="8"/>
  <c r="I307" i="8"/>
  <c r="H308" i="8"/>
  <c r="I308" i="8"/>
  <c r="H309" i="8"/>
  <c r="I309" i="8"/>
  <c r="H310" i="8"/>
  <c r="I310" i="8"/>
  <c r="H312" i="8"/>
  <c r="I312" i="8"/>
  <c r="H313" i="8"/>
  <c r="I313" i="8"/>
  <c r="H314" i="8"/>
  <c r="I314" i="8"/>
  <c r="H315" i="8"/>
  <c r="I315" i="8"/>
  <c r="H316" i="8"/>
  <c r="I316" i="8"/>
  <c r="H317" i="8"/>
  <c r="I317" i="8"/>
  <c r="H318" i="8"/>
  <c r="I318" i="8"/>
  <c r="H319" i="8"/>
  <c r="I319" i="8"/>
  <c r="H320" i="8"/>
  <c r="I320" i="8"/>
  <c r="H321" i="8"/>
  <c r="I321" i="8"/>
  <c r="H322" i="8"/>
  <c r="I322" i="8"/>
  <c r="H323" i="8"/>
  <c r="I323" i="8"/>
  <c r="H324" i="8"/>
  <c r="I324" i="8"/>
  <c r="H325" i="8"/>
  <c r="I325" i="8"/>
  <c r="H326" i="8"/>
  <c r="I326" i="8"/>
  <c r="H327" i="8"/>
  <c r="I327" i="8"/>
  <c r="H328" i="8"/>
  <c r="I328" i="8"/>
  <c r="H329" i="8"/>
  <c r="I329" i="8"/>
  <c r="H330" i="8"/>
  <c r="I330" i="8"/>
  <c r="H331" i="8"/>
  <c r="I331" i="8"/>
  <c r="H332" i="8"/>
  <c r="I332" i="8"/>
  <c r="K333" i="8"/>
  <c r="L333" i="8"/>
  <c r="H335" i="8"/>
  <c r="I335" i="8"/>
  <c r="H336" i="8"/>
  <c r="I336" i="8"/>
  <c r="H337" i="8"/>
  <c r="I337" i="8"/>
  <c r="H338" i="8"/>
  <c r="I338" i="8"/>
  <c r="H339" i="8"/>
  <c r="I339" i="8"/>
  <c r="H340" i="8"/>
  <c r="I340" i="8"/>
  <c r="H341" i="8"/>
  <c r="I341" i="8"/>
  <c r="H342" i="8"/>
  <c r="I342" i="8"/>
  <c r="H343" i="8"/>
  <c r="I343" i="8"/>
  <c r="H344" i="8"/>
  <c r="I344" i="8"/>
  <c r="H345" i="8"/>
  <c r="I345" i="8"/>
  <c r="H346" i="8"/>
  <c r="I346" i="8"/>
  <c r="H347" i="8"/>
  <c r="I347" i="8"/>
  <c r="H348" i="8"/>
  <c r="I348" i="8"/>
  <c r="H349" i="8"/>
  <c r="I349" i="8"/>
  <c r="H350" i="8"/>
  <c r="I350" i="8"/>
  <c r="H351" i="8"/>
  <c r="I351" i="8"/>
  <c r="H352" i="8"/>
  <c r="I352" i="8"/>
  <c r="H353" i="8"/>
  <c r="I353" i="8"/>
  <c r="H354" i="8"/>
  <c r="I354" i="8"/>
  <c r="H355" i="8"/>
  <c r="I355" i="8"/>
  <c r="H356" i="8"/>
  <c r="I356" i="8"/>
  <c r="H357" i="8"/>
  <c r="I357" i="8"/>
  <c r="H358" i="8"/>
  <c r="I358" i="8"/>
  <c r="H359" i="8"/>
  <c r="I359" i="8"/>
  <c r="H360" i="8"/>
  <c r="I360" i="8"/>
  <c r="H361" i="8"/>
  <c r="I361" i="8"/>
  <c r="H362" i="8"/>
  <c r="I362" i="8"/>
  <c r="H363" i="8"/>
  <c r="I363" i="8"/>
  <c r="H364" i="8"/>
  <c r="I364" i="8"/>
  <c r="H365" i="8"/>
  <c r="I365" i="8"/>
  <c r="H366" i="8"/>
  <c r="I366" i="8"/>
  <c r="H367" i="8"/>
  <c r="I367" i="8"/>
  <c r="H368" i="8"/>
  <c r="I368" i="8"/>
  <c r="H369" i="8"/>
  <c r="I369" i="8"/>
  <c r="H370" i="8"/>
  <c r="I370" i="8"/>
  <c r="H371" i="8"/>
  <c r="I371" i="8"/>
  <c r="H372" i="8"/>
  <c r="I372" i="8"/>
  <c r="H373" i="8"/>
  <c r="I373" i="8"/>
  <c r="H374" i="8"/>
  <c r="I374" i="8"/>
  <c r="K375" i="8"/>
  <c r="L375" i="8"/>
  <c r="H376" i="8"/>
  <c r="I376" i="8"/>
  <c r="H377" i="8"/>
  <c r="I377" i="8"/>
  <c r="H378" i="8"/>
  <c r="I378" i="8"/>
  <c r="H379" i="8"/>
  <c r="I379" i="8"/>
  <c r="H380" i="8"/>
  <c r="I380" i="8"/>
  <c r="H381" i="8"/>
  <c r="I381" i="8"/>
  <c r="H382" i="8"/>
  <c r="I382" i="8"/>
  <c r="H383" i="8"/>
  <c r="I383" i="8"/>
  <c r="H384" i="8"/>
  <c r="I384" i="8"/>
  <c r="H385" i="8"/>
  <c r="I385" i="8"/>
  <c r="H386" i="8"/>
  <c r="I386" i="8"/>
  <c r="H387" i="8"/>
  <c r="I387" i="8"/>
  <c r="H388" i="8"/>
  <c r="I388" i="8"/>
  <c r="H389" i="8"/>
  <c r="I389" i="8"/>
  <c r="H390" i="8"/>
  <c r="I390" i="8"/>
  <c r="H391" i="8"/>
  <c r="I391" i="8"/>
  <c r="H392" i="8"/>
  <c r="I392" i="8"/>
  <c r="H393" i="8"/>
  <c r="I393" i="8"/>
  <c r="H395" i="8"/>
  <c r="I395" i="8"/>
  <c r="H396" i="8"/>
  <c r="I396" i="8"/>
  <c r="H397" i="8"/>
  <c r="I397" i="8"/>
  <c r="H398" i="8"/>
  <c r="I398" i="8"/>
  <c r="H399" i="8"/>
  <c r="I399" i="8"/>
  <c r="H400" i="8"/>
  <c r="I400" i="8"/>
  <c r="H401" i="8"/>
  <c r="I401" i="8"/>
  <c r="H402" i="8"/>
  <c r="I402" i="8"/>
  <c r="H403" i="8"/>
  <c r="I403" i="8"/>
  <c r="H404" i="8"/>
  <c r="I404" i="8"/>
  <c r="H405" i="8"/>
  <c r="I405" i="8"/>
  <c r="H407" i="8"/>
  <c r="I407" i="8"/>
  <c r="H408" i="8"/>
  <c r="I408" i="8"/>
  <c r="H409" i="8"/>
  <c r="I409" i="8"/>
  <c r="H410" i="8"/>
  <c r="I410" i="8"/>
  <c r="H411" i="8"/>
  <c r="I411" i="8"/>
  <c r="H412" i="8"/>
  <c r="I412" i="8"/>
  <c r="H413" i="8"/>
  <c r="I413" i="8"/>
  <c r="H414" i="8"/>
  <c r="I414" i="8"/>
  <c r="H415" i="8"/>
  <c r="I415" i="8"/>
  <c r="H416" i="8"/>
  <c r="I416" i="8"/>
  <c r="H417" i="8"/>
  <c r="I417" i="8"/>
  <c r="H418" i="8"/>
  <c r="I418" i="8"/>
  <c r="H419" i="8"/>
  <c r="I419" i="8"/>
  <c r="H420" i="8"/>
  <c r="I420" i="8"/>
  <c r="H421" i="8"/>
  <c r="I421" i="8"/>
  <c r="H422" i="8"/>
  <c r="I422" i="8"/>
  <c r="H423" i="8"/>
  <c r="I423" i="8"/>
  <c r="H424" i="8"/>
  <c r="I424" i="8"/>
  <c r="H425" i="8"/>
  <c r="I425" i="8"/>
  <c r="H426" i="8"/>
  <c r="I426" i="8"/>
  <c r="H427" i="8"/>
  <c r="I427" i="8"/>
  <c r="H428" i="8"/>
  <c r="I428" i="8"/>
  <c r="H429" i="8"/>
  <c r="I429" i="8"/>
  <c r="H430" i="8"/>
  <c r="I430" i="8"/>
  <c r="H431" i="8"/>
  <c r="I431" i="8"/>
  <c r="H432" i="8"/>
  <c r="I432" i="8"/>
  <c r="H433" i="8"/>
  <c r="I433" i="8"/>
  <c r="H434" i="8"/>
  <c r="I434" i="8"/>
  <c r="H435" i="8"/>
  <c r="I435" i="8"/>
  <c r="H436" i="8"/>
  <c r="I436" i="8"/>
  <c r="H437" i="8"/>
  <c r="I437" i="8"/>
  <c r="H438" i="8"/>
  <c r="I438" i="8"/>
  <c r="H439" i="8"/>
  <c r="I439" i="8"/>
  <c r="H441" i="8"/>
  <c r="I441" i="8"/>
  <c r="H442" i="8"/>
  <c r="I442" i="8"/>
  <c r="H443" i="8"/>
  <c r="I443" i="8"/>
  <c r="H444" i="8"/>
  <c r="I444" i="8"/>
  <c r="H445" i="8"/>
  <c r="I445" i="8"/>
  <c r="H446" i="8"/>
  <c r="I446" i="8"/>
  <c r="H447" i="8"/>
  <c r="I447" i="8"/>
  <c r="H448" i="8"/>
  <c r="I448" i="8"/>
  <c r="H449" i="8"/>
  <c r="I449" i="8"/>
  <c r="H450" i="8"/>
  <c r="I450" i="8"/>
  <c r="H451" i="8"/>
  <c r="I451" i="8"/>
  <c r="H452" i="8"/>
  <c r="I452" i="8"/>
  <c r="H453" i="8"/>
  <c r="I453" i="8"/>
  <c r="H454" i="8"/>
  <c r="I454" i="8"/>
  <c r="H455" i="8"/>
  <c r="I455" i="8"/>
  <c r="H456" i="8"/>
  <c r="I456" i="8"/>
  <c r="H457" i="8"/>
  <c r="I457" i="8"/>
  <c r="H458" i="8"/>
  <c r="I458" i="8"/>
  <c r="H459" i="8"/>
  <c r="I459" i="8"/>
  <c r="H460" i="8"/>
  <c r="I460" i="8"/>
  <c r="H461" i="8"/>
  <c r="I461" i="8"/>
  <c r="H462" i="8"/>
  <c r="I462" i="8"/>
  <c r="H463" i="8"/>
  <c r="I463" i="8"/>
  <c r="H464" i="8"/>
  <c r="I464" i="8"/>
  <c r="H465" i="8"/>
  <c r="I465" i="8"/>
  <c r="H466" i="8"/>
  <c r="I466" i="8"/>
  <c r="H467" i="8"/>
  <c r="I467" i="8"/>
  <c r="H468" i="8"/>
  <c r="I468" i="8"/>
  <c r="H469" i="8"/>
  <c r="I469" i="8"/>
  <c r="H470" i="8"/>
  <c r="I470" i="8"/>
  <c r="H471" i="8"/>
  <c r="I471" i="8"/>
  <c r="H472" i="8"/>
  <c r="I472" i="8"/>
  <c r="H473" i="8"/>
  <c r="I473" i="8"/>
  <c r="H474" i="8"/>
  <c r="I474" i="8"/>
  <c r="H475" i="8"/>
  <c r="I475" i="8"/>
  <c r="H476" i="8"/>
  <c r="I476" i="8"/>
  <c r="L477" i="8"/>
  <c r="H478" i="8"/>
  <c r="I478" i="8"/>
  <c r="H479" i="8"/>
  <c r="I479" i="8"/>
  <c r="H480" i="8"/>
  <c r="I480" i="8"/>
  <c r="H481" i="8"/>
  <c r="I481" i="8"/>
  <c r="H482" i="8"/>
  <c r="I482" i="8"/>
  <c r="H483" i="8"/>
  <c r="I483" i="8"/>
  <c r="H484" i="8"/>
  <c r="I484" i="8"/>
  <c r="H485" i="8"/>
  <c r="I485" i="8"/>
  <c r="H486" i="8"/>
  <c r="I486" i="8"/>
  <c r="H487" i="8"/>
  <c r="I487" i="8"/>
  <c r="H488" i="8"/>
  <c r="I488" i="8"/>
  <c r="H489" i="8"/>
  <c r="I489" i="8"/>
  <c r="H490" i="8"/>
  <c r="I490" i="8"/>
  <c r="H491" i="8"/>
  <c r="I491" i="8"/>
  <c r="H492" i="8"/>
  <c r="I492" i="8"/>
  <c r="H493" i="8"/>
  <c r="I493" i="8"/>
  <c r="H494" i="8"/>
  <c r="I494" i="8"/>
  <c r="L495" i="8"/>
  <c r="H496" i="8"/>
  <c r="I496" i="8"/>
  <c r="H497" i="8"/>
  <c r="I497" i="8"/>
  <c r="H498" i="8"/>
  <c r="I498" i="8"/>
  <c r="H499" i="8"/>
  <c r="I499" i="8"/>
  <c r="H500" i="8"/>
  <c r="I500" i="8"/>
  <c r="H501" i="8"/>
  <c r="I501" i="8"/>
  <c r="H502" i="8"/>
  <c r="I502" i="8"/>
  <c r="H503" i="8"/>
  <c r="I503" i="8"/>
  <c r="H504" i="8"/>
  <c r="I504" i="8"/>
  <c r="H505" i="8"/>
  <c r="I505" i="8"/>
  <c r="H506" i="8"/>
  <c r="I506" i="8"/>
  <c r="H507" i="8"/>
  <c r="I507" i="8"/>
  <c r="H508" i="8"/>
  <c r="I508" i="8"/>
  <c r="H509" i="8"/>
  <c r="I509" i="8"/>
  <c r="H510" i="8"/>
  <c r="I510" i="8"/>
  <c r="H511" i="8"/>
  <c r="I511" i="8"/>
  <c r="H512" i="8"/>
  <c r="I512" i="8"/>
  <c r="H513" i="8"/>
  <c r="I513" i="8"/>
  <c r="H514" i="8"/>
  <c r="I514" i="8"/>
  <c r="H515" i="8"/>
  <c r="I515" i="8"/>
  <c r="H516" i="8"/>
  <c r="I516" i="8"/>
  <c r="H517" i="8"/>
  <c r="I517" i="8"/>
  <c r="H518" i="8"/>
  <c r="I518" i="8"/>
  <c r="H519" i="8"/>
  <c r="I519" i="8"/>
  <c r="H520" i="8"/>
  <c r="I520" i="8"/>
  <c r="H521" i="8"/>
  <c r="I521" i="8"/>
  <c r="H522" i="8"/>
  <c r="I522" i="8"/>
  <c r="H523" i="8"/>
  <c r="I523" i="8"/>
  <c r="H524" i="8"/>
  <c r="I524" i="8"/>
  <c r="H525" i="8"/>
  <c r="I525" i="8"/>
  <c r="H526" i="8"/>
  <c r="I526" i="8"/>
  <c r="H527" i="8"/>
  <c r="I527" i="8"/>
  <c r="H528" i="8"/>
  <c r="I528" i="8"/>
  <c r="H529" i="8"/>
  <c r="I529" i="8"/>
  <c r="H530" i="8"/>
  <c r="I530" i="8"/>
  <c r="H531" i="8"/>
  <c r="I531" i="8"/>
  <c r="H532" i="8"/>
  <c r="I532" i="8"/>
  <c r="H533" i="8"/>
  <c r="I533" i="8"/>
  <c r="H534" i="8"/>
  <c r="I534" i="8"/>
  <c r="H535" i="8"/>
  <c r="I535" i="8"/>
  <c r="H536" i="8"/>
  <c r="I536" i="8"/>
  <c r="H537" i="8"/>
  <c r="I537" i="8"/>
  <c r="H538" i="8"/>
  <c r="I538" i="8"/>
  <c r="H539" i="8"/>
  <c r="I539" i="8"/>
  <c r="H541" i="8"/>
  <c r="I541" i="8"/>
  <c r="H542" i="8"/>
  <c r="I542" i="8"/>
  <c r="H543" i="8"/>
  <c r="I543" i="8"/>
  <c r="H544" i="8"/>
  <c r="I544" i="8"/>
  <c r="H545" i="8"/>
  <c r="I545" i="8"/>
  <c r="H546" i="8"/>
  <c r="I546" i="8"/>
  <c r="H547" i="8"/>
  <c r="I547" i="8"/>
  <c r="H548" i="8"/>
  <c r="I548" i="8"/>
  <c r="H549" i="8"/>
  <c r="I549" i="8"/>
  <c r="H550" i="8"/>
  <c r="I550" i="8"/>
  <c r="H551" i="8"/>
  <c r="I551" i="8"/>
  <c r="H552" i="8"/>
  <c r="I552" i="8"/>
  <c r="H553" i="8"/>
  <c r="I553" i="8"/>
  <c r="H554" i="8"/>
  <c r="I554" i="8"/>
  <c r="H555" i="8"/>
  <c r="I555" i="8"/>
  <c r="H556" i="8"/>
  <c r="I556" i="8"/>
  <c r="H557" i="8"/>
  <c r="I557" i="8"/>
  <c r="H558" i="8"/>
  <c r="I558" i="8"/>
  <c r="H559" i="8"/>
  <c r="I559" i="8"/>
  <c r="H560" i="8"/>
  <c r="I560" i="8"/>
  <c r="H561" i="8"/>
  <c r="I561" i="8"/>
  <c r="H562" i="8"/>
  <c r="I562" i="8"/>
  <c r="H563" i="8"/>
  <c r="I563" i="8"/>
  <c r="H564" i="8"/>
  <c r="I564" i="8"/>
  <c r="H565" i="8"/>
  <c r="I565" i="8"/>
  <c r="H566" i="8"/>
  <c r="I566" i="8"/>
  <c r="H567" i="8"/>
  <c r="I567" i="8"/>
  <c r="H568" i="8"/>
  <c r="I568" i="8"/>
  <c r="H569" i="8"/>
  <c r="I569" i="8"/>
  <c r="H570" i="8"/>
  <c r="I570" i="8"/>
  <c r="H571" i="8"/>
  <c r="I571" i="8"/>
  <c r="H572" i="8"/>
  <c r="I572" i="8"/>
  <c r="H573" i="8"/>
  <c r="I573" i="8"/>
  <c r="H574" i="8"/>
  <c r="I574" i="8"/>
  <c r="H575" i="8"/>
  <c r="I575" i="8"/>
  <c r="H576" i="8"/>
  <c r="I576" i="8"/>
  <c r="H577" i="8"/>
  <c r="I577" i="8"/>
  <c r="H578" i="8"/>
  <c r="I578" i="8"/>
  <c r="H579" i="8"/>
  <c r="I579" i="8"/>
  <c r="H580" i="8"/>
  <c r="I580" i="8"/>
  <c r="H582" i="8"/>
  <c r="I582" i="8"/>
  <c r="H583" i="8"/>
  <c r="I583" i="8"/>
  <c r="H584" i="8"/>
  <c r="I584" i="8"/>
  <c r="H585" i="8"/>
  <c r="I585" i="8"/>
  <c r="H586" i="8"/>
  <c r="I586" i="8"/>
  <c r="H587" i="8"/>
  <c r="I587" i="8"/>
  <c r="H588" i="8"/>
  <c r="I588" i="8"/>
  <c r="H589" i="8"/>
  <c r="I589" i="8"/>
  <c r="H590" i="8"/>
  <c r="I590" i="8"/>
  <c r="H591" i="8"/>
  <c r="I591" i="8"/>
  <c r="H592" i="8"/>
  <c r="I592" i="8"/>
  <c r="H593" i="8"/>
  <c r="I593" i="8"/>
  <c r="H594" i="8"/>
  <c r="I594" i="8"/>
  <c r="H595" i="8"/>
  <c r="I595" i="8"/>
  <c r="H596" i="8"/>
  <c r="I596" i="8"/>
  <c r="H597" i="8"/>
  <c r="I597" i="8"/>
  <c r="H598" i="8"/>
  <c r="I598" i="8"/>
  <c r="H599" i="8"/>
  <c r="I599" i="8"/>
  <c r="H600" i="8"/>
  <c r="I600" i="8"/>
  <c r="H601" i="8"/>
  <c r="I601" i="8"/>
  <c r="H602" i="8"/>
  <c r="I602" i="8"/>
  <c r="H603" i="8"/>
  <c r="I603" i="8"/>
  <c r="H604" i="8"/>
  <c r="I604" i="8"/>
  <c r="H606" i="8"/>
  <c r="I606" i="8"/>
  <c r="H607" i="8"/>
  <c r="I607" i="8"/>
  <c r="H608" i="8"/>
  <c r="I608" i="8"/>
  <c r="H609" i="8"/>
  <c r="I609" i="8"/>
  <c r="H610" i="8"/>
  <c r="I610" i="8"/>
  <c r="H611" i="8"/>
  <c r="I611" i="8"/>
  <c r="H612" i="8"/>
  <c r="I612" i="8"/>
  <c r="H613" i="8"/>
  <c r="I613" i="8"/>
  <c r="H614" i="8"/>
  <c r="I614" i="8"/>
  <c r="H615" i="8"/>
  <c r="I615" i="8"/>
  <c r="H616" i="8"/>
  <c r="I616" i="8"/>
  <c r="H617" i="8"/>
  <c r="I617" i="8"/>
  <c r="H618" i="8"/>
  <c r="I618" i="8"/>
  <c r="H619" i="8"/>
  <c r="I619" i="8"/>
  <c r="H620" i="8"/>
  <c r="I620" i="8"/>
  <c r="H621" i="8"/>
  <c r="I621" i="8"/>
  <c r="H622" i="8"/>
  <c r="I622" i="8"/>
  <c r="H623" i="8"/>
  <c r="I623" i="8"/>
  <c r="H626" i="8"/>
  <c r="I626" i="8"/>
  <c r="H627" i="8"/>
  <c r="I627" i="8"/>
  <c r="H628" i="8"/>
  <c r="I628" i="8"/>
  <c r="H629" i="8"/>
  <c r="I629" i="8"/>
  <c r="H630" i="8"/>
  <c r="I630" i="8"/>
  <c r="H631" i="8"/>
  <c r="I631" i="8"/>
  <c r="H632" i="8"/>
  <c r="I632" i="8"/>
  <c r="H633" i="8"/>
  <c r="I633" i="8"/>
  <c r="H634" i="8"/>
  <c r="I634" i="8"/>
  <c r="H635" i="8"/>
  <c r="I635" i="8"/>
  <c r="H636" i="8"/>
  <c r="I636" i="8"/>
  <c r="H637" i="8"/>
  <c r="I637" i="8"/>
  <c r="H639" i="8"/>
  <c r="I639" i="8"/>
  <c r="H640" i="8"/>
  <c r="I640" i="8"/>
  <c r="H641" i="8"/>
  <c r="I641" i="8"/>
  <c r="H642" i="8"/>
  <c r="I642" i="8"/>
  <c r="H644" i="8"/>
  <c r="I644" i="8"/>
  <c r="H645" i="8"/>
  <c r="I645" i="8"/>
  <c r="H646" i="8"/>
  <c r="I646" i="8"/>
  <c r="H647" i="8"/>
  <c r="I647" i="8"/>
  <c r="H648" i="8"/>
  <c r="I648" i="8"/>
  <c r="H649" i="8"/>
  <c r="I649" i="8"/>
  <c r="H650" i="8"/>
  <c r="I650" i="8"/>
  <c r="H651" i="8"/>
  <c r="I651" i="8"/>
  <c r="H652" i="8"/>
  <c r="I652" i="8"/>
  <c r="H653" i="8"/>
  <c r="I653" i="8"/>
  <c r="H654" i="8"/>
  <c r="I654" i="8"/>
  <c r="H655" i="8"/>
  <c r="I655" i="8"/>
  <c r="H656" i="8"/>
  <c r="I656" i="8"/>
  <c r="H657" i="8"/>
  <c r="I657" i="8"/>
  <c r="H658" i="8"/>
  <c r="I658" i="8"/>
  <c r="H659" i="8"/>
  <c r="I659" i="8"/>
  <c r="H660" i="8"/>
  <c r="I660" i="8"/>
  <c r="H661" i="8"/>
  <c r="I661" i="8"/>
  <c r="H662" i="8"/>
  <c r="I662" i="8"/>
  <c r="H663" i="8"/>
  <c r="I663" i="8"/>
  <c r="H665" i="8"/>
  <c r="I665" i="8"/>
  <c r="H666" i="8"/>
  <c r="I666" i="8"/>
  <c r="H667" i="8"/>
  <c r="I667" i="8"/>
  <c r="H668" i="8"/>
  <c r="I668" i="8"/>
  <c r="H669" i="8"/>
  <c r="I669" i="8"/>
  <c r="H670" i="8"/>
  <c r="I670" i="8"/>
  <c r="H671" i="8"/>
  <c r="I671" i="8"/>
  <c r="H672" i="8"/>
  <c r="I672" i="8"/>
  <c r="H673" i="8"/>
  <c r="I673" i="8"/>
  <c r="K674" i="8"/>
  <c r="H675" i="8"/>
  <c r="I675" i="8"/>
  <c r="H676" i="8"/>
  <c r="I676" i="8"/>
  <c r="H677" i="8"/>
  <c r="I677" i="8"/>
  <c r="H678" i="8"/>
  <c r="I678" i="8"/>
  <c r="H679" i="8"/>
  <c r="I679" i="8"/>
  <c r="H680" i="8"/>
  <c r="I680" i="8"/>
  <c r="H681" i="8"/>
  <c r="I681" i="8"/>
  <c r="H682" i="8"/>
  <c r="I682" i="8"/>
  <c r="H683" i="8"/>
  <c r="I683" i="8"/>
  <c r="H685" i="8"/>
  <c r="I685" i="8"/>
  <c r="H686" i="8"/>
  <c r="I686" i="8"/>
  <c r="H687" i="8"/>
  <c r="I687" i="8"/>
  <c r="H688" i="8"/>
  <c r="I688" i="8"/>
  <c r="H689" i="8"/>
  <c r="I689" i="8"/>
  <c r="H690" i="8"/>
  <c r="I690" i="8"/>
  <c r="H691" i="8"/>
  <c r="I691" i="8"/>
  <c r="H693" i="8"/>
  <c r="I693" i="8"/>
  <c r="H694" i="8"/>
  <c r="I694" i="8"/>
  <c r="H695" i="8"/>
  <c r="I695" i="8"/>
  <c r="H696" i="8"/>
  <c r="I696" i="8"/>
  <c r="H697" i="8"/>
  <c r="I697" i="8"/>
  <c r="H698" i="8"/>
  <c r="I698" i="8"/>
  <c r="H699" i="8"/>
  <c r="I699" i="8"/>
  <c r="H700" i="8"/>
  <c r="I700" i="8"/>
  <c r="H701" i="8"/>
  <c r="I701" i="8"/>
  <c r="H702" i="8"/>
  <c r="I702" i="8"/>
  <c r="H703" i="8"/>
  <c r="I703" i="8"/>
  <c r="H704" i="8"/>
  <c r="I704" i="8"/>
  <c r="H705" i="8"/>
  <c r="I705" i="8"/>
  <c r="H706" i="8"/>
  <c r="I706" i="8"/>
  <c r="H707" i="8"/>
  <c r="I707" i="8"/>
  <c r="H708" i="8"/>
  <c r="I708" i="8"/>
  <c r="H709" i="8"/>
  <c r="I709" i="8"/>
  <c r="H710" i="8"/>
  <c r="I710" i="8"/>
  <c r="H711" i="8"/>
  <c r="I711" i="8"/>
  <c r="H712" i="8"/>
  <c r="I712" i="8"/>
  <c r="H713" i="8"/>
  <c r="I713" i="8"/>
  <c r="H714" i="8"/>
  <c r="I714" i="8"/>
  <c r="H716" i="8"/>
  <c r="I716" i="8"/>
  <c r="H717" i="8"/>
  <c r="I717" i="8"/>
  <c r="H718" i="8"/>
  <c r="I718" i="8"/>
  <c r="H719" i="8"/>
  <c r="I719" i="8"/>
  <c r="H720" i="8"/>
  <c r="I720" i="8"/>
  <c r="H721" i="8"/>
  <c r="I721" i="8"/>
  <c r="H722" i="8"/>
  <c r="I722" i="8"/>
  <c r="H723" i="8"/>
  <c r="I723" i="8"/>
  <c r="H724" i="8"/>
  <c r="I724" i="8"/>
  <c r="H725" i="8"/>
  <c r="I725" i="8"/>
  <c r="H726" i="8"/>
  <c r="I726" i="8"/>
  <c r="H727" i="8"/>
  <c r="I727" i="8"/>
  <c r="H728" i="8"/>
  <c r="I728" i="8"/>
  <c r="H729" i="8"/>
  <c r="I729" i="8"/>
  <c r="H730" i="8"/>
  <c r="I730" i="8"/>
  <c r="H731" i="8"/>
  <c r="I731" i="8"/>
  <c r="H732" i="8"/>
  <c r="I732" i="8"/>
  <c r="H733" i="8"/>
  <c r="I733" i="8"/>
  <c r="H734" i="8"/>
  <c r="I734" i="8"/>
  <c r="H735" i="8"/>
  <c r="I735" i="8"/>
  <c r="H736" i="8"/>
  <c r="I736" i="8"/>
  <c r="H737" i="8"/>
  <c r="I737" i="8"/>
  <c r="I16" i="8"/>
  <c r="H16" i="8"/>
  <c r="H17" i="10"/>
  <c r="I17" i="10"/>
  <c r="H18" i="10"/>
  <c r="I18" i="10"/>
  <c r="H19" i="10"/>
  <c r="I19" i="10"/>
  <c r="H20" i="10"/>
  <c r="I20" i="10"/>
  <c r="H21" i="10"/>
  <c r="I21" i="10"/>
  <c r="H22" i="10"/>
  <c r="I22" i="10"/>
  <c r="H23" i="10"/>
  <c r="I23" i="10"/>
  <c r="H24" i="10"/>
  <c r="I24" i="10"/>
  <c r="H25" i="10"/>
  <c r="I25" i="10"/>
  <c r="H26" i="10"/>
  <c r="I26" i="10"/>
  <c r="H27" i="10"/>
  <c r="I27" i="10"/>
  <c r="H28" i="10"/>
  <c r="I28" i="10"/>
  <c r="H29" i="10"/>
  <c r="I29" i="10"/>
  <c r="H30" i="10"/>
  <c r="I30" i="10"/>
  <c r="H31" i="10"/>
  <c r="I31" i="10"/>
  <c r="H32" i="10"/>
  <c r="I32" i="10"/>
  <c r="K33" i="10"/>
  <c r="H34" i="10"/>
  <c r="I34" i="10"/>
  <c r="H35" i="10"/>
  <c r="I35" i="10"/>
  <c r="H36" i="10"/>
  <c r="I36" i="10"/>
  <c r="H37" i="10"/>
  <c r="I37" i="10"/>
  <c r="H38" i="10"/>
  <c r="I38" i="10"/>
  <c r="H39" i="10"/>
  <c r="I39" i="10"/>
  <c r="H41" i="10"/>
  <c r="I41" i="10"/>
  <c r="H42" i="10"/>
  <c r="I42" i="10"/>
  <c r="H43" i="10"/>
  <c r="I43" i="10"/>
  <c r="H44" i="10"/>
  <c r="I44" i="10"/>
  <c r="H45" i="10"/>
  <c r="I45" i="10"/>
  <c r="H46" i="10"/>
  <c r="I46" i="10"/>
  <c r="H47" i="10"/>
  <c r="I47" i="10"/>
  <c r="H48" i="10"/>
  <c r="I48" i="10"/>
  <c r="H49" i="10"/>
  <c r="I49" i="10"/>
  <c r="H50" i="10"/>
  <c r="I50" i="10"/>
  <c r="H51" i="10"/>
  <c r="I51" i="10"/>
  <c r="H52" i="10"/>
  <c r="I52" i="10"/>
  <c r="H53" i="10"/>
  <c r="I53" i="10"/>
  <c r="H54" i="10"/>
  <c r="I54" i="10"/>
  <c r="H55" i="10"/>
  <c r="I55" i="10"/>
  <c r="H56" i="10"/>
  <c r="I56" i="10"/>
  <c r="H57" i="10"/>
  <c r="I57" i="10"/>
  <c r="H58" i="10"/>
  <c r="I58" i="10"/>
  <c r="H59" i="10"/>
  <c r="I59" i="10"/>
  <c r="H60" i="10"/>
  <c r="I60" i="10"/>
  <c r="H61" i="10"/>
  <c r="I61" i="10"/>
  <c r="H62" i="10"/>
  <c r="I62" i="10"/>
  <c r="H63" i="10"/>
  <c r="I63" i="10"/>
  <c r="H64" i="10"/>
  <c r="I64" i="10"/>
  <c r="H65" i="10"/>
  <c r="I65" i="10"/>
  <c r="H66" i="10"/>
  <c r="I66" i="10"/>
  <c r="H67" i="10"/>
  <c r="I67" i="10"/>
  <c r="H68" i="10"/>
  <c r="I68" i="10"/>
  <c r="H69" i="10"/>
  <c r="I69" i="10"/>
  <c r="H70" i="10"/>
  <c r="I70" i="10"/>
  <c r="H71" i="10"/>
  <c r="I71" i="10"/>
  <c r="H72" i="10"/>
  <c r="I72" i="10"/>
  <c r="H73" i="10"/>
  <c r="I73" i="10"/>
  <c r="H74" i="10"/>
  <c r="I74" i="10"/>
  <c r="H75" i="10"/>
  <c r="I75" i="10"/>
  <c r="H76" i="10"/>
  <c r="I76" i="10"/>
  <c r="H77" i="10"/>
  <c r="I77" i="10"/>
  <c r="H78" i="10"/>
  <c r="I78" i="10"/>
  <c r="H79" i="10"/>
  <c r="I79" i="10"/>
  <c r="H80" i="10"/>
  <c r="I80" i="10"/>
  <c r="H81" i="10"/>
  <c r="I81" i="10"/>
  <c r="H82" i="10"/>
  <c r="I82" i="10"/>
  <c r="H83" i="10"/>
  <c r="I83" i="10"/>
  <c r="H84" i="10"/>
  <c r="I84" i="10"/>
  <c r="H85" i="10"/>
  <c r="I85" i="10"/>
  <c r="H86" i="10"/>
  <c r="I86" i="10"/>
  <c r="H87" i="10"/>
  <c r="I87" i="10"/>
  <c r="H88" i="10"/>
  <c r="I88" i="10"/>
  <c r="H89" i="10"/>
  <c r="I89" i="10"/>
  <c r="H90" i="10"/>
  <c r="I90" i="10"/>
  <c r="H91" i="10"/>
  <c r="I91" i="10"/>
  <c r="H92" i="10"/>
  <c r="I92" i="10"/>
  <c r="H93" i="10"/>
  <c r="I93" i="10"/>
  <c r="H94" i="10"/>
  <c r="I94" i="10"/>
  <c r="H95" i="10"/>
  <c r="I95" i="10"/>
  <c r="H96" i="10"/>
  <c r="I96" i="10"/>
  <c r="H97" i="10"/>
  <c r="I97" i="10"/>
  <c r="H98" i="10"/>
  <c r="I98" i="10"/>
  <c r="H99" i="10"/>
  <c r="I99" i="10"/>
  <c r="H100" i="10"/>
  <c r="I100" i="10"/>
  <c r="H101" i="10"/>
  <c r="I101" i="10"/>
  <c r="H102" i="10"/>
  <c r="I102" i="10"/>
  <c r="H103" i="10"/>
  <c r="I103" i="10"/>
  <c r="H104" i="10"/>
  <c r="I104" i="10"/>
  <c r="H105" i="10"/>
  <c r="I105" i="10"/>
  <c r="H106" i="10"/>
  <c r="I106" i="10"/>
  <c r="H107" i="10"/>
  <c r="I107" i="10"/>
  <c r="H108" i="10"/>
  <c r="I108" i="10"/>
  <c r="H109" i="10"/>
  <c r="I109" i="10"/>
  <c r="H110" i="10"/>
  <c r="I110" i="10"/>
  <c r="H111" i="10"/>
  <c r="I111" i="10"/>
  <c r="H112" i="10"/>
  <c r="I112" i="10"/>
  <c r="H113" i="10"/>
  <c r="I113" i="10"/>
  <c r="L114" i="10"/>
  <c r="H115" i="10"/>
  <c r="I115" i="10"/>
  <c r="H116" i="10"/>
  <c r="I116" i="10"/>
  <c r="H117" i="10"/>
  <c r="I117" i="10"/>
  <c r="H118" i="10"/>
  <c r="I118" i="10"/>
  <c r="H119" i="10"/>
  <c r="I119" i="10"/>
  <c r="H120" i="10"/>
  <c r="I120" i="10"/>
  <c r="H121" i="10"/>
  <c r="I121" i="10"/>
  <c r="H122" i="10"/>
  <c r="I122" i="10"/>
  <c r="H123" i="10"/>
  <c r="I123" i="10"/>
  <c r="H125" i="10"/>
  <c r="I125" i="10"/>
  <c r="H126" i="10"/>
  <c r="I126" i="10"/>
  <c r="H127" i="10"/>
  <c r="I127" i="10"/>
  <c r="H128" i="10"/>
  <c r="I128" i="10"/>
  <c r="H129" i="10"/>
  <c r="I129" i="10"/>
  <c r="H130" i="10"/>
  <c r="I130" i="10"/>
  <c r="H131" i="10"/>
  <c r="I131" i="10"/>
  <c r="H132" i="10"/>
  <c r="I132" i="10"/>
  <c r="H133" i="10"/>
  <c r="I133" i="10"/>
  <c r="H135" i="10"/>
  <c r="I135" i="10"/>
  <c r="H136" i="10"/>
  <c r="I136" i="10"/>
  <c r="H137" i="10"/>
  <c r="I137" i="10"/>
  <c r="H138" i="10"/>
  <c r="I138" i="10"/>
  <c r="H139" i="10"/>
  <c r="I139" i="10"/>
  <c r="H140" i="10"/>
  <c r="I140" i="10"/>
  <c r="H141" i="10"/>
  <c r="I141" i="10"/>
  <c r="H142" i="10"/>
  <c r="I142" i="10"/>
  <c r="H143" i="10"/>
  <c r="I143" i="10"/>
  <c r="H144" i="10"/>
  <c r="I144" i="10"/>
  <c r="H145" i="10"/>
  <c r="I145" i="10"/>
  <c r="H146" i="10"/>
  <c r="I146" i="10"/>
  <c r="H147" i="10"/>
  <c r="I147" i="10"/>
  <c r="H148" i="10"/>
  <c r="I148" i="10"/>
  <c r="H149" i="10"/>
  <c r="I149" i="10"/>
  <c r="L150" i="10"/>
  <c r="H151" i="10"/>
  <c r="I151" i="10"/>
  <c r="H152" i="10"/>
  <c r="I152" i="10"/>
  <c r="H153" i="10"/>
  <c r="I153" i="10"/>
  <c r="H154" i="10"/>
  <c r="I154" i="10"/>
  <c r="H155" i="10"/>
  <c r="I155" i="10"/>
  <c r="H156" i="10"/>
  <c r="I156" i="10"/>
  <c r="H157" i="10"/>
  <c r="I157" i="10"/>
  <c r="H158" i="10"/>
  <c r="I158" i="10"/>
  <c r="H159" i="10"/>
  <c r="I159" i="10"/>
  <c r="H160" i="10"/>
  <c r="I160" i="10"/>
  <c r="H161" i="10"/>
  <c r="I161" i="10"/>
  <c r="H162" i="10"/>
  <c r="I162" i="10"/>
  <c r="H163" i="10"/>
  <c r="I163" i="10"/>
  <c r="H164" i="10"/>
  <c r="I164" i="10"/>
  <c r="H165" i="10"/>
  <c r="I165" i="10"/>
  <c r="H166" i="10"/>
  <c r="I166" i="10"/>
  <c r="H167" i="10"/>
  <c r="I167" i="10"/>
  <c r="H168" i="10"/>
  <c r="I168" i="10"/>
  <c r="H169" i="10"/>
  <c r="I169" i="10"/>
  <c r="K170" i="10"/>
  <c r="H171" i="10"/>
  <c r="I171" i="10"/>
  <c r="H172" i="10"/>
  <c r="I172" i="10"/>
  <c r="H173" i="10"/>
  <c r="I173" i="10"/>
  <c r="H174" i="10"/>
  <c r="I174" i="10"/>
  <c r="H175" i="10"/>
  <c r="I175" i="10"/>
  <c r="H176" i="10"/>
  <c r="I176" i="10"/>
  <c r="H177" i="10"/>
  <c r="I177" i="10"/>
  <c r="H178" i="10"/>
  <c r="I178" i="10"/>
  <c r="H180" i="10"/>
  <c r="I180" i="10"/>
  <c r="H181" i="10"/>
  <c r="I181" i="10"/>
  <c r="H182" i="10"/>
  <c r="I182" i="10"/>
  <c r="H183" i="10"/>
  <c r="I183" i="10"/>
  <c r="H184" i="10"/>
  <c r="I184" i="10"/>
  <c r="H185" i="10"/>
  <c r="I185" i="10"/>
  <c r="H186" i="10"/>
  <c r="I186" i="10"/>
  <c r="H187" i="10"/>
  <c r="I187" i="10"/>
  <c r="K188" i="10"/>
  <c r="H189" i="10"/>
  <c r="I189" i="10"/>
  <c r="H190" i="10"/>
  <c r="I190" i="10"/>
  <c r="H191" i="10"/>
  <c r="I191" i="10"/>
  <c r="H192" i="10"/>
  <c r="I192" i="10"/>
  <c r="H193" i="10"/>
  <c r="I193" i="10"/>
  <c r="H194" i="10"/>
  <c r="I194" i="10"/>
  <c r="H195" i="10"/>
  <c r="I195" i="10"/>
  <c r="H196" i="10"/>
  <c r="I196" i="10"/>
  <c r="L197" i="10"/>
  <c r="H198" i="10"/>
  <c r="I198" i="10"/>
  <c r="H199" i="10"/>
  <c r="I199" i="10"/>
  <c r="H200" i="10"/>
  <c r="I200" i="10"/>
  <c r="H201" i="10"/>
  <c r="I201" i="10"/>
  <c r="H202" i="10"/>
  <c r="I202" i="10"/>
  <c r="H203" i="10"/>
  <c r="I203" i="10"/>
  <c r="H204" i="10"/>
  <c r="I204" i="10"/>
  <c r="H205" i="10"/>
  <c r="I205" i="10"/>
  <c r="H206" i="10"/>
  <c r="I206" i="10"/>
  <c r="H208" i="10"/>
  <c r="I208" i="10"/>
  <c r="H209" i="10"/>
  <c r="I209" i="10"/>
  <c r="H210" i="10"/>
  <c r="I210" i="10"/>
  <c r="H211" i="10"/>
  <c r="I211" i="10"/>
  <c r="H212" i="10"/>
  <c r="I212" i="10"/>
  <c r="H213" i="10"/>
  <c r="I213" i="10"/>
  <c r="H214" i="10"/>
  <c r="I214" i="10"/>
  <c r="H215" i="10"/>
  <c r="I215" i="10"/>
  <c r="H216" i="10"/>
  <c r="I216" i="10"/>
  <c r="H217" i="10"/>
  <c r="I217" i="10"/>
  <c r="H218" i="10"/>
  <c r="I218" i="10"/>
  <c r="H219" i="10"/>
  <c r="I219" i="10"/>
  <c r="H220" i="10"/>
  <c r="I220" i="10"/>
  <c r="H221" i="10"/>
  <c r="I221" i="10"/>
  <c r="H222" i="10"/>
  <c r="I222" i="10"/>
  <c r="H223" i="10"/>
  <c r="I223" i="10"/>
  <c r="H224" i="10"/>
  <c r="I224" i="10"/>
  <c r="H225" i="10"/>
  <c r="I225" i="10"/>
  <c r="H226" i="10"/>
  <c r="I226" i="10"/>
  <c r="H227" i="10"/>
  <c r="I227" i="10"/>
  <c r="H228" i="10"/>
  <c r="I228" i="10"/>
  <c r="H229" i="10"/>
  <c r="I229" i="10"/>
  <c r="H230" i="10"/>
  <c r="I230" i="10"/>
  <c r="H231" i="10"/>
  <c r="I231" i="10"/>
  <c r="H232" i="10"/>
  <c r="I232" i="10"/>
  <c r="H233" i="10"/>
  <c r="I233" i="10"/>
  <c r="H234" i="10"/>
  <c r="I234" i="10"/>
  <c r="H235" i="10"/>
  <c r="I235" i="10"/>
  <c r="H236" i="10"/>
  <c r="I236" i="10"/>
  <c r="H237" i="10"/>
  <c r="I237" i="10"/>
  <c r="H238" i="10"/>
  <c r="I238" i="10"/>
  <c r="H239" i="10"/>
  <c r="I239" i="10"/>
  <c r="H240" i="10"/>
  <c r="I240" i="10"/>
  <c r="H241" i="10"/>
  <c r="I241" i="10"/>
  <c r="K242" i="10"/>
  <c r="H243" i="10"/>
  <c r="I243" i="10"/>
  <c r="H244" i="10"/>
  <c r="I244" i="10"/>
  <c r="H245" i="10"/>
  <c r="I245" i="10"/>
  <c r="H246" i="10"/>
  <c r="I246" i="10"/>
  <c r="H247" i="10"/>
  <c r="I247" i="10"/>
  <c r="H248" i="10"/>
  <c r="I248" i="10"/>
  <c r="H249" i="10"/>
  <c r="I249" i="10"/>
  <c r="H250" i="10"/>
  <c r="I250" i="10"/>
  <c r="H251" i="10"/>
  <c r="I251" i="10"/>
  <c r="H252" i="10"/>
  <c r="I252" i="10"/>
  <c r="H254" i="10"/>
  <c r="I254" i="10"/>
  <c r="H255" i="10"/>
  <c r="I255" i="10"/>
  <c r="H256" i="10"/>
  <c r="I256" i="10"/>
  <c r="H257" i="10"/>
  <c r="I257" i="10"/>
  <c r="H258" i="10"/>
  <c r="I258" i="10"/>
  <c r="H259" i="10"/>
  <c r="I259" i="10"/>
  <c r="H260" i="10"/>
  <c r="I260" i="10"/>
  <c r="H261" i="10"/>
  <c r="I261" i="10"/>
  <c r="H262" i="10"/>
  <c r="I262" i="10"/>
  <c r="H263" i="10"/>
  <c r="I263" i="10"/>
  <c r="H264" i="10"/>
  <c r="I264" i="10"/>
  <c r="H265" i="10"/>
  <c r="I265" i="10"/>
  <c r="H266" i="10"/>
  <c r="I266" i="10"/>
  <c r="H267" i="10"/>
  <c r="I267" i="10"/>
  <c r="H268" i="10"/>
  <c r="I268" i="10"/>
  <c r="H269" i="10"/>
  <c r="I269" i="10"/>
  <c r="H270" i="10"/>
  <c r="I270" i="10"/>
  <c r="H271" i="10"/>
  <c r="I271" i="10"/>
  <c r="H272" i="10"/>
  <c r="I272" i="10"/>
  <c r="H273" i="10"/>
  <c r="I273" i="10"/>
  <c r="H274" i="10"/>
  <c r="I274" i="10"/>
  <c r="H275" i="10"/>
  <c r="I275" i="10"/>
  <c r="H276" i="10"/>
  <c r="I276" i="10"/>
  <c r="H277" i="10"/>
  <c r="I277" i="10"/>
  <c r="H278" i="10"/>
  <c r="I278" i="10"/>
  <c r="H279" i="10"/>
  <c r="I279" i="10"/>
  <c r="H280" i="10"/>
  <c r="I280" i="10"/>
  <c r="H281" i="10"/>
  <c r="I281" i="10"/>
  <c r="H282" i="10"/>
  <c r="I282" i="10"/>
  <c r="H283" i="10"/>
  <c r="I283" i="10"/>
  <c r="H284" i="10"/>
  <c r="I284" i="10"/>
  <c r="H285" i="10"/>
  <c r="I285" i="10"/>
  <c r="H287" i="10"/>
  <c r="I287" i="10"/>
  <c r="H288" i="10"/>
  <c r="I288" i="10"/>
  <c r="H289" i="10"/>
  <c r="I289" i="10"/>
  <c r="H290" i="10"/>
  <c r="I290" i="10"/>
  <c r="H291" i="10"/>
  <c r="I291" i="10"/>
  <c r="H292" i="10"/>
  <c r="I292" i="10"/>
  <c r="H293" i="10"/>
  <c r="I293" i="10"/>
  <c r="H294" i="10"/>
  <c r="I294" i="10"/>
  <c r="H295" i="10"/>
  <c r="I295" i="10"/>
  <c r="H296" i="10"/>
  <c r="I296" i="10"/>
  <c r="H297" i="10"/>
  <c r="I297" i="10"/>
  <c r="H298" i="10"/>
  <c r="I298" i="10"/>
  <c r="H299" i="10"/>
  <c r="I299" i="10"/>
  <c r="H300" i="10"/>
  <c r="I300" i="10"/>
  <c r="H301" i="10"/>
  <c r="I301" i="10"/>
  <c r="H302" i="10"/>
  <c r="I302" i="10"/>
  <c r="H303" i="10"/>
  <c r="I303" i="10"/>
  <c r="H304" i="10"/>
  <c r="I304" i="10"/>
  <c r="H305" i="10"/>
  <c r="I305" i="10"/>
  <c r="H306" i="10"/>
  <c r="I306" i="10"/>
  <c r="H307" i="10"/>
  <c r="I307" i="10"/>
  <c r="H308" i="10"/>
  <c r="I308" i="10"/>
  <c r="H309" i="10"/>
  <c r="I309" i="10"/>
  <c r="H310" i="10"/>
  <c r="I310" i="10"/>
  <c r="L311" i="10"/>
  <c r="H312" i="10"/>
  <c r="I312" i="10"/>
  <c r="H313" i="10"/>
  <c r="I313" i="10"/>
  <c r="H314" i="10"/>
  <c r="I314" i="10"/>
  <c r="H315" i="10"/>
  <c r="I315" i="10"/>
  <c r="H316" i="10"/>
  <c r="I316" i="10"/>
  <c r="H317" i="10"/>
  <c r="I317" i="10"/>
  <c r="H318" i="10"/>
  <c r="I318" i="10"/>
  <c r="H319" i="10"/>
  <c r="I319" i="10"/>
  <c r="H320" i="10"/>
  <c r="I320" i="10"/>
  <c r="H321" i="10"/>
  <c r="I321" i="10"/>
  <c r="H322" i="10"/>
  <c r="I322" i="10"/>
  <c r="H323" i="10"/>
  <c r="I323" i="10"/>
  <c r="H324" i="10"/>
  <c r="I324" i="10"/>
  <c r="H325" i="10"/>
  <c r="I325" i="10"/>
  <c r="H326" i="10"/>
  <c r="I326" i="10"/>
  <c r="H327" i="10"/>
  <c r="I327" i="10"/>
  <c r="H328" i="10"/>
  <c r="I328" i="10"/>
  <c r="H329" i="10"/>
  <c r="I329" i="10"/>
  <c r="H330" i="10"/>
  <c r="I330" i="10"/>
  <c r="H331" i="10"/>
  <c r="I331" i="10"/>
  <c r="H332" i="10"/>
  <c r="I332" i="10"/>
  <c r="H335" i="10"/>
  <c r="I335" i="10"/>
  <c r="H336" i="10"/>
  <c r="I336" i="10"/>
  <c r="H337" i="10"/>
  <c r="I337" i="10"/>
  <c r="H338" i="10"/>
  <c r="I338" i="10"/>
  <c r="H339" i="10"/>
  <c r="I339" i="10"/>
  <c r="H340" i="10"/>
  <c r="I340" i="10"/>
  <c r="H341" i="10"/>
  <c r="I341" i="10"/>
  <c r="H342" i="10"/>
  <c r="I342" i="10"/>
  <c r="H343" i="10"/>
  <c r="I343" i="10"/>
  <c r="H344" i="10"/>
  <c r="I344" i="10"/>
  <c r="H345" i="10"/>
  <c r="I345" i="10"/>
  <c r="H346" i="10"/>
  <c r="I346" i="10"/>
  <c r="H347" i="10"/>
  <c r="I347" i="10"/>
  <c r="H348" i="10"/>
  <c r="I348" i="10"/>
  <c r="H349" i="10"/>
  <c r="I349" i="10"/>
  <c r="H350" i="10"/>
  <c r="I350" i="10"/>
  <c r="H351" i="10"/>
  <c r="I351" i="10"/>
  <c r="H352" i="10"/>
  <c r="I352" i="10"/>
  <c r="H353" i="10"/>
  <c r="I353" i="10"/>
  <c r="H354" i="10"/>
  <c r="I354" i="10"/>
  <c r="H355" i="10"/>
  <c r="I355" i="10"/>
  <c r="H356" i="10"/>
  <c r="I356" i="10"/>
  <c r="H357" i="10"/>
  <c r="I357" i="10"/>
  <c r="H358" i="10"/>
  <c r="I358" i="10"/>
  <c r="H359" i="10"/>
  <c r="I359" i="10"/>
  <c r="H360" i="10"/>
  <c r="I360" i="10"/>
  <c r="H361" i="10"/>
  <c r="I361" i="10"/>
  <c r="H362" i="10"/>
  <c r="I362" i="10"/>
  <c r="H363" i="10"/>
  <c r="I363" i="10"/>
  <c r="H364" i="10"/>
  <c r="I364" i="10"/>
  <c r="H365" i="10"/>
  <c r="I365" i="10"/>
  <c r="H366" i="10"/>
  <c r="I366" i="10"/>
  <c r="H367" i="10"/>
  <c r="I367" i="10"/>
  <c r="H368" i="10"/>
  <c r="I368" i="10"/>
  <c r="H369" i="10"/>
  <c r="I369" i="10"/>
  <c r="H370" i="10"/>
  <c r="I370" i="10"/>
  <c r="H371" i="10"/>
  <c r="I371" i="10"/>
  <c r="H372" i="10"/>
  <c r="I372" i="10"/>
  <c r="H373" i="10"/>
  <c r="I373" i="10"/>
  <c r="H374" i="10"/>
  <c r="I374" i="10"/>
  <c r="H376" i="10"/>
  <c r="I376" i="10"/>
  <c r="H377" i="10"/>
  <c r="I377" i="10"/>
  <c r="H378" i="10"/>
  <c r="I378" i="10"/>
  <c r="H379" i="10"/>
  <c r="I379" i="10"/>
  <c r="H380" i="10"/>
  <c r="I380" i="10"/>
  <c r="H381" i="10"/>
  <c r="I381" i="10"/>
  <c r="H382" i="10"/>
  <c r="I382" i="10"/>
  <c r="H383" i="10"/>
  <c r="I383" i="10"/>
  <c r="H384" i="10"/>
  <c r="I384" i="10"/>
  <c r="H385" i="10"/>
  <c r="I385" i="10"/>
  <c r="H386" i="10"/>
  <c r="I386" i="10"/>
  <c r="H387" i="10"/>
  <c r="I387" i="10"/>
  <c r="H388" i="10"/>
  <c r="I388" i="10"/>
  <c r="H389" i="10"/>
  <c r="I389" i="10"/>
  <c r="H390" i="10"/>
  <c r="I390" i="10"/>
  <c r="H391" i="10"/>
  <c r="I391" i="10"/>
  <c r="H392" i="10"/>
  <c r="I392" i="10"/>
  <c r="H393" i="10"/>
  <c r="I393" i="10"/>
  <c r="H395" i="10"/>
  <c r="I395" i="10"/>
  <c r="H396" i="10"/>
  <c r="I396" i="10"/>
  <c r="H397" i="10"/>
  <c r="I397" i="10"/>
  <c r="H398" i="10"/>
  <c r="I398" i="10"/>
  <c r="H399" i="10"/>
  <c r="I399" i="10"/>
  <c r="H400" i="10"/>
  <c r="I400" i="10"/>
  <c r="H401" i="10"/>
  <c r="I401" i="10"/>
  <c r="H402" i="10"/>
  <c r="I402" i="10"/>
  <c r="H403" i="10"/>
  <c r="I403" i="10"/>
  <c r="H404" i="10"/>
  <c r="I404" i="10"/>
  <c r="H405" i="10"/>
  <c r="I405" i="10"/>
  <c r="H407" i="10"/>
  <c r="I407" i="10"/>
  <c r="H408" i="10"/>
  <c r="I408" i="10"/>
  <c r="H409" i="10"/>
  <c r="I409" i="10"/>
  <c r="H410" i="10"/>
  <c r="I410" i="10"/>
  <c r="H411" i="10"/>
  <c r="I411" i="10"/>
  <c r="H412" i="10"/>
  <c r="I412" i="10"/>
  <c r="H413" i="10"/>
  <c r="I413" i="10"/>
  <c r="H414" i="10"/>
  <c r="I414" i="10"/>
  <c r="H415" i="10"/>
  <c r="I415" i="10"/>
  <c r="H416" i="10"/>
  <c r="I416" i="10"/>
  <c r="H417" i="10"/>
  <c r="I417" i="10"/>
  <c r="H418" i="10"/>
  <c r="I418" i="10"/>
  <c r="H419" i="10"/>
  <c r="I419" i="10"/>
  <c r="H420" i="10"/>
  <c r="I420" i="10"/>
  <c r="H421" i="10"/>
  <c r="I421" i="10"/>
  <c r="H422" i="10"/>
  <c r="I422" i="10"/>
  <c r="H423" i="10"/>
  <c r="I423" i="10"/>
  <c r="H424" i="10"/>
  <c r="I424" i="10"/>
  <c r="H425" i="10"/>
  <c r="I425" i="10"/>
  <c r="H426" i="10"/>
  <c r="I426" i="10"/>
  <c r="H427" i="10"/>
  <c r="I427" i="10"/>
  <c r="H428" i="10"/>
  <c r="I428" i="10"/>
  <c r="H429" i="10"/>
  <c r="I429" i="10"/>
  <c r="H430" i="10"/>
  <c r="I430" i="10"/>
  <c r="H431" i="10"/>
  <c r="I431" i="10"/>
  <c r="H432" i="10"/>
  <c r="I432" i="10"/>
  <c r="H433" i="10"/>
  <c r="I433" i="10"/>
  <c r="H434" i="10"/>
  <c r="I434" i="10"/>
  <c r="H435" i="10"/>
  <c r="I435" i="10"/>
  <c r="H436" i="10"/>
  <c r="I436" i="10"/>
  <c r="H437" i="10"/>
  <c r="I437" i="10"/>
  <c r="H438" i="10"/>
  <c r="I438" i="10"/>
  <c r="H439" i="10"/>
  <c r="I439" i="10"/>
  <c r="K440" i="10"/>
  <c r="H441" i="10"/>
  <c r="I441" i="10"/>
  <c r="H442" i="10"/>
  <c r="I442" i="10"/>
  <c r="H443" i="10"/>
  <c r="I443" i="10"/>
  <c r="H444" i="10"/>
  <c r="I444" i="10"/>
  <c r="H445" i="10"/>
  <c r="I445" i="10"/>
  <c r="H446" i="10"/>
  <c r="I446" i="10"/>
  <c r="H447" i="10"/>
  <c r="I447" i="10"/>
  <c r="H448" i="10"/>
  <c r="I448" i="10"/>
  <c r="H449" i="10"/>
  <c r="I449" i="10"/>
  <c r="H450" i="10"/>
  <c r="I450" i="10"/>
  <c r="H451" i="10"/>
  <c r="I451" i="10"/>
  <c r="H452" i="10"/>
  <c r="I452" i="10"/>
  <c r="H453" i="10"/>
  <c r="I453" i="10"/>
  <c r="H454" i="10"/>
  <c r="I454" i="10"/>
  <c r="H455" i="10"/>
  <c r="I455" i="10"/>
  <c r="H456" i="10"/>
  <c r="I456" i="10"/>
  <c r="H457" i="10"/>
  <c r="I457" i="10"/>
  <c r="H458" i="10"/>
  <c r="I458" i="10"/>
  <c r="H459" i="10"/>
  <c r="I459" i="10"/>
  <c r="H460" i="10"/>
  <c r="I460" i="10"/>
  <c r="H461" i="10"/>
  <c r="I461" i="10"/>
  <c r="H462" i="10"/>
  <c r="I462" i="10"/>
  <c r="H463" i="10"/>
  <c r="I463" i="10"/>
  <c r="H464" i="10"/>
  <c r="I464" i="10"/>
  <c r="H465" i="10"/>
  <c r="I465" i="10"/>
  <c r="H466" i="10"/>
  <c r="I466" i="10"/>
  <c r="H467" i="10"/>
  <c r="I467" i="10"/>
  <c r="H468" i="10"/>
  <c r="I468" i="10"/>
  <c r="H469" i="10"/>
  <c r="I469" i="10"/>
  <c r="H470" i="10"/>
  <c r="I470" i="10"/>
  <c r="H471" i="10"/>
  <c r="I471" i="10"/>
  <c r="H472" i="10"/>
  <c r="I472" i="10"/>
  <c r="H473" i="10"/>
  <c r="I473" i="10"/>
  <c r="H474" i="10"/>
  <c r="I474" i="10"/>
  <c r="H475" i="10"/>
  <c r="I475" i="10"/>
  <c r="H476" i="10"/>
  <c r="I476" i="10"/>
  <c r="H478" i="10"/>
  <c r="I478" i="10"/>
  <c r="H479" i="10"/>
  <c r="I479" i="10"/>
  <c r="H480" i="10"/>
  <c r="I480" i="10"/>
  <c r="H481" i="10"/>
  <c r="I481" i="10"/>
  <c r="H482" i="10"/>
  <c r="I482" i="10"/>
  <c r="H483" i="10"/>
  <c r="I483" i="10"/>
  <c r="H484" i="10"/>
  <c r="I484" i="10"/>
  <c r="H485" i="10"/>
  <c r="I485" i="10"/>
  <c r="H486" i="10"/>
  <c r="I486" i="10"/>
  <c r="H487" i="10"/>
  <c r="I487" i="10"/>
  <c r="H488" i="10"/>
  <c r="I488" i="10"/>
  <c r="H489" i="10"/>
  <c r="I489" i="10"/>
  <c r="H490" i="10"/>
  <c r="I490" i="10"/>
  <c r="H491" i="10"/>
  <c r="I491" i="10"/>
  <c r="H492" i="10"/>
  <c r="I492" i="10"/>
  <c r="H493" i="10"/>
  <c r="I493" i="10"/>
  <c r="H494" i="10"/>
  <c r="I494" i="10"/>
  <c r="H496" i="10"/>
  <c r="I496" i="10"/>
  <c r="H497" i="10"/>
  <c r="I497" i="10"/>
  <c r="H498" i="10"/>
  <c r="I498" i="10"/>
  <c r="H499" i="10"/>
  <c r="I499" i="10"/>
  <c r="H500" i="10"/>
  <c r="I500" i="10"/>
  <c r="H501" i="10"/>
  <c r="I501" i="10"/>
  <c r="H502" i="10"/>
  <c r="I502" i="10"/>
  <c r="H503" i="10"/>
  <c r="I503" i="10"/>
  <c r="H504" i="10"/>
  <c r="I504" i="10"/>
  <c r="H505" i="10"/>
  <c r="I505" i="10"/>
  <c r="H506" i="10"/>
  <c r="I506" i="10"/>
  <c r="H507" i="10"/>
  <c r="I507" i="10"/>
  <c r="H508" i="10"/>
  <c r="I508" i="10"/>
  <c r="H509" i="10"/>
  <c r="I509" i="10"/>
  <c r="H510" i="10"/>
  <c r="I510" i="10"/>
  <c r="H511" i="10"/>
  <c r="I511" i="10"/>
  <c r="H512" i="10"/>
  <c r="I512" i="10"/>
  <c r="H513" i="10"/>
  <c r="I513" i="10"/>
  <c r="H514" i="10"/>
  <c r="I514" i="10"/>
  <c r="H515" i="10"/>
  <c r="I515" i="10"/>
  <c r="H516" i="10"/>
  <c r="I516" i="10"/>
  <c r="H517" i="10"/>
  <c r="I517" i="10"/>
  <c r="H518" i="10"/>
  <c r="I518" i="10"/>
  <c r="H519" i="10"/>
  <c r="I519" i="10"/>
  <c r="H520" i="10"/>
  <c r="I520" i="10"/>
  <c r="H521" i="10"/>
  <c r="I521" i="10"/>
  <c r="H522" i="10"/>
  <c r="I522" i="10"/>
  <c r="H523" i="10"/>
  <c r="I523" i="10"/>
  <c r="H524" i="10"/>
  <c r="I524" i="10"/>
  <c r="H525" i="10"/>
  <c r="I525" i="10"/>
  <c r="H526" i="10"/>
  <c r="I526" i="10"/>
  <c r="H527" i="10"/>
  <c r="I527" i="10"/>
  <c r="H528" i="10"/>
  <c r="I528" i="10"/>
  <c r="H529" i="10"/>
  <c r="I529" i="10"/>
  <c r="H530" i="10"/>
  <c r="I530" i="10"/>
  <c r="H531" i="10"/>
  <c r="I531" i="10"/>
  <c r="H532" i="10"/>
  <c r="I532" i="10"/>
  <c r="H533" i="10"/>
  <c r="I533" i="10"/>
  <c r="H534" i="10"/>
  <c r="I534" i="10"/>
  <c r="H535" i="10"/>
  <c r="I535" i="10"/>
  <c r="H536" i="10"/>
  <c r="I536" i="10"/>
  <c r="H537" i="10"/>
  <c r="I537" i="10"/>
  <c r="H538" i="10"/>
  <c r="I538" i="10"/>
  <c r="H539" i="10"/>
  <c r="I539" i="10"/>
  <c r="H541" i="10"/>
  <c r="I541" i="10"/>
  <c r="H542" i="10"/>
  <c r="I542" i="10"/>
  <c r="H543" i="10"/>
  <c r="I543" i="10"/>
  <c r="H544" i="10"/>
  <c r="I544" i="10"/>
  <c r="H545" i="10"/>
  <c r="I545" i="10"/>
  <c r="H546" i="10"/>
  <c r="I546" i="10"/>
  <c r="H547" i="10"/>
  <c r="I547" i="10"/>
  <c r="H548" i="10"/>
  <c r="I548" i="10"/>
  <c r="H549" i="10"/>
  <c r="I549" i="10"/>
  <c r="H550" i="10"/>
  <c r="I550" i="10"/>
  <c r="H551" i="10"/>
  <c r="I551" i="10"/>
  <c r="H552" i="10"/>
  <c r="I552" i="10"/>
  <c r="H553" i="10"/>
  <c r="I553" i="10"/>
  <c r="H554" i="10"/>
  <c r="I554" i="10"/>
  <c r="H555" i="10"/>
  <c r="I555" i="10"/>
  <c r="H556" i="10"/>
  <c r="I556" i="10"/>
  <c r="H557" i="10"/>
  <c r="I557" i="10"/>
  <c r="H558" i="10"/>
  <c r="I558" i="10"/>
  <c r="H559" i="10"/>
  <c r="I559" i="10"/>
  <c r="H560" i="10"/>
  <c r="I560" i="10"/>
  <c r="H561" i="10"/>
  <c r="I561" i="10"/>
  <c r="H562" i="10"/>
  <c r="I562" i="10"/>
  <c r="H563" i="10"/>
  <c r="I563" i="10"/>
  <c r="H564" i="10"/>
  <c r="I564" i="10"/>
  <c r="H565" i="10"/>
  <c r="I565" i="10"/>
  <c r="H566" i="10"/>
  <c r="I566" i="10"/>
  <c r="H567" i="10"/>
  <c r="I567" i="10"/>
  <c r="H568" i="10"/>
  <c r="I568" i="10"/>
  <c r="H569" i="10"/>
  <c r="I569" i="10"/>
  <c r="H570" i="10"/>
  <c r="I570" i="10"/>
  <c r="H571" i="10"/>
  <c r="I571" i="10"/>
  <c r="H572" i="10"/>
  <c r="I572" i="10"/>
  <c r="H573" i="10"/>
  <c r="I573" i="10"/>
  <c r="H574" i="10"/>
  <c r="I574" i="10"/>
  <c r="H575" i="10"/>
  <c r="I575" i="10"/>
  <c r="H576" i="10"/>
  <c r="I576" i="10"/>
  <c r="H577" i="10"/>
  <c r="I577" i="10"/>
  <c r="H578" i="10"/>
  <c r="I578" i="10"/>
  <c r="H579" i="10"/>
  <c r="I579" i="10"/>
  <c r="H580" i="10"/>
  <c r="I580" i="10"/>
  <c r="L581" i="10"/>
  <c r="H582" i="10"/>
  <c r="I582" i="10"/>
  <c r="H583" i="10"/>
  <c r="I583" i="10"/>
  <c r="H584" i="10"/>
  <c r="I584" i="10"/>
  <c r="H585" i="10"/>
  <c r="I585" i="10"/>
  <c r="H586" i="10"/>
  <c r="I586" i="10"/>
  <c r="H587" i="10"/>
  <c r="I587" i="10"/>
  <c r="H588" i="10"/>
  <c r="I588" i="10"/>
  <c r="H589" i="10"/>
  <c r="I589" i="10"/>
  <c r="H590" i="10"/>
  <c r="I590" i="10"/>
  <c r="H591" i="10"/>
  <c r="I591" i="10"/>
  <c r="H592" i="10"/>
  <c r="I592" i="10"/>
  <c r="H593" i="10"/>
  <c r="I593" i="10"/>
  <c r="H594" i="10"/>
  <c r="I594" i="10"/>
  <c r="H595" i="10"/>
  <c r="I595" i="10"/>
  <c r="H596" i="10"/>
  <c r="I596" i="10"/>
  <c r="H597" i="10"/>
  <c r="I597" i="10"/>
  <c r="H598" i="10"/>
  <c r="I598" i="10"/>
  <c r="H599" i="10"/>
  <c r="I599" i="10"/>
  <c r="H600" i="10"/>
  <c r="I600" i="10"/>
  <c r="H601" i="10"/>
  <c r="I601" i="10"/>
  <c r="H602" i="10"/>
  <c r="I602" i="10"/>
  <c r="H603" i="10"/>
  <c r="I603" i="10"/>
  <c r="H604" i="10"/>
  <c r="I604" i="10"/>
  <c r="L605" i="10"/>
  <c r="H606" i="10"/>
  <c r="I606" i="10"/>
  <c r="H607" i="10"/>
  <c r="I607" i="10"/>
  <c r="H608" i="10"/>
  <c r="I608" i="10"/>
  <c r="H609" i="10"/>
  <c r="I609" i="10"/>
  <c r="H610" i="10"/>
  <c r="I610" i="10"/>
  <c r="H611" i="10"/>
  <c r="I611" i="10"/>
  <c r="H612" i="10"/>
  <c r="I612" i="10"/>
  <c r="H613" i="10"/>
  <c r="I613" i="10"/>
  <c r="H614" i="10"/>
  <c r="I614" i="10"/>
  <c r="H615" i="10"/>
  <c r="I615" i="10"/>
  <c r="H616" i="10"/>
  <c r="I616" i="10"/>
  <c r="H617" i="10"/>
  <c r="I617" i="10"/>
  <c r="H618" i="10"/>
  <c r="I618" i="10"/>
  <c r="H619" i="10"/>
  <c r="I619" i="10"/>
  <c r="H620" i="10"/>
  <c r="I620" i="10"/>
  <c r="H621" i="10"/>
  <c r="I621" i="10"/>
  <c r="H622" i="10"/>
  <c r="I622" i="10"/>
  <c r="H623" i="10"/>
  <c r="I623" i="10"/>
  <c r="L625" i="10"/>
  <c r="H626" i="10"/>
  <c r="I626" i="10"/>
  <c r="H627" i="10"/>
  <c r="I627" i="10"/>
  <c r="H628" i="10"/>
  <c r="I628" i="10"/>
  <c r="H629" i="10"/>
  <c r="I629" i="10"/>
  <c r="H630" i="10"/>
  <c r="I630" i="10"/>
  <c r="H631" i="10"/>
  <c r="I631" i="10"/>
  <c r="H632" i="10"/>
  <c r="I632" i="10"/>
  <c r="H633" i="10"/>
  <c r="I633" i="10"/>
  <c r="H634" i="10"/>
  <c r="I634" i="10"/>
  <c r="H635" i="10"/>
  <c r="I635" i="10"/>
  <c r="H636" i="10"/>
  <c r="I636" i="10"/>
  <c r="H637" i="10"/>
  <c r="I637" i="10"/>
  <c r="K638" i="10"/>
  <c r="H639" i="10"/>
  <c r="I639" i="10"/>
  <c r="H640" i="10"/>
  <c r="I640" i="10"/>
  <c r="H641" i="10"/>
  <c r="I641" i="10"/>
  <c r="H642" i="10"/>
  <c r="I642" i="10"/>
  <c r="L643" i="10"/>
  <c r="H644" i="10"/>
  <c r="I644" i="10"/>
  <c r="H645" i="10"/>
  <c r="I645" i="10"/>
  <c r="H646" i="10"/>
  <c r="I646" i="10"/>
  <c r="H647" i="10"/>
  <c r="I647" i="10"/>
  <c r="H648" i="10"/>
  <c r="I648" i="10"/>
  <c r="H649" i="10"/>
  <c r="I649" i="10"/>
  <c r="H650" i="10"/>
  <c r="I650" i="10"/>
  <c r="H651" i="10"/>
  <c r="I651" i="10"/>
  <c r="H652" i="10"/>
  <c r="I652" i="10"/>
  <c r="H653" i="10"/>
  <c r="I653" i="10"/>
  <c r="H654" i="10"/>
  <c r="I654" i="10"/>
  <c r="H655" i="10"/>
  <c r="I655" i="10"/>
  <c r="H656" i="10"/>
  <c r="I656" i="10"/>
  <c r="H657" i="10"/>
  <c r="I657" i="10"/>
  <c r="H658" i="10"/>
  <c r="I658" i="10"/>
  <c r="H659" i="10"/>
  <c r="I659" i="10"/>
  <c r="H660" i="10"/>
  <c r="I660" i="10"/>
  <c r="H661" i="10"/>
  <c r="I661" i="10"/>
  <c r="H662" i="10"/>
  <c r="I662" i="10"/>
  <c r="H663" i="10"/>
  <c r="I663" i="10"/>
  <c r="H665" i="10"/>
  <c r="I665" i="10"/>
  <c r="H666" i="10"/>
  <c r="I666" i="10"/>
  <c r="H667" i="10"/>
  <c r="I667" i="10"/>
  <c r="H668" i="10"/>
  <c r="I668" i="10"/>
  <c r="H669" i="10"/>
  <c r="I669" i="10"/>
  <c r="H670" i="10"/>
  <c r="I670" i="10"/>
  <c r="H671" i="10"/>
  <c r="I671" i="10"/>
  <c r="H672" i="10"/>
  <c r="I672" i="10"/>
  <c r="H673" i="10"/>
  <c r="I673" i="10"/>
  <c r="K674" i="10"/>
  <c r="H675" i="10"/>
  <c r="I675" i="10"/>
  <c r="H676" i="10"/>
  <c r="I676" i="10"/>
  <c r="H677" i="10"/>
  <c r="I677" i="10"/>
  <c r="H678" i="10"/>
  <c r="I678" i="10"/>
  <c r="H679" i="10"/>
  <c r="I679" i="10"/>
  <c r="H680" i="10"/>
  <c r="I680" i="10"/>
  <c r="H681" i="10"/>
  <c r="I681" i="10"/>
  <c r="H682" i="10"/>
  <c r="I682" i="10"/>
  <c r="H683" i="10"/>
  <c r="I683" i="10"/>
  <c r="H685" i="10"/>
  <c r="I685" i="10"/>
  <c r="H686" i="10"/>
  <c r="I686" i="10"/>
  <c r="H687" i="10"/>
  <c r="I687" i="10"/>
  <c r="H688" i="10"/>
  <c r="I688" i="10"/>
  <c r="H689" i="10"/>
  <c r="I689" i="10"/>
  <c r="H690" i="10"/>
  <c r="I690" i="10"/>
  <c r="H691" i="10"/>
  <c r="I691" i="10"/>
  <c r="K692" i="10"/>
  <c r="H693" i="10"/>
  <c r="I693" i="10"/>
  <c r="H694" i="10"/>
  <c r="I694" i="10"/>
  <c r="H695" i="10"/>
  <c r="I695" i="10"/>
  <c r="H696" i="10"/>
  <c r="I696" i="10"/>
  <c r="H697" i="10"/>
  <c r="I697" i="10"/>
  <c r="H698" i="10"/>
  <c r="I698" i="10"/>
  <c r="H699" i="10"/>
  <c r="I699" i="10"/>
  <c r="H700" i="10"/>
  <c r="I700" i="10"/>
  <c r="H701" i="10"/>
  <c r="I701" i="10"/>
  <c r="H702" i="10"/>
  <c r="I702" i="10"/>
  <c r="H703" i="10"/>
  <c r="I703" i="10"/>
  <c r="H704" i="10"/>
  <c r="I704" i="10"/>
  <c r="H705" i="10"/>
  <c r="I705" i="10"/>
  <c r="H706" i="10"/>
  <c r="I706" i="10"/>
  <c r="H707" i="10"/>
  <c r="I707" i="10"/>
  <c r="H708" i="10"/>
  <c r="I708" i="10"/>
  <c r="H709" i="10"/>
  <c r="I709" i="10"/>
  <c r="H710" i="10"/>
  <c r="I710" i="10"/>
  <c r="H711" i="10"/>
  <c r="I711" i="10"/>
  <c r="H712" i="10"/>
  <c r="I712" i="10"/>
  <c r="H713" i="10"/>
  <c r="I713" i="10"/>
  <c r="H714" i="10"/>
  <c r="I714" i="10"/>
  <c r="L715" i="10"/>
  <c r="H716" i="10"/>
  <c r="I716" i="10"/>
  <c r="H717" i="10"/>
  <c r="I717" i="10"/>
  <c r="H718" i="10"/>
  <c r="I718" i="10"/>
  <c r="H719" i="10"/>
  <c r="I719" i="10"/>
  <c r="H720" i="10"/>
  <c r="I720" i="10"/>
  <c r="H721" i="10"/>
  <c r="I721" i="10"/>
  <c r="H722" i="10"/>
  <c r="I722" i="10"/>
  <c r="H723" i="10"/>
  <c r="I723" i="10"/>
  <c r="H724" i="10"/>
  <c r="I724" i="10"/>
  <c r="H725" i="10"/>
  <c r="I725" i="10"/>
  <c r="H726" i="10"/>
  <c r="I726" i="10"/>
  <c r="H727" i="10"/>
  <c r="I727" i="10"/>
  <c r="H728" i="10"/>
  <c r="I728" i="10"/>
  <c r="H729" i="10"/>
  <c r="I729" i="10"/>
  <c r="H730" i="10"/>
  <c r="I730" i="10"/>
  <c r="H731" i="10"/>
  <c r="I731" i="10"/>
  <c r="H732" i="10"/>
  <c r="I732" i="10"/>
  <c r="H733" i="10"/>
  <c r="I733" i="10"/>
  <c r="H734" i="10"/>
  <c r="I734" i="10"/>
  <c r="H735" i="10"/>
  <c r="I735" i="10"/>
  <c r="H736" i="10"/>
  <c r="I736" i="10"/>
  <c r="H737" i="10"/>
  <c r="I737" i="10"/>
  <c r="I16" i="10"/>
  <c r="H16" i="10"/>
  <c r="H17" i="9"/>
  <c r="I17" i="9"/>
  <c r="H18" i="9"/>
  <c r="I18" i="9"/>
  <c r="H19" i="9"/>
  <c r="I19" i="9"/>
  <c r="H20" i="9"/>
  <c r="I20" i="9"/>
  <c r="H21" i="9"/>
  <c r="I21" i="9"/>
  <c r="H22" i="9"/>
  <c r="I22" i="9"/>
  <c r="H23" i="9"/>
  <c r="I23" i="9"/>
  <c r="H24" i="9"/>
  <c r="I24" i="9"/>
  <c r="H25" i="9"/>
  <c r="I25" i="9"/>
  <c r="H26" i="9"/>
  <c r="I26" i="9"/>
  <c r="H27" i="9"/>
  <c r="I27" i="9"/>
  <c r="H28" i="9"/>
  <c r="I28" i="9"/>
  <c r="H29" i="9"/>
  <c r="I29" i="9"/>
  <c r="H30" i="9"/>
  <c r="I30" i="9"/>
  <c r="H31" i="9"/>
  <c r="I31" i="9"/>
  <c r="H32" i="9"/>
  <c r="I32" i="9"/>
  <c r="K33" i="9"/>
  <c r="H34" i="9"/>
  <c r="I34" i="9"/>
  <c r="H35" i="9"/>
  <c r="I35" i="9"/>
  <c r="H36" i="9"/>
  <c r="I36" i="9"/>
  <c r="H37" i="9"/>
  <c r="I37" i="9"/>
  <c r="H38" i="9"/>
  <c r="I38" i="9"/>
  <c r="H39" i="9"/>
  <c r="I39" i="9"/>
  <c r="K40" i="9"/>
  <c r="L40" i="9"/>
  <c r="H41" i="9"/>
  <c r="I41" i="9"/>
  <c r="H42" i="9"/>
  <c r="I42" i="9"/>
  <c r="H43" i="9"/>
  <c r="I43" i="9"/>
  <c r="H44" i="9"/>
  <c r="I44" i="9"/>
  <c r="H45" i="9"/>
  <c r="I45" i="9"/>
  <c r="H46" i="9"/>
  <c r="I46" i="9"/>
  <c r="H47" i="9"/>
  <c r="I47" i="9"/>
  <c r="H48" i="9"/>
  <c r="I48" i="9"/>
  <c r="H49" i="9"/>
  <c r="I49" i="9"/>
  <c r="H50" i="9"/>
  <c r="I50" i="9"/>
  <c r="H51" i="9"/>
  <c r="I51" i="9"/>
  <c r="H52" i="9"/>
  <c r="I52" i="9"/>
  <c r="H53" i="9"/>
  <c r="I53" i="9"/>
  <c r="H54" i="9"/>
  <c r="I54" i="9"/>
  <c r="H55" i="9"/>
  <c r="I55" i="9"/>
  <c r="H56" i="9"/>
  <c r="I56" i="9"/>
  <c r="H57" i="9"/>
  <c r="I57" i="9"/>
  <c r="H58" i="9"/>
  <c r="I58" i="9"/>
  <c r="H59" i="9"/>
  <c r="I59" i="9"/>
  <c r="H60" i="9"/>
  <c r="I60" i="9"/>
  <c r="H61" i="9"/>
  <c r="I61" i="9"/>
  <c r="H62" i="9"/>
  <c r="I62" i="9"/>
  <c r="H63" i="9"/>
  <c r="I63" i="9"/>
  <c r="H64" i="9"/>
  <c r="I64" i="9"/>
  <c r="H65" i="9"/>
  <c r="I65" i="9"/>
  <c r="H66" i="9"/>
  <c r="I66" i="9"/>
  <c r="H67" i="9"/>
  <c r="I67" i="9"/>
  <c r="H68" i="9"/>
  <c r="I68" i="9"/>
  <c r="H69" i="9"/>
  <c r="I69" i="9"/>
  <c r="H70" i="9"/>
  <c r="I70" i="9"/>
  <c r="H71" i="9"/>
  <c r="I71" i="9"/>
  <c r="H72" i="9"/>
  <c r="I72" i="9"/>
  <c r="H73" i="9"/>
  <c r="I73" i="9"/>
  <c r="H74" i="9"/>
  <c r="I74" i="9"/>
  <c r="H75" i="9"/>
  <c r="I75" i="9"/>
  <c r="H76" i="9"/>
  <c r="I76" i="9"/>
  <c r="H77" i="9"/>
  <c r="I77" i="9"/>
  <c r="H78" i="9"/>
  <c r="I78" i="9"/>
  <c r="H79" i="9"/>
  <c r="I79" i="9"/>
  <c r="H80" i="9"/>
  <c r="I80" i="9"/>
  <c r="H81" i="9"/>
  <c r="I81" i="9"/>
  <c r="H82" i="9"/>
  <c r="I82" i="9"/>
  <c r="H83" i="9"/>
  <c r="I83" i="9"/>
  <c r="H84" i="9"/>
  <c r="I84" i="9"/>
  <c r="H85" i="9"/>
  <c r="I85" i="9"/>
  <c r="H86" i="9"/>
  <c r="I86" i="9"/>
  <c r="H87" i="9"/>
  <c r="I87" i="9"/>
  <c r="H88" i="9"/>
  <c r="I88" i="9"/>
  <c r="H89" i="9"/>
  <c r="I89" i="9"/>
  <c r="H90" i="9"/>
  <c r="I90" i="9"/>
  <c r="H91" i="9"/>
  <c r="I91" i="9"/>
  <c r="H92" i="9"/>
  <c r="I92" i="9"/>
  <c r="H93" i="9"/>
  <c r="I93" i="9"/>
  <c r="H94" i="9"/>
  <c r="I94" i="9"/>
  <c r="H95" i="9"/>
  <c r="I95" i="9"/>
  <c r="H96" i="9"/>
  <c r="I96" i="9"/>
  <c r="H97" i="9"/>
  <c r="I97" i="9"/>
  <c r="H98" i="9"/>
  <c r="I98" i="9"/>
  <c r="H99" i="9"/>
  <c r="I99" i="9"/>
  <c r="H100" i="9"/>
  <c r="I100" i="9"/>
  <c r="H101" i="9"/>
  <c r="I101" i="9"/>
  <c r="H102" i="9"/>
  <c r="I102" i="9"/>
  <c r="H103" i="9"/>
  <c r="I103" i="9"/>
  <c r="H104" i="9"/>
  <c r="I104" i="9"/>
  <c r="H105" i="9"/>
  <c r="I105" i="9"/>
  <c r="H106" i="9"/>
  <c r="I106" i="9"/>
  <c r="H107" i="9"/>
  <c r="I107" i="9"/>
  <c r="H108" i="9"/>
  <c r="I108" i="9"/>
  <c r="H109" i="9"/>
  <c r="I109" i="9"/>
  <c r="H110" i="9"/>
  <c r="I110" i="9"/>
  <c r="H111" i="9"/>
  <c r="I111" i="9"/>
  <c r="H112" i="9"/>
  <c r="I112" i="9"/>
  <c r="H113" i="9"/>
  <c r="I113" i="9"/>
  <c r="H115" i="9"/>
  <c r="I115" i="9"/>
  <c r="H116" i="9"/>
  <c r="I116" i="9"/>
  <c r="H117" i="9"/>
  <c r="I117" i="9"/>
  <c r="H118" i="9"/>
  <c r="I118" i="9"/>
  <c r="H119" i="9"/>
  <c r="I119" i="9"/>
  <c r="H120" i="9"/>
  <c r="I120" i="9"/>
  <c r="H121" i="9"/>
  <c r="I121" i="9"/>
  <c r="H122" i="9"/>
  <c r="I122" i="9"/>
  <c r="H123" i="9"/>
  <c r="I123" i="9"/>
  <c r="K124" i="9"/>
  <c r="L124" i="9"/>
  <c r="H125" i="9"/>
  <c r="I125" i="9"/>
  <c r="H126" i="9"/>
  <c r="I126" i="9"/>
  <c r="H127" i="9"/>
  <c r="I127" i="9"/>
  <c r="H128" i="9"/>
  <c r="I128" i="9"/>
  <c r="H129" i="9"/>
  <c r="I129" i="9"/>
  <c r="H130" i="9"/>
  <c r="I130" i="9"/>
  <c r="H131" i="9"/>
  <c r="I131" i="9"/>
  <c r="H132" i="9"/>
  <c r="I132" i="9"/>
  <c r="H133" i="9"/>
  <c r="I133" i="9"/>
  <c r="H135" i="9"/>
  <c r="I135" i="9"/>
  <c r="H136" i="9"/>
  <c r="I136" i="9"/>
  <c r="H137" i="9"/>
  <c r="I137" i="9"/>
  <c r="H138" i="9"/>
  <c r="I138" i="9"/>
  <c r="H139" i="9"/>
  <c r="I139" i="9"/>
  <c r="H140" i="9"/>
  <c r="I140" i="9"/>
  <c r="H141" i="9"/>
  <c r="I141" i="9"/>
  <c r="H142" i="9"/>
  <c r="I142" i="9"/>
  <c r="H143" i="9"/>
  <c r="I143" i="9"/>
  <c r="H144" i="9"/>
  <c r="I144" i="9"/>
  <c r="H145" i="9"/>
  <c r="I145" i="9"/>
  <c r="H146" i="9"/>
  <c r="I146" i="9"/>
  <c r="H147" i="9"/>
  <c r="I147" i="9"/>
  <c r="H148" i="9"/>
  <c r="I148" i="9"/>
  <c r="H149" i="9"/>
  <c r="I149" i="9"/>
  <c r="H151" i="9"/>
  <c r="I151" i="9"/>
  <c r="H152" i="9"/>
  <c r="I152" i="9"/>
  <c r="H153" i="9"/>
  <c r="I153" i="9"/>
  <c r="H154" i="9"/>
  <c r="I154" i="9"/>
  <c r="H155" i="9"/>
  <c r="I155" i="9"/>
  <c r="H156" i="9"/>
  <c r="I156" i="9"/>
  <c r="H157" i="9"/>
  <c r="I157" i="9"/>
  <c r="H158" i="9"/>
  <c r="I158" i="9"/>
  <c r="H159" i="9"/>
  <c r="I159" i="9"/>
  <c r="H160" i="9"/>
  <c r="I160" i="9"/>
  <c r="H161" i="9"/>
  <c r="I161" i="9"/>
  <c r="H162" i="9"/>
  <c r="I162" i="9"/>
  <c r="H163" i="9"/>
  <c r="I163" i="9"/>
  <c r="H164" i="9"/>
  <c r="I164" i="9"/>
  <c r="H165" i="9"/>
  <c r="I165" i="9"/>
  <c r="H166" i="9"/>
  <c r="I166" i="9"/>
  <c r="H167" i="9"/>
  <c r="I167" i="9"/>
  <c r="H168" i="9"/>
  <c r="I168" i="9"/>
  <c r="H169" i="9"/>
  <c r="I169" i="9"/>
  <c r="K170" i="9"/>
  <c r="H171" i="9"/>
  <c r="I171" i="9"/>
  <c r="H172" i="9"/>
  <c r="I172" i="9"/>
  <c r="H173" i="9"/>
  <c r="I173" i="9"/>
  <c r="H174" i="9"/>
  <c r="I174" i="9"/>
  <c r="H175" i="9"/>
  <c r="I175" i="9"/>
  <c r="H176" i="9"/>
  <c r="I176" i="9"/>
  <c r="H177" i="9"/>
  <c r="I177" i="9"/>
  <c r="H178" i="9"/>
  <c r="I178" i="9"/>
  <c r="H180" i="9"/>
  <c r="I180" i="9"/>
  <c r="H181" i="9"/>
  <c r="I181" i="9"/>
  <c r="H182" i="9"/>
  <c r="I182" i="9"/>
  <c r="H183" i="9"/>
  <c r="I183" i="9"/>
  <c r="H184" i="9"/>
  <c r="I184" i="9"/>
  <c r="H185" i="9"/>
  <c r="I185" i="9"/>
  <c r="H186" i="9"/>
  <c r="I186" i="9"/>
  <c r="H187" i="9"/>
  <c r="I187" i="9"/>
  <c r="K188" i="9"/>
  <c r="H189" i="9"/>
  <c r="I189" i="9"/>
  <c r="H190" i="9"/>
  <c r="I190" i="9"/>
  <c r="H191" i="9"/>
  <c r="I191" i="9"/>
  <c r="H192" i="9"/>
  <c r="I192" i="9"/>
  <c r="H193" i="9"/>
  <c r="I193" i="9"/>
  <c r="H194" i="9"/>
  <c r="I194" i="9"/>
  <c r="H195" i="9"/>
  <c r="I195" i="9"/>
  <c r="H196" i="9"/>
  <c r="I196" i="9"/>
  <c r="H198" i="9"/>
  <c r="I198" i="9"/>
  <c r="H199" i="9"/>
  <c r="I199" i="9"/>
  <c r="H200" i="9"/>
  <c r="I200" i="9"/>
  <c r="H201" i="9"/>
  <c r="I201" i="9"/>
  <c r="H202" i="9"/>
  <c r="I202" i="9"/>
  <c r="H203" i="9"/>
  <c r="I203" i="9"/>
  <c r="H204" i="9"/>
  <c r="I204" i="9"/>
  <c r="H205" i="9"/>
  <c r="I205" i="9"/>
  <c r="H206" i="9"/>
  <c r="I206" i="9"/>
  <c r="K207" i="9"/>
  <c r="L207" i="9"/>
  <c r="H208" i="9"/>
  <c r="I208" i="9"/>
  <c r="H209" i="9"/>
  <c r="I209" i="9"/>
  <c r="H210" i="9"/>
  <c r="I210" i="9"/>
  <c r="H211" i="9"/>
  <c r="I211" i="9"/>
  <c r="H212" i="9"/>
  <c r="I212" i="9"/>
  <c r="H213" i="9"/>
  <c r="I213" i="9"/>
  <c r="H214" i="9"/>
  <c r="I214" i="9"/>
  <c r="H215" i="9"/>
  <c r="I215" i="9"/>
  <c r="H216" i="9"/>
  <c r="I216" i="9"/>
  <c r="H217" i="9"/>
  <c r="I217" i="9"/>
  <c r="H218" i="9"/>
  <c r="I218" i="9"/>
  <c r="H219" i="9"/>
  <c r="I219" i="9"/>
  <c r="H220" i="9"/>
  <c r="I220" i="9"/>
  <c r="H221" i="9"/>
  <c r="I221" i="9"/>
  <c r="H222" i="9"/>
  <c r="I222" i="9"/>
  <c r="H223" i="9"/>
  <c r="I223" i="9"/>
  <c r="H224" i="9"/>
  <c r="I224" i="9"/>
  <c r="H225" i="9"/>
  <c r="I225" i="9"/>
  <c r="H226" i="9"/>
  <c r="I226" i="9"/>
  <c r="H227" i="9"/>
  <c r="I227" i="9"/>
  <c r="H228" i="9"/>
  <c r="I228" i="9"/>
  <c r="H229" i="9"/>
  <c r="I229" i="9"/>
  <c r="H230" i="9"/>
  <c r="I230" i="9"/>
  <c r="H231" i="9"/>
  <c r="I231" i="9"/>
  <c r="H232" i="9"/>
  <c r="I232" i="9"/>
  <c r="H233" i="9"/>
  <c r="I233" i="9"/>
  <c r="H234" i="9"/>
  <c r="I234" i="9"/>
  <c r="H235" i="9"/>
  <c r="I235" i="9"/>
  <c r="H236" i="9"/>
  <c r="I236" i="9"/>
  <c r="H237" i="9"/>
  <c r="I237" i="9"/>
  <c r="H238" i="9"/>
  <c r="I238" i="9"/>
  <c r="H239" i="9"/>
  <c r="I239" i="9"/>
  <c r="H240" i="9"/>
  <c r="I240" i="9"/>
  <c r="H241" i="9"/>
  <c r="I241" i="9"/>
  <c r="K242" i="9"/>
  <c r="H243" i="9"/>
  <c r="I243" i="9"/>
  <c r="H244" i="9"/>
  <c r="I244" i="9"/>
  <c r="H245" i="9"/>
  <c r="I245" i="9"/>
  <c r="H246" i="9"/>
  <c r="I246" i="9"/>
  <c r="H247" i="9"/>
  <c r="I247" i="9"/>
  <c r="H248" i="9"/>
  <c r="I248" i="9"/>
  <c r="H249" i="9"/>
  <c r="I249" i="9"/>
  <c r="H250" i="9"/>
  <c r="I250" i="9"/>
  <c r="H251" i="9"/>
  <c r="I251" i="9"/>
  <c r="H252" i="9"/>
  <c r="I252" i="9"/>
  <c r="H254" i="9"/>
  <c r="I254" i="9"/>
  <c r="H255" i="9"/>
  <c r="I255" i="9"/>
  <c r="H256" i="9"/>
  <c r="I256" i="9"/>
  <c r="H257" i="9"/>
  <c r="I257" i="9"/>
  <c r="H258" i="9"/>
  <c r="I258" i="9"/>
  <c r="H259" i="9"/>
  <c r="I259" i="9"/>
  <c r="H260" i="9"/>
  <c r="I260" i="9"/>
  <c r="H261" i="9"/>
  <c r="I261" i="9"/>
  <c r="H262" i="9"/>
  <c r="I262" i="9"/>
  <c r="H263" i="9"/>
  <c r="I263" i="9"/>
  <c r="H264" i="9"/>
  <c r="I264" i="9"/>
  <c r="H265" i="9"/>
  <c r="I265" i="9"/>
  <c r="H266" i="9"/>
  <c r="I266" i="9"/>
  <c r="H267" i="9"/>
  <c r="I267" i="9"/>
  <c r="H268" i="9"/>
  <c r="I268" i="9"/>
  <c r="H269" i="9"/>
  <c r="I269" i="9"/>
  <c r="H270" i="9"/>
  <c r="I270" i="9"/>
  <c r="H271" i="9"/>
  <c r="I271" i="9"/>
  <c r="H272" i="9"/>
  <c r="I272" i="9"/>
  <c r="H273" i="9"/>
  <c r="I273" i="9"/>
  <c r="H274" i="9"/>
  <c r="I274" i="9"/>
  <c r="H275" i="9"/>
  <c r="I275" i="9"/>
  <c r="H276" i="9"/>
  <c r="I276" i="9"/>
  <c r="H277" i="9"/>
  <c r="I277" i="9"/>
  <c r="H278" i="9"/>
  <c r="I278" i="9"/>
  <c r="H279" i="9"/>
  <c r="I279" i="9"/>
  <c r="H280" i="9"/>
  <c r="I280" i="9"/>
  <c r="H281" i="9"/>
  <c r="I281" i="9"/>
  <c r="H282" i="9"/>
  <c r="I282" i="9"/>
  <c r="H283" i="9"/>
  <c r="I283" i="9"/>
  <c r="H284" i="9"/>
  <c r="I284" i="9"/>
  <c r="H285" i="9"/>
  <c r="I285" i="9"/>
  <c r="H287" i="9"/>
  <c r="I287" i="9"/>
  <c r="H288" i="9"/>
  <c r="I288" i="9"/>
  <c r="H289" i="9"/>
  <c r="I289" i="9"/>
  <c r="H290" i="9"/>
  <c r="I290" i="9"/>
  <c r="H291" i="9"/>
  <c r="I291" i="9"/>
  <c r="H292" i="9"/>
  <c r="I292" i="9"/>
  <c r="H293" i="9"/>
  <c r="I293" i="9"/>
  <c r="H294" i="9"/>
  <c r="I294" i="9"/>
  <c r="H295" i="9"/>
  <c r="I295" i="9"/>
  <c r="H296" i="9"/>
  <c r="I296" i="9"/>
  <c r="H297" i="9"/>
  <c r="I297" i="9"/>
  <c r="H298" i="9"/>
  <c r="I298" i="9"/>
  <c r="H299" i="9"/>
  <c r="I299" i="9"/>
  <c r="H300" i="9"/>
  <c r="I300" i="9"/>
  <c r="H301" i="9"/>
  <c r="I301" i="9"/>
  <c r="H302" i="9"/>
  <c r="I302" i="9"/>
  <c r="H303" i="9"/>
  <c r="I303" i="9"/>
  <c r="H304" i="9"/>
  <c r="I304" i="9"/>
  <c r="H305" i="9"/>
  <c r="I305" i="9"/>
  <c r="H306" i="9"/>
  <c r="I306" i="9"/>
  <c r="H307" i="9"/>
  <c r="I307" i="9"/>
  <c r="H308" i="9"/>
  <c r="I308" i="9"/>
  <c r="H309" i="9"/>
  <c r="I309" i="9"/>
  <c r="H310" i="9"/>
  <c r="I310" i="9"/>
  <c r="H312" i="9"/>
  <c r="I312" i="9"/>
  <c r="H313" i="9"/>
  <c r="I313" i="9"/>
  <c r="H314" i="9"/>
  <c r="I314" i="9"/>
  <c r="H315" i="9"/>
  <c r="I315" i="9"/>
  <c r="H316" i="9"/>
  <c r="I316" i="9"/>
  <c r="H317" i="9"/>
  <c r="I317" i="9"/>
  <c r="H318" i="9"/>
  <c r="I318" i="9"/>
  <c r="H319" i="9"/>
  <c r="I319" i="9"/>
  <c r="H320" i="9"/>
  <c r="I320" i="9"/>
  <c r="H321" i="9"/>
  <c r="I321" i="9"/>
  <c r="H322" i="9"/>
  <c r="I322" i="9"/>
  <c r="H323" i="9"/>
  <c r="I323" i="9"/>
  <c r="H324" i="9"/>
  <c r="I324" i="9"/>
  <c r="H325" i="9"/>
  <c r="I325" i="9"/>
  <c r="H326" i="9"/>
  <c r="I326" i="9"/>
  <c r="H327" i="9"/>
  <c r="I327" i="9"/>
  <c r="H328" i="9"/>
  <c r="I328" i="9"/>
  <c r="H329" i="9"/>
  <c r="I329" i="9"/>
  <c r="H330" i="9"/>
  <c r="I330" i="9"/>
  <c r="H331" i="9"/>
  <c r="I331" i="9"/>
  <c r="H332" i="9"/>
  <c r="I332" i="9"/>
  <c r="K333" i="9"/>
  <c r="L333" i="9"/>
  <c r="H335" i="9"/>
  <c r="I335" i="9"/>
  <c r="H336" i="9"/>
  <c r="I336" i="9"/>
  <c r="H337" i="9"/>
  <c r="I337" i="9"/>
  <c r="H338" i="9"/>
  <c r="I338" i="9"/>
  <c r="H339" i="9"/>
  <c r="I339" i="9"/>
  <c r="H340" i="9"/>
  <c r="I340" i="9"/>
  <c r="H341" i="9"/>
  <c r="I341" i="9"/>
  <c r="H342" i="9"/>
  <c r="I342" i="9"/>
  <c r="H343" i="9"/>
  <c r="I343" i="9"/>
  <c r="H344" i="9"/>
  <c r="I344" i="9"/>
  <c r="H345" i="9"/>
  <c r="I345" i="9"/>
  <c r="H346" i="9"/>
  <c r="I346" i="9"/>
  <c r="H347" i="9"/>
  <c r="I347" i="9"/>
  <c r="H348" i="9"/>
  <c r="I348" i="9"/>
  <c r="H349" i="9"/>
  <c r="I349" i="9"/>
  <c r="H350" i="9"/>
  <c r="I350" i="9"/>
  <c r="H351" i="9"/>
  <c r="I351" i="9"/>
  <c r="H352" i="9"/>
  <c r="I352" i="9"/>
  <c r="H353" i="9"/>
  <c r="I353" i="9"/>
  <c r="H354" i="9"/>
  <c r="I354" i="9"/>
  <c r="H355" i="9"/>
  <c r="I355" i="9"/>
  <c r="H356" i="9"/>
  <c r="I356" i="9"/>
  <c r="H357" i="9"/>
  <c r="I357" i="9"/>
  <c r="H358" i="9"/>
  <c r="I358" i="9"/>
  <c r="H359" i="9"/>
  <c r="I359" i="9"/>
  <c r="H360" i="9"/>
  <c r="I360" i="9"/>
  <c r="H361" i="9"/>
  <c r="I361" i="9"/>
  <c r="H362" i="9"/>
  <c r="I362" i="9"/>
  <c r="H363" i="9"/>
  <c r="I363" i="9"/>
  <c r="H364" i="9"/>
  <c r="I364" i="9"/>
  <c r="H365" i="9"/>
  <c r="I365" i="9"/>
  <c r="H366" i="9"/>
  <c r="I366" i="9"/>
  <c r="H367" i="9"/>
  <c r="I367" i="9"/>
  <c r="H368" i="9"/>
  <c r="I368" i="9"/>
  <c r="H369" i="9"/>
  <c r="I369" i="9"/>
  <c r="H370" i="9"/>
  <c r="I370" i="9"/>
  <c r="H371" i="9"/>
  <c r="I371" i="9"/>
  <c r="H372" i="9"/>
  <c r="I372" i="9"/>
  <c r="H373" i="9"/>
  <c r="I373" i="9"/>
  <c r="H374" i="9"/>
  <c r="I374" i="9"/>
  <c r="L375" i="9"/>
  <c r="H376" i="9"/>
  <c r="I376" i="9"/>
  <c r="H377" i="9"/>
  <c r="I377" i="9"/>
  <c r="H378" i="9"/>
  <c r="I378" i="9"/>
  <c r="H379" i="9"/>
  <c r="I379" i="9"/>
  <c r="H380" i="9"/>
  <c r="I380" i="9"/>
  <c r="H381" i="9"/>
  <c r="I381" i="9"/>
  <c r="H382" i="9"/>
  <c r="I382" i="9"/>
  <c r="H383" i="9"/>
  <c r="I383" i="9"/>
  <c r="H384" i="9"/>
  <c r="I384" i="9"/>
  <c r="H385" i="9"/>
  <c r="I385" i="9"/>
  <c r="H386" i="9"/>
  <c r="I386" i="9"/>
  <c r="H387" i="9"/>
  <c r="I387" i="9"/>
  <c r="H388" i="9"/>
  <c r="I388" i="9"/>
  <c r="H389" i="9"/>
  <c r="I389" i="9"/>
  <c r="H390" i="9"/>
  <c r="I390" i="9"/>
  <c r="H391" i="9"/>
  <c r="I391" i="9"/>
  <c r="H392" i="9"/>
  <c r="I392" i="9"/>
  <c r="H393" i="9"/>
  <c r="I393" i="9"/>
  <c r="H395" i="9"/>
  <c r="I395" i="9"/>
  <c r="H396" i="9"/>
  <c r="I396" i="9"/>
  <c r="H397" i="9"/>
  <c r="I397" i="9"/>
  <c r="H398" i="9"/>
  <c r="I398" i="9"/>
  <c r="H399" i="9"/>
  <c r="I399" i="9"/>
  <c r="H400" i="9"/>
  <c r="I400" i="9"/>
  <c r="H401" i="9"/>
  <c r="I401" i="9"/>
  <c r="H402" i="9"/>
  <c r="I402" i="9"/>
  <c r="H403" i="9"/>
  <c r="I403" i="9"/>
  <c r="H404" i="9"/>
  <c r="I404" i="9"/>
  <c r="H405" i="9"/>
  <c r="I405" i="9"/>
  <c r="H407" i="9"/>
  <c r="I407" i="9"/>
  <c r="H408" i="9"/>
  <c r="I408" i="9"/>
  <c r="H409" i="9"/>
  <c r="I409" i="9"/>
  <c r="H410" i="9"/>
  <c r="I410" i="9"/>
  <c r="H411" i="9"/>
  <c r="I411" i="9"/>
  <c r="H412" i="9"/>
  <c r="I412" i="9"/>
  <c r="H413" i="9"/>
  <c r="I413" i="9"/>
  <c r="H414" i="9"/>
  <c r="I414" i="9"/>
  <c r="H415" i="9"/>
  <c r="I415" i="9"/>
  <c r="H416" i="9"/>
  <c r="I416" i="9"/>
  <c r="H417" i="9"/>
  <c r="I417" i="9"/>
  <c r="H418" i="9"/>
  <c r="I418" i="9"/>
  <c r="H419" i="9"/>
  <c r="I419" i="9"/>
  <c r="H420" i="9"/>
  <c r="I420" i="9"/>
  <c r="H421" i="9"/>
  <c r="I421" i="9"/>
  <c r="H422" i="9"/>
  <c r="I422" i="9"/>
  <c r="H423" i="9"/>
  <c r="I423" i="9"/>
  <c r="H424" i="9"/>
  <c r="I424" i="9"/>
  <c r="H425" i="9"/>
  <c r="I425" i="9"/>
  <c r="H426" i="9"/>
  <c r="I426" i="9"/>
  <c r="H427" i="9"/>
  <c r="I427" i="9"/>
  <c r="H428" i="9"/>
  <c r="I428" i="9"/>
  <c r="H429" i="9"/>
  <c r="I429" i="9"/>
  <c r="H430" i="9"/>
  <c r="I430" i="9"/>
  <c r="H431" i="9"/>
  <c r="I431" i="9"/>
  <c r="H432" i="9"/>
  <c r="I432" i="9"/>
  <c r="H433" i="9"/>
  <c r="I433" i="9"/>
  <c r="H434" i="9"/>
  <c r="I434" i="9"/>
  <c r="H435" i="9"/>
  <c r="I435" i="9"/>
  <c r="H436" i="9"/>
  <c r="I436" i="9"/>
  <c r="H437" i="9"/>
  <c r="I437" i="9"/>
  <c r="H438" i="9"/>
  <c r="I438" i="9"/>
  <c r="H439" i="9"/>
  <c r="I439" i="9"/>
  <c r="K440" i="9"/>
  <c r="H441" i="9"/>
  <c r="I441" i="9"/>
  <c r="H442" i="9"/>
  <c r="I442" i="9"/>
  <c r="H443" i="9"/>
  <c r="I443" i="9"/>
  <c r="H444" i="9"/>
  <c r="I444" i="9"/>
  <c r="H445" i="9"/>
  <c r="I445" i="9"/>
  <c r="H446" i="9"/>
  <c r="I446" i="9"/>
  <c r="H447" i="9"/>
  <c r="I447" i="9"/>
  <c r="H448" i="9"/>
  <c r="I448" i="9"/>
  <c r="H449" i="9"/>
  <c r="I449" i="9"/>
  <c r="H450" i="9"/>
  <c r="I450" i="9"/>
  <c r="H451" i="9"/>
  <c r="I451" i="9"/>
  <c r="H452" i="9"/>
  <c r="I452" i="9"/>
  <c r="H453" i="9"/>
  <c r="I453" i="9"/>
  <c r="H454" i="9"/>
  <c r="I454" i="9"/>
  <c r="H455" i="9"/>
  <c r="I455" i="9"/>
  <c r="H456" i="9"/>
  <c r="I456" i="9"/>
  <c r="H457" i="9"/>
  <c r="I457" i="9"/>
  <c r="H458" i="9"/>
  <c r="I458" i="9"/>
  <c r="H459" i="9"/>
  <c r="I459" i="9"/>
  <c r="H460" i="9"/>
  <c r="I460" i="9"/>
  <c r="H461" i="9"/>
  <c r="I461" i="9"/>
  <c r="H462" i="9"/>
  <c r="I462" i="9"/>
  <c r="H463" i="9"/>
  <c r="I463" i="9"/>
  <c r="H464" i="9"/>
  <c r="I464" i="9"/>
  <c r="H465" i="9"/>
  <c r="I465" i="9"/>
  <c r="H466" i="9"/>
  <c r="I466" i="9"/>
  <c r="H467" i="9"/>
  <c r="I467" i="9"/>
  <c r="H468" i="9"/>
  <c r="I468" i="9"/>
  <c r="H469" i="9"/>
  <c r="I469" i="9"/>
  <c r="H470" i="9"/>
  <c r="I470" i="9"/>
  <c r="H471" i="9"/>
  <c r="I471" i="9"/>
  <c r="H472" i="9"/>
  <c r="I472" i="9"/>
  <c r="H473" i="9"/>
  <c r="I473" i="9"/>
  <c r="H474" i="9"/>
  <c r="I474" i="9"/>
  <c r="H475" i="9"/>
  <c r="I475" i="9"/>
  <c r="H476" i="9"/>
  <c r="I476" i="9"/>
  <c r="K477" i="9"/>
  <c r="L477" i="9"/>
  <c r="H478" i="9"/>
  <c r="I478" i="9"/>
  <c r="H479" i="9"/>
  <c r="I479" i="9"/>
  <c r="H480" i="9"/>
  <c r="I480" i="9"/>
  <c r="H481" i="9"/>
  <c r="I481" i="9"/>
  <c r="H482" i="9"/>
  <c r="I482" i="9"/>
  <c r="H483" i="9"/>
  <c r="I483" i="9"/>
  <c r="H484" i="9"/>
  <c r="I484" i="9"/>
  <c r="H485" i="9"/>
  <c r="I485" i="9"/>
  <c r="H486" i="9"/>
  <c r="I486" i="9"/>
  <c r="H487" i="9"/>
  <c r="I487" i="9"/>
  <c r="H488" i="9"/>
  <c r="I488" i="9"/>
  <c r="H489" i="9"/>
  <c r="I489" i="9"/>
  <c r="H490" i="9"/>
  <c r="I490" i="9"/>
  <c r="H491" i="9"/>
  <c r="I491" i="9"/>
  <c r="H492" i="9"/>
  <c r="I492" i="9"/>
  <c r="H493" i="9"/>
  <c r="I493" i="9"/>
  <c r="H494" i="9"/>
  <c r="I494" i="9"/>
  <c r="L495" i="9"/>
  <c r="H496" i="9"/>
  <c r="I496" i="9"/>
  <c r="H497" i="9"/>
  <c r="I497" i="9"/>
  <c r="H498" i="9"/>
  <c r="I498" i="9"/>
  <c r="H499" i="9"/>
  <c r="I499" i="9"/>
  <c r="H500" i="9"/>
  <c r="I500" i="9"/>
  <c r="H501" i="9"/>
  <c r="I501" i="9"/>
  <c r="H502" i="9"/>
  <c r="I502" i="9"/>
  <c r="H503" i="9"/>
  <c r="I503" i="9"/>
  <c r="H504" i="9"/>
  <c r="I504" i="9"/>
  <c r="H505" i="9"/>
  <c r="I505" i="9"/>
  <c r="H506" i="9"/>
  <c r="I506" i="9"/>
  <c r="H507" i="9"/>
  <c r="I507" i="9"/>
  <c r="H508" i="9"/>
  <c r="I508" i="9"/>
  <c r="H509" i="9"/>
  <c r="I509" i="9"/>
  <c r="H510" i="9"/>
  <c r="I510" i="9"/>
  <c r="H511" i="9"/>
  <c r="I511" i="9"/>
  <c r="H512" i="9"/>
  <c r="I512" i="9"/>
  <c r="H513" i="9"/>
  <c r="I513" i="9"/>
  <c r="H514" i="9"/>
  <c r="I514" i="9"/>
  <c r="H515" i="9"/>
  <c r="I515" i="9"/>
  <c r="H516" i="9"/>
  <c r="I516" i="9"/>
  <c r="H517" i="9"/>
  <c r="I517" i="9"/>
  <c r="H518" i="9"/>
  <c r="I518" i="9"/>
  <c r="H519" i="9"/>
  <c r="I519" i="9"/>
  <c r="H520" i="9"/>
  <c r="I520" i="9"/>
  <c r="H521" i="9"/>
  <c r="I521" i="9"/>
  <c r="H522" i="9"/>
  <c r="I522" i="9"/>
  <c r="H523" i="9"/>
  <c r="I523" i="9"/>
  <c r="H524" i="9"/>
  <c r="I524" i="9"/>
  <c r="H525" i="9"/>
  <c r="I525" i="9"/>
  <c r="H526" i="9"/>
  <c r="I526" i="9"/>
  <c r="H527" i="9"/>
  <c r="I527" i="9"/>
  <c r="H528" i="9"/>
  <c r="I528" i="9"/>
  <c r="H529" i="9"/>
  <c r="I529" i="9"/>
  <c r="H530" i="9"/>
  <c r="I530" i="9"/>
  <c r="H531" i="9"/>
  <c r="I531" i="9"/>
  <c r="H532" i="9"/>
  <c r="I532" i="9"/>
  <c r="H533" i="9"/>
  <c r="I533" i="9"/>
  <c r="H534" i="9"/>
  <c r="I534" i="9"/>
  <c r="H535" i="9"/>
  <c r="I535" i="9"/>
  <c r="H536" i="9"/>
  <c r="I536" i="9"/>
  <c r="H537" i="9"/>
  <c r="I537" i="9"/>
  <c r="H538" i="9"/>
  <c r="I538" i="9"/>
  <c r="H539" i="9"/>
  <c r="I539" i="9"/>
  <c r="H541" i="9"/>
  <c r="I541" i="9"/>
  <c r="H542" i="9"/>
  <c r="I542" i="9"/>
  <c r="H543" i="9"/>
  <c r="I543" i="9"/>
  <c r="H544" i="9"/>
  <c r="I544" i="9"/>
  <c r="H545" i="9"/>
  <c r="I545" i="9"/>
  <c r="H546" i="9"/>
  <c r="I546" i="9"/>
  <c r="H547" i="9"/>
  <c r="I547" i="9"/>
  <c r="H548" i="9"/>
  <c r="I548" i="9"/>
  <c r="H549" i="9"/>
  <c r="I549" i="9"/>
  <c r="H550" i="9"/>
  <c r="I550" i="9"/>
  <c r="H551" i="9"/>
  <c r="I551" i="9"/>
  <c r="H552" i="9"/>
  <c r="I552" i="9"/>
  <c r="H553" i="9"/>
  <c r="I553" i="9"/>
  <c r="H554" i="9"/>
  <c r="I554" i="9"/>
  <c r="H555" i="9"/>
  <c r="I555" i="9"/>
  <c r="H556" i="9"/>
  <c r="I556" i="9"/>
  <c r="H557" i="9"/>
  <c r="I557" i="9"/>
  <c r="H558" i="9"/>
  <c r="I558" i="9"/>
  <c r="H559" i="9"/>
  <c r="I559" i="9"/>
  <c r="H560" i="9"/>
  <c r="I560" i="9"/>
  <c r="H561" i="9"/>
  <c r="I561" i="9"/>
  <c r="H562" i="9"/>
  <c r="I562" i="9"/>
  <c r="H563" i="9"/>
  <c r="I563" i="9"/>
  <c r="H564" i="9"/>
  <c r="I564" i="9"/>
  <c r="H565" i="9"/>
  <c r="I565" i="9"/>
  <c r="H566" i="9"/>
  <c r="I566" i="9"/>
  <c r="H567" i="9"/>
  <c r="I567" i="9"/>
  <c r="H568" i="9"/>
  <c r="I568" i="9"/>
  <c r="H569" i="9"/>
  <c r="I569" i="9"/>
  <c r="H570" i="9"/>
  <c r="I570" i="9"/>
  <c r="H571" i="9"/>
  <c r="I571" i="9"/>
  <c r="H572" i="9"/>
  <c r="I572" i="9"/>
  <c r="H573" i="9"/>
  <c r="I573" i="9"/>
  <c r="H574" i="9"/>
  <c r="I574" i="9"/>
  <c r="H575" i="9"/>
  <c r="I575" i="9"/>
  <c r="H576" i="9"/>
  <c r="I576" i="9"/>
  <c r="H577" i="9"/>
  <c r="I577" i="9"/>
  <c r="H578" i="9"/>
  <c r="I578" i="9"/>
  <c r="H579" i="9"/>
  <c r="I579" i="9"/>
  <c r="H580" i="9"/>
  <c r="I580" i="9"/>
  <c r="H582" i="9"/>
  <c r="I582" i="9"/>
  <c r="H583" i="9"/>
  <c r="I583" i="9"/>
  <c r="H584" i="9"/>
  <c r="I584" i="9"/>
  <c r="H585" i="9"/>
  <c r="I585" i="9"/>
  <c r="H586" i="9"/>
  <c r="I586" i="9"/>
  <c r="H587" i="9"/>
  <c r="I587" i="9"/>
  <c r="H588" i="9"/>
  <c r="I588" i="9"/>
  <c r="H589" i="9"/>
  <c r="I589" i="9"/>
  <c r="H590" i="9"/>
  <c r="I590" i="9"/>
  <c r="H591" i="9"/>
  <c r="I591" i="9"/>
  <c r="H592" i="9"/>
  <c r="I592" i="9"/>
  <c r="H593" i="9"/>
  <c r="I593" i="9"/>
  <c r="H594" i="9"/>
  <c r="I594" i="9"/>
  <c r="H595" i="9"/>
  <c r="I595" i="9"/>
  <c r="H596" i="9"/>
  <c r="I596" i="9"/>
  <c r="H597" i="9"/>
  <c r="I597" i="9"/>
  <c r="H598" i="9"/>
  <c r="I598" i="9"/>
  <c r="H599" i="9"/>
  <c r="I599" i="9"/>
  <c r="H600" i="9"/>
  <c r="I600" i="9"/>
  <c r="H601" i="9"/>
  <c r="I601" i="9"/>
  <c r="H602" i="9"/>
  <c r="I602" i="9"/>
  <c r="H603" i="9"/>
  <c r="I603" i="9"/>
  <c r="H604" i="9"/>
  <c r="I604" i="9"/>
  <c r="H606" i="9"/>
  <c r="I606" i="9"/>
  <c r="H607" i="9"/>
  <c r="I607" i="9"/>
  <c r="H608" i="9"/>
  <c r="I608" i="9"/>
  <c r="H609" i="9"/>
  <c r="I609" i="9"/>
  <c r="H610" i="9"/>
  <c r="I610" i="9"/>
  <c r="H611" i="9"/>
  <c r="I611" i="9"/>
  <c r="H612" i="9"/>
  <c r="I612" i="9"/>
  <c r="H613" i="9"/>
  <c r="I613" i="9"/>
  <c r="H614" i="9"/>
  <c r="I614" i="9"/>
  <c r="H615" i="9"/>
  <c r="I615" i="9"/>
  <c r="H616" i="9"/>
  <c r="I616" i="9"/>
  <c r="H617" i="9"/>
  <c r="I617" i="9"/>
  <c r="H618" i="9"/>
  <c r="I618" i="9"/>
  <c r="H619" i="9"/>
  <c r="I619" i="9"/>
  <c r="H620" i="9"/>
  <c r="I620" i="9"/>
  <c r="H621" i="9"/>
  <c r="I621" i="9"/>
  <c r="H622" i="9"/>
  <c r="I622" i="9"/>
  <c r="H623" i="9"/>
  <c r="I623" i="9"/>
  <c r="H626" i="9"/>
  <c r="I626" i="9"/>
  <c r="H627" i="9"/>
  <c r="I627" i="9"/>
  <c r="H628" i="9"/>
  <c r="I628" i="9"/>
  <c r="H629" i="9"/>
  <c r="I629" i="9"/>
  <c r="H630" i="9"/>
  <c r="I630" i="9"/>
  <c r="H631" i="9"/>
  <c r="I631" i="9"/>
  <c r="H632" i="9"/>
  <c r="I632" i="9"/>
  <c r="H633" i="9"/>
  <c r="I633" i="9"/>
  <c r="H634" i="9"/>
  <c r="I634" i="9"/>
  <c r="H635" i="9"/>
  <c r="I635" i="9"/>
  <c r="H636" i="9"/>
  <c r="I636" i="9"/>
  <c r="H637" i="9"/>
  <c r="I637" i="9"/>
  <c r="K638" i="9"/>
  <c r="H639" i="9"/>
  <c r="I639" i="9"/>
  <c r="H640" i="9"/>
  <c r="I640" i="9"/>
  <c r="H641" i="9"/>
  <c r="I641" i="9"/>
  <c r="H642" i="9"/>
  <c r="I642" i="9"/>
  <c r="H644" i="9"/>
  <c r="I644" i="9"/>
  <c r="H645" i="9"/>
  <c r="I645" i="9"/>
  <c r="H646" i="9"/>
  <c r="I646" i="9"/>
  <c r="H647" i="9"/>
  <c r="I647" i="9"/>
  <c r="H648" i="9"/>
  <c r="I648" i="9"/>
  <c r="H649" i="9"/>
  <c r="I649" i="9"/>
  <c r="H650" i="9"/>
  <c r="I650" i="9"/>
  <c r="H651" i="9"/>
  <c r="I651" i="9"/>
  <c r="H652" i="9"/>
  <c r="I652" i="9"/>
  <c r="H653" i="9"/>
  <c r="I653" i="9"/>
  <c r="H654" i="9"/>
  <c r="I654" i="9"/>
  <c r="H655" i="9"/>
  <c r="I655" i="9"/>
  <c r="H656" i="9"/>
  <c r="I656" i="9"/>
  <c r="H657" i="9"/>
  <c r="I657" i="9"/>
  <c r="H658" i="9"/>
  <c r="I658" i="9"/>
  <c r="H659" i="9"/>
  <c r="I659" i="9"/>
  <c r="H660" i="9"/>
  <c r="I660" i="9"/>
  <c r="H661" i="9"/>
  <c r="I661" i="9"/>
  <c r="H662" i="9"/>
  <c r="I662" i="9"/>
  <c r="H663" i="9"/>
  <c r="I663" i="9"/>
  <c r="H665" i="9"/>
  <c r="I665" i="9"/>
  <c r="H666" i="9"/>
  <c r="I666" i="9"/>
  <c r="H667" i="9"/>
  <c r="I667" i="9"/>
  <c r="H668" i="9"/>
  <c r="I668" i="9"/>
  <c r="H669" i="9"/>
  <c r="I669" i="9"/>
  <c r="H670" i="9"/>
  <c r="I670" i="9"/>
  <c r="H671" i="9"/>
  <c r="I671" i="9"/>
  <c r="H672" i="9"/>
  <c r="I672" i="9"/>
  <c r="H673" i="9"/>
  <c r="I673" i="9"/>
  <c r="K674" i="9"/>
  <c r="H675" i="9"/>
  <c r="I675" i="9"/>
  <c r="H676" i="9"/>
  <c r="I676" i="9"/>
  <c r="H677" i="9"/>
  <c r="I677" i="9"/>
  <c r="H678" i="9"/>
  <c r="I678" i="9"/>
  <c r="H679" i="9"/>
  <c r="I679" i="9"/>
  <c r="H680" i="9"/>
  <c r="I680" i="9"/>
  <c r="H681" i="9"/>
  <c r="I681" i="9"/>
  <c r="H682" i="9"/>
  <c r="I682" i="9"/>
  <c r="H683" i="9"/>
  <c r="I683" i="9"/>
  <c r="H685" i="9"/>
  <c r="I685" i="9"/>
  <c r="H686" i="9"/>
  <c r="I686" i="9"/>
  <c r="H687" i="9"/>
  <c r="I687" i="9"/>
  <c r="H688" i="9"/>
  <c r="I688" i="9"/>
  <c r="H689" i="9"/>
  <c r="I689" i="9"/>
  <c r="H690" i="9"/>
  <c r="I690" i="9"/>
  <c r="H691" i="9"/>
  <c r="I691" i="9"/>
  <c r="K692" i="9"/>
  <c r="H693" i="9"/>
  <c r="I693" i="9"/>
  <c r="H694" i="9"/>
  <c r="I694" i="9"/>
  <c r="H695" i="9"/>
  <c r="I695" i="9"/>
  <c r="H696" i="9"/>
  <c r="I696" i="9"/>
  <c r="H697" i="9"/>
  <c r="I697" i="9"/>
  <c r="H698" i="9"/>
  <c r="I698" i="9"/>
  <c r="H699" i="9"/>
  <c r="I699" i="9"/>
  <c r="H700" i="9"/>
  <c r="I700" i="9"/>
  <c r="H701" i="9"/>
  <c r="I701" i="9"/>
  <c r="H702" i="9"/>
  <c r="I702" i="9"/>
  <c r="H703" i="9"/>
  <c r="I703" i="9"/>
  <c r="H704" i="9"/>
  <c r="I704" i="9"/>
  <c r="H705" i="9"/>
  <c r="I705" i="9"/>
  <c r="H706" i="9"/>
  <c r="I706" i="9"/>
  <c r="H707" i="9"/>
  <c r="I707" i="9"/>
  <c r="H708" i="9"/>
  <c r="I708" i="9"/>
  <c r="H709" i="9"/>
  <c r="I709" i="9"/>
  <c r="H710" i="9"/>
  <c r="I710" i="9"/>
  <c r="H711" i="9"/>
  <c r="I711" i="9"/>
  <c r="H712" i="9"/>
  <c r="I712" i="9"/>
  <c r="H713" i="9"/>
  <c r="I713" i="9"/>
  <c r="H714" i="9"/>
  <c r="I714" i="9"/>
  <c r="H716" i="9"/>
  <c r="I716" i="9"/>
  <c r="H717" i="9"/>
  <c r="I717" i="9"/>
  <c r="H718" i="9"/>
  <c r="I718" i="9"/>
  <c r="H719" i="9"/>
  <c r="I719" i="9"/>
  <c r="H720" i="9"/>
  <c r="I720" i="9"/>
  <c r="H721" i="9"/>
  <c r="I721" i="9"/>
  <c r="H722" i="9"/>
  <c r="I722" i="9"/>
  <c r="H723" i="9"/>
  <c r="I723" i="9"/>
  <c r="H724" i="9"/>
  <c r="I724" i="9"/>
  <c r="H725" i="9"/>
  <c r="I725" i="9"/>
  <c r="H726" i="9"/>
  <c r="I726" i="9"/>
  <c r="H727" i="9"/>
  <c r="I727" i="9"/>
  <c r="H728" i="9"/>
  <c r="I728" i="9"/>
  <c r="H729" i="9"/>
  <c r="I729" i="9"/>
  <c r="H730" i="9"/>
  <c r="I730" i="9"/>
  <c r="H731" i="9"/>
  <c r="I731" i="9"/>
  <c r="H732" i="9"/>
  <c r="I732" i="9"/>
  <c r="H733" i="9"/>
  <c r="I733" i="9"/>
  <c r="H734" i="9"/>
  <c r="I734" i="9"/>
  <c r="H735" i="9"/>
  <c r="I735" i="9"/>
  <c r="H736" i="9"/>
  <c r="I736" i="9"/>
  <c r="H737" i="9"/>
  <c r="I737" i="9"/>
  <c r="I16" i="9"/>
  <c r="H16" i="9"/>
  <c r="H17" i="3"/>
  <c r="I17" i="3"/>
  <c r="H18" i="3"/>
  <c r="I18" i="3"/>
  <c r="H19" i="3"/>
  <c r="I19" i="3"/>
  <c r="H20" i="3"/>
  <c r="I20" i="3"/>
  <c r="H21" i="3"/>
  <c r="I21" i="3"/>
  <c r="H22" i="3"/>
  <c r="I22" i="3"/>
  <c r="H23" i="3"/>
  <c r="I23" i="3"/>
  <c r="H24" i="3"/>
  <c r="I24" i="3"/>
  <c r="H25" i="3"/>
  <c r="I25" i="3"/>
  <c r="H26" i="3"/>
  <c r="I26" i="3"/>
  <c r="H27" i="3"/>
  <c r="I27" i="3"/>
  <c r="H28" i="3"/>
  <c r="I28" i="3"/>
  <c r="H29" i="3"/>
  <c r="I29" i="3"/>
  <c r="H30" i="3"/>
  <c r="I30" i="3"/>
  <c r="H31" i="3"/>
  <c r="I31" i="3"/>
  <c r="H32" i="3"/>
  <c r="I32" i="3"/>
  <c r="K33" i="3"/>
  <c r="H34" i="3"/>
  <c r="I34" i="3"/>
  <c r="H35" i="3"/>
  <c r="I35" i="3"/>
  <c r="H36" i="3"/>
  <c r="I36" i="3"/>
  <c r="H37" i="3"/>
  <c r="I37" i="3"/>
  <c r="H38" i="3"/>
  <c r="I38" i="3"/>
  <c r="H39" i="3"/>
  <c r="I39" i="3"/>
  <c r="L40" i="3"/>
  <c r="H41" i="3"/>
  <c r="I41" i="3"/>
  <c r="H42" i="3"/>
  <c r="I42" i="3"/>
  <c r="H43" i="3"/>
  <c r="I43" i="3"/>
  <c r="H44" i="3"/>
  <c r="I44" i="3"/>
  <c r="H45" i="3"/>
  <c r="I45" i="3"/>
  <c r="H46" i="3"/>
  <c r="I46" i="3"/>
  <c r="H47" i="3"/>
  <c r="I47" i="3"/>
  <c r="H48" i="3"/>
  <c r="I48" i="3"/>
  <c r="H49" i="3"/>
  <c r="I49" i="3"/>
  <c r="H50" i="3"/>
  <c r="I50" i="3"/>
  <c r="H51" i="3"/>
  <c r="I51" i="3"/>
  <c r="H52" i="3"/>
  <c r="I52" i="3"/>
  <c r="H53" i="3"/>
  <c r="I53" i="3"/>
  <c r="H54" i="3"/>
  <c r="I54" i="3"/>
  <c r="H55" i="3"/>
  <c r="I55" i="3"/>
  <c r="H56" i="3"/>
  <c r="I56" i="3"/>
  <c r="H57" i="3"/>
  <c r="I57" i="3"/>
  <c r="H58" i="3"/>
  <c r="I58" i="3"/>
  <c r="H59" i="3"/>
  <c r="I59" i="3"/>
  <c r="H60" i="3"/>
  <c r="I60" i="3"/>
  <c r="H61" i="3"/>
  <c r="I61" i="3"/>
  <c r="H62" i="3"/>
  <c r="I62" i="3"/>
  <c r="H63" i="3"/>
  <c r="I63" i="3"/>
  <c r="H64" i="3"/>
  <c r="I64" i="3"/>
  <c r="H65" i="3"/>
  <c r="I65" i="3"/>
  <c r="H66" i="3"/>
  <c r="I66" i="3"/>
  <c r="H67" i="3"/>
  <c r="I67" i="3"/>
  <c r="H68" i="3"/>
  <c r="I68" i="3"/>
  <c r="H69" i="3"/>
  <c r="I69" i="3"/>
  <c r="H70" i="3"/>
  <c r="I70" i="3"/>
  <c r="H71" i="3"/>
  <c r="I71" i="3"/>
  <c r="H72" i="3"/>
  <c r="I72" i="3"/>
  <c r="H73" i="3"/>
  <c r="I73" i="3"/>
  <c r="H74" i="3"/>
  <c r="I74" i="3"/>
  <c r="H75" i="3"/>
  <c r="I75" i="3"/>
  <c r="H76" i="3"/>
  <c r="I76" i="3"/>
  <c r="H77" i="3"/>
  <c r="I77" i="3"/>
  <c r="H78" i="3"/>
  <c r="I78" i="3"/>
  <c r="H79" i="3"/>
  <c r="I79" i="3"/>
  <c r="H80" i="3"/>
  <c r="I80" i="3"/>
  <c r="H81" i="3"/>
  <c r="I81" i="3"/>
  <c r="H82" i="3"/>
  <c r="I82" i="3"/>
  <c r="H83" i="3"/>
  <c r="I83" i="3"/>
  <c r="H84" i="3"/>
  <c r="I84" i="3"/>
  <c r="H85" i="3"/>
  <c r="I85" i="3"/>
  <c r="H86" i="3"/>
  <c r="I86" i="3"/>
  <c r="H87" i="3"/>
  <c r="I87" i="3"/>
  <c r="H88" i="3"/>
  <c r="I88" i="3"/>
  <c r="H89" i="3"/>
  <c r="I89" i="3"/>
  <c r="H90" i="3"/>
  <c r="I90" i="3"/>
  <c r="H91" i="3"/>
  <c r="I91" i="3"/>
  <c r="H92" i="3"/>
  <c r="I92" i="3"/>
  <c r="H93" i="3"/>
  <c r="I93" i="3"/>
  <c r="H94" i="3"/>
  <c r="I94" i="3"/>
  <c r="H95" i="3"/>
  <c r="I95" i="3"/>
  <c r="H96" i="3"/>
  <c r="I96" i="3"/>
  <c r="H97" i="3"/>
  <c r="I97" i="3"/>
  <c r="H98" i="3"/>
  <c r="I98" i="3"/>
  <c r="H99" i="3"/>
  <c r="I99" i="3"/>
  <c r="H100" i="3"/>
  <c r="I100" i="3"/>
  <c r="H101" i="3"/>
  <c r="I101" i="3"/>
  <c r="H102" i="3"/>
  <c r="I102" i="3"/>
  <c r="H103" i="3"/>
  <c r="I103" i="3"/>
  <c r="H104" i="3"/>
  <c r="I104" i="3"/>
  <c r="H105" i="3"/>
  <c r="I105" i="3"/>
  <c r="H106" i="3"/>
  <c r="I106" i="3"/>
  <c r="H107" i="3"/>
  <c r="I107" i="3"/>
  <c r="H108" i="3"/>
  <c r="I108" i="3"/>
  <c r="H109" i="3"/>
  <c r="I109" i="3"/>
  <c r="H110" i="3"/>
  <c r="I110" i="3"/>
  <c r="H111" i="3"/>
  <c r="I111" i="3"/>
  <c r="H112" i="3"/>
  <c r="I112" i="3"/>
  <c r="H113" i="3"/>
  <c r="I113" i="3"/>
  <c r="H115" i="3"/>
  <c r="I115" i="3"/>
  <c r="H116" i="3"/>
  <c r="I116" i="3"/>
  <c r="H117" i="3"/>
  <c r="I117" i="3"/>
  <c r="H118" i="3"/>
  <c r="I118" i="3"/>
  <c r="H119" i="3"/>
  <c r="I119" i="3"/>
  <c r="H120" i="3"/>
  <c r="I120" i="3"/>
  <c r="H121" i="3"/>
  <c r="I121" i="3"/>
  <c r="H122" i="3"/>
  <c r="I122" i="3"/>
  <c r="H123" i="3"/>
  <c r="I123" i="3"/>
  <c r="L124" i="3"/>
  <c r="H125" i="3"/>
  <c r="I125" i="3"/>
  <c r="H126" i="3"/>
  <c r="I126" i="3"/>
  <c r="H127" i="3"/>
  <c r="I127" i="3"/>
  <c r="H128" i="3"/>
  <c r="I128" i="3"/>
  <c r="H129" i="3"/>
  <c r="I129" i="3"/>
  <c r="H130" i="3"/>
  <c r="I130" i="3"/>
  <c r="H131" i="3"/>
  <c r="I131" i="3"/>
  <c r="H132" i="3"/>
  <c r="I132" i="3"/>
  <c r="H133" i="3"/>
  <c r="I133" i="3"/>
  <c r="L134" i="3"/>
  <c r="H135" i="3"/>
  <c r="I135" i="3"/>
  <c r="H136" i="3"/>
  <c r="I136" i="3"/>
  <c r="H137" i="3"/>
  <c r="I137" i="3"/>
  <c r="H138" i="3"/>
  <c r="I138" i="3"/>
  <c r="H139" i="3"/>
  <c r="I139" i="3"/>
  <c r="H140" i="3"/>
  <c r="I140" i="3"/>
  <c r="H141" i="3"/>
  <c r="I141" i="3"/>
  <c r="H142" i="3"/>
  <c r="I142" i="3"/>
  <c r="H143" i="3"/>
  <c r="I143" i="3"/>
  <c r="H144" i="3"/>
  <c r="I144" i="3"/>
  <c r="H145" i="3"/>
  <c r="I145" i="3"/>
  <c r="H146" i="3"/>
  <c r="I146" i="3"/>
  <c r="H147" i="3"/>
  <c r="I147" i="3"/>
  <c r="H148" i="3"/>
  <c r="I148" i="3"/>
  <c r="H149" i="3"/>
  <c r="I149" i="3"/>
  <c r="H151" i="3"/>
  <c r="I151" i="3"/>
  <c r="H152" i="3"/>
  <c r="I152" i="3"/>
  <c r="H153" i="3"/>
  <c r="I153" i="3"/>
  <c r="H154" i="3"/>
  <c r="I154" i="3"/>
  <c r="H155" i="3"/>
  <c r="I155" i="3"/>
  <c r="H156" i="3"/>
  <c r="I156" i="3"/>
  <c r="H157" i="3"/>
  <c r="I157" i="3"/>
  <c r="H158" i="3"/>
  <c r="I158" i="3"/>
  <c r="H159" i="3"/>
  <c r="I159" i="3"/>
  <c r="H160" i="3"/>
  <c r="I160" i="3"/>
  <c r="H161" i="3"/>
  <c r="I161" i="3"/>
  <c r="H162" i="3"/>
  <c r="I162" i="3"/>
  <c r="H163" i="3"/>
  <c r="I163" i="3"/>
  <c r="H164" i="3"/>
  <c r="I164" i="3"/>
  <c r="H165" i="3"/>
  <c r="I165" i="3"/>
  <c r="H166" i="3"/>
  <c r="I166" i="3"/>
  <c r="H167" i="3"/>
  <c r="I167" i="3"/>
  <c r="H168" i="3"/>
  <c r="I168" i="3"/>
  <c r="H169" i="3"/>
  <c r="I169" i="3"/>
  <c r="K170" i="3"/>
  <c r="H171" i="3"/>
  <c r="I171" i="3"/>
  <c r="H172" i="3"/>
  <c r="I172" i="3"/>
  <c r="H173" i="3"/>
  <c r="I173" i="3"/>
  <c r="H174" i="3"/>
  <c r="I174" i="3"/>
  <c r="H175" i="3"/>
  <c r="I175" i="3"/>
  <c r="H176" i="3"/>
  <c r="I176" i="3"/>
  <c r="H177" i="3"/>
  <c r="I177" i="3"/>
  <c r="H178" i="3"/>
  <c r="I178" i="3"/>
  <c r="H180" i="3"/>
  <c r="I180" i="3"/>
  <c r="H181" i="3"/>
  <c r="I181" i="3"/>
  <c r="H182" i="3"/>
  <c r="I182" i="3"/>
  <c r="H183" i="3"/>
  <c r="I183" i="3"/>
  <c r="H184" i="3"/>
  <c r="I184" i="3"/>
  <c r="H185" i="3"/>
  <c r="I185" i="3"/>
  <c r="H186" i="3"/>
  <c r="I186" i="3"/>
  <c r="H187" i="3"/>
  <c r="I187" i="3"/>
  <c r="K188" i="3"/>
  <c r="H189" i="3"/>
  <c r="I189" i="3"/>
  <c r="H190" i="3"/>
  <c r="I190" i="3"/>
  <c r="H191" i="3"/>
  <c r="I191" i="3"/>
  <c r="H192" i="3"/>
  <c r="I192" i="3"/>
  <c r="H193" i="3"/>
  <c r="I193" i="3"/>
  <c r="H194" i="3"/>
  <c r="I194" i="3"/>
  <c r="H195" i="3"/>
  <c r="I195" i="3"/>
  <c r="H196" i="3"/>
  <c r="I196" i="3"/>
  <c r="H198" i="3"/>
  <c r="I198" i="3"/>
  <c r="H199" i="3"/>
  <c r="I199" i="3"/>
  <c r="H200" i="3"/>
  <c r="I200" i="3"/>
  <c r="H201" i="3"/>
  <c r="I201" i="3"/>
  <c r="H202" i="3"/>
  <c r="I202" i="3"/>
  <c r="H203" i="3"/>
  <c r="I203" i="3"/>
  <c r="H204" i="3"/>
  <c r="I204" i="3"/>
  <c r="H205" i="3"/>
  <c r="I205" i="3"/>
  <c r="H206" i="3"/>
  <c r="I206" i="3"/>
  <c r="L207" i="3"/>
  <c r="H208" i="3"/>
  <c r="I208" i="3"/>
  <c r="H209" i="3"/>
  <c r="I209" i="3"/>
  <c r="H210" i="3"/>
  <c r="I210" i="3"/>
  <c r="H211" i="3"/>
  <c r="I211" i="3"/>
  <c r="H212" i="3"/>
  <c r="I212" i="3"/>
  <c r="H213" i="3"/>
  <c r="I213" i="3"/>
  <c r="H214" i="3"/>
  <c r="I214" i="3"/>
  <c r="H215" i="3"/>
  <c r="I215" i="3"/>
  <c r="H216" i="3"/>
  <c r="I216" i="3"/>
  <c r="H217" i="3"/>
  <c r="I217" i="3"/>
  <c r="H218" i="3"/>
  <c r="I218" i="3"/>
  <c r="H219" i="3"/>
  <c r="I219" i="3"/>
  <c r="H220" i="3"/>
  <c r="I220" i="3"/>
  <c r="H221" i="3"/>
  <c r="I221" i="3"/>
  <c r="H222" i="3"/>
  <c r="I222" i="3"/>
  <c r="H223" i="3"/>
  <c r="I223" i="3"/>
  <c r="H224" i="3"/>
  <c r="I224" i="3"/>
  <c r="H225" i="3"/>
  <c r="I225" i="3"/>
  <c r="H226" i="3"/>
  <c r="I226" i="3"/>
  <c r="H227" i="3"/>
  <c r="I227" i="3"/>
  <c r="H228" i="3"/>
  <c r="I228" i="3"/>
  <c r="H229" i="3"/>
  <c r="I229" i="3"/>
  <c r="H230" i="3"/>
  <c r="I230" i="3"/>
  <c r="H231" i="3"/>
  <c r="I231" i="3"/>
  <c r="H232" i="3"/>
  <c r="I232" i="3"/>
  <c r="H233" i="3"/>
  <c r="I233" i="3"/>
  <c r="H234" i="3"/>
  <c r="I234" i="3"/>
  <c r="H235" i="3"/>
  <c r="I235" i="3"/>
  <c r="H236" i="3"/>
  <c r="I236" i="3"/>
  <c r="H237" i="3"/>
  <c r="I237" i="3"/>
  <c r="H238" i="3"/>
  <c r="I238" i="3"/>
  <c r="H239" i="3"/>
  <c r="I239" i="3"/>
  <c r="H240" i="3"/>
  <c r="I240" i="3"/>
  <c r="H241" i="3"/>
  <c r="I241" i="3"/>
  <c r="K242" i="3"/>
  <c r="H243" i="3"/>
  <c r="I243" i="3"/>
  <c r="H244" i="3"/>
  <c r="I244" i="3"/>
  <c r="H245" i="3"/>
  <c r="I245" i="3"/>
  <c r="H246" i="3"/>
  <c r="I246" i="3"/>
  <c r="H247" i="3"/>
  <c r="I247" i="3"/>
  <c r="H248" i="3"/>
  <c r="I248" i="3"/>
  <c r="H249" i="3"/>
  <c r="I249" i="3"/>
  <c r="H250" i="3"/>
  <c r="I250" i="3"/>
  <c r="H251" i="3"/>
  <c r="I251" i="3"/>
  <c r="H252" i="3"/>
  <c r="I252" i="3"/>
  <c r="L253" i="3"/>
  <c r="H254" i="3"/>
  <c r="I254" i="3"/>
  <c r="H255" i="3"/>
  <c r="I255" i="3"/>
  <c r="H256" i="3"/>
  <c r="I256" i="3"/>
  <c r="H257" i="3"/>
  <c r="I257" i="3"/>
  <c r="H258" i="3"/>
  <c r="I258" i="3"/>
  <c r="H259" i="3"/>
  <c r="I259" i="3"/>
  <c r="H260" i="3"/>
  <c r="I260" i="3"/>
  <c r="H261" i="3"/>
  <c r="I261" i="3"/>
  <c r="H262" i="3"/>
  <c r="I262" i="3"/>
  <c r="H263" i="3"/>
  <c r="I263" i="3"/>
  <c r="H264" i="3"/>
  <c r="I264" i="3"/>
  <c r="H265" i="3"/>
  <c r="I265" i="3"/>
  <c r="H266" i="3"/>
  <c r="I266" i="3"/>
  <c r="H267" i="3"/>
  <c r="I267" i="3"/>
  <c r="H268" i="3"/>
  <c r="I268" i="3"/>
  <c r="H269" i="3"/>
  <c r="I269" i="3"/>
  <c r="H270" i="3"/>
  <c r="I270" i="3"/>
  <c r="H271" i="3"/>
  <c r="I271" i="3"/>
  <c r="H272" i="3"/>
  <c r="I272" i="3"/>
  <c r="H273" i="3"/>
  <c r="I273" i="3"/>
  <c r="H274" i="3"/>
  <c r="I274" i="3"/>
  <c r="H275" i="3"/>
  <c r="I275" i="3"/>
  <c r="H276" i="3"/>
  <c r="I276" i="3"/>
  <c r="H277" i="3"/>
  <c r="I277" i="3"/>
  <c r="H278" i="3"/>
  <c r="I278" i="3"/>
  <c r="H279" i="3"/>
  <c r="I279" i="3"/>
  <c r="H280" i="3"/>
  <c r="I280" i="3"/>
  <c r="H281" i="3"/>
  <c r="I281" i="3"/>
  <c r="H282" i="3"/>
  <c r="I282" i="3"/>
  <c r="H283" i="3"/>
  <c r="I283" i="3"/>
  <c r="H284" i="3"/>
  <c r="I284" i="3"/>
  <c r="H285" i="3"/>
  <c r="I285" i="3"/>
  <c r="H287" i="3"/>
  <c r="I287" i="3"/>
  <c r="H288" i="3"/>
  <c r="I288" i="3"/>
  <c r="H289" i="3"/>
  <c r="I289" i="3"/>
  <c r="H290" i="3"/>
  <c r="I290" i="3"/>
  <c r="H291" i="3"/>
  <c r="I291" i="3"/>
  <c r="H292" i="3"/>
  <c r="I292" i="3"/>
  <c r="H293" i="3"/>
  <c r="I293" i="3"/>
  <c r="H294" i="3"/>
  <c r="I294" i="3"/>
  <c r="H295" i="3"/>
  <c r="I295" i="3"/>
  <c r="H296" i="3"/>
  <c r="I296" i="3"/>
  <c r="H297" i="3"/>
  <c r="I297" i="3"/>
  <c r="H298" i="3"/>
  <c r="I298" i="3"/>
  <c r="H299" i="3"/>
  <c r="I299" i="3"/>
  <c r="H300" i="3"/>
  <c r="I300" i="3"/>
  <c r="H301" i="3"/>
  <c r="I301" i="3"/>
  <c r="H302" i="3"/>
  <c r="I302" i="3"/>
  <c r="H303" i="3"/>
  <c r="I303" i="3"/>
  <c r="H304" i="3"/>
  <c r="I304" i="3"/>
  <c r="H305" i="3"/>
  <c r="I305" i="3"/>
  <c r="H306" i="3"/>
  <c r="I306" i="3"/>
  <c r="H307" i="3"/>
  <c r="I307" i="3"/>
  <c r="H308" i="3"/>
  <c r="I308" i="3"/>
  <c r="H309" i="3"/>
  <c r="I309" i="3"/>
  <c r="H310" i="3"/>
  <c r="I310" i="3"/>
  <c r="H312" i="3"/>
  <c r="I312" i="3"/>
  <c r="H313" i="3"/>
  <c r="I313" i="3"/>
  <c r="H314" i="3"/>
  <c r="I314" i="3"/>
  <c r="H315" i="3"/>
  <c r="I315" i="3"/>
  <c r="H316" i="3"/>
  <c r="I316" i="3"/>
  <c r="H317" i="3"/>
  <c r="I317" i="3"/>
  <c r="H318" i="3"/>
  <c r="I318" i="3"/>
  <c r="H319" i="3"/>
  <c r="I319" i="3"/>
  <c r="H320" i="3"/>
  <c r="I320" i="3"/>
  <c r="H321" i="3"/>
  <c r="I321" i="3"/>
  <c r="H322" i="3"/>
  <c r="I322" i="3"/>
  <c r="H323" i="3"/>
  <c r="I323" i="3"/>
  <c r="H324" i="3"/>
  <c r="I324" i="3"/>
  <c r="H325" i="3"/>
  <c r="I325" i="3"/>
  <c r="H326" i="3"/>
  <c r="I326" i="3"/>
  <c r="H327" i="3"/>
  <c r="I327" i="3"/>
  <c r="H328" i="3"/>
  <c r="I328" i="3"/>
  <c r="H329" i="3"/>
  <c r="I329" i="3"/>
  <c r="H330" i="3"/>
  <c r="I330" i="3"/>
  <c r="H331" i="3"/>
  <c r="I331" i="3"/>
  <c r="H332" i="3"/>
  <c r="I332" i="3"/>
  <c r="L333" i="3"/>
  <c r="H335" i="3"/>
  <c r="I335" i="3"/>
  <c r="H336" i="3"/>
  <c r="I336" i="3"/>
  <c r="H337" i="3"/>
  <c r="I337" i="3"/>
  <c r="H338" i="3"/>
  <c r="I338" i="3"/>
  <c r="H339" i="3"/>
  <c r="I339" i="3"/>
  <c r="H340" i="3"/>
  <c r="I340" i="3"/>
  <c r="H341" i="3"/>
  <c r="I341" i="3"/>
  <c r="H342" i="3"/>
  <c r="I342" i="3"/>
  <c r="H343" i="3"/>
  <c r="I343" i="3"/>
  <c r="H344" i="3"/>
  <c r="I344" i="3"/>
  <c r="H345" i="3"/>
  <c r="I345" i="3"/>
  <c r="H346" i="3"/>
  <c r="I346" i="3"/>
  <c r="H347" i="3"/>
  <c r="I347" i="3"/>
  <c r="H348" i="3"/>
  <c r="I348" i="3"/>
  <c r="H349" i="3"/>
  <c r="I349" i="3"/>
  <c r="H350" i="3"/>
  <c r="I350" i="3"/>
  <c r="H351" i="3"/>
  <c r="I351" i="3"/>
  <c r="H352" i="3"/>
  <c r="I352" i="3"/>
  <c r="H353" i="3"/>
  <c r="I353" i="3"/>
  <c r="H354" i="3"/>
  <c r="I354" i="3"/>
  <c r="H355" i="3"/>
  <c r="I355" i="3"/>
  <c r="H356" i="3"/>
  <c r="I356" i="3"/>
  <c r="H357" i="3"/>
  <c r="I357" i="3"/>
  <c r="H358" i="3"/>
  <c r="I358" i="3"/>
  <c r="H359" i="3"/>
  <c r="I359" i="3"/>
  <c r="H360" i="3"/>
  <c r="I360" i="3"/>
  <c r="H361" i="3"/>
  <c r="I361" i="3"/>
  <c r="H362" i="3"/>
  <c r="I362" i="3"/>
  <c r="H363" i="3"/>
  <c r="I363" i="3"/>
  <c r="H364" i="3"/>
  <c r="I364" i="3"/>
  <c r="H365" i="3"/>
  <c r="I365" i="3"/>
  <c r="H366" i="3"/>
  <c r="I366" i="3"/>
  <c r="H367" i="3"/>
  <c r="I367" i="3"/>
  <c r="H368" i="3"/>
  <c r="I368" i="3"/>
  <c r="H369" i="3"/>
  <c r="I369" i="3"/>
  <c r="H370" i="3"/>
  <c r="I370" i="3"/>
  <c r="H371" i="3"/>
  <c r="I371" i="3"/>
  <c r="H372" i="3"/>
  <c r="I372" i="3"/>
  <c r="H373" i="3"/>
  <c r="I373" i="3"/>
  <c r="H374" i="3"/>
  <c r="I374" i="3"/>
  <c r="L375" i="3"/>
  <c r="H376" i="3"/>
  <c r="I376" i="3"/>
  <c r="H377" i="3"/>
  <c r="I377" i="3"/>
  <c r="H378" i="3"/>
  <c r="I378" i="3"/>
  <c r="H379" i="3"/>
  <c r="I379" i="3"/>
  <c r="H380" i="3"/>
  <c r="I380" i="3"/>
  <c r="H381" i="3"/>
  <c r="I381" i="3"/>
  <c r="H382" i="3"/>
  <c r="I382" i="3"/>
  <c r="H383" i="3"/>
  <c r="I383" i="3"/>
  <c r="H384" i="3"/>
  <c r="I384" i="3"/>
  <c r="H385" i="3"/>
  <c r="I385" i="3"/>
  <c r="H386" i="3"/>
  <c r="I386" i="3"/>
  <c r="H387" i="3"/>
  <c r="I387" i="3"/>
  <c r="H388" i="3"/>
  <c r="I388" i="3"/>
  <c r="H389" i="3"/>
  <c r="I389" i="3"/>
  <c r="H390" i="3"/>
  <c r="I390" i="3"/>
  <c r="H391" i="3"/>
  <c r="I391" i="3"/>
  <c r="H392" i="3"/>
  <c r="I392" i="3"/>
  <c r="H393" i="3"/>
  <c r="I393" i="3"/>
  <c r="H395" i="3"/>
  <c r="I395" i="3"/>
  <c r="H396" i="3"/>
  <c r="I396" i="3"/>
  <c r="H397" i="3"/>
  <c r="I397" i="3"/>
  <c r="H398" i="3"/>
  <c r="I398" i="3"/>
  <c r="H399" i="3"/>
  <c r="I399" i="3"/>
  <c r="H400" i="3"/>
  <c r="I400" i="3"/>
  <c r="H401" i="3"/>
  <c r="I401" i="3"/>
  <c r="H402" i="3"/>
  <c r="I402" i="3"/>
  <c r="H403" i="3"/>
  <c r="I403" i="3"/>
  <c r="H404" i="3"/>
  <c r="I404" i="3"/>
  <c r="H405" i="3"/>
  <c r="I405" i="3"/>
  <c r="H407" i="3"/>
  <c r="I407" i="3"/>
  <c r="H408" i="3"/>
  <c r="I408" i="3"/>
  <c r="H409" i="3"/>
  <c r="I409" i="3"/>
  <c r="H410" i="3"/>
  <c r="I410" i="3"/>
  <c r="H411" i="3"/>
  <c r="I411" i="3"/>
  <c r="H412" i="3"/>
  <c r="I412" i="3"/>
  <c r="H413" i="3"/>
  <c r="I413" i="3"/>
  <c r="H414" i="3"/>
  <c r="I414" i="3"/>
  <c r="H415" i="3"/>
  <c r="I415" i="3"/>
  <c r="H416" i="3"/>
  <c r="I416" i="3"/>
  <c r="H417" i="3"/>
  <c r="I417" i="3"/>
  <c r="H418" i="3"/>
  <c r="I418" i="3"/>
  <c r="H419" i="3"/>
  <c r="I419" i="3"/>
  <c r="H420" i="3"/>
  <c r="I420" i="3"/>
  <c r="H421" i="3"/>
  <c r="I421" i="3"/>
  <c r="H422" i="3"/>
  <c r="I422" i="3"/>
  <c r="H423" i="3"/>
  <c r="I423" i="3"/>
  <c r="H424" i="3"/>
  <c r="I424" i="3"/>
  <c r="H425" i="3"/>
  <c r="I425" i="3"/>
  <c r="H426" i="3"/>
  <c r="I426" i="3"/>
  <c r="H427" i="3"/>
  <c r="I427" i="3"/>
  <c r="H428" i="3"/>
  <c r="I428" i="3"/>
  <c r="H429" i="3"/>
  <c r="I429" i="3"/>
  <c r="H430" i="3"/>
  <c r="I430" i="3"/>
  <c r="H431" i="3"/>
  <c r="I431" i="3"/>
  <c r="H432" i="3"/>
  <c r="I432" i="3"/>
  <c r="H433" i="3"/>
  <c r="I433" i="3"/>
  <c r="H434" i="3"/>
  <c r="I434" i="3"/>
  <c r="H435" i="3"/>
  <c r="I435" i="3"/>
  <c r="H436" i="3"/>
  <c r="I436" i="3"/>
  <c r="H437" i="3"/>
  <c r="I437" i="3"/>
  <c r="H438" i="3"/>
  <c r="I438" i="3"/>
  <c r="H439" i="3"/>
  <c r="I439" i="3"/>
  <c r="K440" i="3"/>
  <c r="H441" i="3"/>
  <c r="I441" i="3"/>
  <c r="H442" i="3"/>
  <c r="I442" i="3"/>
  <c r="H443" i="3"/>
  <c r="I443" i="3"/>
  <c r="H444" i="3"/>
  <c r="I444" i="3"/>
  <c r="H445" i="3"/>
  <c r="I445" i="3"/>
  <c r="H446" i="3"/>
  <c r="I446" i="3"/>
  <c r="H447" i="3"/>
  <c r="I447" i="3"/>
  <c r="H448" i="3"/>
  <c r="I448" i="3"/>
  <c r="H449" i="3"/>
  <c r="I449" i="3"/>
  <c r="H450" i="3"/>
  <c r="I450" i="3"/>
  <c r="H451" i="3"/>
  <c r="I451" i="3"/>
  <c r="H452" i="3"/>
  <c r="I452" i="3"/>
  <c r="H453" i="3"/>
  <c r="I453" i="3"/>
  <c r="H454" i="3"/>
  <c r="I454" i="3"/>
  <c r="H455" i="3"/>
  <c r="I455" i="3"/>
  <c r="H456" i="3"/>
  <c r="I456" i="3"/>
  <c r="H457" i="3"/>
  <c r="I457" i="3"/>
  <c r="H458" i="3"/>
  <c r="I458" i="3"/>
  <c r="H459" i="3"/>
  <c r="I459" i="3"/>
  <c r="H460" i="3"/>
  <c r="I460" i="3"/>
  <c r="H461" i="3"/>
  <c r="I461" i="3"/>
  <c r="H462" i="3"/>
  <c r="I462" i="3"/>
  <c r="H463" i="3"/>
  <c r="I463" i="3"/>
  <c r="H464" i="3"/>
  <c r="I464" i="3"/>
  <c r="H465" i="3"/>
  <c r="I465" i="3"/>
  <c r="H466" i="3"/>
  <c r="I466" i="3"/>
  <c r="H467" i="3"/>
  <c r="I467" i="3"/>
  <c r="H468" i="3"/>
  <c r="I468" i="3"/>
  <c r="H469" i="3"/>
  <c r="I469" i="3"/>
  <c r="H470" i="3"/>
  <c r="I470" i="3"/>
  <c r="H471" i="3"/>
  <c r="I471" i="3"/>
  <c r="H472" i="3"/>
  <c r="I472" i="3"/>
  <c r="H473" i="3"/>
  <c r="I473" i="3"/>
  <c r="H474" i="3"/>
  <c r="I474" i="3"/>
  <c r="H475" i="3"/>
  <c r="I475" i="3"/>
  <c r="H476" i="3"/>
  <c r="I476" i="3"/>
  <c r="L477" i="3"/>
  <c r="H478" i="3"/>
  <c r="I478" i="3"/>
  <c r="H479" i="3"/>
  <c r="I479" i="3"/>
  <c r="H480" i="3"/>
  <c r="I480" i="3"/>
  <c r="H481" i="3"/>
  <c r="I481" i="3"/>
  <c r="H482" i="3"/>
  <c r="I482" i="3"/>
  <c r="H483" i="3"/>
  <c r="I483" i="3"/>
  <c r="H484" i="3"/>
  <c r="I484" i="3"/>
  <c r="H485" i="3"/>
  <c r="I485" i="3"/>
  <c r="H486" i="3"/>
  <c r="I486" i="3"/>
  <c r="H487" i="3"/>
  <c r="I487" i="3"/>
  <c r="H488" i="3"/>
  <c r="I488" i="3"/>
  <c r="H489" i="3"/>
  <c r="I489" i="3"/>
  <c r="H490" i="3"/>
  <c r="I490" i="3"/>
  <c r="H491" i="3"/>
  <c r="I491" i="3"/>
  <c r="H492" i="3"/>
  <c r="I492" i="3"/>
  <c r="H493" i="3"/>
  <c r="I493" i="3"/>
  <c r="H494" i="3"/>
  <c r="I494" i="3"/>
  <c r="L495" i="3"/>
  <c r="H496" i="3"/>
  <c r="I496" i="3"/>
  <c r="H497" i="3"/>
  <c r="I497" i="3"/>
  <c r="H498" i="3"/>
  <c r="I498" i="3"/>
  <c r="H499" i="3"/>
  <c r="I499" i="3"/>
  <c r="H500" i="3"/>
  <c r="I500" i="3"/>
  <c r="H501" i="3"/>
  <c r="I501" i="3"/>
  <c r="H502" i="3"/>
  <c r="I502" i="3"/>
  <c r="H503" i="3"/>
  <c r="I503" i="3"/>
  <c r="H504" i="3"/>
  <c r="I504" i="3"/>
  <c r="H505" i="3"/>
  <c r="I505" i="3"/>
  <c r="H506" i="3"/>
  <c r="I506" i="3"/>
  <c r="H507" i="3"/>
  <c r="I507" i="3"/>
  <c r="H508" i="3"/>
  <c r="I508" i="3"/>
  <c r="H509" i="3"/>
  <c r="I509" i="3"/>
  <c r="H510" i="3"/>
  <c r="I510" i="3"/>
  <c r="H511" i="3"/>
  <c r="I511" i="3"/>
  <c r="H512" i="3"/>
  <c r="I512" i="3"/>
  <c r="H513" i="3"/>
  <c r="I513" i="3"/>
  <c r="H514" i="3"/>
  <c r="I514" i="3"/>
  <c r="H515" i="3"/>
  <c r="I515" i="3"/>
  <c r="H516" i="3"/>
  <c r="I516" i="3"/>
  <c r="H517" i="3"/>
  <c r="I517" i="3"/>
  <c r="H518" i="3"/>
  <c r="I518" i="3"/>
  <c r="H519" i="3"/>
  <c r="I519" i="3"/>
  <c r="H520" i="3"/>
  <c r="I520" i="3"/>
  <c r="H521" i="3"/>
  <c r="I521" i="3"/>
  <c r="H522" i="3"/>
  <c r="I522" i="3"/>
  <c r="H523" i="3"/>
  <c r="I523" i="3"/>
  <c r="H524" i="3"/>
  <c r="I524" i="3"/>
  <c r="H525" i="3"/>
  <c r="I525" i="3"/>
  <c r="H526" i="3"/>
  <c r="I526" i="3"/>
  <c r="H527" i="3"/>
  <c r="I527" i="3"/>
  <c r="H528" i="3"/>
  <c r="I528" i="3"/>
  <c r="H529" i="3"/>
  <c r="I529" i="3"/>
  <c r="H530" i="3"/>
  <c r="I530" i="3"/>
  <c r="H531" i="3"/>
  <c r="I531" i="3"/>
  <c r="H532" i="3"/>
  <c r="I532" i="3"/>
  <c r="H533" i="3"/>
  <c r="I533" i="3"/>
  <c r="H534" i="3"/>
  <c r="I534" i="3"/>
  <c r="H535" i="3"/>
  <c r="I535" i="3"/>
  <c r="H536" i="3"/>
  <c r="I536" i="3"/>
  <c r="H537" i="3"/>
  <c r="I537" i="3"/>
  <c r="H538" i="3"/>
  <c r="I538" i="3"/>
  <c r="H539" i="3"/>
  <c r="I539" i="3"/>
  <c r="H541" i="3"/>
  <c r="I541" i="3"/>
  <c r="H542" i="3"/>
  <c r="I542" i="3"/>
  <c r="H543" i="3"/>
  <c r="I543" i="3"/>
  <c r="H544" i="3"/>
  <c r="I544" i="3"/>
  <c r="H545" i="3"/>
  <c r="I545" i="3"/>
  <c r="H546" i="3"/>
  <c r="I546" i="3"/>
  <c r="H547" i="3"/>
  <c r="I547" i="3"/>
  <c r="H548" i="3"/>
  <c r="I548" i="3"/>
  <c r="H549" i="3"/>
  <c r="I549" i="3"/>
  <c r="H550" i="3"/>
  <c r="I550" i="3"/>
  <c r="H551" i="3"/>
  <c r="I551" i="3"/>
  <c r="H552" i="3"/>
  <c r="I552" i="3"/>
  <c r="H553" i="3"/>
  <c r="I553" i="3"/>
  <c r="H554" i="3"/>
  <c r="I554" i="3"/>
  <c r="H555" i="3"/>
  <c r="I555" i="3"/>
  <c r="H556" i="3"/>
  <c r="I556" i="3"/>
  <c r="H557" i="3"/>
  <c r="I557" i="3"/>
  <c r="H558" i="3"/>
  <c r="I558" i="3"/>
  <c r="H559" i="3"/>
  <c r="I559" i="3"/>
  <c r="H560" i="3"/>
  <c r="I560" i="3"/>
  <c r="H561" i="3"/>
  <c r="I561" i="3"/>
  <c r="H562" i="3"/>
  <c r="I562" i="3"/>
  <c r="H563" i="3"/>
  <c r="I563" i="3"/>
  <c r="H564" i="3"/>
  <c r="I564" i="3"/>
  <c r="H565" i="3"/>
  <c r="I565" i="3"/>
  <c r="H566" i="3"/>
  <c r="I566" i="3"/>
  <c r="H567" i="3"/>
  <c r="I567" i="3"/>
  <c r="H568" i="3"/>
  <c r="I568" i="3"/>
  <c r="H569" i="3"/>
  <c r="I569" i="3"/>
  <c r="H570" i="3"/>
  <c r="I570" i="3"/>
  <c r="H571" i="3"/>
  <c r="I571" i="3"/>
  <c r="H572" i="3"/>
  <c r="I572" i="3"/>
  <c r="H573" i="3"/>
  <c r="I573" i="3"/>
  <c r="H574" i="3"/>
  <c r="I574" i="3"/>
  <c r="H575" i="3"/>
  <c r="I575" i="3"/>
  <c r="H576" i="3"/>
  <c r="I576" i="3"/>
  <c r="H577" i="3"/>
  <c r="I577" i="3"/>
  <c r="H578" i="3"/>
  <c r="I578" i="3"/>
  <c r="H579" i="3"/>
  <c r="I579" i="3"/>
  <c r="H580" i="3"/>
  <c r="I580" i="3"/>
  <c r="H582" i="3"/>
  <c r="I582" i="3"/>
  <c r="H583" i="3"/>
  <c r="I583" i="3"/>
  <c r="H584" i="3"/>
  <c r="I584" i="3"/>
  <c r="H585" i="3"/>
  <c r="I585" i="3"/>
  <c r="H586" i="3"/>
  <c r="I586" i="3"/>
  <c r="H587" i="3"/>
  <c r="I587" i="3"/>
  <c r="H588" i="3"/>
  <c r="I588" i="3"/>
  <c r="H589" i="3"/>
  <c r="I589" i="3"/>
  <c r="H590" i="3"/>
  <c r="I590" i="3"/>
  <c r="H591" i="3"/>
  <c r="I591" i="3"/>
  <c r="H592" i="3"/>
  <c r="I592" i="3"/>
  <c r="H593" i="3"/>
  <c r="I593" i="3"/>
  <c r="H594" i="3"/>
  <c r="I594" i="3"/>
  <c r="H595" i="3"/>
  <c r="I595" i="3"/>
  <c r="H596" i="3"/>
  <c r="I596" i="3"/>
  <c r="H597" i="3"/>
  <c r="I597" i="3"/>
  <c r="H598" i="3"/>
  <c r="I598" i="3"/>
  <c r="H599" i="3"/>
  <c r="I599" i="3"/>
  <c r="H600" i="3"/>
  <c r="I600" i="3"/>
  <c r="H601" i="3"/>
  <c r="I601" i="3"/>
  <c r="H602" i="3"/>
  <c r="I602" i="3"/>
  <c r="H603" i="3"/>
  <c r="I603" i="3"/>
  <c r="H604" i="3"/>
  <c r="I604" i="3"/>
  <c r="H606" i="3"/>
  <c r="I606" i="3"/>
  <c r="H607" i="3"/>
  <c r="I607" i="3"/>
  <c r="H608" i="3"/>
  <c r="I608" i="3"/>
  <c r="H609" i="3"/>
  <c r="I609" i="3"/>
  <c r="H610" i="3"/>
  <c r="I610" i="3"/>
  <c r="H611" i="3"/>
  <c r="I611" i="3"/>
  <c r="H612" i="3"/>
  <c r="I612" i="3"/>
  <c r="H613" i="3"/>
  <c r="I613" i="3"/>
  <c r="H614" i="3"/>
  <c r="I614" i="3"/>
  <c r="H615" i="3"/>
  <c r="I615" i="3"/>
  <c r="H616" i="3"/>
  <c r="I616" i="3"/>
  <c r="H617" i="3"/>
  <c r="I617" i="3"/>
  <c r="H618" i="3"/>
  <c r="I618" i="3"/>
  <c r="H619" i="3"/>
  <c r="I619" i="3"/>
  <c r="H620" i="3"/>
  <c r="I620" i="3"/>
  <c r="H621" i="3"/>
  <c r="I621" i="3"/>
  <c r="H622" i="3"/>
  <c r="I622" i="3"/>
  <c r="H623" i="3"/>
  <c r="I623" i="3"/>
  <c r="K625" i="3"/>
  <c r="L625" i="3"/>
  <c r="H626" i="3"/>
  <c r="I626" i="3"/>
  <c r="H627" i="3"/>
  <c r="I627" i="3"/>
  <c r="H628" i="3"/>
  <c r="I628" i="3"/>
  <c r="H629" i="3"/>
  <c r="I629" i="3"/>
  <c r="H630" i="3"/>
  <c r="I630" i="3"/>
  <c r="H631" i="3"/>
  <c r="I631" i="3"/>
  <c r="H632" i="3"/>
  <c r="I632" i="3"/>
  <c r="H633" i="3"/>
  <c r="I633" i="3"/>
  <c r="H634" i="3"/>
  <c r="I634" i="3"/>
  <c r="H635" i="3"/>
  <c r="I635" i="3"/>
  <c r="H636" i="3"/>
  <c r="I636" i="3"/>
  <c r="H637" i="3"/>
  <c r="I637" i="3"/>
  <c r="K638" i="3"/>
  <c r="H639" i="3"/>
  <c r="I639" i="3"/>
  <c r="H640" i="3"/>
  <c r="I640" i="3"/>
  <c r="H641" i="3"/>
  <c r="I641" i="3"/>
  <c r="H642" i="3"/>
  <c r="I642" i="3"/>
  <c r="K643" i="3"/>
  <c r="L643" i="3"/>
  <c r="H644" i="3"/>
  <c r="I644" i="3"/>
  <c r="H645" i="3"/>
  <c r="I645" i="3"/>
  <c r="H646" i="3"/>
  <c r="I646" i="3"/>
  <c r="H647" i="3"/>
  <c r="I647" i="3"/>
  <c r="H648" i="3"/>
  <c r="I648" i="3"/>
  <c r="H649" i="3"/>
  <c r="I649" i="3"/>
  <c r="H650" i="3"/>
  <c r="I650" i="3"/>
  <c r="H651" i="3"/>
  <c r="I651" i="3"/>
  <c r="H652" i="3"/>
  <c r="I652" i="3"/>
  <c r="H653" i="3"/>
  <c r="I653" i="3"/>
  <c r="H654" i="3"/>
  <c r="I654" i="3"/>
  <c r="H655" i="3"/>
  <c r="I655" i="3"/>
  <c r="H656" i="3"/>
  <c r="I656" i="3"/>
  <c r="H657" i="3"/>
  <c r="I657" i="3"/>
  <c r="H658" i="3"/>
  <c r="I658" i="3"/>
  <c r="H659" i="3"/>
  <c r="I659" i="3"/>
  <c r="H660" i="3"/>
  <c r="I660" i="3"/>
  <c r="H661" i="3"/>
  <c r="I661" i="3"/>
  <c r="H662" i="3"/>
  <c r="I662" i="3"/>
  <c r="H663" i="3"/>
  <c r="I663" i="3"/>
  <c r="H665" i="3"/>
  <c r="I665" i="3"/>
  <c r="H666" i="3"/>
  <c r="I666" i="3"/>
  <c r="H667" i="3"/>
  <c r="I667" i="3"/>
  <c r="H668" i="3"/>
  <c r="I668" i="3"/>
  <c r="H669" i="3"/>
  <c r="I669" i="3"/>
  <c r="H670" i="3"/>
  <c r="I670" i="3"/>
  <c r="H671" i="3"/>
  <c r="I671" i="3"/>
  <c r="H672" i="3"/>
  <c r="I672" i="3"/>
  <c r="H673" i="3"/>
  <c r="I673" i="3"/>
  <c r="K674" i="3"/>
  <c r="H675" i="3"/>
  <c r="I675" i="3"/>
  <c r="H676" i="3"/>
  <c r="I676" i="3"/>
  <c r="H677" i="3"/>
  <c r="I677" i="3"/>
  <c r="H678" i="3"/>
  <c r="I678" i="3"/>
  <c r="H679" i="3"/>
  <c r="I679" i="3"/>
  <c r="H680" i="3"/>
  <c r="I680" i="3"/>
  <c r="H681" i="3"/>
  <c r="I681" i="3"/>
  <c r="H682" i="3"/>
  <c r="I682" i="3"/>
  <c r="H683" i="3"/>
  <c r="I683" i="3"/>
  <c r="H685" i="3"/>
  <c r="I685" i="3"/>
  <c r="H686" i="3"/>
  <c r="I686" i="3"/>
  <c r="H687" i="3"/>
  <c r="I687" i="3"/>
  <c r="H688" i="3"/>
  <c r="I688" i="3"/>
  <c r="H689" i="3"/>
  <c r="I689" i="3"/>
  <c r="H690" i="3"/>
  <c r="I690" i="3"/>
  <c r="H691" i="3"/>
  <c r="I691" i="3"/>
  <c r="K692" i="3"/>
  <c r="H693" i="3"/>
  <c r="I693" i="3"/>
  <c r="H694" i="3"/>
  <c r="I694" i="3"/>
  <c r="H695" i="3"/>
  <c r="I695" i="3"/>
  <c r="H696" i="3"/>
  <c r="I696" i="3"/>
  <c r="H697" i="3"/>
  <c r="I697" i="3"/>
  <c r="H698" i="3"/>
  <c r="I698" i="3"/>
  <c r="H699" i="3"/>
  <c r="I699" i="3"/>
  <c r="H700" i="3"/>
  <c r="I700" i="3"/>
  <c r="H701" i="3"/>
  <c r="I701" i="3"/>
  <c r="H702" i="3"/>
  <c r="I702" i="3"/>
  <c r="H703" i="3"/>
  <c r="I703" i="3"/>
  <c r="H704" i="3"/>
  <c r="I704" i="3"/>
  <c r="H705" i="3"/>
  <c r="I705" i="3"/>
  <c r="H706" i="3"/>
  <c r="I706" i="3"/>
  <c r="H707" i="3"/>
  <c r="I707" i="3"/>
  <c r="H708" i="3"/>
  <c r="I708" i="3"/>
  <c r="H709" i="3"/>
  <c r="I709" i="3"/>
  <c r="H710" i="3"/>
  <c r="I710" i="3"/>
  <c r="H711" i="3"/>
  <c r="I711" i="3"/>
  <c r="H712" i="3"/>
  <c r="I712" i="3"/>
  <c r="H713" i="3"/>
  <c r="I713" i="3"/>
  <c r="H714" i="3"/>
  <c r="I714" i="3"/>
  <c r="K715" i="3"/>
  <c r="L715" i="3"/>
  <c r="H716" i="3"/>
  <c r="I716" i="3"/>
  <c r="H717" i="3"/>
  <c r="I717" i="3"/>
  <c r="H718" i="3"/>
  <c r="I718" i="3"/>
  <c r="H719" i="3"/>
  <c r="I719" i="3"/>
  <c r="H720" i="3"/>
  <c r="I720" i="3"/>
  <c r="H721" i="3"/>
  <c r="I721" i="3"/>
  <c r="H722" i="3"/>
  <c r="I722" i="3"/>
  <c r="H723" i="3"/>
  <c r="I723" i="3"/>
  <c r="H724" i="3"/>
  <c r="I724" i="3"/>
  <c r="H725" i="3"/>
  <c r="I725" i="3"/>
  <c r="H726" i="3"/>
  <c r="I726" i="3"/>
  <c r="H727" i="3"/>
  <c r="I727" i="3"/>
  <c r="H728" i="3"/>
  <c r="I728" i="3"/>
  <c r="H729" i="3"/>
  <c r="I729" i="3"/>
  <c r="H730" i="3"/>
  <c r="I730" i="3"/>
  <c r="H731" i="3"/>
  <c r="I731" i="3"/>
  <c r="H732" i="3"/>
  <c r="I732" i="3"/>
  <c r="H733" i="3"/>
  <c r="I733" i="3"/>
  <c r="H734" i="3"/>
  <c r="I734" i="3"/>
  <c r="H735" i="3"/>
  <c r="I735" i="3"/>
  <c r="H736" i="3"/>
  <c r="I736" i="3"/>
  <c r="H737" i="3"/>
  <c r="I737" i="3"/>
  <c r="I16" i="3"/>
  <c r="H16" i="3"/>
  <c r="H22" i="1"/>
  <c r="I22" i="1"/>
  <c r="H23" i="1"/>
  <c r="I23" i="1"/>
  <c r="H24" i="1"/>
  <c r="I24" i="1"/>
  <c r="H25" i="1"/>
  <c r="I25" i="1"/>
  <c r="H26" i="1"/>
  <c r="I26" i="1"/>
  <c r="H27" i="1"/>
  <c r="I27" i="1"/>
  <c r="H28" i="1"/>
  <c r="I28" i="1"/>
  <c r="H29" i="1"/>
  <c r="I29" i="1"/>
  <c r="H30" i="1"/>
  <c r="I30" i="1"/>
  <c r="H31" i="1"/>
  <c r="I31" i="1"/>
  <c r="H32" i="1"/>
  <c r="I32" i="1"/>
  <c r="H34" i="1"/>
  <c r="I34" i="1"/>
  <c r="H35" i="1"/>
  <c r="I35" i="1"/>
  <c r="H36" i="1"/>
  <c r="I36" i="1"/>
  <c r="H37" i="1"/>
  <c r="I37" i="1"/>
  <c r="H38" i="1"/>
  <c r="I38" i="1"/>
  <c r="H39" i="1"/>
  <c r="I39"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5" i="1"/>
  <c r="I115" i="1"/>
  <c r="H116" i="1"/>
  <c r="I116" i="1"/>
  <c r="H117" i="1"/>
  <c r="I117" i="1"/>
  <c r="H118" i="1"/>
  <c r="I118" i="1"/>
  <c r="H119" i="1"/>
  <c r="I119" i="1"/>
  <c r="H120" i="1"/>
  <c r="I120" i="1"/>
  <c r="H121" i="1"/>
  <c r="I121" i="1"/>
  <c r="H122" i="1"/>
  <c r="I122" i="1"/>
  <c r="H123" i="1"/>
  <c r="I123" i="1"/>
  <c r="H125" i="1"/>
  <c r="I125" i="1"/>
  <c r="H126" i="1"/>
  <c r="I126" i="1"/>
  <c r="H127" i="1"/>
  <c r="I127" i="1"/>
  <c r="H128" i="1"/>
  <c r="I128" i="1"/>
  <c r="H129" i="1"/>
  <c r="I129" i="1"/>
  <c r="H130" i="1"/>
  <c r="I130" i="1"/>
  <c r="H131" i="1"/>
  <c r="I131" i="1"/>
  <c r="H132" i="1"/>
  <c r="I132" i="1"/>
  <c r="H133" i="1"/>
  <c r="I133"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1" i="1"/>
  <c r="I171" i="1"/>
  <c r="H172" i="1"/>
  <c r="I172" i="1"/>
  <c r="H173" i="1"/>
  <c r="I173" i="1"/>
  <c r="H174" i="1"/>
  <c r="I174" i="1"/>
  <c r="H175" i="1"/>
  <c r="I175" i="1"/>
  <c r="H176" i="1"/>
  <c r="I176" i="1"/>
  <c r="H177" i="1"/>
  <c r="I177" i="1"/>
  <c r="H178" i="1"/>
  <c r="I178" i="1"/>
  <c r="H180" i="1"/>
  <c r="I180" i="1"/>
  <c r="H181" i="1"/>
  <c r="I181" i="1"/>
  <c r="H182" i="1"/>
  <c r="I182" i="1"/>
  <c r="H183" i="1"/>
  <c r="I183" i="1"/>
  <c r="H184" i="1"/>
  <c r="I184" i="1"/>
  <c r="H185" i="1"/>
  <c r="I185" i="1"/>
  <c r="H186" i="1"/>
  <c r="I186" i="1"/>
  <c r="H187" i="1"/>
  <c r="I187" i="1"/>
  <c r="H189" i="1"/>
  <c r="I189" i="1"/>
  <c r="H190" i="1"/>
  <c r="I190" i="1"/>
  <c r="H191" i="1"/>
  <c r="I191" i="1"/>
  <c r="H192" i="1"/>
  <c r="I192" i="1"/>
  <c r="H193" i="1"/>
  <c r="I193" i="1"/>
  <c r="H194" i="1"/>
  <c r="I194" i="1"/>
  <c r="H195" i="1"/>
  <c r="I195" i="1"/>
  <c r="H196" i="1"/>
  <c r="I196" i="1"/>
  <c r="H198" i="1"/>
  <c r="I198" i="1"/>
  <c r="H199" i="1"/>
  <c r="I199" i="1"/>
  <c r="H200" i="1"/>
  <c r="I200" i="1"/>
  <c r="H201" i="1"/>
  <c r="I201" i="1"/>
  <c r="H202" i="1"/>
  <c r="I202" i="1"/>
  <c r="H203" i="1"/>
  <c r="I203" i="1"/>
  <c r="H204" i="1"/>
  <c r="I204" i="1"/>
  <c r="H205" i="1"/>
  <c r="I205" i="1"/>
  <c r="H206" i="1"/>
  <c r="I206"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3" i="1"/>
  <c r="I243" i="1"/>
  <c r="H244" i="1"/>
  <c r="I244" i="1"/>
  <c r="H245" i="1"/>
  <c r="I245" i="1"/>
  <c r="H246" i="1"/>
  <c r="I246" i="1"/>
  <c r="H247" i="1"/>
  <c r="I247" i="1"/>
  <c r="H248" i="1"/>
  <c r="I248" i="1"/>
  <c r="H249" i="1"/>
  <c r="I249" i="1"/>
  <c r="H250" i="1"/>
  <c r="I250" i="1"/>
  <c r="H251" i="1"/>
  <c r="I251" i="1"/>
  <c r="H252" i="1"/>
  <c r="I252"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5" i="1"/>
  <c r="I395" i="1"/>
  <c r="H396" i="1"/>
  <c r="I396" i="1"/>
  <c r="H397" i="1"/>
  <c r="I397" i="1"/>
  <c r="H398" i="1"/>
  <c r="I398" i="1"/>
  <c r="H399" i="1"/>
  <c r="I399" i="1"/>
  <c r="H400" i="1"/>
  <c r="I400" i="1"/>
  <c r="H401" i="1"/>
  <c r="I401" i="1"/>
  <c r="H402" i="1"/>
  <c r="I402" i="1"/>
  <c r="H403" i="1"/>
  <c r="I403" i="1"/>
  <c r="H404" i="1"/>
  <c r="I404" i="1"/>
  <c r="H405" i="1"/>
  <c r="I405"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H439" i="1"/>
  <c r="I439" i="1"/>
  <c r="H441" i="1"/>
  <c r="I441" i="1"/>
  <c r="H442" i="1"/>
  <c r="I442" i="1"/>
  <c r="H443" i="1"/>
  <c r="I443" i="1"/>
  <c r="H444" i="1"/>
  <c r="I444" i="1"/>
  <c r="H445" i="1"/>
  <c r="I445" i="1"/>
  <c r="H446" i="1"/>
  <c r="I446" i="1"/>
  <c r="H447" i="1"/>
  <c r="I447" i="1"/>
  <c r="H448" i="1"/>
  <c r="I448" i="1"/>
  <c r="H449" i="1"/>
  <c r="I449" i="1"/>
  <c r="H450" i="1"/>
  <c r="I450" i="1"/>
  <c r="H451" i="1"/>
  <c r="I451" i="1"/>
  <c r="H452" i="1"/>
  <c r="I452" i="1"/>
  <c r="H453" i="1"/>
  <c r="I453" i="1"/>
  <c r="H454" i="1"/>
  <c r="I454" i="1"/>
  <c r="H455" i="1"/>
  <c r="I455" i="1"/>
  <c r="H456" i="1"/>
  <c r="I456" i="1"/>
  <c r="H457" i="1"/>
  <c r="I457" i="1"/>
  <c r="H458" i="1"/>
  <c r="I458" i="1"/>
  <c r="H459" i="1"/>
  <c r="I459" i="1"/>
  <c r="H460" i="1"/>
  <c r="I460" i="1"/>
  <c r="H461" i="1"/>
  <c r="I461" i="1"/>
  <c r="H462" i="1"/>
  <c r="I462" i="1"/>
  <c r="H463" i="1"/>
  <c r="I463" i="1"/>
  <c r="H464" i="1"/>
  <c r="I464" i="1"/>
  <c r="H465" i="1"/>
  <c r="I465" i="1"/>
  <c r="H466" i="1"/>
  <c r="I466" i="1"/>
  <c r="H467" i="1"/>
  <c r="I467" i="1"/>
  <c r="H468" i="1"/>
  <c r="I468" i="1"/>
  <c r="H469" i="1"/>
  <c r="I469" i="1"/>
  <c r="H470" i="1"/>
  <c r="I470" i="1"/>
  <c r="H471" i="1"/>
  <c r="I471" i="1"/>
  <c r="H472" i="1"/>
  <c r="I472" i="1"/>
  <c r="H473" i="1"/>
  <c r="I473" i="1"/>
  <c r="H474" i="1"/>
  <c r="I474" i="1"/>
  <c r="H475" i="1"/>
  <c r="I475" i="1"/>
  <c r="H476" i="1"/>
  <c r="I476" i="1"/>
  <c r="H478" i="1"/>
  <c r="I478" i="1"/>
  <c r="H479" i="1"/>
  <c r="I479" i="1"/>
  <c r="H480" i="1"/>
  <c r="I480" i="1"/>
  <c r="H481" i="1"/>
  <c r="I481" i="1"/>
  <c r="H482" i="1"/>
  <c r="I482" i="1"/>
  <c r="H483" i="1"/>
  <c r="I483" i="1"/>
  <c r="H484" i="1"/>
  <c r="I484" i="1"/>
  <c r="H485" i="1"/>
  <c r="I485" i="1"/>
  <c r="H486" i="1"/>
  <c r="I486" i="1"/>
  <c r="H487" i="1"/>
  <c r="I487" i="1"/>
  <c r="H488" i="1"/>
  <c r="I488" i="1"/>
  <c r="H489" i="1"/>
  <c r="I489" i="1"/>
  <c r="H490" i="1"/>
  <c r="I490" i="1"/>
  <c r="H491" i="1"/>
  <c r="I491" i="1"/>
  <c r="H492" i="1"/>
  <c r="I492" i="1"/>
  <c r="H493" i="1"/>
  <c r="I493" i="1"/>
  <c r="H494" i="1"/>
  <c r="I494" i="1"/>
  <c r="H496" i="1"/>
  <c r="I496" i="1"/>
  <c r="H497" i="1"/>
  <c r="I497" i="1"/>
  <c r="H498" i="1"/>
  <c r="I498" i="1"/>
  <c r="H499" i="1"/>
  <c r="I499" i="1"/>
  <c r="H500" i="1"/>
  <c r="I500" i="1"/>
  <c r="H501" i="1"/>
  <c r="I501" i="1"/>
  <c r="H502" i="1"/>
  <c r="I502" i="1"/>
  <c r="H503" i="1"/>
  <c r="I503" i="1"/>
  <c r="H504" i="1"/>
  <c r="I504" i="1"/>
  <c r="H505" i="1"/>
  <c r="I505" i="1"/>
  <c r="H506" i="1"/>
  <c r="I506" i="1"/>
  <c r="H507" i="1"/>
  <c r="I507" i="1"/>
  <c r="H508" i="1"/>
  <c r="I508" i="1"/>
  <c r="H509" i="1"/>
  <c r="I509" i="1"/>
  <c r="H510" i="1"/>
  <c r="I510" i="1"/>
  <c r="H511" i="1"/>
  <c r="I511" i="1"/>
  <c r="H512" i="1"/>
  <c r="I512" i="1"/>
  <c r="H513" i="1"/>
  <c r="I513" i="1"/>
  <c r="H514" i="1"/>
  <c r="I514" i="1"/>
  <c r="H515" i="1"/>
  <c r="I515" i="1"/>
  <c r="H516" i="1"/>
  <c r="I516" i="1"/>
  <c r="H517" i="1"/>
  <c r="I517" i="1"/>
  <c r="H518" i="1"/>
  <c r="I518" i="1"/>
  <c r="H519" i="1"/>
  <c r="I519" i="1"/>
  <c r="H520" i="1"/>
  <c r="I520" i="1"/>
  <c r="H521" i="1"/>
  <c r="I521" i="1"/>
  <c r="H522" i="1"/>
  <c r="I522" i="1"/>
  <c r="H523" i="1"/>
  <c r="I523" i="1"/>
  <c r="H524" i="1"/>
  <c r="I524" i="1"/>
  <c r="H525" i="1"/>
  <c r="I525" i="1"/>
  <c r="H526" i="1"/>
  <c r="I526" i="1"/>
  <c r="H527" i="1"/>
  <c r="I527" i="1"/>
  <c r="H528" i="1"/>
  <c r="I528" i="1"/>
  <c r="H529" i="1"/>
  <c r="I529" i="1"/>
  <c r="H530" i="1"/>
  <c r="I530" i="1"/>
  <c r="H531" i="1"/>
  <c r="I531" i="1"/>
  <c r="H532" i="1"/>
  <c r="I532" i="1"/>
  <c r="H533" i="1"/>
  <c r="I533" i="1"/>
  <c r="H534" i="1"/>
  <c r="I534" i="1"/>
  <c r="H535" i="1"/>
  <c r="I535" i="1"/>
  <c r="H536" i="1"/>
  <c r="I536" i="1"/>
  <c r="H537" i="1"/>
  <c r="I537" i="1"/>
  <c r="H538" i="1"/>
  <c r="I538" i="1"/>
  <c r="H539" i="1"/>
  <c r="I539" i="1"/>
  <c r="H541" i="1"/>
  <c r="I541" i="1"/>
  <c r="H542" i="1"/>
  <c r="I542" i="1"/>
  <c r="H543" i="1"/>
  <c r="I543" i="1"/>
  <c r="H544" i="1"/>
  <c r="I544" i="1"/>
  <c r="H545" i="1"/>
  <c r="I545" i="1"/>
  <c r="H546" i="1"/>
  <c r="I546" i="1"/>
  <c r="H547" i="1"/>
  <c r="I547" i="1"/>
  <c r="H548" i="1"/>
  <c r="I548" i="1"/>
  <c r="H549" i="1"/>
  <c r="I549" i="1"/>
  <c r="H550" i="1"/>
  <c r="I550" i="1"/>
  <c r="H551" i="1"/>
  <c r="I551" i="1"/>
  <c r="H552" i="1"/>
  <c r="I552" i="1"/>
  <c r="H553" i="1"/>
  <c r="I553" i="1"/>
  <c r="H554" i="1"/>
  <c r="I554" i="1"/>
  <c r="H555" i="1"/>
  <c r="I555" i="1"/>
  <c r="H556" i="1"/>
  <c r="I556" i="1"/>
  <c r="H557" i="1"/>
  <c r="I557" i="1"/>
  <c r="H558" i="1"/>
  <c r="I558" i="1"/>
  <c r="H559" i="1"/>
  <c r="I559" i="1"/>
  <c r="H560" i="1"/>
  <c r="I560" i="1"/>
  <c r="H561" i="1"/>
  <c r="I561" i="1"/>
  <c r="H562" i="1"/>
  <c r="I562" i="1"/>
  <c r="H563" i="1"/>
  <c r="I563" i="1"/>
  <c r="H564" i="1"/>
  <c r="I564" i="1"/>
  <c r="H565" i="1"/>
  <c r="I565" i="1"/>
  <c r="H566" i="1"/>
  <c r="I566" i="1"/>
  <c r="H567" i="1"/>
  <c r="I567" i="1"/>
  <c r="H568" i="1"/>
  <c r="I568" i="1"/>
  <c r="H569" i="1"/>
  <c r="I569" i="1"/>
  <c r="H570" i="1"/>
  <c r="I570" i="1"/>
  <c r="H571" i="1"/>
  <c r="I571" i="1"/>
  <c r="H572" i="1"/>
  <c r="I572" i="1"/>
  <c r="H573" i="1"/>
  <c r="I573" i="1"/>
  <c r="H574" i="1"/>
  <c r="I574" i="1"/>
  <c r="H575" i="1"/>
  <c r="I575" i="1"/>
  <c r="H576" i="1"/>
  <c r="I576" i="1"/>
  <c r="H577" i="1"/>
  <c r="I577" i="1"/>
  <c r="H578" i="1"/>
  <c r="I578" i="1"/>
  <c r="H579" i="1"/>
  <c r="I579" i="1"/>
  <c r="H580" i="1"/>
  <c r="I580" i="1"/>
  <c r="H582" i="1"/>
  <c r="I582" i="1"/>
  <c r="H583" i="1"/>
  <c r="I583" i="1"/>
  <c r="H584" i="1"/>
  <c r="I584" i="1"/>
  <c r="H585" i="1"/>
  <c r="I585" i="1"/>
  <c r="H586" i="1"/>
  <c r="I586" i="1"/>
  <c r="H587" i="1"/>
  <c r="I587" i="1"/>
  <c r="H588" i="1"/>
  <c r="I588" i="1"/>
  <c r="H589" i="1"/>
  <c r="I589" i="1"/>
  <c r="H590" i="1"/>
  <c r="I590" i="1"/>
  <c r="H591" i="1"/>
  <c r="I591" i="1"/>
  <c r="H592" i="1"/>
  <c r="I592" i="1"/>
  <c r="H593" i="1"/>
  <c r="I593" i="1"/>
  <c r="H594" i="1"/>
  <c r="I594" i="1"/>
  <c r="H595" i="1"/>
  <c r="I595" i="1"/>
  <c r="H596" i="1"/>
  <c r="I596" i="1"/>
  <c r="H597" i="1"/>
  <c r="I597" i="1"/>
  <c r="H598" i="1"/>
  <c r="I598" i="1"/>
  <c r="H599" i="1"/>
  <c r="I599" i="1"/>
  <c r="H600" i="1"/>
  <c r="I600" i="1"/>
  <c r="H601" i="1"/>
  <c r="I601" i="1"/>
  <c r="H602" i="1"/>
  <c r="I602" i="1"/>
  <c r="H603" i="1"/>
  <c r="I603" i="1"/>
  <c r="H604" i="1"/>
  <c r="I604" i="1"/>
  <c r="H606" i="1"/>
  <c r="I606" i="1"/>
  <c r="H607" i="1"/>
  <c r="I607" i="1"/>
  <c r="H608" i="1"/>
  <c r="I608" i="1"/>
  <c r="H609" i="1"/>
  <c r="I609" i="1"/>
  <c r="H610" i="1"/>
  <c r="I610" i="1"/>
  <c r="H611" i="1"/>
  <c r="I611" i="1"/>
  <c r="H612" i="1"/>
  <c r="I612" i="1"/>
  <c r="H613" i="1"/>
  <c r="I613" i="1"/>
  <c r="H614" i="1"/>
  <c r="I614" i="1"/>
  <c r="H615" i="1"/>
  <c r="I615" i="1"/>
  <c r="H616" i="1"/>
  <c r="I616" i="1"/>
  <c r="H617" i="1"/>
  <c r="I617" i="1"/>
  <c r="H618" i="1"/>
  <c r="I618" i="1"/>
  <c r="H619" i="1"/>
  <c r="I619" i="1"/>
  <c r="H620" i="1"/>
  <c r="I620" i="1"/>
  <c r="H621" i="1"/>
  <c r="I621" i="1"/>
  <c r="H622" i="1"/>
  <c r="I622" i="1"/>
  <c r="H623" i="1"/>
  <c r="I623" i="1"/>
  <c r="H626" i="1"/>
  <c r="I626" i="1"/>
  <c r="H627" i="1"/>
  <c r="I627" i="1"/>
  <c r="H628" i="1"/>
  <c r="I628" i="1"/>
  <c r="H629" i="1"/>
  <c r="I629" i="1"/>
  <c r="H630" i="1"/>
  <c r="I630" i="1"/>
  <c r="H631" i="1"/>
  <c r="I631" i="1"/>
  <c r="H632" i="1"/>
  <c r="I632" i="1"/>
  <c r="H633" i="1"/>
  <c r="I633" i="1"/>
  <c r="H634" i="1"/>
  <c r="I634" i="1"/>
  <c r="H635" i="1"/>
  <c r="I635" i="1"/>
  <c r="H636" i="1"/>
  <c r="I636" i="1"/>
  <c r="H637" i="1"/>
  <c r="I637" i="1"/>
  <c r="H639" i="1"/>
  <c r="I639" i="1"/>
  <c r="H640" i="1"/>
  <c r="I640" i="1"/>
  <c r="H641" i="1"/>
  <c r="I641" i="1"/>
  <c r="H642" i="1"/>
  <c r="I642" i="1"/>
  <c r="H644" i="1"/>
  <c r="I644" i="1"/>
  <c r="H645" i="1"/>
  <c r="I645" i="1"/>
  <c r="H646" i="1"/>
  <c r="I646" i="1"/>
  <c r="H647" i="1"/>
  <c r="I647" i="1"/>
  <c r="H648" i="1"/>
  <c r="I648" i="1"/>
  <c r="H649" i="1"/>
  <c r="I649" i="1"/>
  <c r="H650" i="1"/>
  <c r="I650" i="1"/>
  <c r="H651" i="1"/>
  <c r="I651" i="1"/>
  <c r="H652" i="1"/>
  <c r="I652" i="1"/>
  <c r="H653" i="1"/>
  <c r="I653" i="1"/>
  <c r="H654" i="1"/>
  <c r="I654" i="1"/>
  <c r="H655" i="1"/>
  <c r="I655" i="1"/>
  <c r="H656" i="1"/>
  <c r="I656" i="1"/>
  <c r="H657" i="1"/>
  <c r="I657" i="1"/>
  <c r="H658" i="1"/>
  <c r="I658" i="1"/>
  <c r="H659" i="1"/>
  <c r="I659" i="1"/>
  <c r="H660" i="1"/>
  <c r="I660" i="1"/>
  <c r="H661" i="1"/>
  <c r="I661" i="1"/>
  <c r="H662" i="1"/>
  <c r="I662" i="1"/>
  <c r="H663" i="1"/>
  <c r="I663" i="1"/>
  <c r="H665" i="1"/>
  <c r="I665" i="1"/>
  <c r="H666" i="1"/>
  <c r="I666" i="1"/>
  <c r="H667" i="1"/>
  <c r="I667" i="1"/>
  <c r="H668" i="1"/>
  <c r="I668" i="1"/>
  <c r="H669" i="1"/>
  <c r="I669" i="1"/>
  <c r="H670" i="1"/>
  <c r="I670" i="1"/>
  <c r="H671" i="1"/>
  <c r="I671" i="1"/>
  <c r="H672" i="1"/>
  <c r="I672" i="1"/>
  <c r="H673" i="1"/>
  <c r="I673" i="1"/>
  <c r="H675" i="1"/>
  <c r="I675" i="1"/>
  <c r="H676" i="1"/>
  <c r="I676" i="1"/>
  <c r="H677" i="1"/>
  <c r="I677" i="1"/>
  <c r="H678" i="1"/>
  <c r="I678" i="1"/>
  <c r="H679" i="1"/>
  <c r="I679" i="1"/>
  <c r="H680" i="1"/>
  <c r="I680" i="1"/>
  <c r="H681" i="1"/>
  <c r="I681" i="1"/>
  <c r="H682" i="1"/>
  <c r="I682" i="1"/>
  <c r="H683" i="1"/>
  <c r="I683" i="1"/>
  <c r="H685" i="1"/>
  <c r="I685" i="1"/>
  <c r="H686" i="1"/>
  <c r="I686" i="1"/>
  <c r="H687" i="1"/>
  <c r="I687" i="1"/>
  <c r="H688" i="1"/>
  <c r="I688" i="1"/>
  <c r="H689" i="1"/>
  <c r="I689" i="1"/>
  <c r="H690" i="1"/>
  <c r="I690" i="1"/>
  <c r="H691" i="1"/>
  <c r="I691" i="1"/>
  <c r="H693" i="1"/>
  <c r="I693" i="1"/>
  <c r="H694" i="1"/>
  <c r="I694" i="1"/>
  <c r="H695" i="1"/>
  <c r="I695" i="1"/>
  <c r="H696" i="1"/>
  <c r="I696" i="1"/>
  <c r="H697" i="1"/>
  <c r="I697" i="1"/>
  <c r="H698" i="1"/>
  <c r="I698" i="1"/>
  <c r="H699" i="1"/>
  <c r="I699" i="1"/>
  <c r="H700" i="1"/>
  <c r="I700" i="1"/>
  <c r="H701" i="1"/>
  <c r="I701" i="1"/>
  <c r="H702" i="1"/>
  <c r="I702" i="1"/>
  <c r="H703" i="1"/>
  <c r="I703" i="1"/>
  <c r="H704" i="1"/>
  <c r="I704" i="1"/>
  <c r="H705" i="1"/>
  <c r="I705" i="1"/>
  <c r="H706" i="1"/>
  <c r="I706" i="1"/>
  <c r="H707" i="1"/>
  <c r="I707" i="1"/>
  <c r="H708" i="1"/>
  <c r="I708" i="1"/>
  <c r="H709" i="1"/>
  <c r="I709" i="1"/>
  <c r="H710" i="1"/>
  <c r="I710" i="1"/>
  <c r="H711" i="1"/>
  <c r="I711" i="1"/>
  <c r="H712" i="1"/>
  <c r="I712" i="1"/>
  <c r="H713" i="1"/>
  <c r="I713" i="1"/>
  <c r="H714" i="1"/>
  <c r="I714" i="1"/>
  <c r="H716" i="1"/>
  <c r="I716" i="1"/>
  <c r="H717" i="1"/>
  <c r="I717" i="1"/>
  <c r="H718" i="1"/>
  <c r="I718" i="1"/>
  <c r="H719" i="1"/>
  <c r="I719" i="1"/>
  <c r="H720" i="1"/>
  <c r="I720" i="1"/>
  <c r="H721" i="1"/>
  <c r="I721" i="1"/>
  <c r="H722" i="1"/>
  <c r="I722" i="1"/>
  <c r="H723" i="1"/>
  <c r="I723" i="1"/>
  <c r="H724" i="1"/>
  <c r="I724" i="1"/>
  <c r="H725" i="1"/>
  <c r="I725" i="1"/>
  <c r="H726" i="1"/>
  <c r="I726" i="1"/>
  <c r="H727" i="1"/>
  <c r="I727" i="1"/>
  <c r="H728" i="1"/>
  <c r="I728" i="1"/>
  <c r="H729" i="1"/>
  <c r="I729" i="1"/>
  <c r="H730" i="1"/>
  <c r="I730" i="1"/>
  <c r="H731" i="1"/>
  <c r="I731" i="1"/>
  <c r="H732" i="1"/>
  <c r="I732" i="1"/>
  <c r="H733" i="1"/>
  <c r="I733" i="1"/>
  <c r="H734" i="1"/>
  <c r="I734" i="1"/>
  <c r="H735" i="1"/>
  <c r="I735" i="1"/>
  <c r="H736" i="1"/>
  <c r="I736" i="1"/>
  <c r="H737" i="1"/>
  <c r="I737" i="1"/>
  <c r="H17" i="1"/>
  <c r="I17" i="1"/>
  <c r="H18" i="1"/>
  <c r="I18" i="1"/>
  <c r="H19" i="1"/>
  <c r="I19" i="1"/>
  <c r="H20" i="1"/>
  <c r="I20" i="1"/>
  <c r="H21" i="1"/>
  <c r="I21" i="1"/>
  <c r="I16" i="1"/>
  <c r="H16" i="1"/>
  <c r="K33" i="12"/>
  <c r="L33" i="12"/>
  <c r="K114" i="12"/>
  <c r="L114" i="12"/>
  <c r="K124" i="12"/>
  <c r="K134" i="12"/>
  <c r="L134" i="12"/>
  <c r="K150" i="12"/>
  <c r="L150" i="12"/>
  <c r="K170" i="12"/>
  <c r="L170" i="12"/>
  <c r="K179" i="12"/>
  <c r="L179" i="12"/>
  <c r="K188" i="12"/>
  <c r="L188" i="12"/>
  <c r="K197" i="12"/>
  <c r="L197" i="12"/>
  <c r="K242" i="12"/>
  <c r="L242" i="12"/>
  <c r="K253" i="12"/>
  <c r="L253" i="12"/>
  <c r="K286" i="12"/>
  <c r="L286" i="12"/>
  <c r="K311" i="12"/>
  <c r="L311" i="12"/>
  <c r="K333" i="12"/>
  <c r="K334" i="12"/>
  <c r="L334" i="12"/>
  <c r="K394" i="12"/>
  <c r="L394" i="12"/>
  <c r="K406" i="12"/>
  <c r="L406" i="12"/>
  <c r="K440" i="12"/>
  <c r="L440" i="12"/>
  <c r="K477" i="12"/>
  <c r="K495" i="12"/>
  <c r="K540" i="12"/>
  <c r="L540" i="12"/>
  <c r="K581" i="12"/>
  <c r="L581" i="12"/>
  <c r="K605" i="12"/>
  <c r="L605" i="12"/>
  <c r="K624" i="12"/>
  <c r="L624" i="12"/>
  <c r="K625" i="12"/>
  <c r="L625" i="12"/>
  <c r="K638" i="12"/>
  <c r="L638" i="12"/>
  <c r="K643" i="12"/>
  <c r="L643" i="12"/>
  <c r="K664" i="12"/>
  <c r="L664" i="12"/>
  <c r="K674" i="12"/>
  <c r="L674" i="12"/>
  <c r="K684" i="12"/>
  <c r="L684" i="12"/>
  <c r="K692" i="12"/>
  <c r="L692" i="12"/>
  <c r="K715" i="12"/>
  <c r="L715" i="12"/>
  <c r="L33" i="10"/>
  <c r="K40" i="10"/>
  <c r="L40" i="10"/>
  <c r="K114" i="10"/>
  <c r="K124" i="10"/>
  <c r="L124" i="10"/>
  <c r="K134" i="10"/>
  <c r="L134" i="10"/>
  <c r="K150" i="10"/>
  <c r="L170" i="10"/>
  <c r="K179" i="10"/>
  <c r="L179" i="10"/>
  <c r="L188" i="10"/>
  <c r="K197" i="10"/>
  <c r="K207" i="10"/>
  <c r="L207" i="10"/>
  <c r="L242" i="10"/>
  <c r="K253" i="10"/>
  <c r="L253" i="10"/>
  <c r="K286" i="10"/>
  <c r="L286" i="10"/>
  <c r="K311" i="10"/>
  <c r="K333" i="10"/>
  <c r="L333" i="10"/>
  <c r="K334" i="10"/>
  <c r="L334" i="10"/>
  <c r="K375" i="10"/>
  <c r="L375" i="10"/>
  <c r="K394" i="10"/>
  <c r="L394" i="10"/>
  <c r="K406" i="10"/>
  <c r="L406" i="10"/>
  <c r="L440" i="10"/>
  <c r="K477" i="10"/>
  <c r="L477" i="10"/>
  <c r="K495" i="10"/>
  <c r="L495" i="10"/>
  <c r="K540" i="10"/>
  <c r="L540" i="10"/>
  <c r="K581" i="10"/>
  <c r="K605" i="10"/>
  <c r="K624" i="10"/>
  <c r="L624" i="10"/>
  <c r="K625" i="10"/>
  <c r="L638" i="10"/>
  <c r="K643" i="10"/>
  <c r="K664" i="10"/>
  <c r="L664" i="10"/>
  <c r="L674" i="10"/>
  <c r="K684" i="10"/>
  <c r="L684" i="10"/>
  <c r="L692" i="10"/>
  <c r="K715" i="10"/>
  <c r="L33" i="8"/>
  <c r="K40" i="8"/>
  <c r="K114" i="8"/>
  <c r="L114" i="8"/>
  <c r="K134" i="8"/>
  <c r="L134" i="8"/>
  <c r="K150" i="8"/>
  <c r="L150" i="8"/>
  <c r="L170" i="8"/>
  <c r="K179" i="8"/>
  <c r="L179" i="8"/>
  <c r="K188" i="8"/>
  <c r="L188" i="8"/>
  <c r="K197" i="8"/>
  <c r="L197" i="8"/>
  <c r="L242" i="8"/>
  <c r="K253" i="8"/>
  <c r="L253" i="8"/>
  <c r="K286" i="8"/>
  <c r="L286" i="8"/>
  <c r="K311" i="8"/>
  <c r="L311" i="8"/>
  <c r="K334" i="8"/>
  <c r="L334" i="8"/>
  <c r="K394" i="8"/>
  <c r="L394" i="8"/>
  <c r="K406" i="8"/>
  <c r="L406" i="8"/>
  <c r="K440" i="8"/>
  <c r="L440" i="8"/>
  <c r="K477" i="8"/>
  <c r="K495" i="8"/>
  <c r="K540" i="8"/>
  <c r="L540" i="8"/>
  <c r="K581" i="8"/>
  <c r="L581" i="8"/>
  <c r="K605" i="8"/>
  <c r="L605" i="8"/>
  <c r="K624" i="8"/>
  <c r="L624" i="8"/>
  <c r="K625" i="8"/>
  <c r="L625" i="8"/>
  <c r="K638" i="8"/>
  <c r="L638" i="8"/>
  <c r="K643" i="8"/>
  <c r="L643" i="8"/>
  <c r="K664" i="8"/>
  <c r="L664" i="8"/>
  <c r="L674" i="8"/>
  <c r="K684" i="8"/>
  <c r="L684" i="8"/>
  <c r="K692" i="8"/>
  <c r="L692" i="8"/>
  <c r="K715" i="8"/>
  <c r="L715" i="8"/>
  <c r="L33" i="6"/>
  <c r="K114" i="6"/>
  <c r="L114" i="6"/>
  <c r="K134" i="6"/>
  <c r="K150" i="6"/>
  <c r="L150" i="6"/>
  <c r="K170" i="6"/>
  <c r="L170" i="6"/>
  <c r="K179" i="6"/>
  <c r="L179" i="6"/>
  <c r="L188" i="6"/>
  <c r="K197" i="6"/>
  <c r="L197" i="6"/>
  <c r="L242" i="6"/>
  <c r="K253" i="6"/>
  <c r="L253" i="6"/>
  <c r="K286" i="6"/>
  <c r="L286" i="6"/>
  <c r="K311" i="6"/>
  <c r="L311" i="6"/>
  <c r="K334" i="6"/>
  <c r="L334" i="6"/>
  <c r="K394" i="6"/>
  <c r="L394" i="6"/>
  <c r="K406" i="6"/>
  <c r="L406" i="6"/>
  <c r="L440" i="6"/>
  <c r="K477" i="6"/>
  <c r="K540" i="6"/>
  <c r="L540" i="6"/>
  <c r="K581" i="6"/>
  <c r="L581" i="6"/>
  <c r="K605" i="6"/>
  <c r="L605" i="6"/>
  <c r="K624" i="6"/>
  <c r="L624" i="6"/>
  <c r="K625" i="6"/>
  <c r="L638" i="6"/>
  <c r="K643" i="6"/>
  <c r="K664" i="6"/>
  <c r="L664" i="6"/>
  <c r="L674" i="6"/>
  <c r="K684" i="6"/>
  <c r="L684" i="6"/>
  <c r="L692" i="6"/>
  <c r="K715" i="6"/>
  <c r="L33" i="4"/>
  <c r="K40" i="4"/>
  <c r="K114" i="4"/>
  <c r="L114" i="4"/>
  <c r="K124" i="4"/>
  <c r="K134" i="4"/>
  <c r="L134" i="4"/>
  <c r="K150" i="4"/>
  <c r="L150" i="4"/>
  <c r="L170" i="4"/>
  <c r="K179" i="4"/>
  <c r="L179" i="4"/>
  <c r="L188" i="4"/>
  <c r="K197" i="4"/>
  <c r="L197" i="4"/>
  <c r="K207" i="4"/>
  <c r="L242" i="4"/>
  <c r="K253" i="4"/>
  <c r="L253" i="4"/>
  <c r="K286" i="4"/>
  <c r="L286" i="4"/>
  <c r="K311" i="4"/>
  <c r="L311" i="4"/>
  <c r="K333" i="4"/>
  <c r="K334" i="4"/>
  <c r="L334" i="4"/>
  <c r="K375" i="4"/>
  <c r="K394" i="4"/>
  <c r="L394" i="4"/>
  <c r="K406" i="4"/>
  <c r="L406" i="4"/>
  <c r="K440" i="4"/>
  <c r="L440" i="4"/>
  <c r="K477" i="4"/>
  <c r="K495" i="4"/>
  <c r="K540" i="4"/>
  <c r="L540" i="4"/>
  <c r="K581" i="4"/>
  <c r="L581" i="4"/>
  <c r="K605" i="4"/>
  <c r="L605" i="4"/>
  <c r="K624" i="4"/>
  <c r="L624" i="4"/>
  <c r="K625" i="4"/>
  <c r="L625" i="4"/>
  <c r="L638" i="4"/>
  <c r="K643" i="4"/>
  <c r="L643" i="4"/>
  <c r="K664" i="4"/>
  <c r="L664" i="4"/>
  <c r="L674" i="4"/>
  <c r="K684" i="4"/>
  <c r="L684" i="4"/>
  <c r="L692" i="4"/>
  <c r="K715" i="4"/>
  <c r="L33" i="7"/>
  <c r="K40" i="7"/>
  <c r="K114" i="7"/>
  <c r="L114" i="7"/>
  <c r="K124" i="7"/>
  <c r="K134" i="7"/>
  <c r="K150" i="7"/>
  <c r="L150" i="7"/>
  <c r="L170" i="7"/>
  <c r="K179" i="7"/>
  <c r="L179" i="7"/>
  <c r="L188" i="7"/>
  <c r="K197" i="7"/>
  <c r="L197" i="7"/>
  <c r="K207" i="7"/>
  <c r="L242" i="7"/>
  <c r="K253" i="7"/>
  <c r="K286" i="7"/>
  <c r="L286" i="7"/>
  <c r="K311" i="7"/>
  <c r="L311" i="7"/>
  <c r="K333" i="7"/>
  <c r="K334" i="7"/>
  <c r="L334" i="7"/>
  <c r="K375" i="7"/>
  <c r="K394" i="7"/>
  <c r="L394" i="7"/>
  <c r="K406" i="7"/>
  <c r="L406" i="7"/>
  <c r="L440" i="7"/>
  <c r="K477" i="7"/>
  <c r="K495" i="7"/>
  <c r="K540" i="7"/>
  <c r="L540" i="7"/>
  <c r="K581" i="7"/>
  <c r="L581" i="7"/>
  <c r="K605" i="7"/>
  <c r="L605" i="7"/>
  <c r="K624" i="7"/>
  <c r="L624" i="7"/>
  <c r="K625" i="7"/>
  <c r="L638" i="7"/>
  <c r="K643" i="7"/>
  <c r="L643" i="7"/>
  <c r="K664" i="7"/>
  <c r="L664" i="7"/>
  <c r="L674" i="7"/>
  <c r="K684" i="7"/>
  <c r="L684" i="7"/>
  <c r="L692" i="7"/>
  <c r="K715" i="7"/>
  <c r="L33" i="9"/>
  <c r="K114" i="9"/>
  <c r="L114" i="9"/>
  <c r="K134" i="9"/>
  <c r="L134" i="9"/>
  <c r="K150" i="9"/>
  <c r="L150" i="9"/>
  <c r="L170" i="9"/>
  <c r="K179" i="9"/>
  <c r="L179" i="9"/>
  <c r="L188" i="9"/>
  <c r="K197" i="9"/>
  <c r="L197" i="9"/>
  <c r="L242" i="9"/>
  <c r="K253" i="9"/>
  <c r="L253" i="9"/>
  <c r="K286" i="9"/>
  <c r="L286" i="9"/>
  <c r="K311" i="9"/>
  <c r="L311" i="9"/>
  <c r="K334" i="9"/>
  <c r="L334" i="9"/>
  <c r="K375" i="9"/>
  <c r="K394" i="9"/>
  <c r="L394" i="9"/>
  <c r="K406" i="9"/>
  <c r="L406" i="9"/>
  <c r="L440" i="9"/>
  <c r="K495" i="9"/>
  <c r="K540" i="9"/>
  <c r="L540" i="9"/>
  <c r="K581" i="9"/>
  <c r="L581" i="9"/>
  <c r="K605" i="9"/>
  <c r="L605" i="9"/>
  <c r="K624" i="9"/>
  <c r="L624" i="9"/>
  <c r="K625" i="9"/>
  <c r="L625" i="9"/>
  <c r="L638" i="9"/>
  <c r="K643" i="9"/>
  <c r="L643" i="9"/>
  <c r="K664" i="9"/>
  <c r="L664" i="9"/>
  <c r="L674" i="9"/>
  <c r="K684" i="9"/>
  <c r="L684" i="9"/>
  <c r="L692" i="9"/>
  <c r="K715" i="9"/>
  <c r="L715" i="9"/>
  <c r="L33" i="3"/>
  <c r="K40" i="3"/>
  <c r="K114" i="3"/>
  <c r="L114" i="3"/>
  <c r="K124" i="3"/>
  <c r="K134" i="3"/>
  <c r="K150" i="3"/>
  <c r="L150" i="3"/>
  <c r="L170" i="3"/>
  <c r="K179" i="3"/>
  <c r="L179" i="3"/>
  <c r="L188" i="3"/>
  <c r="K197" i="3"/>
  <c r="L197" i="3"/>
  <c r="K207" i="3"/>
  <c r="L242" i="3"/>
  <c r="K253" i="3"/>
  <c r="K286" i="3"/>
  <c r="L286" i="3"/>
  <c r="K311" i="3"/>
  <c r="L311" i="3"/>
  <c r="K333" i="3"/>
  <c r="K334" i="3"/>
  <c r="L334" i="3"/>
  <c r="K375" i="3"/>
  <c r="K394" i="3"/>
  <c r="L394" i="3"/>
  <c r="K406" i="3"/>
  <c r="L406" i="3"/>
  <c r="L440" i="3"/>
  <c r="K477" i="3"/>
  <c r="K495" i="3"/>
  <c r="K540" i="3"/>
  <c r="L540" i="3"/>
  <c r="K581" i="3"/>
  <c r="L581" i="3"/>
  <c r="K605" i="3"/>
  <c r="L605" i="3"/>
  <c r="K624" i="3"/>
  <c r="L624" i="3"/>
  <c r="L638" i="3"/>
  <c r="K664" i="3"/>
  <c r="L664" i="3"/>
  <c r="L674" i="3"/>
  <c r="K684" i="3"/>
  <c r="L684" i="3"/>
  <c r="L692" i="3"/>
  <c r="K33" i="1" l="1"/>
  <c r="L33" i="1"/>
  <c r="K40" i="1"/>
  <c r="L40" i="1"/>
  <c r="K114" i="1"/>
  <c r="L114" i="1"/>
  <c r="K124" i="1"/>
  <c r="L124" i="1"/>
  <c r="K134" i="1"/>
  <c r="L134" i="1"/>
  <c r="K150" i="1"/>
  <c r="L150" i="1"/>
  <c r="K170" i="1"/>
  <c r="L170" i="1"/>
  <c r="K179" i="1"/>
  <c r="L179" i="1"/>
  <c r="K188" i="1"/>
  <c r="L188" i="1"/>
  <c r="K197" i="1"/>
  <c r="L197" i="1"/>
  <c r="K207" i="1"/>
  <c r="L207" i="1"/>
  <c r="K242" i="1"/>
  <c r="L242" i="1"/>
  <c r="K253" i="1"/>
  <c r="L253" i="1"/>
  <c r="K286" i="1"/>
  <c r="L286" i="1"/>
  <c r="K311" i="1"/>
  <c r="L311" i="1"/>
  <c r="K333" i="1"/>
  <c r="L333" i="1"/>
  <c r="K334" i="1"/>
  <c r="L334" i="1"/>
  <c r="K375" i="1"/>
  <c r="L375" i="1"/>
  <c r="K394" i="1"/>
  <c r="L394" i="1"/>
  <c r="K406" i="1"/>
  <c r="L406" i="1"/>
  <c r="K440" i="1"/>
  <c r="L440" i="1"/>
  <c r="K477" i="1"/>
  <c r="L477" i="1"/>
  <c r="K495" i="1"/>
  <c r="L495" i="1"/>
  <c r="K540" i="1"/>
  <c r="L540" i="1"/>
  <c r="K581" i="1"/>
  <c r="L581" i="1"/>
  <c r="K605" i="1"/>
  <c r="L605" i="1"/>
  <c r="K624" i="1"/>
  <c r="L624" i="1"/>
  <c r="K625" i="1"/>
  <c r="L625" i="1"/>
  <c r="K638" i="1"/>
  <c r="L638" i="1"/>
  <c r="K643" i="1"/>
  <c r="L643" i="1"/>
  <c r="K664" i="1"/>
  <c r="L664" i="1"/>
  <c r="K674" i="1"/>
  <c r="L674" i="1"/>
  <c r="K684" i="1"/>
  <c r="L684" i="1"/>
  <c r="K692" i="1"/>
  <c r="L692" i="1"/>
  <c r="K715" i="1"/>
  <c r="L715" i="1"/>
  <c r="G178" i="12"/>
  <c r="G178" i="10"/>
  <c r="G178" i="8"/>
  <c r="G178" i="6"/>
  <c r="G178" i="4"/>
  <c r="G178" i="7"/>
  <c r="G178" i="9"/>
  <c r="G178" i="3"/>
  <c r="G178" i="1"/>
  <c r="J178" i="12"/>
  <c r="L178" i="12" s="1"/>
  <c r="J178" i="10"/>
  <c r="L178" i="10" s="1"/>
  <c r="J178" i="8"/>
  <c r="K178" i="8" s="1"/>
  <c r="J178" i="6"/>
  <c r="L178" i="6" s="1"/>
  <c r="K178" i="6"/>
  <c r="J178" i="4"/>
  <c r="L178" i="4" s="1"/>
  <c r="J178" i="7"/>
  <c r="J178" i="9"/>
  <c r="K178" i="9" s="1"/>
  <c r="J178" i="3"/>
  <c r="L178" i="3" s="1"/>
  <c r="J178" i="1"/>
  <c r="K178" i="1" s="1"/>
  <c r="N178" i="6" l="1"/>
  <c r="M178" i="8"/>
  <c r="K178" i="10"/>
  <c r="M178" i="10" s="1"/>
  <c r="K178" i="3"/>
  <c r="K178" i="12"/>
  <c r="M178" i="12" s="1"/>
  <c r="L178" i="7"/>
  <c r="N178" i="7" s="1"/>
  <c r="K178" i="7"/>
  <c r="M178" i="7" s="1"/>
  <c r="O178" i="7" s="1"/>
  <c r="M178" i="6"/>
  <c r="K178" i="4"/>
  <c r="M178" i="4" s="1"/>
  <c r="L178" i="8"/>
  <c r="N178" i="8" s="1"/>
  <c r="L178" i="9"/>
  <c r="N178" i="9" s="1"/>
  <c r="L178" i="1"/>
  <c r="N178" i="1" s="1"/>
  <c r="N178" i="12"/>
  <c r="N178" i="4"/>
  <c r="N178" i="10"/>
  <c r="M178" i="9"/>
  <c r="N178" i="3"/>
  <c r="M178" i="1"/>
  <c r="M178" i="3" l="1"/>
  <c r="O178" i="6"/>
  <c r="O178" i="8"/>
  <c r="O178" i="9"/>
  <c r="O178" i="10"/>
  <c r="O178" i="12"/>
  <c r="O178" i="4"/>
  <c r="O178" i="1"/>
  <c r="O178" i="3" l="1"/>
  <c r="G177" i="12"/>
  <c r="J177" i="12"/>
  <c r="K177" i="12" l="1"/>
  <c r="L177" i="12"/>
  <c r="N177" i="12" s="1"/>
  <c r="G177" i="10"/>
  <c r="J177" i="10"/>
  <c r="M177" i="12" l="1"/>
  <c r="L177" i="10"/>
  <c r="N177" i="10" s="1"/>
  <c r="K177" i="10"/>
  <c r="M177" i="10" s="1"/>
  <c r="O177" i="12"/>
  <c r="G177" i="8"/>
  <c r="J177" i="8"/>
  <c r="K177" i="8" s="1"/>
  <c r="L177" i="8" l="1"/>
  <c r="N177" i="8" s="1"/>
  <c r="M177" i="8"/>
  <c r="O177" i="10"/>
  <c r="G177" i="6"/>
  <c r="J177" i="6"/>
  <c r="L177" i="6"/>
  <c r="K177" i="6"/>
  <c r="M177" i="6" l="1"/>
  <c r="N177" i="6"/>
  <c r="O177" i="6" s="1"/>
  <c r="O177" i="8"/>
  <c r="G177" i="4"/>
  <c r="J177" i="4"/>
  <c r="K177" i="4" l="1"/>
  <c r="L177" i="4"/>
  <c r="N177" i="4" s="1"/>
  <c r="M177" i="4"/>
  <c r="G177" i="7"/>
  <c r="J177" i="7"/>
  <c r="G177" i="9"/>
  <c r="J177" i="9"/>
  <c r="L177" i="7" l="1"/>
  <c r="K177" i="7"/>
  <c r="M177" i="7" s="1"/>
  <c r="K177" i="9"/>
  <c r="M177" i="9" s="1"/>
  <c r="L177" i="9"/>
  <c r="N177" i="9" s="1"/>
  <c r="O177" i="4"/>
  <c r="N177" i="7" l="1"/>
  <c r="O177" i="9"/>
  <c r="G177" i="3"/>
  <c r="J177" i="3"/>
  <c r="G177" i="1"/>
  <c r="J177" i="1"/>
  <c r="O177" i="7" l="1"/>
  <c r="K177" i="3"/>
  <c r="L177" i="3"/>
  <c r="K177" i="1"/>
  <c r="M177" i="1" s="1"/>
  <c r="L177" i="1"/>
  <c r="N177" i="1" s="1"/>
  <c r="N177" i="3" l="1"/>
  <c r="M177" i="3"/>
  <c r="O177" i="3"/>
  <c r="O177" i="1"/>
  <c r="I14" i="13"/>
  <c r="S11" i="12"/>
  <c r="S11" i="10"/>
  <c r="S11" i="8"/>
  <c r="S11" i="6"/>
  <c r="S11" i="4"/>
  <c r="S11" i="7"/>
  <c r="S11" i="9"/>
  <c r="S11" i="3"/>
  <c r="S11" i="1"/>
  <c r="G33" i="12"/>
  <c r="G40" i="12"/>
  <c r="G114" i="12"/>
  <c r="G124" i="12"/>
  <c r="G134" i="12"/>
  <c r="G150" i="12"/>
  <c r="G170" i="12"/>
  <c r="G179" i="12"/>
  <c r="G188" i="12"/>
  <c r="G197" i="12"/>
  <c r="G207" i="12"/>
  <c r="G242" i="12"/>
  <c r="G253" i="12"/>
  <c r="G286" i="12"/>
  <c r="G311" i="12"/>
  <c r="G333" i="12"/>
  <c r="G334" i="12"/>
  <c r="G375" i="12"/>
  <c r="G394" i="12"/>
  <c r="G406" i="12"/>
  <c r="G440" i="12"/>
  <c r="G477" i="12"/>
  <c r="G495" i="12"/>
  <c r="G540" i="12"/>
  <c r="G581" i="12"/>
  <c r="G605" i="12"/>
  <c r="G624" i="12"/>
  <c r="G625" i="12"/>
  <c r="G638" i="12"/>
  <c r="G643" i="12"/>
  <c r="G664" i="12"/>
  <c r="G674" i="12"/>
  <c r="G684" i="12"/>
  <c r="G692" i="12"/>
  <c r="G715" i="12"/>
  <c r="G33" i="10"/>
  <c r="G40" i="10"/>
  <c r="G114" i="10"/>
  <c r="G124" i="10"/>
  <c r="G134" i="10"/>
  <c r="G150" i="10"/>
  <c r="G170" i="10"/>
  <c r="G179" i="10"/>
  <c r="G188" i="10"/>
  <c r="G197" i="10"/>
  <c r="G207" i="10"/>
  <c r="G242" i="10"/>
  <c r="G253" i="10"/>
  <c r="G286" i="10"/>
  <c r="G311" i="10"/>
  <c r="G333" i="10"/>
  <c r="G334" i="10"/>
  <c r="G375" i="10"/>
  <c r="G394" i="10"/>
  <c r="G406" i="10"/>
  <c r="G440" i="10"/>
  <c r="G477" i="10"/>
  <c r="G495" i="10"/>
  <c r="G540" i="10"/>
  <c r="G581" i="10"/>
  <c r="G605" i="10"/>
  <c r="G624" i="10"/>
  <c r="G625" i="10"/>
  <c r="G638" i="10"/>
  <c r="G643" i="10"/>
  <c r="G664" i="10"/>
  <c r="G674" i="10"/>
  <c r="G684" i="10"/>
  <c r="G692" i="10"/>
  <c r="G715" i="10"/>
  <c r="G33" i="8"/>
  <c r="G40" i="8"/>
  <c r="G114" i="8"/>
  <c r="G124" i="8"/>
  <c r="G134" i="8"/>
  <c r="G150" i="8"/>
  <c r="G170" i="8"/>
  <c r="G179" i="8"/>
  <c r="G188" i="8"/>
  <c r="G197" i="8"/>
  <c r="G207" i="8"/>
  <c r="G242" i="8"/>
  <c r="G253" i="8"/>
  <c r="G286" i="8"/>
  <c r="G311" i="8"/>
  <c r="G333" i="8"/>
  <c r="G334" i="8"/>
  <c r="G375" i="8"/>
  <c r="G394" i="8"/>
  <c r="G406" i="8"/>
  <c r="G440" i="8"/>
  <c r="G477" i="8"/>
  <c r="G495" i="8"/>
  <c r="G540" i="8"/>
  <c r="G581" i="8"/>
  <c r="G605" i="8"/>
  <c r="G624" i="8"/>
  <c r="G625" i="8"/>
  <c r="G638" i="8"/>
  <c r="G643" i="8"/>
  <c r="G664" i="8"/>
  <c r="G674" i="8"/>
  <c r="G684" i="8"/>
  <c r="G692" i="8"/>
  <c r="G715" i="8"/>
  <c r="G33" i="6"/>
  <c r="G40" i="6"/>
  <c r="G114" i="6"/>
  <c r="G124" i="6"/>
  <c r="G134" i="6"/>
  <c r="G150" i="6"/>
  <c r="G170" i="6"/>
  <c r="G179" i="6"/>
  <c r="G188" i="6"/>
  <c r="G197" i="6"/>
  <c r="G207" i="6"/>
  <c r="G242" i="6"/>
  <c r="G253" i="6"/>
  <c r="G286" i="6"/>
  <c r="G311" i="6"/>
  <c r="G333" i="6"/>
  <c r="G334" i="6"/>
  <c r="G375" i="6"/>
  <c r="G394" i="6"/>
  <c r="G406" i="6"/>
  <c r="G440" i="6"/>
  <c r="G477" i="6"/>
  <c r="G495" i="6"/>
  <c r="G540" i="6"/>
  <c r="G581" i="6"/>
  <c r="G605" i="6"/>
  <c r="G624" i="6"/>
  <c r="G625" i="6"/>
  <c r="G638" i="6"/>
  <c r="G643" i="6"/>
  <c r="G664" i="6"/>
  <c r="G674" i="6"/>
  <c r="G684" i="6"/>
  <c r="G692" i="6"/>
  <c r="G715" i="6"/>
  <c r="G33" i="4"/>
  <c r="G40" i="4"/>
  <c r="G114" i="4"/>
  <c r="G124" i="4"/>
  <c r="G134" i="4"/>
  <c r="G150" i="4"/>
  <c r="G170" i="4"/>
  <c r="G179" i="4"/>
  <c r="G188" i="4"/>
  <c r="G197" i="4"/>
  <c r="G207" i="4"/>
  <c r="G242" i="4"/>
  <c r="G253" i="4"/>
  <c r="G286" i="4"/>
  <c r="G311" i="4"/>
  <c r="G333" i="4"/>
  <c r="G334" i="4"/>
  <c r="G375" i="4"/>
  <c r="G394" i="4"/>
  <c r="G406" i="4"/>
  <c r="G440" i="4"/>
  <c r="G477" i="4"/>
  <c r="G495" i="4"/>
  <c r="G540" i="4"/>
  <c r="G581" i="4"/>
  <c r="G605" i="4"/>
  <c r="G624" i="4"/>
  <c r="G625" i="4"/>
  <c r="G638" i="4"/>
  <c r="G643" i="4"/>
  <c r="G664" i="4"/>
  <c r="G674" i="4"/>
  <c r="G684" i="4"/>
  <c r="G692" i="4"/>
  <c r="G715" i="4"/>
  <c r="G33" i="7"/>
  <c r="G40" i="7"/>
  <c r="G114" i="7"/>
  <c r="G124" i="7"/>
  <c r="G134" i="7"/>
  <c r="G150" i="7"/>
  <c r="G170" i="7"/>
  <c r="G179" i="7"/>
  <c r="G188" i="7"/>
  <c r="G197" i="7"/>
  <c r="G207" i="7"/>
  <c r="G242" i="7"/>
  <c r="G253" i="7"/>
  <c r="G286" i="7"/>
  <c r="G311" i="7"/>
  <c r="G333" i="7"/>
  <c r="G334" i="7"/>
  <c r="G375" i="7"/>
  <c r="G394" i="7"/>
  <c r="G406" i="7"/>
  <c r="G440" i="7"/>
  <c r="G477" i="7"/>
  <c r="G495" i="7"/>
  <c r="G540" i="7"/>
  <c r="G581" i="7"/>
  <c r="G605" i="7"/>
  <c r="G624" i="7"/>
  <c r="G625" i="7"/>
  <c r="G638" i="7"/>
  <c r="G643" i="7"/>
  <c r="G664" i="7"/>
  <c r="G674" i="7"/>
  <c r="G684" i="7"/>
  <c r="G692" i="7"/>
  <c r="G715" i="7"/>
  <c r="G33" i="9"/>
  <c r="G40" i="9"/>
  <c r="G114" i="9"/>
  <c r="G124" i="9"/>
  <c r="G134" i="9"/>
  <c r="G150" i="9"/>
  <c r="G170" i="9"/>
  <c r="G179" i="9"/>
  <c r="G188" i="9"/>
  <c r="G197" i="9"/>
  <c r="G207" i="9"/>
  <c r="G242" i="9"/>
  <c r="G253" i="9"/>
  <c r="G286" i="9"/>
  <c r="G311" i="9"/>
  <c r="G333" i="9"/>
  <c r="G334" i="9"/>
  <c r="G375" i="9"/>
  <c r="G394" i="9"/>
  <c r="G406" i="9"/>
  <c r="G440" i="9"/>
  <c r="G477" i="9"/>
  <c r="G495" i="9"/>
  <c r="G540" i="9"/>
  <c r="G581" i="9"/>
  <c r="G605" i="9"/>
  <c r="G624" i="9"/>
  <c r="G625" i="9"/>
  <c r="G638" i="9"/>
  <c r="G643" i="9"/>
  <c r="G664" i="9"/>
  <c r="G674" i="9"/>
  <c r="G684" i="9"/>
  <c r="G692" i="9"/>
  <c r="G715" i="9"/>
  <c r="G33" i="3"/>
  <c r="G40" i="3"/>
  <c r="G114" i="3"/>
  <c r="G124" i="3"/>
  <c r="G134" i="3"/>
  <c r="G150" i="3"/>
  <c r="G170" i="3"/>
  <c r="G179" i="3"/>
  <c r="G188" i="3"/>
  <c r="G197" i="3"/>
  <c r="G207" i="3"/>
  <c r="G242" i="3"/>
  <c r="G253" i="3"/>
  <c r="G286" i="3"/>
  <c r="G311" i="3"/>
  <c r="G333" i="3"/>
  <c r="G334" i="3"/>
  <c r="G375" i="3"/>
  <c r="G394" i="3"/>
  <c r="G406" i="3"/>
  <c r="G440" i="3"/>
  <c r="G477" i="3"/>
  <c r="G495" i="3"/>
  <c r="G540" i="3"/>
  <c r="G581" i="3"/>
  <c r="G605" i="3"/>
  <c r="G624" i="3"/>
  <c r="G625" i="3"/>
  <c r="G638" i="3"/>
  <c r="G643" i="3"/>
  <c r="G664" i="3"/>
  <c r="G674" i="3"/>
  <c r="G684" i="3"/>
  <c r="G692" i="3"/>
  <c r="G715" i="3"/>
  <c r="G33" i="1"/>
  <c r="G40" i="1"/>
  <c r="G114" i="1"/>
  <c r="G124" i="1"/>
  <c r="G134" i="1"/>
  <c r="G150" i="1"/>
  <c r="G170" i="1"/>
  <c r="G179" i="1"/>
  <c r="G188" i="1"/>
  <c r="G197" i="1"/>
  <c r="G207" i="1"/>
  <c r="G242" i="1"/>
  <c r="G253" i="1"/>
  <c r="G286" i="1"/>
  <c r="G311" i="1"/>
  <c r="G333" i="1"/>
  <c r="G334" i="1"/>
  <c r="G375" i="1"/>
  <c r="G394" i="1"/>
  <c r="G406" i="1"/>
  <c r="G440" i="1"/>
  <c r="G477" i="1"/>
  <c r="G495" i="1"/>
  <c r="G540" i="1"/>
  <c r="G581" i="1"/>
  <c r="G605" i="1"/>
  <c r="G624" i="1"/>
  <c r="G625" i="1"/>
  <c r="G638" i="1"/>
  <c r="G643" i="1"/>
  <c r="G664" i="1"/>
  <c r="G674" i="1"/>
  <c r="G684" i="1"/>
  <c r="G692" i="1"/>
  <c r="G715" i="1"/>
  <c r="G737" i="12"/>
  <c r="G736" i="12"/>
  <c r="G735" i="12"/>
  <c r="G734" i="12"/>
  <c r="G733" i="12"/>
  <c r="G732" i="12"/>
  <c r="G731" i="12"/>
  <c r="G730" i="12"/>
  <c r="G729" i="12"/>
  <c r="G728" i="12"/>
  <c r="G727" i="12"/>
  <c r="G726" i="12"/>
  <c r="G725" i="12"/>
  <c r="G724" i="12"/>
  <c r="G723" i="12"/>
  <c r="G722" i="12"/>
  <c r="G721" i="12"/>
  <c r="G720" i="12"/>
  <c r="G719" i="12"/>
  <c r="G718" i="12"/>
  <c r="G717" i="12"/>
  <c r="G716" i="12"/>
  <c r="G714" i="12"/>
  <c r="G713" i="12"/>
  <c r="G712" i="12"/>
  <c r="G711" i="12"/>
  <c r="G710" i="12"/>
  <c r="G709" i="12"/>
  <c r="G708" i="12"/>
  <c r="G707" i="12"/>
  <c r="G706" i="12"/>
  <c r="G705" i="12"/>
  <c r="G704" i="12"/>
  <c r="G703" i="12"/>
  <c r="G702" i="12"/>
  <c r="G701" i="12"/>
  <c r="G700" i="12"/>
  <c r="G699" i="12"/>
  <c r="G698" i="12"/>
  <c r="G697" i="12"/>
  <c r="G696" i="12"/>
  <c r="G695" i="12"/>
  <c r="G694" i="12"/>
  <c r="G693" i="12"/>
  <c r="G691" i="12"/>
  <c r="G689" i="12"/>
  <c r="G688" i="12"/>
  <c r="G687" i="12"/>
  <c r="G686" i="12"/>
  <c r="G685" i="12"/>
  <c r="G683" i="12"/>
  <c r="G682" i="12"/>
  <c r="G681" i="12"/>
  <c r="G680" i="12"/>
  <c r="G679" i="12"/>
  <c r="G678" i="12"/>
  <c r="G677" i="12"/>
  <c r="G676" i="12"/>
  <c r="G675" i="12"/>
  <c r="G673" i="12"/>
  <c r="G672" i="12"/>
  <c r="G671" i="12"/>
  <c r="G670" i="12"/>
  <c r="G669" i="12"/>
  <c r="G668" i="12"/>
  <c r="G667" i="12"/>
  <c r="G666" i="12"/>
  <c r="G665" i="12"/>
  <c r="G663" i="12"/>
  <c r="G662" i="12"/>
  <c r="G661" i="12"/>
  <c r="G660" i="12"/>
  <c r="G659" i="12"/>
  <c r="G658" i="12"/>
  <c r="G657" i="12"/>
  <c r="G656" i="12"/>
  <c r="G655" i="12"/>
  <c r="G654" i="12"/>
  <c r="G653" i="12"/>
  <c r="G652" i="12"/>
  <c r="G651" i="12"/>
  <c r="G650" i="12"/>
  <c r="G649" i="12"/>
  <c r="G648" i="12"/>
  <c r="G647" i="12"/>
  <c r="G646" i="12"/>
  <c r="G645" i="12"/>
  <c r="G644" i="12"/>
  <c r="G642" i="12"/>
  <c r="G640" i="12"/>
  <c r="G637" i="12"/>
  <c r="G636" i="12"/>
  <c r="G635" i="12"/>
  <c r="G634" i="12"/>
  <c r="G633" i="12"/>
  <c r="G632" i="12"/>
  <c r="G631" i="12"/>
  <c r="G630" i="12"/>
  <c r="G629" i="12"/>
  <c r="G628" i="12"/>
  <c r="G627" i="12"/>
  <c r="G626" i="12"/>
  <c r="G623" i="12"/>
  <c r="G622" i="12"/>
  <c r="G621" i="12"/>
  <c r="G620" i="12"/>
  <c r="G619" i="12"/>
  <c r="G618" i="12"/>
  <c r="G617" i="12"/>
  <c r="G616" i="12"/>
  <c r="G615" i="12"/>
  <c r="G614" i="12"/>
  <c r="G613" i="12"/>
  <c r="G612" i="12"/>
  <c r="G611" i="12"/>
  <c r="G610" i="12"/>
  <c r="G609" i="12"/>
  <c r="G608" i="12"/>
  <c r="G607" i="12"/>
  <c r="G606" i="12"/>
  <c r="G604" i="12"/>
  <c r="G603" i="12"/>
  <c r="G602" i="12"/>
  <c r="G601" i="12"/>
  <c r="G600" i="12"/>
  <c r="G599" i="12"/>
  <c r="G598" i="12"/>
  <c r="G597" i="12"/>
  <c r="G596" i="12"/>
  <c r="G595" i="12"/>
  <c r="G594" i="12"/>
  <c r="G593" i="12"/>
  <c r="G592" i="12"/>
  <c r="G591" i="12"/>
  <c r="G590" i="12"/>
  <c r="G589" i="12"/>
  <c r="G588" i="12"/>
  <c r="G587" i="12"/>
  <c r="G586" i="12"/>
  <c r="G585" i="12"/>
  <c r="G584" i="12"/>
  <c r="G583" i="12"/>
  <c r="G582" i="12"/>
  <c r="G580" i="12"/>
  <c r="G579" i="12"/>
  <c r="G578" i="12"/>
  <c r="G577" i="12"/>
  <c r="G576" i="12"/>
  <c r="G575" i="12"/>
  <c r="G574" i="12"/>
  <c r="G573" i="12"/>
  <c r="G572" i="12"/>
  <c r="G571" i="12"/>
  <c r="G570" i="12"/>
  <c r="G569" i="12"/>
  <c r="G568" i="12"/>
  <c r="G567" i="12"/>
  <c r="G566" i="12"/>
  <c r="G565" i="12"/>
  <c r="G564" i="12"/>
  <c r="G563" i="12"/>
  <c r="G562" i="12"/>
  <c r="G561" i="12"/>
  <c r="G560" i="12"/>
  <c r="G559" i="12"/>
  <c r="G558" i="12"/>
  <c r="G557" i="12"/>
  <c r="G556" i="12"/>
  <c r="G555" i="12"/>
  <c r="G554" i="12"/>
  <c r="G553" i="12"/>
  <c r="G552" i="12"/>
  <c r="G551" i="12"/>
  <c r="G550" i="12"/>
  <c r="G549" i="12"/>
  <c r="G548" i="12"/>
  <c r="G547" i="12"/>
  <c r="G546" i="12"/>
  <c r="G545" i="12"/>
  <c r="G544" i="12"/>
  <c r="G543" i="12"/>
  <c r="G542" i="12"/>
  <c r="G541" i="12"/>
  <c r="G539" i="12"/>
  <c r="G538" i="12"/>
  <c r="G537" i="12"/>
  <c r="G536" i="12"/>
  <c r="G535" i="12"/>
  <c r="G534" i="12"/>
  <c r="G533" i="12"/>
  <c r="G532" i="12"/>
  <c r="G531" i="12"/>
  <c r="G530" i="12"/>
  <c r="G529" i="12"/>
  <c r="G528" i="12"/>
  <c r="G527" i="12"/>
  <c r="G526" i="12"/>
  <c r="G525" i="12"/>
  <c r="G524" i="12"/>
  <c r="G523" i="12"/>
  <c r="G522" i="12"/>
  <c r="G521" i="12"/>
  <c r="G520" i="12"/>
  <c r="G519" i="12"/>
  <c r="G518" i="12"/>
  <c r="G517" i="12"/>
  <c r="G516" i="12"/>
  <c r="G515" i="12"/>
  <c r="G514" i="12"/>
  <c r="G513" i="12"/>
  <c r="G512" i="12"/>
  <c r="G511" i="12"/>
  <c r="G510" i="12"/>
  <c r="G509" i="12"/>
  <c r="G508" i="12"/>
  <c r="G507" i="12"/>
  <c r="G506" i="12"/>
  <c r="G505" i="12"/>
  <c r="G504" i="12"/>
  <c r="G503" i="12"/>
  <c r="G502" i="12"/>
  <c r="G501" i="12"/>
  <c r="G500" i="12"/>
  <c r="G499" i="12"/>
  <c r="G498" i="12"/>
  <c r="G497" i="12"/>
  <c r="G496" i="12"/>
  <c r="G494" i="12"/>
  <c r="G493" i="12"/>
  <c r="G492" i="12"/>
  <c r="G491" i="12"/>
  <c r="G490" i="12"/>
  <c r="G489" i="12"/>
  <c r="G488" i="12"/>
  <c r="G487" i="12"/>
  <c r="G486" i="12"/>
  <c r="G485" i="12"/>
  <c r="G484" i="12"/>
  <c r="G483" i="12"/>
  <c r="G482" i="12"/>
  <c r="G481" i="12"/>
  <c r="G480" i="12"/>
  <c r="G479" i="12"/>
  <c r="G478"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39" i="12"/>
  <c r="G438" i="12"/>
  <c r="G437" i="12"/>
  <c r="G436" i="12"/>
  <c r="G435" i="12"/>
  <c r="G434" i="12"/>
  <c r="G433" i="12"/>
  <c r="G432" i="12"/>
  <c r="G431"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5" i="12"/>
  <c r="G404" i="12"/>
  <c r="G403" i="12"/>
  <c r="G402" i="12"/>
  <c r="G401" i="12"/>
  <c r="G400" i="12"/>
  <c r="G399" i="12"/>
  <c r="G398" i="12"/>
  <c r="G397" i="12"/>
  <c r="G396" i="12"/>
  <c r="G395" i="12"/>
  <c r="G393" i="12"/>
  <c r="G392" i="12"/>
  <c r="G391" i="12"/>
  <c r="G390" i="12"/>
  <c r="G389" i="12"/>
  <c r="G388" i="12"/>
  <c r="G387" i="12"/>
  <c r="G386" i="12"/>
  <c r="G385" i="12"/>
  <c r="G384" i="12"/>
  <c r="G383" i="12"/>
  <c r="G382" i="12"/>
  <c r="G381" i="12"/>
  <c r="G380" i="12"/>
  <c r="G379" i="12"/>
  <c r="G378" i="12"/>
  <c r="G377" i="12"/>
  <c r="G376" i="12"/>
  <c r="G374" i="12"/>
  <c r="G373" i="12"/>
  <c r="G372"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2" i="12"/>
  <c r="G331" i="12"/>
  <c r="G330" i="12"/>
  <c r="G329" i="12"/>
  <c r="G328" i="12"/>
  <c r="G327" i="12"/>
  <c r="G326" i="12"/>
  <c r="G325" i="12"/>
  <c r="G318" i="12"/>
  <c r="G317" i="12"/>
  <c r="G323" i="12"/>
  <c r="G313" i="12"/>
  <c r="G312"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315" i="12"/>
  <c r="G255" i="12"/>
  <c r="G254" i="12"/>
  <c r="G252" i="12"/>
  <c r="G251" i="12"/>
  <c r="G250" i="12"/>
  <c r="G249" i="12"/>
  <c r="G248" i="12"/>
  <c r="G247" i="12"/>
  <c r="G246" i="12"/>
  <c r="G245" i="12"/>
  <c r="G244" i="12"/>
  <c r="G243"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6" i="12"/>
  <c r="G205" i="12"/>
  <c r="G204" i="12"/>
  <c r="G203" i="12"/>
  <c r="G202" i="12"/>
  <c r="G201" i="12"/>
  <c r="G200" i="12"/>
  <c r="G199" i="12"/>
  <c r="G198" i="12"/>
  <c r="G196" i="12"/>
  <c r="G195" i="12"/>
  <c r="G194" i="12"/>
  <c r="G193" i="12"/>
  <c r="G192" i="12"/>
  <c r="G191" i="12"/>
  <c r="G190" i="12"/>
  <c r="G189" i="12"/>
  <c r="G187" i="12"/>
  <c r="G186" i="12"/>
  <c r="G185" i="12"/>
  <c r="G184" i="12"/>
  <c r="G183" i="12"/>
  <c r="G182" i="12"/>
  <c r="G181" i="12"/>
  <c r="G180" i="12"/>
  <c r="G176" i="12"/>
  <c r="G175" i="12"/>
  <c r="G174" i="12"/>
  <c r="G169" i="12"/>
  <c r="G168" i="12"/>
  <c r="G167" i="12"/>
  <c r="G166" i="12"/>
  <c r="G165" i="12"/>
  <c r="G164" i="12"/>
  <c r="G163" i="12"/>
  <c r="G162" i="12"/>
  <c r="G161" i="12"/>
  <c r="G159" i="12"/>
  <c r="G158" i="12"/>
  <c r="G157" i="12"/>
  <c r="G156" i="12"/>
  <c r="G155" i="12"/>
  <c r="G154" i="12"/>
  <c r="G153" i="12"/>
  <c r="G152" i="12"/>
  <c r="G151" i="12"/>
  <c r="G132"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39" i="12"/>
  <c r="G38" i="12"/>
  <c r="G36" i="12"/>
  <c r="G35" i="12"/>
  <c r="G34" i="12"/>
  <c r="G32" i="12"/>
  <c r="G31" i="12"/>
  <c r="G30" i="12"/>
  <c r="G29" i="12"/>
  <c r="G28" i="12"/>
  <c r="G27" i="12"/>
  <c r="G26" i="12"/>
  <c r="G25" i="12"/>
  <c r="G24" i="12"/>
  <c r="G23" i="12"/>
  <c r="G22" i="12"/>
  <c r="G21" i="12"/>
  <c r="G20" i="12"/>
  <c r="G19" i="12"/>
  <c r="G18" i="12"/>
  <c r="G17" i="12"/>
  <c r="G16" i="12"/>
  <c r="G737" i="10"/>
  <c r="G736" i="10"/>
  <c r="G735" i="10"/>
  <c r="G734" i="10"/>
  <c r="G733" i="10"/>
  <c r="G732" i="10"/>
  <c r="G731" i="10"/>
  <c r="G730" i="10"/>
  <c r="G729" i="10"/>
  <c r="G728" i="10"/>
  <c r="G727" i="10"/>
  <c r="G726" i="10"/>
  <c r="G725" i="10"/>
  <c r="G724" i="10"/>
  <c r="G723" i="10"/>
  <c r="G722" i="10"/>
  <c r="G721" i="10"/>
  <c r="G720" i="10"/>
  <c r="G719" i="10"/>
  <c r="G718" i="10"/>
  <c r="G717" i="10"/>
  <c r="G716" i="10"/>
  <c r="G714" i="10"/>
  <c r="G713" i="10"/>
  <c r="G712" i="10"/>
  <c r="G711" i="10"/>
  <c r="G710" i="10"/>
  <c r="G709" i="10"/>
  <c r="G708" i="10"/>
  <c r="G707" i="10"/>
  <c r="G706" i="10"/>
  <c r="G705" i="10"/>
  <c r="G704" i="10"/>
  <c r="G703" i="10"/>
  <c r="G702" i="10"/>
  <c r="G701" i="10"/>
  <c r="G700" i="10"/>
  <c r="G699" i="10"/>
  <c r="G698" i="10"/>
  <c r="G697" i="10"/>
  <c r="G696" i="10"/>
  <c r="G695" i="10"/>
  <c r="G694" i="10"/>
  <c r="G693" i="10"/>
  <c r="G691" i="10"/>
  <c r="G689" i="10"/>
  <c r="G688" i="10"/>
  <c r="G687" i="10"/>
  <c r="G686" i="10"/>
  <c r="G685" i="10"/>
  <c r="G683" i="10"/>
  <c r="G682" i="10"/>
  <c r="G681" i="10"/>
  <c r="G680" i="10"/>
  <c r="G679" i="10"/>
  <c r="G678" i="10"/>
  <c r="G677" i="10"/>
  <c r="G676" i="10"/>
  <c r="G675" i="10"/>
  <c r="G673" i="10"/>
  <c r="G672" i="10"/>
  <c r="G671" i="10"/>
  <c r="G670" i="10"/>
  <c r="G669" i="10"/>
  <c r="G668" i="10"/>
  <c r="G667" i="10"/>
  <c r="G666" i="10"/>
  <c r="G665" i="10"/>
  <c r="G663" i="10"/>
  <c r="G662" i="10"/>
  <c r="G661" i="10"/>
  <c r="G660" i="10"/>
  <c r="G659" i="10"/>
  <c r="G658" i="10"/>
  <c r="G657" i="10"/>
  <c r="G656" i="10"/>
  <c r="G655" i="10"/>
  <c r="G654" i="10"/>
  <c r="G653" i="10"/>
  <c r="G652" i="10"/>
  <c r="G651" i="10"/>
  <c r="G650" i="10"/>
  <c r="G649" i="10"/>
  <c r="G648" i="10"/>
  <c r="G647" i="10"/>
  <c r="G646" i="10"/>
  <c r="G645" i="10"/>
  <c r="G644" i="10"/>
  <c r="G642" i="10"/>
  <c r="G640" i="10"/>
  <c r="G637" i="10"/>
  <c r="G636" i="10"/>
  <c r="G635" i="10"/>
  <c r="G634" i="10"/>
  <c r="G633" i="10"/>
  <c r="G632" i="10"/>
  <c r="G631" i="10"/>
  <c r="G630" i="10"/>
  <c r="G629" i="10"/>
  <c r="G628" i="10"/>
  <c r="G627" i="10"/>
  <c r="G626" i="10"/>
  <c r="G623" i="10"/>
  <c r="G622" i="10"/>
  <c r="G621" i="10"/>
  <c r="G620" i="10"/>
  <c r="G619" i="10"/>
  <c r="G618" i="10"/>
  <c r="G617" i="10"/>
  <c r="G616" i="10"/>
  <c r="G615" i="10"/>
  <c r="G614" i="10"/>
  <c r="G613" i="10"/>
  <c r="G612" i="10"/>
  <c r="G611" i="10"/>
  <c r="G610" i="10"/>
  <c r="G609" i="10"/>
  <c r="G608" i="10"/>
  <c r="G607" i="10"/>
  <c r="G606" i="10"/>
  <c r="G604" i="10"/>
  <c r="G603" i="10"/>
  <c r="G602" i="10"/>
  <c r="G601" i="10"/>
  <c r="G600" i="10"/>
  <c r="G599" i="10"/>
  <c r="G598" i="10"/>
  <c r="G597" i="10"/>
  <c r="G596" i="10"/>
  <c r="G595" i="10"/>
  <c r="G594" i="10"/>
  <c r="G593" i="10"/>
  <c r="G592" i="10"/>
  <c r="G591" i="10"/>
  <c r="G590" i="10"/>
  <c r="G589" i="10"/>
  <c r="G588" i="10"/>
  <c r="G587" i="10"/>
  <c r="G586" i="10"/>
  <c r="G585" i="10"/>
  <c r="G584" i="10"/>
  <c r="G583" i="10"/>
  <c r="G582" i="10"/>
  <c r="G580" i="10"/>
  <c r="G579" i="10"/>
  <c r="G578" i="10"/>
  <c r="G577" i="10"/>
  <c r="G576" i="10"/>
  <c r="G575" i="10"/>
  <c r="G574" i="10"/>
  <c r="G573" i="10"/>
  <c r="G572" i="10"/>
  <c r="G571" i="10"/>
  <c r="G570" i="10"/>
  <c r="G569" i="10"/>
  <c r="G568" i="10"/>
  <c r="G567" i="10"/>
  <c r="G566" i="10"/>
  <c r="G565" i="10"/>
  <c r="G564" i="10"/>
  <c r="G563" i="10"/>
  <c r="G562" i="10"/>
  <c r="G561" i="10"/>
  <c r="G560" i="10"/>
  <c r="G559" i="10"/>
  <c r="G558" i="10"/>
  <c r="G557" i="10"/>
  <c r="G556" i="10"/>
  <c r="G555" i="10"/>
  <c r="G554" i="10"/>
  <c r="G553" i="10"/>
  <c r="G552" i="10"/>
  <c r="G551" i="10"/>
  <c r="G550" i="10"/>
  <c r="G549" i="10"/>
  <c r="G548" i="10"/>
  <c r="G547" i="10"/>
  <c r="G546" i="10"/>
  <c r="G545" i="10"/>
  <c r="G544" i="10"/>
  <c r="G543" i="10"/>
  <c r="G542" i="10"/>
  <c r="G541" i="10"/>
  <c r="G539" i="10"/>
  <c r="G538" i="10"/>
  <c r="G537" i="10"/>
  <c r="G536" i="10"/>
  <c r="G535" i="10"/>
  <c r="G534" i="10"/>
  <c r="G533" i="10"/>
  <c r="G532" i="10"/>
  <c r="G531" i="10"/>
  <c r="G530" i="10"/>
  <c r="G529" i="10"/>
  <c r="G528" i="10"/>
  <c r="G527" i="10"/>
  <c r="G526" i="10"/>
  <c r="G525" i="10"/>
  <c r="G524" i="10"/>
  <c r="G523" i="10"/>
  <c r="G522" i="10"/>
  <c r="G521" i="10"/>
  <c r="G520" i="10"/>
  <c r="G519" i="10"/>
  <c r="G518" i="10"/>
  <c r="G517" i="10"/>
  <c r="G516" i="10"/>
  <c r="G515" i="10"/>
  <c r="G514" i="10"/>
  <c r="G513" i="10"/>
  <c r="G512" i="10"/>
  <c r="G511" i="10"/>
  <c r="G510" i="10"/>
  <c r="G509" i="10"/>
  <c r="G508" i="10"/>
  <c r="G507" i="10"/>
  <c r="G506" i="10"/>
  <c r="G505" i="10"/>
  <c r="G504" i="10"/>
  <c r="G503" i="10"/>
  <c r="G502" i="10"/>
  <c r="G501" i="10"/>
  <c r="G500" i="10"/>
  <c r="G499" i="10"/>
  <c r="G498" i="10"/>
  <c r="G497" i="10"/>
  <c r="G496" i="10"/>
  <c r="G494" i="10"/>
  <c r="G493" i="10"/>
  <c r="G492" i="10"/>
  <c r="G491" i="10"/>
  <c r="G490" i="10"/>
  <c r="G489" i="10"/>
  <c r="G488" i="10"/>
  <c r="G487" i="10"/>
  <c r="G486" i="10"/>
  <c r="G485" i="10"/>
  <c r="G484" i="10"/>
  <c r="G483" i="10"/>
  <c r="G482" i="10"/>
  <c r="G481" i="10"/>
  <c r="G480" i="10"/>
  <c r="G479" i="10"/>
  <c r="G478" i="10"/>
  <c r="G476" i="10"/>
  <c r="G475" i="10"/>
  <c r="G474" i="10"/>
  <c r="G473" i="10"/>
  <c r="G472" i="10"/>
  <c r="G471" i="10"/>
  <c r="G470" i="10"/>
  <c r="G469" i="10"/>
  <c r="G468" i="10"/>
  <c r="G467" i="10"/>
  <c r="G466" i="10"/>
  <c r="G465" i="10"/>
  <c r="G464" i="10"/>
  <c r="G463" i="10"/>
  <c r="G462" i="10"/>
  <c r="G461" i="10"/>
  <c r="G460" i="10"/>
  <c r="G459" i="10"/>
  <c r="G458" i="10"/>
  <c r="G457" i="10"/>
  <c r="G456" i="10"/>
  <c r="G455" i="10"/>
  <c r="G454" i="10"/>
  <c r="G453" i="10"/>
  <c r="G452" i="10"/>
  <c r="G451" i="10"/>
  <c r="G450" i="10"/>
  <c r="G449" i="10"/>
  <c r="G448" i="10"/>
  <c r="G447" i="10"/>
  <c r="G446" i="10"/>
  <c r="G445" i="10"/>
  <c r="G444" i="10"/>
  <c r="G443" i="10"/>
  <c r="G442" i="10"/>
  <c r="G441" i="10"/>
  <c r="G439" i="10"/>
  <c r="G438" i="10"/>
  <c r="G437" i="10"/>
  <c r="G436" i="10"/>
  <c r="G435" i="10"/>
  <c r="G434" i="10"/>
  <c r="G433" i="10"/>
  <c r="G432" i="10"/>
  <c r="G431" i="10"/>
  <c r="G429" i="10"/>
  <c r="G428" i="10"/>
  <c r="G427" i="10"/>
  <c r="G426" i="10"/>
  <c r="G425" i="10"/>
  <c r="G424" i="10"/>
  <c r="G423" i="10"/>
  <c r="G422" i="10"/>
  <c r="G421" i="10"/>
  <c r="G420" i="10"/>
  <c r="G419" i="10"/>
  <c r="G418" i="10"/>
  <c r="G417" i="10"/>
  <c r="G416" i="10"/>
  <c r="G415" i="10"/>
  <c r="G414" i="10"/>
  <c r="G413" i="10"/>
  <c r="G412" i="10"/>
  <c r="G411" i="10"/>
  <c r="G410" i="10"/>
  <c r="G409" i="10"/>
  <c r="G408" i="10"/>
  <c r="G407" i="10"/>
  <c r="G405" i="10"/>
  <c r="G404" i="10"/>
  <c r="G403" i="10"/>
  <c r="G402" i="10"/>
  <c r="G401" i="10"/>
  <c r="G400" i="10"/>
  <c r="G399" i="10"/>
  <c r="G398" i="10"/>
  <c r="G397" i="10"/>
  <c r="G396" i="10"/>
  <c r="G395" i="10"/>
  <c r="G393" i="10"/>
  <c r="G392" i="10"/>
  <c r="G391" i="10"/>
  <c r="G390" i="10"/>
  <c r="G389" i="10"/>
  <c r="G388" i="10"/>
  <c r="G387" i="10"/>
  <c r="G386" i="10"/>
  <c r="G385" i="10"/>
  <c r="G384" i="10"/>
  <c r="G383" i="10"/>
  <c r="G382" i="10"/>
  <c r="G381" i="10"/>
  <c r="G380" i="10"/>
  <c r="G379" i="10"/>
  <c r="G378" i="10"/>
  <c r="G377" i="10"/>
  <c r="G376" i="10"/>
  <c r="G374" i="10"/>
  <c r="G373" i="10"/>
  <c r="G372"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2" i="10"/>
  <c r="G331" i="10"/>
  <c r="G314" i="10"/>
  <c r="G329" i="10"/>
  <c r="G328" i="10"/>
  <c r="G327" i="10"/>
  <c r="G326" i="10"/>
  <c r="G325" i="10"/>
  <c r="G318" i="10"/>
  <c r="G317" i="10"/>
  <c r="G323" i="10"/>
  <c r="G313" i="10"/>
  <c r="G312"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315" i="10"/>
  <c r="G255" i="10"/>
  <c r="G254" i="10"/>
  <c r="G252" i="10"/>
  <c r="G251" i="10"/>
  <c r="G250" i="10"/>
  <c r="G249" i="10"/>
  <c r="G248" i="10"/>
  <c r="G247" i="10"/>
  <c r="G246" i="10"/>
  <c r="G245" i="10"/>
  <c r="G244" i="10"/>
  <c r="G243"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6" i="10"/>
  <c r="G205" i="10"/>
  <c r="G204" i="10"/>
  <c r="G203" i="10"/>
  <c r="G202" i="10"/>
  <c r="G201" i="10"/>
  <c r="G200" i="10"/>
  <c r="G199" i="10"/>
  <c r="G198" i="10"/>
  <c r="G196" i="10"/>
  <c r="G195" i="10"/>
  <c r="G194" i="10"/>
  <c r="G193" i="10"/>
  <c r="G192" i="10"/>
  <c r="G191" i="10"/>
  <c r="G190" i="10"/>
  <c r="G189" i="10"/>
  <c r="G187" i="10"/>
  <c r="G186" i="10"/>
  <c r="G185" i="10"/>
  <c r="G184" i="10"/>
  <c r="G183" i="10"/>
  <c r="G182" i="10"/>
  <c r="G181" i="10"/>
  <c r="G180" i="10"/>
  <c r="G176" i="10"/>
  <c r="G173" i="10"/>
  <c r="G174" i="10"/>
  <c r="G169" i="10"/>
  <c r="G168" i="10"/>
  <c r="G167" i="10"/>
  <c r="G166" i="10"/>
  <c r="G165" i="10"/>
  <c r="G164" i="10"/>
  <c r="G163" i="10"/>
  <c r="G162" i="10"/>
  <c r="G161" i="10"/>
  <c r="G159" i="10"/>
  <c r="G158" i="10"/>
  <c r="G157" i="10"/>
  <c r="G156" i="10"/>
  <c r="G155" i="10"/>
  <c r="G154" i="10"/>
  <c r="G153" i="10"/>
  <c r="G151" i="10"/>
  <c r="G132"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39" i="10"/>
  <c r="G38" i="10"/>
  <c r="G36" i="10"/>
  <c r="G35" i="10"/>
  <c r="G34" i="10"/>
  <c r="G32" i="10"/>
  <c r="G31" i="10"/>
  <c r="G30" i="10"/>
  <c r="G29" i="10"/>
  <c r="G28" i="10"/>
  <c r="G27" i="10"/>
  <c r="G26" i="10"/>
  <c r="G25" i="10"/>
  <c r="G24" i="10"/>
  <c r="G23" i="10"/>
  <c r="G22" i="10"/>
  <c r="G21" i="10"/>
  <c r="G20" i="10"/>
  <c r="G19" i="10"/>
  <c r="G18" i="10"/>
  <c r="G17" i="10"/>
  <c r="G16" i="10"/>
  <c r="G737" i="8"/>
  <c r="G736" i="8"/>
  <c r="G735" i="8"/>
  <c r="G734" i="8"/>
  <c r="G733" i="8"/>
  <c r="G732" i="8"/>
  <c r="G731" i="8"/>
  <c r="G730" i="8"/>
  <c r="G729" i="8"/>
  <c r="G728" i="8"/>
  <c r="G727" i="8"/>
  <c r="G726" i="8"/>
  <c r="G725" i="8"/>
  <c r="G724" i="8"/>
  <c r="G723" i="8"/>
  <c r="G722" i="8"/>
  <c r="G721" i="8"/>
  <c r="G720" i="8"/>
  <c r="G719" i="8"/>
  <c r="G718" i="8"/>
  <c r="G717" i="8"/>
  <c r="G716" i="8"/>
  <c r="G714" i="8"/>
  <c r="G713" i="8"/>
  <c r="G712" i="8"/>
  <c r="G711" i="8"/>
  <c r="G710" i="8"/>
  <c r="G709" i="8"/>
  <c r="G708" i="8"/>
  <c r="G707" i="8"/>
  <c r="G706" i="8"/>
  <c r="G705" i="8"/>
  <c r="G704" i="8"/>
  <c r="G703" i="8"/>
  <c r="G702" i="8"/>
  <c r="G701" i="8"/>
  <c r="G700" i="8"/>
  <c r="G699" i="8"/>
  <c r="G698" i="8"/>
  <c r="G697" i="8"/>
  <c r="G696" i="8"/>
  <c r="G695" i="8"/>
  <c r="G694" i="8"/>
  <c r="G693" i="8"/>
  <c r="G691" i="8"/>
  <c r="G689" i="8"/>
  <c r="G688" i="8"/>
  <c r="G687" i="8"/>
  <c r="G686" i="8"/>
  <c r="G685" i="8"/>
  <c r="G683" i="8"/>
  <c r="G682" i="8"/>
  <c r="G681" i="8"/>
  <c r="G680" i="8"/>
  <c r="G679" i="8"/>
  <c r="G678" i="8"/>
  <c r="G677" i="8"/>
  <c r="G676" i="8"/>
  <c r="G675" i="8"/>
  <c r="G673" i="8"/>
  <c r="G672" i="8"/>
  <c r="G671" i="8"/>
  <c r="G670" i="8"/>
  <c r="G669" i="8"/>
  <c r="G668" i="8"/>
  <c r="G667" i="8"/>
  <c r="G666" i="8"/>
  <c r="G665" i="8"/>
  <c r="G663" i="8"/>
  <c r="G662" i="8"/>
  <c r="G661" i="8"/>
  <c r="G660" i="8"/>
  <c r="G659" i="8"/>
  <c r="G658" i="8"/>
  <c r="G657" i="8"/>
  <c r="G656" i="8"/>
  <c r="G655" i="8"/>
  <c r="G654" i="8"/>
  <c r="G653" i="8"/>
  <c r="G652" i="8"/>
  <c r="G651" i="8"/>
  <c r="G650" i="8"/>
  <c r="G649" i="8"/>
  <c r="G648" i="8"/>
  <c r="G647" i="8"/>
  <c r="G646" i="8"/>
  <c r="G645" i="8"/>
  <c r="G644" i="8"/>
  <c r="G642" i="8"/>
  <c r="G640" i="8"/>
  <c r="G639" i="8"/>
  <c r="G637" i="8"/>
  <c r="G636" i="8"/>
  <c r="G635" i="8"/>
  <c r="G634" i="8"/>
  <c r="G633" i="8"/>
  <c r="G632" i="8"/>
  <c r="G631" i="8"/>
  <c r="G630" i="8"/>
  <c r="G629" i="8"/>
  <c r="G628" i="8"/>
  <c r="G627" i="8"/>
  <c r="G626" i="8"/>
  <c r="G623" i="8"/>
  <c r="G622" i="8"/>
  <c r="G621" i="8"/>
  <c r="G620" i="8"/>
  <c r="G619" i="8"/>
  <c r="G618" i="8"/>
  <c r="G617" i="8"/>
  <c r="G616" i="8"/>
  <c r="G615" i="8"/>
  <c r="G614" i="8"/>
  <c r="G613" i="8"/>
  <c r="G612" i="8"/>
  <c r="G611" i="8"/>
  <c r="G610" i="8"/>
  <c r="G609" i="8"/>
  <c r="G608" i="8"/>
  <c r="G607" i="8"/>
  <c r="G606" i="8"/>
  <c r="G604" i="8"/>
  <c r="G603" i="8"/>
  <c r="G602" i="8"/>
  <c r="G601" i="8"/>
  <c r="G600" i="8"/>
  <c r="G599" i="8"/>
  <c r="G598" i="8"/>
  <c r="G597" i="8"/>
  <c r="G596" i="8"/>
  <c r="G595" i="8"/>
  <c r="G594" i="8"/>
  <c r="G593" i="8"/>
  <c r="G592" i="8"/>
  <c r="G591" i="8"/>
  <c r="G590" i="8"/>
  <c r="G589" i="8"/>
  <c r="G588" i="8"/>
  <c r="G587" i="8"/>
  <c r="G586" i="8"/>
  <c r="G585" i="8"/>
  <c r="G584" i="8"/>
  <c r="G583" i="8"/>
  <c r="G582" i="8"/>
  <c r="G580" i="8"/>
  <c r="G579" i="8"/>
  <c r="G578" i="8"/>
  <c r="G577" i="8"/>
  <c r="G576" i="8"/>
  <c r="G575" i="8"/>
  <c r="G574" i="8"/>
  <c r="G573" i="8"/>
  <c r="G572" i="8"/>
  <c r="G571" i="8"/>
  <c r="G570" i="8"/>
  <c r="G569" i="8"/>
  <c r="G568" i="8"/>
  <c r="G567" i="8"/>
  <c r="G566" i="8"/>
  <c r="G565" i="8"/>
  <c r="G564" i="8"/>
  <c r="G563" i="8"/>
  <c r="G562" i="8"/>
  <c r="G561" i="8"/>
  <c r="G560" i="8"/>
  <c r="G559" i="8"/>
  <c r="G558" i="8"/>
  <c r="G557" i="8"/>
  <c r="G556" i="8"/>
  <c r="G555" i="8"/>
  <c r="G554" i="8"/>
  <c r="G553" i="8"/>
  <c r="G552" i="8"/>
  <c r="G551" i="8"/>
  <c r="G550" i="8"/>
  <c r="G549" i="8"/>
  <c r="G548" i="8"/>
  <c r="G547" i="8"/>
  <c r="G546" i="8"/>
  <c r="G545" i="8"/>
  <c r="G544" i="8"/>
  <c r="G543" i="8"/>
  <c r="G542" i="8"/>
  <c r="G541" i="8"/>
  <c r="G539" i="8"/>
  <c r="G538" i="8"/>
  <c r="G537" i="8"/>
  <c r="G536" i="8"/>
  <c r="G535" i="8"/>
  <c r="G534" i="8"/>
  <c r="G533" i="8"/>
  <c r="G532" i="8"/>
  <c r="G531" i="8"/>
  <c r="G530" i="8"/>
  <c r="G529" i="8"/>
  <c r="G528" i="8"/>
  <c r="G527" i="8"/>
  <c r="G526" i="8"/>
  <c r="G525" i="8"/>
  <c r="G524" i="8"/>
  <c r="G523" i="8"/>
  <c r="G522" i="8"/>
  <c r="G521" i="8"/>
  <c r="G520" i="8"/>
  <c r="G519" i="8"/>
  <c r="G518" i="8"/>
  <c r="G517" i="8"/>
  <c r="G516" i="8"/>
  <c r="G515" i="8"/>
  <c r="G514" i="8"/>
  <c r="G513" i="8"/>
  <c r="G512" i="8"/>
  <c r="G511" i="8"/>
  <c r="G510" i="8"/>
  <c r="G509" i="8"/>
  <c r="G508" i="8"/>
  <c r="G507" i="8"/>
  <c r="G506" i="8"/>
  <c r="G505" i="8"/>
  <c r="G504" i="8"/>
  <c r="G503" i="8"/>
  <c r="G502" i="8"/>
  <c r="G501" i="8"/>
  <c r="G500" i="8"/>
  <c r="G499" i="8"/>
  <c r="G498" i="8"/>
  <c r="G497" i="8"/>
  <c r="G496" i="8"/>
  <c r="G494" i="8"/>
  <c r="G493" i="8"/>
  <c r="G492" i="8"/>
  <c r="G491" i="8"/>
  <c r="G490" i="8"/>
  <c r="G489" i="8"/>
  <c r="G488" i="8"/>
  <c r="G487" i="8"/>
  <c r="G486" i="8"/>
  <c r="G485" i="8"/>
  <c r="G484" i="8"/>
  <c r="G483" i="8"/>
  <c r="G482" i="8"/>
  <c r="G481" i="8"/>
  <c r="G480" i="8"/>
  <c r="G479" i="8"/>
  <c r="G478" i="8"/>
  <c r="G476" i="8"/>
  <c r="G475" i="8"/>
  <c r="G474" i="8"/>
  <c r="G473" i="8"/>
  <c r="G472" i="8"/>
  <c r="G471" i="8"/>
  <c r="G470" i="8"/>
  <c r="G469" i="8"/>
  <c r="G468" i="8"/>
  <c r="G467" i="8"/>
  <c r="G466" i="8"/>
  <c r="G465" i="8"/>
  <c r="G464" i="8"/>
  <c r="G463" i="8"/>
  <c r="G462" i="8"/>
  <c r="G461" i="8"/>
  <c r="G460" i="8"/>
  <c r="G459" i="8"/>
  <c r="G458" i="8"/>
  <c r="G457" i="8"/>
  <c r="G456" i="8"/>
  <c r="G455" i="8"/>
  <c r="G454" i="8"/>
  <c r="G453" i="8"/>
  <c r="G452" i="8"/>
  <c r="G451" i="8"/>
  <c r="G450" i="8"/>
  <c r="G449" i="8"/>
  <c r="G448" i="8"/>
  <c r="G447" i="8"/>
  <c r="G446" i="8"/>
  <c r="G445" i="8"/>
  <c r="G444" i="8"/>
  <c r="G443" i="8"/>
  <c r="G442" i="8"/>
  <c r="G441" i="8"/>
  <c r="G439" i="8"/>
  <c r="G438" i="8"/>
  <c r="G437" i="8"/>
  <c r="G436" i="8"/>
  <c r="G435" i="8"/>
  <c r="G434" i="8"/>
  <c r="G433" i="8"/>
  <c r="G432" i="8"/>
  <c r="G431" i="8"/>
  <c r="G429" i="8"/>
  <c r="G428" i="8"/>
  <c r="G427" i="8"/>
  <c r="G426" i="8"/>
  <c r="G425" i="8"/>
  <c r="G424" i="8"/>
  <c r="G423" i="8"/>
  <c r="G422" i="8"/>
  <c r="G421" i="8"/>
  <c r="G420" i="8"/>
  <c r="G419" i="8"/>
  <c r="G418" i="8"/>
  <c r="G417" i="8"/>
  <c r="G416" i="8"/>
  <c r="G415" i="8"/>
  <c r="G414" i="8"/>
  <c r="G413" i="8"/>
  <c r="G412" i="8"/>
  <c r="G411" i="8"/>
  <c r="G410" i="8"/>
  <c r="G409" i="8"/>
  <c r="G408" i="8"/>
  <c r="G407" i="8"/>
  <c r="G405" i="8"/>
  <c r="G404" i="8"/>
  <c r="G403" i="8"/>
  <c r="G402" i="8"/>
  <c r="G401" i="8"/>
  <c r="G400" i="8"/>
  <c r="G399" i="8"/>
  <c r="G398" i="8"/>
  <c r="G397" i="8"/>
  <c r="G396" i="8"/>
  <c r="G395" i="8"/>
  <c r="G393" i="8"/>
  <c r="G392" i="8"/>
  <c r="G391" i="8"/>
  <c r="G390" i="8"/>
  <c r="G389" i="8"/>
  <c r="G388" i="8"/>
  <c r="G387" i="8"/>
  <c r="G386" i="8"/>
  <c r="G385" i="8"/>
  <c r="G384" i="8"/>
  <c r="G383" i="8"/>
  <c r="G382" i="8"/>
  <c r="G381" i="8"/>
  <c r="G380" i="8"/>
  <c r="G379" i="8"/>
  <c r="G378" i="8"/>
  <c r="G377" i="8"/>
  <c r="G376" i="8"/>
  <c r="G374" i="8"/>
  <c r="G373" i="8"/>
  <c r="G372" i="8"/>
  <c r="G370" i="8"/>
  <c r="G369" i="8"/>
  <c r="G368" i="8"/>
  <c r="G367" i="8"/>
  <c r="G366" i="8"/>
  <c r="G365" i="8"/>
  <c r="G364" i="8"/>
  <c r="G363" i="8"/>
  <c r="G362" i="8"/>
  <c r="G361" i="8"/>
  <c r="G360" i="8"/>
  <c r="G359" i="8"/>
  <c r="G358" i="8"/>
  <c r="G357" i="8"/>
  <c r="G356" i="8"/>
  <c r="G355" i="8"/>
  <c r="G354" i="8"/>
  <c r="G353" i="8"/>
  <c r="G352" i="8"/>
  <c r="G351" i="8"/>
  <c r="G350" i="8"/>
  <c r="G349" i="8"/>
  <c r="G348" i="8"/>
  <c r="G347" i="8"/>
  <c r="G346" i="8"/>
  <c r="G345" i="8"/>
  <c r="G344" i="8"/>
  <c r="G343" i="8"/>
  <c r="G342" i="8"/>
  <c r="G341" i="8"/>
  <c r="G340" i="8"/>
  <c r="G339" i="8"/>
  <c r="G338" i="8"/>
  <c r="G337" i="8"/>
  <c r="G336" i="8"/>
  <c r="G335" i="8"/>
  <c r="G332" i="8"/>
  <c r="G331" i="8"/>
  <c r="G329" i="8"/>
  <c r="G328" i="8"/>
  <c r="G327" i="8"/>
  <c r="G326" i="8"/>
  <c r="G325" i="8"/>
  <c r="G318" i="8"/>
  <c r="G317" i="8"/>
  <c r="G313" i="8"/>
  <c r="G312" i="8"/>
  <c r="G310" i="8"/>
  <c r="G309" i="8"/>
  <c r="G308" i="8"/>
  <c r="G307" i="8"/>
  <c r="G306" i="8"/>
  <c r="G305" i="8"/>
  <c r="G304" i="8"/>
  <c r="G303" i="8"/>
  <c r="G302" i="8"/>
  <c r="G301" i="8"/>
  <c r="G300" i="8"/>
  <c r="G299" i="8"/>
  <c r="G298" i="8"/>
  <c r="G297" i="8"/>
  <c r="G296" i="8"/>
  <c r="G295" i="8"/>
  <c r="G294" i="8"/>
  <c r="G293" i="8"/>
  <c r="G292" i="8"/>
  <c r="G291" i="8"/>
  <c r="G290" i="8"/>
  <c r="G289" i="8"/>
  <c r="G288" i="8"/>
  <c r="G287"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315" i="8"/>
  <c r="G255" i="8"/>
  <c r="G254" i="8"/>
  <c r="G252" i="8"/>
  <c r="G251" i="8"/>
  <c r="G250" i="8"/>
  <c r="G249" i="8"/>
  <c r="G248" i="8"/>
  <c r="G247" i="8"/>
  <c r="G246" i="8"/>
  <c r="G245" i="8"/>
  <c r="G244" i="8"/>
  <c r="G243"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6" i="8"/>
  <c r="G205" i="8"/>
  <c r="G204" i="8"/>
  <c r="G203" i="8"/>
  <c r="G202" i="8"/>
  <c r="G201" i="8"/>
  <c r="G200" i="8"/>
  <c r="G199" i="8"/>
  <c r="G198" i="8"/>
  <c r="G196" i="8"/>
  <c r="G195" i="8"/>
  <c r="G194" i="8"/>
  <c r="G193" i="8"/>
  <c r="G192" i="8"/>
  <c r="G191" i="8"/>
  <c r="G190" i="8"/>
  <c r="G189" i="8"/>
  <c r="G187" i="8"/>
  <c r="G186" i="8"/>
  <c r="G185" i="8"/>
  <c r="G184" i="8"/>
  <c r="G183" i="8"/>
  <c r="G182" i="8"/>
  <c r="G181" i="8"/>
  <c r="G180" i="8"/>
  <c r="G176" i="8"/>
  <c r="G173" i="8"/>
  <c r="G174" i="8"/>
  <c r="G169" i="8"/>
  <c r="G168" i="8"/>
  <c r="G167" i="8"/>
  <c r="G166" i="8"/>
  <c r="G165" i="8"/>
  <c r="G164" i="8"/>
  <c r="G163" i="8"/>
  <c r="G162" i="8"/>
  <c r="G161" i="8"/>
  <c r="G159" i="8"/>
  <c r="G158" i="8"/>
  <c r="G157" i="8"/>
  <c r="G156" i="8"/>
  <c r="G155" i="8"/>
  <c r="G154" i="8"/>
  <c r="G153" i="8"/>
  <c r="G152" i="8"/>
  <c r="G151" i="8"/>
  <c r="G132"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39" i="8"/>
  <c r="G38" i="8"/>
  <c r="G36" i="8"/>
  <c r="G35" i="8"/>
  <c r="G34" i="8"/>
  <c r="G32" i="8"/>
  <c r="G31" i="8"/>
  <c r="G30" i="8"/>
  <c r="G29" i="8"/>
  <c r="G28" i="8"/>
  <c r="G27" i="8"/>
  <c r="G26" i="8"/>
  <c r="G25" i="8"/>
  <c r="G24" i="8"/>
  <c r="G23" i="8"/>
  <c r="G22" i="8"/>
  <c r="G21" i="8"/>
  <c r="G20" i="8"/>
  <c r="G19" i="8"/>
  <c r="G18" i="8"/>
  <c r="G17" i="8"/>
  <c r="G16" i="8"/>
  <c r="G737" i="6"/>
  <c r="G736" i="6"/>
  <c r="G735" i="6"/>
  <c r="G734" i="6"/>
  <c r="G733" i="6"/>
  <c r="G732" i="6"/>
  <c r="G731" i="6"/>
  <c r="G730" i="6"/>
  <c r="G729" i="6"/>
  <c r="G728" i="6"/>
  <c r="G727" i="6"/>
  <c r="G726" i="6"/>
  <c r="G725" i="6"/>
  <c r="G724" i="6"/>
  <c r="G723" i="6"/>
  <c r="G722" i="6"/>
  <c r="G721" i="6"/>
  <c r="G720" i="6"/>
  <c r="G719" i="6"/>
  <c r="G718" i="6"/>
  <c r="G717" i="6"/>
  <c r="G716" i="6"/>
  <c r="G714" i="6"/>
  <c r="G713" i="6"/>
  <c r="G712" i="6"/>
  <c r="G711" i="6"/>
  <c r="G710" i="6"/>
  <c r="G709" i="6"/>
  <c r="G708" i="6"/>
  <c r="G707" i="6"/>
  <c r="G706" i="6"/>
  <c r="G705" i="6"/>
  <c r="G704" i="6"/>
  <c r="G703" i="6"/>
  <c r="G702" i="6"/>
  <c r="G701" i="6"/>
  <c r="G700" i="6"/>
  <c r="G699" i="6"/>
  <c r="G698" i="6"/>
  <c r="G697" i="6"/>
  <c r="G696" i="6"/>
  <c r="G695" i="6"/>
  <c r="G694" i="6"/>
  <c r="G693" i="6"/>
  <c r="G691" i="6"/>
  <c r="G689" i="6"/>
  <c r="G688" i="6"/>
  <c r="G687" i="6"/>
  <c r="G686" i="6"/>
  <c r="G685" i="6"/>
  <c r="G683" i="6"/>
  <c r="G682" i="6"/>
  <c r="G681" i="6"/>
  <c r="G680" i="6"/>
  <c r="G679" i="6"/>
  <c r="G678" i="6"/>
  <c r="G677" i="6"/>
  <c r="G676" i="6"/>
  <c r="G675" i="6"/>
  <c r="G673" i="6"/>
  <c r="G672" i="6"/>
  <c r="G671" i="6"/>
  <c r="G670" i="6"/>
  <c r="G669" i="6"/>
  <c r="G668" i="6"/>
  <c r="G667" i="6"/>
  <c r="G666" i="6"/>
  <c r="G665" i="6"/>
  <c r="G663" i="6"/>
  <c r="G662" i="6"/>
  <c r="G661" i="6"/>
  <c r="G660" i="6"/>
  <c r="G659" i="6"/>
  <c r="G658" i="6"/>
  <c r="G657" i="6"/>
  <c r="G656" i="6"/>
  <c r="G655" i="6"/>
  <c r="G654" i="6"/>
  <c r="G653" i="6"/>
  <c r="G652" i="6"/>
  <c r="G651" i="6"/>
  <c r="G650" i="6"/>
  <c r="G649" i="6"/>
  <c r="G648" i="6"/>
  <c r="G647" i="6"/>
  <c r="G646" i="6"/>
  <c r="G645" i="6"/>
  <c r="G644" i="6"/>
  <c r="G642" i="6"/>
  <c r="G640" i="6"/>
  <c r="G639" i="6"/>
  <c r="G637" i="6"/>
  <c r="G636" i="6"/>
  <c r="G635" i="6"/>
  <c r="G634" i="6"/>
  <c r="G633" i="6"/>
  <c r="G632" i="6"/>
  <c r="G631" i="6"/>
  <c r="G630" i="6"/>
  <c r="G629" i="6"/>
  <c r="G628" i="6"/>
  <c r="G627" i="6"/>
  <c r="G626" i="6"/>
  <c r="G623" i="6"/>
  <c r="G622" i="6"/>
  <c r="G621" i="6"/>
  <c r="G620" i="6"/>
  <c r="G619" i="6"/>
  <c r="G618" i="6"/>
  <c r="G617" i="6"/>
  <c r="G616" i="6"/>
  <c r="G615" i="6"/>
  <c r="G614" i="6"/>
  <c r="G613" i="6"/>
  <c r="G612" i="6"/>
  <c r="G611" i="6"/>
  <c r="G610" i="6"/>
  <c r="G609" i="6"/>
  <c r="G608" i="6"/>
  <c r="G607" i="6"/>
  <c r="G606" i="6"/>
  <c r="G604" i="6"/>
  <c r="G603" i="6"/>
  <c r="G602" i="6"/>
  <c r="G601" i="6"/>
  <c r="G600" i="6"/>
  <c r="G599" i="6"/>
  <c r="G598" i="6"/>
  <c r="G597" i="6"/>
  <c r="G596" i="6"/>
  <c r="G595" i="6"/>
  <c r="G594" i="6"/>
  <c r="G593" i="6"/>
  <c r="G592" i="6"/>
  <c r="G591" i="6"/>
  <c r="G590" i="6"/>
  <c r="G589" i="6"/>
  <c r="G588" i="6"/>
  <c r="G587" i="6"/>
  <c r="G586" i="6"/>
  <c r="G585" i="6"/>
  <c r="G584" i="6"/>
  <c r="G583" i="6"/>
  <c r="G582" i="6"/>
  <c r="G580" i="6"/>
  <c r="G579" i="6"/>
  <c r="G578" i="6"/>
  <c r="G577" i="6"/>
  <c r="G576" i="6"/>
  <c r="G575" i="6"/>
  <c r="G574" i="6"/>
  <c r="G573" i="6"/>
  <c r="G572" i="6"/>
  <c r="G571" i="6"/>
  <c r="G570" i="6"/>
  <c r="G569" i="6"/>
  <c r="G568" i="6"/>
  <c r="G567" i="6"/>
  <c r="G566" i="6"/>
  <c r="G565" i="6"/>
  <c r="G564" i="6"/>
  <c r="G563" i="6"/>
  <c r="G562" i="6"/>
  <c r="G561" i="6"/>
  <c r="G560" i="6"/>
  <c r="G559" i="6"/>
  <c r="G558" i="6"/>
  <c r="G557" i="6"/>
  <c r="G556" i="6"/>
  <c r="G555" i="6"/>
  <c r="G554" i="6"/>
  <c r="G553" i="6"/>
  <c r="G552" i="6"/>
  <c r="G551" i="6"/>
  <c r="G550" i="6"/>
  <c r="G549" i="6"/>
  <c r="G548" i="6"/>
  <c r="G547" i="6"/>
  <c r="G546" i="6"/>
  <c r="G545" i="6"/>
  <c r="G544" i="6"/>
  <c r="G543" i="6"/>
  <c r="G542" i="6"/>
  <c r="G541" i="6"/>
  <c r="G539" i="6"/>
  <c r="G538" i="6"/>
  <c r="G537" i="6"/>
  <c r="G536" i="6"/>
  <c r="G535" i="6"/>
  <c r="G534" i="6"/>
  <c r="G533" i="6"/>
  <c r="G532" i="6"/>
  <c r="G531" i="6"/>
  <c r="G530" i="6"/>
  <c r="G529" i="6"/>
  <c r="G528" i="6"/>
  <c r="G527" i="6"/>
  <c r="G526" i="6"/>
  <c r="G525" i="6"/>
  <c r="G524" i="6"/>
  <c r="G523" i="6"/>
  <c r="G522" i="6"/>
  <c r="G521" i="6"/>
  <c r="G520" i="6"/>
  <c r="G519" i="6"/>
  <c r="G518" i="6"/>
  <c r="G517" i="6"/>
  <c r="G516" i="6"/>
  <c r="G515" i="6"/>
  <c r="G514" i="6"/>
  <c r="G513" i="6"/>
  <c r="G512" i="6"/>
  <c r="G511" i="6"/>
  <c r="G510" i="6"/>
  <c r="G509" i="6"/>
  <c r="G508" i="6"/>
  <c r="G507" i="6"/>
  <c r="G506" i="6"/>
  <c r="G505" i="6"/>
  <c r="G504" i="6"/>
  <c r="G503" i="6"/>
  <c r="G502" i="6"/>
  <c r="G501" i="6"/>
  <c r="G500" i="6"/>
  <c r="G499" i="6"/>
  <c r="G498" i="6"/>
  <c r="G497" i="6"/>
  <c r="G496" i="6"/>
  <c r="G494" i="6"/>
  <c r="G493" i="6"/>
  <c r="G492" i="6"/>
  <c r="G491" i="6"/>
  <c r="G490" i="6"/>
  <c r="G489" i="6"/>
  <c r="G488" i="6"/>
  <c r="G487" i="6"/>
  <c r="G486" i="6"/>
  <c r="G485" i="6"/>
  <c r="G484" i="6"/>
  <c r="G483" i="6"/>
  <c r="G482" i="6"/>
  <c r="G481" i="6"/>
  <c r="G480" i="6"/>
  <c r="G479" i="6"/>
  <c r="G478" i="6"/>
  <c r="G476" i="6"/>
  <c r="G475" i="6"/>
  <c r="G474" i="6"/>
  <c r="G473" i="6"/>
  <c r="G472" i="6"/>
  <c r="G471" i="6"/>
  <c r="G470" i="6"/>
  <c r="G469" i="6"/>
  <c r="G468" i="6"/>
  <c r="G467" i="6"/>
  <c r="G466" i="6"/>
  <c r="G465" i="6"/>
  <c r="G464" i="6"/>
  <c r="G463" i="6"/>
  <c r="G462" i="6"/>
  <c r="G461" i="6"/>
  <c r="G460" i="6"/>
  <c r="G459" i="6"/>
  <c r="G458" i="6"/>
  <c r="G457" i="6"/>
  <c r="G456" i="6"/>
  <c r="G455" i="6"/>
  <c r="G454" i="6"/>
  <c r="G453" i="6"/>
  <c r="G452" i="6"/>
  <c r="G451" i="6"/>
  <c r="G450" i="6"/>
  <c r="G449" i="6"/>
  <c r="G448" i="6"/>
  <c r="G447" i="6"/>
  <c r="G446" i="6"/>
  <c r="G445" i="6"/>
  <c r="G444" i="6"/>
  <c r="G443" i="6"/>
  <c r="G442" i="6"/>
  <c r="G441" i="6"/>
  <c r="G439" i="6"/>
  <c r="G438" i="6"/>
  <c r="G437" i="6"/>
  <c r="G436" i="6"/>
  <c r="G435" i="6"/>
  <c r="G434" i="6"/>
  <c r="G433" i="6"/>
  <c r="G432" i="6"/>
  <c r="G431" i="6"/>
  <c r="G429" i="6"/>
  <c r="G428" i="6"/>
  <c r="G427" i="6"/>
  <c r="G426" i="6"/>
  <c r="G425" i="6"/>
  <c r="G424" i="6"/>
  <c r="G423" i="6"/>
  <c r="G422" i="6"/>
  <c r="G421" i="6"/>
  <c r="G420" i="6"/>
  <c r="G419" i="6"/>
  <c r="G418" i="6"/>
  <c r="G417" i="6"/>
  <c r="G416" i="6"/>
  <c r="G415" i="6"/>
  <c r="G414" i="6"/>
  <c r="G413" i="6"/>
  <c r="G412" i="6"/>
  <c r="G411" i="6"/>
  <c r="G410" i="6"/>
  <c r="G409" i="6"/>
  <c r="G408" i="6"/>
  <c r="G407" i="6"/>
  <c r="G405" i="6"/>
  <c r="G404" i="6"/>
  <c r="G403" i="6"/>
  <c r="G402" i="6"/>
  <c r="G401" i="6"/>
  <c r="G400" i="6"/>
  <c r="G399" i="6"/>
  <c r="G398" i="6"/>
  <c r="G397" i="6"/>
  <c r="G396" i="6"/>
  <c r="G395" i="6"/>
  <c r="G393" i="6"/>
  <c r="G392" i="6"/>
  <c r="G391" i="6"/>
  <c r="G390" i="6"/>
  <c r="G389" i="6"/>
  <c r="G388" i="6"/>
  <c r="G387" i="6"/>
  <c r="G386" i="6"/>
  <c r="G385" i="6"/>
  <c r="G384" i="6"/>
  <c r="G383" i="6"/>
  <c r="G382" i="6"/>
  <c r="G381" i="6"/>
  <c r="G380" i="6"/>
  <c r="G379" i="6"/>
  <c r="G378" i="6"/>
  <c r="G377" i="6"/>
  <c r="G376" i="6"/>
  <c r="G374" i="6"/>
  <c r="G373" i="6"/>
  <c r="G372" i="6"/>
  <c r="G370" i="6"/>
  <c r="G369" i="6"/>
  <c r="G368" i="6"/>
  <c r="G367" i="6"/>
  <c r="G366" i="6"/>
  <c r="G365" i="6"/>
  <c r="G364" i="6"/>
  <c r="G363" i="6"/>
  <c r="G362" i="6"/>
  <c r="G361" i="6"/>
  <c r="G360" i="6"/>
  <c r="G359" i="6"/>
  <c r="G358" i="6"/>
  <c r="G357" i="6"/>
  <c r="G356" i="6"/>
  <c r="G355" i="6"/>
  <c r="G354" i="6"/>
  <c r="G353" i="6"/>
  <c r="G352" i="6"/>
  <c r="G351" i="6"/>
  <c r="G350" i="6"/>
  <c r="G349" i="6"/>
  <c r="G348" i="6"/>
  <c r="G347" i="6"/>
  <c r="G346" i="6"/>
  <c r="G345" i="6"/>
  <c r="G344" i="6"/>
  <c r="G343" i="6"/>
  <c r="G342" i="6"/>
  <c r="G341" i="6"/>
  <c r="G340" i="6"/>
  <c r="G339" i="6"/>
  <c r="G338" i="6"/>
  <c r="G337" i="6"/>
  <c r="G336" i="6"/>
  <c r="G335" i="6"/>
  <c r="G332" i="6"/>
  <c r="G331" i="6"/>
  <c r="G330" i="6"/>
  <c r="G329" i="6"/>
  <c r="G328" i="6"/>
  <c r="G327" i="6"/>
  <c r="G326" i="6"/>
  <c r="G325" i="6"/>
  <c r="G318" i="6"/>
  <c r="G317" i="6"/>
  <c r="G323" i="6"/>
  <c r="G313" i="6"/>
  <c r="G312" i="6"/>
  <c r="G310" i="6"/>
  <c r="G309" i="6"/>
  <c r="G308" i="6"/>
  <c r="G307" i="6"/>
  <c r="G306" i="6"/>
  <c r="G305" i="6"/>
  <c r="G304" i="6"/>
  <c r="G303" i="6"/>
  <c r="G302" i="6"/>
  <c r="G301" i="6"/>
  <c r="G300" i="6"/>
  <c r="G299" i="6"/>
  <c r="G298" i="6"/>
  <c r="G297" i="6"/>
  <c r="G296" i="6"/>
  <c r="G295" i="6"/>
  <c r="G294" i="6"/>
  <c r="G293" i="6"/>
  <c r="G292" i="6"/>
  <c r="G291" i="6"/>
  <c r="G290" i="6"/>
  <c r="G289" i="6"/>
  <c r="G288" i="6"/>
  <c r="G287" i="6"/>
  <c r="G285" i="6"/>
  <c r="G284" i="6"/>
  <c r="G283" i="6"/>
  <c r="G282" i="6"/>
  <c r="G281" i="6"/>
  <c r="G280" i="6"/>
  <c r="G279" i="6"/>
  <c r="G278" i="6"/>
  <c r="G277" i="6"/>
  <c r="G276" i="6"/>
  <c r="G275" i="6"/>
  <c r="G274" i="6"/>
  <c r="G273" i="6"/>
  <c r="G272" i="6"/>
  <c r="G271" i="6"/>
  <c r="G270" i="6"/>
  <c r="G269" i="6"/>
  <c r="G268" i="6"/>
  <c r="G267" i="6"/>
  <c r="G266" i="6"/>
  <c r="G265" i="6"/>
  <c r="G264" i="6"/>
  <c r="G263" i="6"/>
  <c r="G262" i="6"/>
  <c r="G261" i="6"/>
  <c r="G260" i="6"/>
  <c r="G259" i="6"/>
  <c r="G258" i="6"/>
  <c r="G257" i="6"/>
  <c r="G315" i="6"/>
  <c r="G255" i="6"/>
  <c r="G254" i="6"/>
  <c r="G252" i="6"/>
  <c r="G251" i="6"/>
  <c r="G250" i="6"/>
  <c r="G249" i="6"/>
  <c r="G248" i="6"/>
  <c r="G247" i="6"/>
  <c r="G246" i="6"/>
  <c r="G245" i="6"/>
  <c r="G244" i="6"/>
  <c r="G243" i="6"/>
  <c r="G241" i="6"/>
  <c r="G240" i="6"/>
  <c r="G239" i="6"/>
  <c r="G238" i="6"/>
  <c r="G237" i="6"/>
  <c r="G236" i="6"/>
  <c r="G235" i="6"/>
  <c r="G234" i="6"/>
  <c r="G233" i="6"/>
  <c r="G232" i="6"/>
  <c r="G231" i="6"/>
  <c r="G230" i="6"/>
  <c r="G229" i="6"/>
  <c r="G228" i="6"/>
  <c r="G227" i="6"/>
  <c r="G226" i="6"/>
  <c r="G225" i="6"/>
  <c r="G224" i="6"/>
  <c r="G223" i="6"/>
  <c r="G222" i="6"/>
  <c r="G221" i="6"/>
  <c r="G220" i="6"/>
  <c r="G219" i="6"/>
  <c r="G218" i="6"/>
  <c r="G217" i="6"/>
  <c r="G216" i="6"/>
  <c r="G215" i="6"/>
  <c r="G214" i="6"/>
  <c r="G213" i="6"/>
  <c r="G212" i="6"/>
  <c r="G211" i="6"/>
  <c r="G210" i="6"/>
  <c r="G209" i="6"/>
  <c r="G208" i="6"/>
  <c r="G206" i="6"/>
  <c r="G205" i="6"/>
  <c r="G204" i="6"/>
  <c r="G203" i="6"/>
  <c r="G202" i="6"/>
  <c r="G201" i="6"/>
  <c r="G200" i="6"/>
  <c r="G199" i="6"/>
  <c r="G198" i="6"/>
  <c r="G196" i="6"/>
  <c r="G195" i="6"/>
  <c r="G194" i="6"/>
  <c r="G193" i="6"/>
  <c r="G192" i="6"/>
  <c r="G191" i="6"/>
  <c r="G190" i="6"/>
  <c r="G189" i="6"/>
  <c r="G187" i="6"/>
  <c r="G186" i="6"/>
  <c r="G185" i="6"/>
  <c r="G184" i="6"/>
  <c r="G183" i="6"/>
  <c r="G182" i="6"/>
  <c r="G181" i="6"/>
  <c r="G180" i="6"/>
  <c r="G176" i="6"/>
  <c r="G175" i="6"/>
  <c r="G174" i="6"/>
  <c r="G169" i="6"/>
  <c r="G168" i="6"/>
  <c r="G167" i="6"/>
  <c r="G166" i="6"/>
  <c r="G165" i="6"/>
  <c r="G164" i="6"/>
  <c r="G163" i="6"/>
  <c r="G162" i="6"/>
  <c r="G161" i="6"/>
  <c r="G159" i="6"/>
  <c r="G158" i="6"/>
  <c r="G157" i="6"/>
  <c r="G156" i="6"/>
  <c r="G155" i="6"/>
  <c r="G154" i="6"/>
  <c r="G153" i="6"/>
  <c r="G152" i="6"/>
  <c r="G151" i="6"/>
  <c r="G132"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39" i="6"/>
  <c r="G38" i="6"/>
  <c r="G36" i="6"/>
  <c r="G35" i="6"/>
  <c r="G34" i="6"/>
  <c r="G32" i="6"/>
  <c r="G31" i="6"/>
  <c r="G30" i="6"/>
  <c r="G29" i="6"/>
  <c r="G28" i="6"/>
  <c r="G27" i="6"/>
  <c r="G26" i="6"/>
  <c r="G25" i="6"/>
  <c r="G24" i="6"/>
  <c r="G23" i="6"/>
  <c r="G22" i="6"/>
  <c r="G21" i="6"/>
  <c r="G20" i="6"/>
  <c r="G19" i="6"/>
  <c r="G18" i="6"/>
  <c r="G17" i="6"/>
  <c r="G16" i="6"/>
  <c r="G737" i="4"/>
  <c r="G736" i="4"/>
  <c r="G735" i="4"/>
  <c r="G734" i="4"/>
  <c r="G733" i="4"/>
  <c r="G732" i="4"/>
  <c r="G731" i="4"/>
  <c r="G730" i="4"/>
  <c r="G729" i="4"/>
  <c r="G728" i="4"/>
  <c r="G727" i="4"/>
  <c r="G726" i="4"/>
  <c r="G725" i="4"/>
  <c r="G724" i="4"/>
  <c r="G723" i="4"/>
  <c r="G722" i="4"/>
  <c r="G721" i="4"/>
  <c r="G720" i="4"/>
  <c r="G719" i="4"/>
  <c r="G718" i="4"/>
  <c r="G717" i="4"/>
  <c r="G716" i="4"/>
  <c r="G714" i="4"/>
  <c r="G713" i="4"/>
  <c r="G712" i="4"/>
  <c r="G711" i="4"/>
  <c r="G710" i="4"/>
  <c r="G709" i="4"/>
  <c r="G708" i="4"/>
  <c r="G707" i="4"/>
  <c r="G706" i="4"/>
  <c r="G705" i="4"/>
  <c r="G704" i="4"/>
  <c r="G703" i="4"/>
  <c r="G702" i="4"/>
  <c r="G701" i="4"/>
  <c r="G700" i="4"/>
  <c r="G699" i="4"/>
  <c r="G698" i="4"/>
  <c r="G697" i="4"/>
  <c r="G696" i="4"/>
  <c r="G695" i="4"/>
  <c r="G694" i="4"/>
  <c r="G693" i="4"/>
  <c r="G691" i="4"/>
  <c r="G689" i="4"/>
  <c r="G688" i="4"/>
  <c r="G687" i="4"/>
  <c r="G686" i="4"/>
  <c r="G685" i="4"/>
  <c r="G683" i="4"/>
  <c r="G682" i="4"/>
  <c r="G681" i="4"/>
  <c r="G680" i="4"/>
  <c r="G679" i="4"/>
  <c r="G678" i="4"/>
  <c r="G677" i="4"/>
  <c r="G676" i="4"/>
  <c r="G675" i="4"/>
  <c r="G673" i="4"/>
  <c r="G672" i="4"/>
  <c r="G671" i="4"/>
  <c r="G670" i="4"/>
  <c r="G669" i="4"/>
  <c r="G668" i="4"/>
  <c r="G667" i="4"/>
  <c r="G666" i="4"/>
  <c r="G665" i="4"/>
  <c r="G663" i="4"/>
  <c r="G662" i="4"/>
  <c r="G661" i="4"/>
  <c r="G660" i="4"/>
  <c r="G659" i="4"/>
  <c r="G658" i="4"/>
  <c r="G657" i="4"/>
  <c r="G656" i="4"/>
  <c r="G655" i="4"/>
  <c r="G654" i="4"/>
  <c r="G653" i="4"/>
  <c r="G652" i="4"/>
  <c r="G651" i="4"/>
  <c r="G650" i="4"/>
  <c r="G649" i="4"/>
  <c r="G648" i="4"/>
  <c r="G647" i="4"/>
  <c r="G646" i="4"/>
  <c r="G645" i="4"/>
  <c r="G644" i="4"/>
  <c r="G642" i="4"/>
  <c r="G640" i="4"/>
  <c r="G637" i="4"/>
  <c r="G636" i="4"/>
  <c r="G635" i="4"/>
  <c r="G634" i="4"/>
  <c r="G633" i="4"/>
  <c r="G632" i="4"/>
  <c r="G631" i="4"/>
  <c r="G630" i="4"/>
  <c r="G629" i="4"/>
  <c r="G628" i="4"/>
  <c r="G627" i="4"/>
  <c r="G626" i="4"/>
  <c r="G623" i="4"/>
  <c r="G622" i="4"/>
  <c r="G621" i="4"/>
  <c r="G620" i="4"/>
  <c r="G619" i="4"/>
  <c r="G618" i="4"/>
  <c r="G617" i="4"/>
  <c r="G616" i="4"/>
  <c r="G615" i="4"/>
  <c r="G614" i="4"/>
  <c r="G613" i="4"/>
  <c r="G612" i="4"/>
  <c r="G611" i="4"/>
  <c r="G610" i="4"/>
  <c r="G609" i="4"/>
  <c r="G608" i="4"/>
  <c r="G607" i="4"/>
  <c r="G606" i="4"/>
  <c r="G604" i="4"/>
  <c r="G603" i="4"/>
  <c r="G602" i="4"/>
  <c r="G601" i="4"/>
  <c r="G600" i="4"/>
  <c r="G599" i="4"/>
  <c r="G598" i="4"/>
  <c r="G597" i="4"/>
  <c r="G596" i="4"/>
  <c r="G595" i="4"/>
  <c r="G594" i="4"/>
  <c r="G593" i="4"/>
  <c r="G592" i="4"/>
  <c r="G591" i="4"/>
  <c r="G590" i="4"/>
  <c r="G589" i="4"/>
  <c r="G588" i="4"/>
  <c r="G587" i="4"/>
  <c r="G586" i="4"/>
  <c r="G585" i="4"/>
  <c r="G584" i="4"/>
  <c r="G583" i="4"/>
  <c r="G582"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4" i="4"/>
  <c r="G493" i="4"/>
  <c r="G492" i="4"/>
  <c r="G491" i="4"/>
  <c r="G490" i="4"/>
  <c r="G489" i="4"/>
  <c r="G488" i="4"/>
  <c r="G487" i="4"/>
  <c r="G486" i="4"/>
  <c r="G485" i="4"/>
  <c r="G484" i="4"/>
  <c r="G483" i="4"/>
  <c r="G482" i="4"/>
  <c r="G481" i="4"/>
  <c r="G480" i="4"/>
  <c r="G479" i="4"/>
  <c r="G478"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39" i="4"/>
  <c r="G438" i="4"/>
  <c r="G437" i="4"/>
  <c r="G436" i="4"/>
  <c r="G435" i="4"/>
  <c r="G434" i="4"/>
  <c r="G433" i="4"/>
  <c r="G432" i="4"/>
  <c r="G431" i="4"/>
  <c r="G429" i="4"/>
  <c r="G428" i="4"/>
  <c r="G427" i="4"/>
  <c r="G426" i="4"/>
  <c r="G425" i="4"/>
  <c r="G424" i="4"/>
  <c r="G423" i="4"/>
  <c r="G422" i="4"/>
  <c r="G421" i="4"/>
  <c r="G420" i="4"/>
  <c r="G419" i="4"/>
  <c r="G418" i="4"/>
  <c r="G417" i="4"/>
  <c r="G416" i="4"/>
  <c r="G415" i="4"/>
  <c r="G414" i="4"/>
  <c r="G413" i="4"/>
  <c r="G412" i="4"/>
  <c r="G411" i="4"/>
  <c r="G410" i="4"/>
  <c r="G409" i="4"/>
  <c r="G408" i="4"/>
  <c r="G407" i="4"/>
  <c r="G405" i="4"/>
  <c r="G404" i="4"/>
  <c r="G403" i="4"/>
  <c r="G402" i="4"/>
  <c r="G401" i="4"/>
  <c r="G400" i="4"/>
  <c r="G399" i="4"/>
  <c r="G398" i="4"/>
  <c r="G397" i="4"/>
  <c r="G396" i="4"/>
  <c r="G395" i="4"/>
  <c r="G393" i="4"/>
  <c r="G392" i="4"/>
  <c r="G391" i="4"/>
  <c r="G390" i="4"/>
  <c r="G389" i="4"/>
  <c r="G388" i="4"/>
  <c r="G387" i="4"/>
  <c r="G386" i="4"/>
  <c r="G385" i="4"/>
  <c r="G384" i="4"/>
  <c r="G383" i="4"/>
  <c r="G382" i="4"/>
  <c r="G381" i="4"/>
  <c r="G380" i="4"/>
  <c r="G379" i="4"/>
  <c r="G378" i="4"/>
  <c r="G377" i="4"/>
  <c r="G376" i="4"/>
  <c r="G374" i="4"/>
  <c r="G373" i="4"/>
  <c r="G372"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2" i="4"/>
  <c r="G331" i="4"/>
  <c r="G314" i="4"/>
  <c r="G329" i="4"/>
  <c r="G328" i="4"/>
  <c r="G327" i="4"/>
  <c r="G326" i="4"/>
  <c r="G325" i="4"/>
  <c r="G318" i="4"/>
  <c r="G317" i="4"/>
  <c r="G323" i="4"/>
  <c r="G313" i="4"/>
  <c r="G312" i="4"/>
  <c r="G310" i="4"/>
  <c r="G309" i="4"/>
  <c r="G308" i="4"/>
  <c r="G307" i="4"/>
  <c r="G306" i="4"/>
  <c r="G305" i="4"/>
  <c r="G304" i="4"/>
  <c r="G303" i="4"/>
  <c r="G302" i="4"/>
  <c r="G301" i="4"/>
  <c r="G300" i="4"/>
  <c r="G299" i="4"/>
  <c r="G298" i="4"/>
  <c r="G297" i="4"/>
  <c r="G296" i="4"/>
  <c r="G295" i="4"/>
  <c r="G294" i="4"/>
  <c r="G293" i="4"/>
  <c r="G292" i="4"/>
  <c r="G291" i="4"/>
  <c r="G290" i="4"/>
  <c r="G289" i="4"/>
  <c r="G288" i="4"/>
  <c r="G287"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315" i="4"/>
  <c r="G255" i="4"/>
  <c r="G254" i="4"/>
  <c r="G252" i="4"/>
  <c r="G251" i="4"/>
  <c r="G250" i="4"/>
  <c r="G249" i="4"/>
  <c r="G248" i="4"/>
  <c r="G247" i="4"/>
  <c r="G246" i="4"/>
  <c r="G245" i="4"/>
  <c r="G244" i="4"/>
  <c r="G243"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6" i="4"/>
  <c r="G205" i="4"/>
  <c r="G204" i="4"/>
  <c r="G203" i="4"/>
  <c r="G202" i="4"/>
  <c r="G201" i="4"/>
  <c r="G200" i="4"/>
  <c r="G199" i="4"/>
  <c r="G198" i="4"/>
  <c r="G196" i="4"/>
  <c r="G195" i="4"/>
  <c r="G194" i="4"/>
  <c r="G193" i="4"/>
  <c r="G192" i="4"/>
  <c r="G191" i="4"/>
  <c r="G190" i="4"/>
  <c r="G189" i="4"/>
  <c r="G187" i="4"/>
  <c r="G186" i="4"/>
  <c r="G185" i="4"/>
  <c r="G184" i="4"/>
  <c r="G183" i="4"/>
  <c r="G182" i="4"/>
  <c r="G181" i="4"/>
  <c r="G180" i="4"/>
  <c r="G176" i="4"/>
  <c r="G175" i="4"/>
  <c r="G174" i="4"/>
  <c r="G169" i="4"/>
  <c r="G168" i="4"/>
  <c r="G167" i="4"/>
  <c r="G166" i="4"/>
  <c r="G165" i="4"/>
  <c r="G164" i="4"/>
  <c r="G163" i="4"/>
  <c r="G162" i="4"/>
  <c r="G161" i="4"/>
  <c r="G159" i="4"/>
  <c r="G158" i="4"/>
  <c r="G157" i="4"/>
  <c r="G156" i="4"/>
  <c r="G155" i="4"/>
  <c r="G154" i="4"/>
  <c r="G153" i="4"/>
  <c r="G151" i="4"/>
  <c r="G132"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39" i="4"/>
  <c r="G37" i="4"/>
  <c r="G36" i="4"/>
  <c r="G35" i="4"/>
  <c r="G34" i="4"/>
  <c r="G32" i="4"/>
  <c r="G31" i="4"/>
  <c r="G30" i="4"/>
  <c r="G29" i="4"/>
  <c r="G28" i="4"/>
  <c r="G27" i="4"/>
  <c r="G26" i="4"/>
  <c r="G25" i="4"/>
  <c r="G24" i="4"/>
  <c r="G23" i="4"/>
  <c r="G22" i="4"/>
  <c r="G21" i="4"/>
  <c r="G20" i="4"/>
  <c r="G19" i="4"/>
  <c r="G18" i="4"/>
  <c r="G17" i="4"/>
  <c r="G16" i="4"/>
  <c r="G737" i="7"/>
  <c r="G736" i="7"/>
  <c r="G735" i="7"/>
  <c r="G734" i="7"/>
  <c r="G733" i="7"/>
  <c r="G732" i="7"/>
  <c r="G731" i="7"/>
  <c r="G730" i="7"/>
  <c r="G729" i="7"/>
  <c r="G728" i="7"/>
  <c r="G727" i="7"/>
  <c r="G726" i="7"/>
  <c r="G725" i="7"/>
  <c r="G724" i="7"/>
  <c r="G723" i="7"/>
  <c r="G722" i="7"/>
  <c r="G721" i="7"/>
  <c r="G720" i="7"/>
  <c r="G719" i="7"/>
  <c r="G718" i="7"/>
  <c r="G717" i="7"/>
  <c r="G716" i="7"/>
  <c r="G714" i="7"/>
  <c r="G713" i="7"/>
  <c r="G712" i="7"/>
  <c r="G711" i="7"/>
  <c r="G710" i="7"/>
  <c r="G709" i="7"/>
  <c r="G708" i="7"/>
  <c r="G707" i="7"/>
  <c r="G706" i="7"/>
  <c r="G705" i="7"/>
  <c r="G704" i="7"/>
  <c r="G703" i="7"/>
  <c r="G702" i="7"/>
  <c r="G701" i="7"/>
  <c r="G700" i="7"/>
  <c r="G699" i="7"/>
  <c r="G698" i="7"/>
  <c r="G697" i="7"/>
  <c r="G696" i="7"/>
  <c r="G695" i="7"/>
  <c r="G694" i="7"/>
  <c r="G693" i="7"/>
  <c r="G691" i="7"/>
  <c r="G689" i="7"/>
  <c r="G688" i="7"/>
  <c r="G687" i="7"/>
  <c r="G686" i="7"/>
  <c r="G685" i="7"/>
  <c r="G683" i="7"/>
  <c r="G682" i="7"/>
  <c r="G681" i="7"/>
  <c r="G680" i="7"/>
  <c r="G679" i="7"/>
  <c r="G678" i="7"/>
  <c r="G677" i="7"/>
  <c r="G676" i="7"/>
  <c r="G675" i="7"/>
  <c r="G673" i="7"/>
  <c r="G672" i="7"/>
  <c r="G671" i="7"/>
  <c r="G670" i="7"/>
  <c r="G669" i="7"/>
  <c r="G668" i="7"/>
  <c r="G667" i="7"/>
  <c r="G666" i="7"/>
  <c r="G665" i="7"/>
  <c r="G663" i="7"/>
  <c r="G662" i="7"/>
  <c r="G661" i="7"/>
  <c r="G660" i="7"/>
  <c r="G659" i="7"/>
  <c r="G658" i="7"/>
  <c r="G657" i="7"/>
  <c r="G656" i="7"/>
  <c r="G655" i="7"/>
  <c r="G654" i="7"/>
  <c r="G653" i="7"/>
  <c r="G652" i="7"/>
  <c r="G651" i="7"/>
  <c r="G650" i="7"/>
  <c r="G649" i="7"/>
  <c r="G648" i="7"/>
  <c r="G647" i="7"/>
  <c r="G646" i="7"/>
  <c r="G645" i="7"/>
  <c r="G644" i="7"/>
  <c r="G642" i="7"/>
  <c r="G640" i="7"/>
  <c r="G639" i="7"/>
  <c r="G637" i="7"/>
  <c r="G636" i="7"/>
  <c r="G635" i="7"/>
  <c r="G634" i="7"/>
  <c r="G633" i="7"/>
  <c r="G632" i="7"/>
  <c r="G631" i="7"/>
  <c r="G630" i="7"/>
  <c r="G629" i="7"/>
  <c r="G628" i="7"/>
  <c r="G627" i="7"/>
  <c r="G626" i="7"/>
  <c r="G623" i="7"/>
  <c r="G622" i="7"/>
  <c r="G621" i="7"/>
  <c r="G620" i="7"/>
  <c r="G619" i="7"/>
  <c r="G618" i="7"/>
  <c r="G617" i="7"/>
  <c r="G616" i="7"/>
  <c r="G615" i="7"/>
  <c r="G614" i="7"/>
  <c r="G613" i="7"/>
  <c r="G612" i="7"/>
  <c r="G611" i="7"/>
  <c r="G610" i="7"/>
  <c r="G609" i="7"/>
  <c r="G608" i="7"/>
  <c r="G607" i="7"/>
  <c r="G606" i="7"/>
  <c r="G604" i="7"/>
  <c r="G603" i="7"/>
  <c r="G602" i="7"/>
  <c r="G601" i="7"/>
  <c r="G600" i="7"/>
  <c r="G599" i="7"/>
  <c r="G598" i="7"/>
  <c r="G597" i="7"/>
  <c r="G596" i="7"/>
  <c r="G595" i="7"/>
  <c r="G594" i="7"/>
  <c r="G593" i="7"/>
  <c r="G592" i="7"/>
  <c r="G591" i="7"/>
  <c r="G590" i="7"/>
  <c r="G589" i="7"/>
  <c r="G588" i="7"/>
  <c r="G587" i="7"/>
  <c r="G586" i="7"/>
  <c r="G585" i="7"/>
  <c r="G584" i="7"/>
  <c r="G583" i="7"/>
  <c r="G582" i="7"/>
  <c r="G580" i="7"/>
  <c r="G579" i="7"/>
  <c r="G578" i="7"/>
  <c r="G577" i="7"/>
  <c r="G576" i="7"/>
  <c r="G575" i="7"/>
  <c r="G574" i="7"/>
  <c r="G573" i="7"/>
  <c r="G572" i="7"/>
  <c r="G571" i="7"/>
  <c r="G570" i="7"/>
  <c r="G569" i="7"/>
  <c r="G568" i="7"/>
  <c r="G567" i="7"/>
  <c r="G566" i="7"/>
  <c r="G565" i="7"/>
  <c r="G564" i="7"/>
  <c r="G563" i="7"/>
  <c r="G562" i="7"/>
  <c r="G561" i="7"/>
  <c r="G560" i="7"/>
  <c r="G559" i="7"/>
  <c r="G558" i="7"/>
  <c r="G557" i="7"/>
  <c r="G556" i="7"/>
  <c r="G555" i="7"/>
  <c r="G554" i="7"/>
  <c r="G553" i="7"/>
  <c r="G552" i="7"/>
  <c r="G551" i="7"/>
  <c r="G550" i="7"/>
  <c r="G549" i="7"/>
  <c r="G548" i="7"/>
  <c r="G547" i="7"/>
  <c r="G546" i="7"/>
  <c r="G545" i="7"/>
  <c r="G544" i="7"/>
  <c r="G543" i="7"/>
  <c r="G542" i="7"/>
  <c r="G541" i="7"/>
  <c r="G539" i="7"/>
  <c r="G538" i="7"/>
  <c r="G537" i="7"/>
  <c r="G536" i="7"/>
  <c r="G535" i="7"/>
  <c r="G534" i="7"/>
  <c r="G533" i="7"/>
  <c r="G532" i="7"/>
  <c r="G531" i="7"/>
  <c r="G530" i="7"/>
  <c r="G529" i="7"/>
  <c r="G528" i="7"/>
  <c r="G527" i="7"/>
  <c r="G526" i="7"/>
  <c r="G525" i="7"/>
  <c r="G524" i="7"/>
  <c r="G523" i="7"/>
  <c r="G522" i="7"/>
  <c r="G521" i="7"/>
  <c r="G520" i="7"/>
  <c r="G519" i="7"/>
  <c r="G518" i="7"/>
  <c r="G517" i="7"/>
  <c r="G516" i="7"/>
  <c r="G515" i="7"/>
  <c r="G514" i="7"/>
  <c r="G513" i="7"/>
  <c r="G512" i="7"/>
  <c r="G511" i="7"/>
  <c r="G510" i="7"/>
  <c r="G509" i="7"/>
  <c r="G508" i="7"/>
  <c r="G507" i="7"/>
  <c r="G506" i="7"/>
  <c r="G505" i="7"/>
  <c r="G504" i="7"/>
  <c r="G503" i="7"/>
  <c r="G502" i="7"/>
  <c r="G501" i="7"/>
  <c r="G500" i="7"/>
  <c r="G499" i="7"/>
  <c r="G498" i="7"/>
  <c r="G497" i="7"/>
  <c r="G496" i="7"/>
  <c r="G494" i="7"/>
  <c r="G493" i="7"/>
  <c r="G492" i="7"/>
  <c r="G491" i="7"/>
  <c r="G490" i="7"/>
  <c r="G489" i="7"/>
  <c r="G488" i="7"/>
  <c r="G487" i="7"/>
  <c r="G486" i="7"/>
  <c r="G485" i="7"/>
  <c r="G484" i="7"/>
  <c r="G483" i="7"/>
  <c r="G482" i="7"/>
  <c r="G481" i="7"/>
  <c r="G480" i="7"/>
  <c r="G479" i="7"/>
  <c r="G478" i="7"/>
  <c r="G476" i="7"/>
  <c r="G475" i="7"/>
  <c r="G474" i="7"/>
  <c r="G473" i="7"/>
  <c r="G472" i="7"/>
  <c r="G471" i="7"/>
  <c r="G470" i="7"/>
  <c r="G469" i="7"/>
  <c r="G468" i="7"/>
  <c r="G467" i="7"/>
  <c r="G466" i="7"/>
  <c r="G465" i="7"/>
  <c r="G464" i="7"/>
  <c r="G463" i="7"/>
  <c r="G462" i="7"/>
  <c r="G461" i="7"/>
  <c r="G460" i="7"/>
  <c r="G459" i="7"/>
  <c r="G458" i="7"/>
  <c r="G457" i="7"/>
  <c r="G456" i="7"/>
  <c r="G455" i="7"/>
  <c r="G454" i="7"/>
  <c r="G453" i="7"/>
  <c r="G452" i="7"/>
  <c r="G451" i="7"/>
  <c r="G450" i="7"/>
  <c r="G449" i="7"/>
  <c r="G448" i="7"/>
  <c r="G447" i="7"/>
  <c r="G446" i="7"/>
  <c r="G445" i="7"/>
  <c r="G444" i="7"/>
  <c r="G443" i="7"/>
  <c r="G442" i="7"/>
  <c r="G441" i="7"/>
  <c r="G439" i="7"/>
  <c r="G438" i="7"/>
  <c r="G437" i="7"/>
  <c r="G436" i="7"/>
  <c r="G435" i="7"/>
  <c r="G434" i="7"/>
  <c r="G433" i="7"/>
  <c r="G432" i="7"/>
  <c r="G431" i="7"/>
  <c r="G429" i="7"/>
  <c r="G428" i="7"/>
  <c r="G427" i="7"/>
  <c r="G426" i="7"/>
  <c r="G425" i="7"/>
  <c r="G424" i="7"/>
  <c r="G423" i="7"/>
  <c r="G422" i="7"/>
  <c r="G421" i="7"/>
  <c r="G420" i="7"/>
  <c r="G419" i="7"/>
  <c r="G418" i="7"/>
  <c r="G417" i="7"/>
  <c r="G416" i="7"/>
  <c r="G415" i="7"/>
  <c r="G414" i="7"/>
  <c r="G413" i="7"/>
  <c r="G412" i="7"/>
  <c r="G411" i="7"/>
  <c r="G410" i="7"/>
  <c r="G409" i="7"/>
  <c r="G408" i="7"/>
  <c r="G407" i="7"/>
  <c r="G405" i="7"/>
  <c r="G404" i="7"/>
  <c r="G403" i="7"/>
  <c r="G402" i="7"/>
  <c r="G401" i="7"/>
  <c r="G400" i="7"/>
  <c r="G399" i="7"/>
  <c r="G398" i="7"/>
  <c r="G397" i="7"/>
  <c r="G396" i="7"/>
  <c r="G395" i="7"/>
  <c r="G393" i="7"/>
  <c r="G392" i="7"/>
  <c r="G391" i="7"/>
  <c r="G390" i="7"/>
  <c r="G389" i="7"/>
  <c r="G388" i="7"/>
  <c r="G387" i="7"/>
  <c r="G386" i="7"/>
  <c r="G385" i="7"/>
  <c r="G384" i="7"/>
  <c r="G383" i="7"/>
  <c r="G382" i="7"/>
  <c r="G381" i="7"/>
  <c r="G380" i="7"/>
  <c r="G379" i="7"/>
  <c r="G378" i="7"/>
  <c r="G377" i="7"/>
  <c r="G376" i="7"/>
  <c r="G374" i="7"/>
  <c r="G373" i="7"/>
  <c r="G372" i="7"/>
  <c r="G370" i="7"/>
  <c r="G369" i="7"/>
  <c r="G368" i="7"/>
  <c r="G367" i="7"/>
  <c r="G366" i="7"/>
  <c r="G365" i="7"/>
  <c r="G364" i="7"/>
  <c r="G363" i="7"/>
  <c r="G362" i="7"/>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2" i="7"/>
  <c r="G331" i="7"/>
  <c r="G314" i="7"/>
  <c r="G329" i="7"/>
  <c r="G328" i="7"/>
  <c r="G327" i="7"/>
  <c r="G326" i="7"/>
  <c r="G325" i="7"/>
  <c r="G318" i="7"/>
  <c r="G317" i="7"/>
  <c r="G323" i="7"/>
  <c r="G313" i="7"/>
  <c r="G312" i="7"/>
  <c r="G310" i="7"/>
  <c r="G309" i="7"/>
  <c r="G308" i="7"/>
  <c r="G307" i="7"/>
  <c r="G306" i="7"/>
  <c r="G305" i="7"/>
  <c r="G304" i="7"/>
  <c r="G303" i="7"/>
  <c r="G302" i="7"/>
  <c r="G301" i="7"/>
  <c r="G300" i="7"/>
  <c r="G299" i="7"/>
  <c r="G298" i="7"/>
  <c r="G297" i="7"/>
  <c r="G296" i="7"/>
  <c r="G295" i="7"/>
  <c r="G294" i="7"/>
  <c r="G293" i="7"/>
  <c r="G292" i="7"/>
  <c r="G291" i="7"/>
  <c r="G290" i="7"/>
  <c r="G289" i="7"/>
  <c r="G288" i="7"/>
  <c r="G287"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315" i="7"/>
  <c r="G255" i="7"/>
  <c r="G254" i="7"/>
  <c r="G252" i="7"/>
  <c r="G251" i="7"/>
  <c r="G250" i="7"/>
  <c r="G249" i="7"/>
  <c r="G248" i="7"/>
  <c r="G247" i="7"/>
  <c r="G246" i="7"/>
  <c r="G245" i="7"/>
  <c r="G244" i="7"/>
  <c r="G243"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6" i="7"/>
  <c r="G205" i="7"/>
  <c r="G204" i="7"/>
  <c r="G203" i="7"/>
  <c r="G202" i="7"/>
  <c r="G201" i="7"/>
  <c r="G200" i="7"/>
  <c r="G199" i="7"/>
  <c r="G198" i="7"/>
  <c r="G196" i="7"/>
  <c r="G195" i="7"/>
  <c r="G194" i="7"/>
  <c r="G193" i="7"/>
  <c r="G192" i="7"/>
  <c r="G191" i="7"/>
  <c r="G190" i="7"/>
  <c r="G189" i="7"/>
  <c r="G187" i="7"/>
  <c r="G186" i="7"/>
  <c r="G185" i="7"/>
  <c r="G184" i="7"/>
  <c r="G183" i="7"/>
  <c r="G182" i="7"/>
  <c r="G181" i="7"/>
  <c r="G180" i="7"/>
  <c r="G176" i="7"/>
  <c r="G173" i="7"/>
  <c r="G174" i="7"/>
  <c r="G169" i="7"/>
  <c r="G168" i="7"/>
  <c r="G167" i="7"/>
  <c r="G166" i="7"/>
  <c r="G165" i="7"/>
  <c r="G164" i="7"/>
  <c r="G163" i="7"/>
  <c r="G162" i="7"/>
  <c r="G161" i="7"/>
  <c r="G159" i="7"/>
  <c r="G158" i="7"/>
  <c r="G157" i="7"/>
  <c r="G156" i="7"/>
  <c r="G155" i="7"/>
  <c r="G154" i="7"/>
  <c r="G153" i="7"/>
  <c r="G151" i="7"/>
  <c r="G132"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39" i="7"/>
  <c r="G38" i="7"/>
  <c r="G36" i="7"/>
  <c r="G35" i="7"/>
  <c r="G34" i="7"/>
  <c r="G32" i="7"/>
  <c r="G31" i="7"/>
  <c r="G30" i="7"/>
  <c r="G29" i="7"/>
  <c r="G28" i="7"/>
  <c r="G27" i="7"/>
  <c r="G26" i="7"/>
  <c r="G25" i="7"/>
  <c r="G24" i="7"/>
  <c r="G23" i="7"/>
  <c r="G22" i="7"/>
  <c r="G21" i="7"/>
  <c r="G20" i="7"/>
  <c r="G19" i="7"/>
  <c r="G18" i="7"/>
  <c r="G17" i="7"/>
  <c r="G16" i="7"/>
  <c r="G737" i="9"/>
  <c r="G736" i="9"/>
  <c r="G735" i="9"/>
  <c r="G734" i="9"/>
  <c r="G733" i="9"/>
  <c r="G732" i="9"/>
  <c r="G731" i="9"/>
  <c r="G730" i="9"/>
  <c r="G729" i="9"/>
  <c r="G728" i="9"/>
  <c r="G727" i="9"/>
  <c r="G726" i="9"/>
  <c r="G725" i="9"/>
  <c r="G724" i="9"/>
  <c r="G723" i="9"/>
  <c r="G722" i="9"/>
  <c r="G721" i="9"/>
  <c r="G720" i="9"/>
  <c r="G719" i="9"/>
  <c r="G718" i="9"/>
  <c r="G717" i="9"/>
  <c r="G716" i="9"/>
  <c r="G714" i="9"/>
  <c r="G713" i="9"/>
  <c r="G712" i="9"/>
  <c r="G711" i="9"/>
  <c r="G710" i="9"/>
  <c r="G709" i="9"/>
  <c r="G708" i="9"/>
  <c r="G707" i="9"/>
  <c r="G706" i="9"/>
  <c r="G705" i="9"/>
  <c r="G704" i="9"/>
  <c r="G703" i="9"/>
  <c r="G702" i="9"/>
  <c r="G701" i="9"/>
  <c r="G700" i="9"/>
  <c r="G699" i="9"/>
  <c r="G698" i="9"/>
  <c r="G697" i="9"/>
  <c r="G696" i="9"/>
  <c r="G695" i="9"/>
  <c r="G694" i="9"/>
  <c r="G693" i="9"/>
  <c r="G691" i="9"/>
  <c r="G689" i="9"/>
  <c r="G688" i="9"/>
  <c r="G687" i="9"/>
  <c r="G686" i="9"/>
  <c r="G685" i="9"/>
  <c r="G683" i="9"/>
  <c r="G682" i="9"/>
  <c r="G681" i="9"/>
  <c r="G680" i="9"/>
  <c r="G679" i="9"/>
  <c r="G678" i="9"/>
  <c r="G677" i="9"/>
  <c r="G676" i="9"/>
  <c r="G675" i="9"/>
  <c r="G673" i="9"/>
  <c r="G672" i="9"/>
  <c r="G671" i="9"/>
  <c r="G670" i="9"/>
  <c r="G669" i="9"/>
  <c r="G668" i="9"/>
  <c r="G667" i="9"/>
  <c r="G666" i="9"/>
  <c r="G665" i="9"/>
  <c r="G663" i="9"/>
  <c r="G662" i="9"/>
  <c r="G661" i="9"/>
  <c r="G660" i="9"/>
  <c r="G659" i="9"/>
  <c r="G658" i="9"/>
  <c r="G657" i="9"/>
  <c r="G656" i="9"/>
  <c r="G655" i="9"/>
  <c r="G654" i="9"/>
  <c r="G653" i="9"/>
  <c r="G652" i="9"/>
  <c r="G651" i="9"/>
  <c r="G650" i="9"/>
  <c r="G649" i="9"/>
  <c r="G648" i="9"/>
  <c r="G647" i="9"/>
  <c r="G646" i="9"/>
  <c r="G645" i="9"/>
  <c r="G644" i="9"/>
  <c r="G642" i="9"/>
  <c r="G640" i="9"/>
  <c r="G639" i="9"/>
  <c r="G637" i="9"/>
  <c r="G636" i="9"/>
  <c r="G635" i="9"/>
  <c r="G634" i="9"/>
  <c r="G633" i="9"/>
  <c r="G632" i="9"/>
  <c r="G631" i="9"/>
  <c r="G630" i="9"/>
  <c r="G629" i="9"/>
  <c r="G628" i="9"/>
  <c r="G627" i="9"/>
  <c r="G626" i="9"/>
  <c r="G623" i="9"/>
  <c r="G622" i="9"/>
  <c r="G621" i="9"/>
  <c r="G620" i="9"/>
  <c r="G619" i="9"/>
  <c r="G618" i="9"/>
  <c r="G617" i="9"/>
  <c r="G616" i="9"/>
  <c r="G615" i="9"/>
  <c r="G614" i="9"/>
  <c r="G613" i="9"/>
  <c r="G612" i="9"/>
  <c r="G611" i="9"/>
  <c r="G610" i="9"/>
  <c r="G609" i="9"/>
  <c r="G608" i="9"/>
  <c r="G607" i="9"/>
  <c r="G606" i="9"/>
  <c r="G604" i="9"/>
  <c r="G603" i="9"/>
  <c r="G602" i="9"/>
  <c r="G601" i="9"/>
  <c r="G600" i="9"/>
  <c r="G599" i="9"/>
  <c r="G598" i="9"/>
  <c r="G597" i="9"/>
  <c r="G596" i="9"/>
  <c r="G595" i="9"/>
  <c r="G594" i="9"/>
  <c r="G593" i="9"/>
  <c r="G592" i="9"/>
  <c r="G591" i="9"/>
  <c r="G590" i="9"/>
  <c r="G589" i="9"/>
  <c r="G588" i="9"/>
  <c r="G587" i="9"/>
  <c r="G586" i="9"/>
  <c r="G585" i="9"/>
  <c r="G584" i="9"/>
  <c r="G583" i="9"/>
  <c r="G582"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4" i="9"/>
  <c r="G493" i="9"/>
  <c r="G492" i="9"/>
  <c r="G491" i="9"/>
  <c r="G490" i="9"/>
  <c r="G489" i="9"/>
  <c r="G488" i="9"/>
  <c r="G487" i="9"/>
  <c r="G486" i="9"/>
  <c r="G485" i="9"/>
  <c r="G484" i="9"/>
  <c r="G483" i="9"/>
  <c r="G482" i="9"/>
  <c r="G481" i="9"/>
  <c r="G480" i="9"/>
  <c r="G479" i="9"/>
  <c r="G478"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39" i="9"/>
  <c r="G438" i="9"/>
  <c r="G437" i="9"/>
  <c r="G436" i="9"/>
  <c r="G435" i="9"/>
  <c r="G434" i="9"/>
  <c r="G433" i="9"/>
  <c r="G432" i="9"/>
  <c r="G431" i="9"/>
  <c r="G429" i="9"/>
  <c r="G428" i="9"/>
  <c r="G427" i="9"/>
  <c r="G426" i="9"/>
  <c r="G425" i="9"/>
  <c r="G424" i="9"/>
  <c r="G423" i="9"/>
  <c r="G422" i="9"/>
  <c r="G421" i="9"/>
  <c r="G420" i="9"/>
  <c r="G419" i="9"/>
  <c r="G418" i="9"/>
  <c r="G417" i="9"/>
  <c r="G416" i="9"/>
  <c r="G415" i="9"/>
  <c r="G414" i="9"/>
  <c r="G413" i="9"/>
  <c r="G412" i="9"/>
  <c r="G411" i="9"/>
  <c r="G410" i="9"/>
  <c r="G409" i="9"/>
  <c r="G408" i="9"/>
  <c r="G407" i="9"/>
  <c r="G405" i="9"/>
  <c r="G404" i="9"/>
  <c r="G403" i="9"/>
  <c r="G402" i="9"/>
  <c r="G401" i="9"/>
  <c r="G400" i="9"/>
  <c r="G399" i="9"/>
  <c r="G398" i="9"/>
  <c r="G397" i="9"/>
  <c r="G396" i="9"/>
  <c r="G395" i="9"/>
  <c r="G393" i="9"/>
  <c r="G392" i="9"/>
  <c r="G391" i="9"/>
  <c r="G390" i="9"/>
  <c r="G389" i="9"/>
  <c r="G388" i="9"/>
  <c r="G387" i="9"/>
  <c r="G386" i="9"/>
  <c r="G385" i="9"/>
  <c r="G384" i="9"/>
  <c r="G383" i="9"/>
  <c r="G382" i="9"/>
  <c r="G381" i="9"/>
  <c r="G380" i="9"/>
  <c r="G379" i="9"/>
  <c r="G378" i="9"/>
  <c r="G377" i="9"/>
  <c r="G376" i="9"/>
  <c r="G374" i="9"/>
  <c r="G373" i="9"/>
  <c r="G372"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2" i="9"/>
  <c r="G331" i="9"/>
  <c r="G314" i="9"/>
  <c r="G329" i="9"/>
  <c r="G328" i="9"/>
  <c r="G327" i="9"/>
  <c r="G326" i="9"/>
  <c r="G325" i="9"/>
  <c r="G318" i="9"/>
  <c r="G317" i="9"/>
  <c r="G321" i="9"/>
  <c r="G313" i="9"/>
  <c r="G312" i="9"/>
  <c r="G310" i="9"/>
  <c r="G309" i="9"/>
  <c r="G308" i="9"/>
  <c r="G307" i="9"/>
  <c r="G306" i="9"/>
  <c r="G305" i="9"/>
  <c r="G304" i="9"/>
  <c r="G303" i="9"/>
  <c r="G302" i="9"/>
  <c r="G301" i="9"/>
  <c r="G300" i="9"/>
  <c r="G299" i="9"/>
  <c r="G298" i="9"/>
  <c r="G297" i="9"/>
  <c r="G296" i="9"/>
  <c r="G295" i="9"/>
  <c r="G294" i="9"/>
  <c r="G293" i="9"/>
  <c r="G292" i="9"/>
  <c r="G291" i="9"/>
  <c r="G290" i="9"/>
  <c r="G289" i="9"/>
  <c r="G288" i="9"/>
  <c r="G287"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5" i="9"/>
  <c r="G254" i="9"/>
  <c r="G252" i="9"/>
  <c r="G251" i="9"/>
  <c r="G250" i="9"/>
  <c r="G249" i="9"/>
  <c r="G248" i="9"/>
  <c r="G247" i="9"/>
  <c r="G246" i="9"/>
  <c r="G245" i="9"/>
  <c r="G244" i="9"/>
  <c r="G243"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6" i="9"/>
  <c r="G205" i="9"/>
  <c r="G204" i="9"/>
  <c r="G203" i="9"/>
  <c r="G202" i="9"/>
  <c r="G201" i="9"/>
  <c r="G200" i="9"/>
  <c r="G199" i="9"/>
  <c r="G198" i="9"/>
  <c r="G196" i="9"/>
  <c r="G195" i="9"/>
  <c r="G194" i="9"/>
  <c r="G193" i="9"/>
  <c r="G192" i="9"/>
  <c r="G191" i="9"/>
  <c r="G190" i="9"/>
  <c r="G189" i="9"/>
  <c r="G187" i="9"/>
  <c r="G186" i="9"/>
  <c r="G185" i="9"/>
  <c r="G184" i="9"/>
  <c r="G183" i="9"/>
  <c r="G182" i="9"/>
  <c r="G181" i="9"/>
  <c r="G180" i="9"/>
  <c r="G176" i="9"/>
  <c r="G174" i="9"/>
  <c r="G169" i="9"/>
  <c r="G168" i="9"/>
  <c r="G167" i="9"/>
  <c r="G166" i="9"/>
  <c r="G165" i="9"/>
  <c r="G164" i="9"/>
  <c r="G163" i="9"/>
  <c r="G162" i="9"/>
  <c r="G161" i="9"/>
  <c r="G159" i="9"/>
  <c r="G158" i="9"/>
  <c r="G157" i="9"/>
  <c r="G156" i="9"/>
  <c r="G155" i="9"/>
  <c r="G154" i="9"/>
  <c r="G153" i="9"/>
  <c r="G151" i="9"/>
  <c r="G132"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39" i="9"/>
  <c r="G38" i="9"/>
  <c r="G36" i="9"/>
  <c r="G35" i="9"/>
  <c r="G34" i="9"/>
  <c r="G32" i="9"/>
  <c r="G31" i="9"/>
  <c r="G30" i="9"/>
  <c r="G29" i="9"/>
  <c r="G28" i="9"/>
  <c r="G27" i="9"/>
  <c r="G26" i="9"/>
  <c r="G25" i="9"/>
  <c r="G24" i="9"/>
  <c r="G23" i="9"/>
  <c r="G22" i="9"/>
  <c r="G21" i="9"/>
  <c r="G20" i="9"/>
  <c r="G19" i="9"/>
  <c r="G18" i="9"/>
  <c r="G17" i="9"/>
  <c r="G16" i="9"/>
  <c r="G737" i="3"/>
  <c r="G736" i="3"/>
  <c r="G735" i="3"/>
  <c r="G734" i="3"/>
  <c r="G733" i="3"/>
  <c r="G732" i="3"/>
  <c r="G731" i="3"/>
  <c r="G730" i="3"/>
  <c r="G729" i="3"/>
  <c r="G728" i="3"/>
  <c r="G727" i="3"/>
  <c r="G726" i="3"/>
  <c r="G725" i="3"/>
  <c r="G724" i="3"/>
  <c r="G723" i="3"/>
  <c r="G722" i="3"/>
  <c r="G721" i="3"/>
  <c r="G720" i="3"/>
  <c r="G719" i="3"/>
  <c r="G718" i="3"/>
  <c r="G717" i="3"/>
  <c r="G716" i="3"/>
  <c r="G714" i="3"/>
  <c r="G713" i="3"/>
  <c r="G712" i="3"/>
  <c r="G711" i="3"/>
  <c r="G710" i="3"/>
  <c r="G709" i="3"/>
  <c r="G708" i="3"/>
  <c r="G707" i="3"/>
  <c r="G706" i="3"/>
  <c r="G705" i="3"/>
  <c r="G704" i="3"/>
  <c r="G703" i="3"/>
  <c r="G702" i="3"/>
  <c r="G701" i="3"/>
  <c r="G700" i="3"/>
  <c r="G699" i="3"/>
  <c r="G698" i="3"/>
  <c r="G697" i="3"/>
  <c r="G696" i="3"/>
  <c r="G695" i="3"/>
  <c r="G694" i="3"/>
  <c r="G693" i="3"/>
  <c r="G691" i="3"/>
  <c r="G689" i="3"/>
  <c r="G688" i="3"/>
  <c r="G687" i="3"/>
  <c r="G686" i="3"/>
  <c r="G685" i="3"/>
  <c r="G683" i="3"/>
  <c r="G682" i="3"/>
  <c r="G681" i="3"/>
  <c r="G680" i="3"/>
  <c r="G679" i="3"/>
  <c r="G678" i="3"/>
  <c r="G677" i="3"/>
  <c r="G676" i="3"/>
  <c r="G675" i="3"/>
  <c r="G673" i="3"/>
  <c r="G672" i="3"/>
  <c r="G671" i="3"/>
  <c r="G670" i="3"/>
  <c r="G669" i="3"/>
  <c r="G668" i="3"/>
  <c r="G667" i="3"/>
  <c r="G666" i="3"/>
  <c r="G665" i="3"/>
  <c r="G663" i="3"/>
  <c r="G662" i="3"/>
  <c r="G661" i="3"/>
  <c r="G660" i="3"/>
  <c r="G659" i="3"/>
  <c r="G658" i="3"/>
  <c r="G657" i="3"/>
  <c r="G656" i="3"/>
  <c r="G655" i="3"/>
  <c r="G654" i="3"/>
  <c r="G653" i="3"/>
  <c r="G652" i="3"/>
  <c r="G651" i="3"/>
  <c r="G650" i="3"/>
  <c r="G649" i="3"/>
  <c r="G648" i="3"/>
  <c r="G647" i="3"/>
  <c r="G646" i="3"/>
  <c r="G645" i="3"/>
  <c r="G644" i="3"/>
  <c r="G642" i="3"/>
  <c r="G640" i="3"/>
  <c r="G637" i="3"/>
  <c r="G636" i="3"/>
  <c r="G635" i="3"/>
  <c r="G634" i="3"/>
  <c r="G633" i="3"/>
  <c r="G632" i="3"/>
  <c r="G631" i="3"/>
  <c r="G630" i="3"/>
  <c r="G629" i="3"/>
  <c r="G628" i="3"/>
  <c r="G627" i="3"/>
  <c r="G626" i="3"/>
  <c r="G623" i="3"/>
  <c r="G622" i="3"/>
  <c r="G621" i="3"/>
  <c r="G620" i="3"/>
  <c r="G619" i="3"/>
  <c r="G618" i="3"/>
  <c r="G617" i="3"/>
  <c r="G616" i="3"/>
  <c r="G615" i="3"/>
  <c r="G614" i="3"/>
  <c r="G613" i="3"/>
  <c r="G612" i="3"/>
  <c r="G611" i="3"/>
  <c r="G610" i="3"/>
  <c r="G609" i="3"/>
  <c r="G608" i="3"/>
  <c r="G607" i="3"/>
  <c r="G606" i="3"/>
  <c r="G604" i="3"/>
  <c r="G603" i="3"/>
  <c r="G602" i="3"/>
  <c r="G601" i="3"/>
  <c r="G600" i="3"/>
  <c r="G599" i="3"/>
  <c r="G598" i="3"/>
  <c r="G597" i="3"/>
  <c r="G596" i="3"/>
  <c r="G595" i="3"/>
  <c r="G594" i="3"/>
  <c r="G593" i="3"/>
  <c r="G592" i="3"/>
  <c r="G591" i="3"/>
  <c r="G590" i="3"/>
  <c r="G589" i="3"/>
  <c r="G588" i="3"/>
  <c r="G587" i="3"/>
  <c r="G586" i="3"/>
  <c r="G585" i="3"/>
  <c r="G584" i="3"/>
  <c r="G583" i="3"/>
  <c r="G582" i="3"/>
  <c r="G580" i="3"/>
  <c r="G579" i="3"/>
  <c r="G578" i="3"/>
  <c r="G577" i="3"/>
  <c r="G576" i="3"/>
  <c r="G575" i="3"/>
  <c r="G574" i="3"/>
  <c r="G573" i="3"/>
  <c r="G572" i="3"/>
  <c r="G571" i="3"/>
  <c r="G570" i="3"/>
  <c r="G569" i="3"/>
  <c r="G568" i="3"/>
  <c r="G567" i="3"/>
  <c r="G566" i="3"/>
  <c r="G565" i="3"/>
  <c r="G564" i="3"/>
  <c r="G563" i="3"/>
  <c r="G562" i="3"/>
  <c r="G561" i="3"/>
  <c r="G560" i="3"/>
  <c r="G559" i="3"/>
  <c r="G558" i="3"/>
  <c r="G557" i="3"/>
  <c r="G556" i="3"/>
  <c r="G555" i="3"/>
  <c r="G554" i="3"/>
  <c r="G553" i="3"/>
  <c r="G552" i="3"/>
  <c r="G551" i="3"/>
  <c r="G550" i="3"/>
  <c r="G549" i="3"/>
  <c r="G548" i="3"/>
  <c r="G547" i="3"/>
  <c r="G546" i="3"/>
  <c r="G545" i="3"/>
  <c r="G544" i="3"/>
  <c r="G543" i="3"/>
  <c r="G542" i="3"/>
  <c r="G541" i="3"/>
  <c r="G539" i="3"/>
  <c r="G538" i="3"/>
  <c r="G537" i="3"/>
  <c r="G536" i="3"/>
  <c r="G535" i="3"/>
  <c r="G534" i="3"/>
  <c r="G533" i="3"/>
  <c r="G532" i="3"/>
  <c r="G531" i="3"/>
  <c r="G530" i="3"/>
  <c r="G529" i="3"/>
  <c r="G528" i="3"/>
  <c r="G527" i="3"/>
  <c r="G526" i="3"/>
  <c r="G525" i="3"/>
  <c r="G524" i="3"/>
  <c r="G523" i="3"/>
  <c r="G522" i="3"/>
  <c r="G521" i="3"/>
  <c r="G520" i="3"/>
  <c r="G519" i="3"/>
  <c r="G518" i="3"/>
  <c r="G517" i="3"/>
  <c r="G516" i="3"/>
  <c r="G515" i="3"/>
  <c r="G514" i="3"/>
  <c r="G513" i="3"/>
  <c r="G512" i="3"/>
  <c r="G511" i="3"/>
  <c r="G510" i="3"/>
  <c r="G509" i="3"/>
  <c r="G508" i="3"/>
  <c r="G507" i="3"/>
  <c r="G506" i="3"/>
  <c r="G505" i="3"/>
  <c r="G504" i="3"/>
  <c r="G503" i="3"/>
  <c r="G502" i="3"/>
  <c r="G501" i="3"/>
  <c r="G500" i="3"/>
  <c r="G499" i="3"/>
  <c r="G498" i="3"/>
  <c r="G497" i="3"/>
  <c r="G496" i="3"/>
  <c r="G494" i="3"/>
  <c r="G493" i="3"/>
  <c r="G492" i="3"/>
  <c r="G491" i="3"/>
  <c r="G490" i="3"/>
  <c r="G489" i="3"/>
  <c r="G488" i="3"/>
  <c r="G487" i="3"/>
  <c r="G486" i="3"/>
  <c r="G485" i="3"/>
  <c r="G484" i="3"/>
  <c r="G483" i="3"/>
  <c r="G482" i="3"/>
  <c r="G481" i="3"/>
  <c r="G480" i="3"/>
  <c r="G479" i="3"/>
  <c r="G478" i="3"/>
  <c r="G476" i="3"/>
  <c r="G475" i="3"/>
  <c r="G474" i="3"/>
  <c r="G473" i="3"/>
  <c r="G472" i="3"/>
  <c r="G471" i="3"/>
  <c r="G470" i="3"/>
  <c r="G469" i="3"/>
  <c r="G468" i="3"/>
  <c r="G467" i="3"/>
  <c r="G466" i="3"/>
  <c r="G465" i="3"/>
  <c r="G464" i="3"/>
  <c r="G463" i="3"/>
  <c r="G462" i="3"/>
  <c r="G461" i="3"/>
  <c r="G460" i="3"/>
  <c r="G459" i="3"/>
  <c r="G458" i="3"/>
  <c r="G457" i="3"/>
  <c r="G456" i="3"/>
  <c r="G455" i="3"/>
  <c r="G454" i="3"/>
  <c r="G453" i="3"/>
  <c r="G452" i="3"/>
  <c r="G451" i="3"/>
  <c r="G450" i="3"/>
  <c r="G449" i="3"/>
  <c r="G448" i="3"/>
  <c r="G447" i="3"/>
  <c r="G446" i="3"/>
  <c r="G445" i="3"/>
  <c r="G444" i="3"/>
  <c r="G443" i="3"/>
  <c r="G442" i="3"/>
  <c r="G441" i="3"/>
  <c r="G439" i="3"/>
  <c r="G438" i="3"/>
  <c r="G437" i="3"/>
  <c r="G436" i="3"/>
  <c r="G435" i="3"/>
  <c r="G434" i="3"/>
  <c r="G433" i="3"/>
  <c r="G432" i="3"/>
  <c r="G431" i="3"/>
  <c r="G429" i="3"/>
  <c r="G428" i="3"/>
  <c r="G427" i="3"/>
  <c r="G426" i="3"/>
  <c r="G425" i="3"/>
  <c r="G424" i="3"/>
  <c r="G423" i="3"/>
  <c r="G422" i="3"/>
  <c r="G421" i="3"/>
  <c r="G420" i="3"/>
  <c r="G419" i="3"/>
  <c r="G418" i="3"/>
  <c r="G417" i="3"/>
  <c r="G416" i="3"/>
  <c r="G415" i="3"/>
  <c r="G414" i="3"/>
  <c r="G413" i="3"/>
  <c r="G412" i="3"/>
  <c r="G411" i="3"/>
  <c r="G410" i="3"/>
  <c r="G409" i="3"/>
  <c r="G408" i="3"/>
  <c r="G407" i="3"/>
  <c r="G405" i="3"/>
  <c r="G404" i="3"/>
  <c r="G403" i="3"/>
  <c r="G402" i="3"/>
  <c r="G401" i="3"/>
  <c r="G400" i="3"/>
  <c r="G399" i="3"/>
  <c r="G398" i="3"/>
  <c r="G397" i="3"/>
  <c r="G396" i="3"/>
  <c r="G395" i="3"/>
  <c r="G393" i="3"/>
  <c r="G392" i="3"/>
  <c r="G391" i="3"/>
  <c r="G390" i="3"/>
  <c r="G389" i="3"/>
  <c r="G388" i="3"/>
  <c r="G387" i="3"/>
  <c r="G386" i="3"/>
  <c r="G385" i="3"/>
  <c r="G384" i="3"/>
  <c r="G383" i="3"/>
  <c r="G382" i="3"/>
  <c r="G381" i="3"/>
  <c r="G380" i="3"/>
  <c r="G379" i="3"/>
  <c r="G378" i="3"/>
  <c r="G377" i="3"/>
  <c r="G376" i="3"/>
  <c r="G374" i="3"/>
  <c r="G373" i="3"/>
  <c r="G372" i="3"/>
  <c r="G370" i="3"/>
  <c r="G369" i="3"/>
  <c r="G368" i="3"/>
  <c r="G367" i="3"/>
  <c r="G366" i="3"/>
  <c r="G365" i="3"/>
  <c r="G364" i="3"/>
  <c r="G363" i="3"/>
  <c r="G362" i="3"/>
  <c r="G361" i="3"/>
  <c r="G360" i="3"/>
  <c r="G359" i="3"/>
  <c r="G358" i="3"/>
  <c r="G357" i="3"/>
  <c r="G356" i="3"/>
  <c r="G355" i="3"/>
  <c r="G354" i="3"/>
  <c r="G353" i="3"/>
  <c r="G352" i="3"/>
  <c r="G351" i="3"/>
  <c r="G350" i="3"/>
  <c r="G349" i="3"/>
  <c r="G348" i="3"/>
  <c r="G347" i="3"/>
  <c r="G346" i="3"/>
  <c r="G345" i="3"/>
  <c r="G344" i="3"/>
  <c r="G343" i="3"/>
  <c r="G342" i="3"/>
  <c r="G341" i="3"/>
  <c r="G340" i="3"/>
  <c r="G339" i="3"/>
  <c r="G338" i="3"/>
  <c r="G337" i="3"/>
  <c r="G336" i="3"/>
  <c r="G335" i="3"/>
  <c r="G332" i="3"/>
  <c r="G331" i="3"/>
  <c r="G314" i="3"/>
  <c r="G329" i="3"/>
  <c r="G328" i="3"/>
  <c r="G327" i="3"/>
  <c r="G326" i="3"/>
  <c r="G325" i="3"/>
  <c r="G318" i="3"/>
  <c r="G317" i="3"/>
  <c r="G320" i="3"/>
  <c r="G313" i="3"/>
  <c r="G312" i="3"/>
  <c r="G310" i="3"/>
  <c r="G309" i="3"/>
  <c r="G308" i="3"/>
  <c r="G307" i="3"/>
  <c r="G306" i="3"/>
  <c r="G305" i="3"/>
  <c r="G304" i="3"/>
  <c r="G303" i="3"/>
  <c r="G302" i="3"/>
  <c r="G301" i="3"/>
  <c r="G300" i="3"/>
  <c r="G299" i="3"/>
  <c r="G298" i="3"/>
  <c r="G297" i="3"/>
  <c r="G296" i="3"/>
  <c r="G295" i="3"/>
  <c r="G294" i="3"/>
  <c r="G293" i="3"/>
  <c r="G292" i="3"/>
  <c r="G291" i="3"/>
  <c r="G290" i="3"/>
  <c r="G289" i="3"/>
  <c r="G288" i="3"/>
  <c r="G287" i="3"/>
  <c r="G285" i="3"/>
  <c r="G284" i="3"/>
  <c r="G283" i="3"/>
  <c r="G282" i="3"/>
  <c r="G281" i="3"/>
  <c r="G280" i="3"/>
  <c r="G279" i="3"/>
  <c r="G278" i="3"/>
  <c r="G277" i="3"/>
  <c r="G276" i="3"/>
  <c r="G275" i="3"/>
  <c r="G274" i="3"/>
  <c r="G273" i="3"/>
  <c r="G272" i="3"/>
  <c r="G271" i="3"/>
  <c r="G270" i="3"/>
  <c r="G269" i="3"/>
  <c r="G268" i="3"/>
  <c r="G267" i="3"/>
  <c r="G266" i="3"/>
  <c r="G265" i="3"/>
  <c r="G264" i="3"/>
  <c r="G263" i="3"/>
  <c r="G262" i="3"/>
  <c r="G261" i="3"/>
  <c r="G260" i="3"/>
  <c r="G259" i="3"/>
  <c r="G258" i="3"/>
  <c r="G257" i="3"/>
  <c r="G315" i="3"/>
  <c r="G255" i="3"/>
  <c r="G254" i="3"/>
  <c r="G252" i="3"/>
  <c r="G251" i="3"/>
  <c r="G250" i="3"/>
  <c r="G249" i="3"/>
  <c r="G248" i="3"/>
  <c r="G247" i="3"/>
  <c r="G246" i="3"/>
  <c r="G245" i="3"/>
  <c r="G244" i="3"/>
  <c r="G243" i="3"/>
  <c r="G241" i="3"/>
  <c r="G240" i="3"/>
  <c r="G239" i="3"/>
  <c r="G238" i="3"/>
  <c r="G237" i="3"/>
  <c r="G236" i="3"/>
  <c r="G235" i="3"/>
  <c r="G234" i="3"/>
  <c r="G233" i="3"/>
  <c r="G232" i="3"/>
  <c r="G231" i="3"/>
  <c r="G230" i="3"/>
  <c r="G229" i="3"/>
  <c r="G228" i="3"/>
  <c r="G227" i="3"/>
  <c r="G226" i="3"/>
  <c r="G225" i="3"/>
  <c r="G224" i="3"/>
  <c r="G223" i="3"/>
  <c r="G222" i="3"/>
  <c r="G221" i="3"/>
  <c r="G220" i="3"/>
  <c r="G219" i="3"/>
  <c r="G218" i="3"/>
  <c r="G217" i="3"/>
  <c r="G216" i="3"/>
  <c r="G215" i="3"/>
  <c r="G214" i="3"/>
  <c r="G213" i="3"/>
  <c r="G212" i="3"/>
  <c r="G211" i="3"/>
  <c r="G210" i="3"/>
  <c r="G209" i="3"/>
  <c r="G208" i="3"/>
  <c r="G206" i="3"/>
  <c r="G205" i="3"/>
  <c r="G204" i="3"/>
  <c r="G203" i="3"/>
  <c r="G202" i="3"/>
  <c r="G201" i="3"/>
  <c r="G200" i="3"/>
  <c r="G199" i="3"/>
  <c r="G198" i="3"/>
  <c r="G196" i="3"/>
  <c r="G195" i="3"/>
  <c r="G194" i="3"/>
  <c r="G193" i="3"/>
  <c r="G192" i="3"/>
  <c r="G191" i="3"/>
  <c r="G190" i="3"/>
  <c r="G189" i="3"/>
  <c r="G187" i="3"/>
  <c r="G186" i="3"/>
  <c r="G185" i="3"/>
  <c r="G184" i="3"/>
  <c r="G183" i="3"/>
  <c r="G182" i="3"/>
  <c r="G181" i="3"/>
  <c r="G180" i="3"/>
  <c r="G176" i="3"/>
  <c r="G173" i="3"/>
  <c r="G174" i="3"/>
  <c r="G169" i="3"/>
  <c r="G168" i="3"/>
  <c r="G167" i="3"/>
  <c r="G166" i="3"/>
  <c r="G165" i="3"/>
  <c r="G164" i="3"/>
  <c r="G163" i="3"/>
  <c r="G162" i="3"/>
  <c r="G161" i="3"/>
  <c r="G159" i="3"/>
  <c r="G158" i="3"/>
  <c r="G157" i="3"/>
  <c r="G156" i="3"/>
  <c r="G155" i="3"/>
  <c r="G154" i="3"/>
  <c r="G153" i="3"/>
  <c r="G152" i="3"/>
  <c r="G151" i="3"/>
  <c r="G132"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39" i="3"/>
  <c r="G38" i="3"/>
  <c r="G36" i="3"/>
  <c r="G35" i="3"/>
  <c r="G34" i="3"/>
  <c r="G32" i="3"/>
  <c r="G31" i="3"/>
  <c r="G30" i="3"/>
  <c r="G29" i="3"/>
  <c r="G28" i="3"/>
  <c r="G27" i="3"/>
  <c r="G26" i="3"/>
  <c r="G25" i="3"/>
  <c r="G24" i="3"/>
  <c r="G23" i="3"/>
  <c r="G22" i="3"/>
  <c r="G21" i="3"/>
  <c r="G20" i="3"/>
  <c r="G19" i="3"/>
  <c r="G18" i="3"/>
  <c r="G17" i="3"/>
  <c r="G16" i="3"/>
  <c r="G16" i="1"/>
  <c r="G737" i="1"/>
  <c r="G736" i="1"/>
  <c r="G735" i="1"/>
  <c r="G734" i="1"/>
  <c r="G733" i="1"/>
  <c r="G732" i="1"/>
  <c r="G731" i="1"/>
  <c r="G730" i="1"/>
  <c r="G729" i="1"/>
  <c r="G728" i="1"/>
  <c r="G727" i="1"/>
  <c r="G726" i="1"/>
  <c r="G725" i="1"/>
  <c r="G724" i="1"/>
  <c r="G723" i="1"/>
  <c r="G722" i="1"/>
  <c r="G721" i="1"/>
  <c r="G720" i="1"/>
  <c r="G719" i="1"/>
  <c r="G718" i="1"/>
  <c r="G717" i="1"/>
  <c r="G716" i="1"/>
  <c r="G714" i="1"/>
  <c r="G713" i="1"/>
  <c r="G712" i="1"/>
  <c r="G711" i="1"/>
  <c r="G710" i="1"/>
  <c r="G709" i="1"/>
  <c r="G708" i="1"/>
  <c r="G707" i="1"/>
  <c r="G706" i="1"/>
  <c r="G705" i="1"/>
  <c r="G704" i="1"/>
  <c r="G703" i="1"/>
  <c r="G702" i="1"/>
  <c r="G701" i="1"/>
  <c r="G700" i="1"/>
  <c r="G699" i="1"/>
  <c r="G698" i="1"/>
  <c r="G697" i="1"/>
  <c r="G696" i="1"/>
  <c r="G695" i="1"/>
  <c r="G694" i="1"/>
  <c r="G693" i="1"/>
  <c r="G689" i="1"/>
  <c r="G688" i="1"/>
  <c r="G687" i="1"/>
  <c r="G686" i="1"/>
  <c r="G685" i="1"/>
  <c r="G683" i="1"/>
  <c r="G682" i="1"/>
  <c r="G681" i="1"/>
  <c r="G680" i="1"/>
  <c r="G679" i="1"/>
  <c r="G678" i="1"/>
  <c r="G677" i="1"/>
  <c r="G676" i="1"/>
  <c r="G675" i="1"/>
  <c r="G673" i="1"/>
  <c r="G672" i="1"/>
  <c r="G671" i="1"/>
  <c r="G670" i="1"/>
  <c r="G669" i="1"/>
  <c r="G668" i="1"/>
  <c r="G667" i="1"/>
  <c r="G666" i="1"/>
  <c r="G665" i="1"/>
  <c r="G663" i="1"/>
  <c r="G662" i="1"/>
  <c r="G661" i="1"/>
  <c r="G660" i="1"/>
  <c r="G659" i="1"/>
  <c r="G658" i="1"/>
  <c r="G657" i="1"/>
  <c r="G656" i="1"/>
  <c r="G655" i="1"/>
  <c r="G654" i="1"/>
  <c r="G653" i="1"/>
  <c r="G652" i="1"/>
  <c r="G651" i="1"/>
  <c r="G650" i="1"/>
  <c r="G649" i="1"/>
  <c r="G648" i="1"/>
  <c r="G647" i="1"/>
  <c r="G646" i="1"/>
  <c r="G645" i="1"/>
  <c r="G644" i="1"/>
  <c r="G642" i="1"/>
  <c r="G640" i="1"/>
  <c r="G639" i="1"/>
  <c r="G637" i="1"/>
  <c r="G636" i="1"/>
  <c r="G635" i="1"/>
  <c r="G634" i="1"/>
  <c r="G633" i="1"/>
  <c r="G632" i="1"/>
  <c r="G631" i="1"/>
  <c r="G630" i="1"/>
  <c r="G629" i="1"/>
  <c r="G628" i="1"/>
  <c r="G627" i="1"/>
  <c r="G626" i="1"/>
  <c r="G623" i="1"/>
  <c r="G622" i="1"/>
  <c r="G621" i="1"/>
  <c r="G620" i="1"/>
  <c r="G619" i="1"/>
  <c r="G618" i="1"/>
  <c r="G617" i="1"/>
  <c r="G616" i="1"/>
  <c r="G615" i="1"/>
  <c r="G614" i="1"/>
  <c r="G613" i="1"/>
  <c r="G612" i="1"/>
  <c r="G611" i="1"/>
  <c r="G610" i="1"/>
  <c r="G609" i="1"/>
  <c r="G608" i="1"/>
  <c r="G607" i="1"/>
  <c r="G606" i="1"/>
  <c r="G604" i="1"/>
  <c r="G603" i="1"/>
  <c r="G602" i="1"/>
  <c r="G601" i="1"/>
  <c r="G600" i="1"/>
  <c r="G599" i="1"/>
  <c r="G598" i="1"/>
  <c r="G597" i="1"/>
  <c r="G596" i="1"/>
  <c r="G595" i="1"/>
  <c r="G594" i="1"/>
  <c r="G593" i="1"/>
  <c r="G592" i="1"/>
  <c r="G591" i="1"/>
  <c r="G590" i="1"/>
  <c r="G589" i="1"/>
  <c r="G588" i="1"/>
  <c r="G587" i="1"/>
  <c r="G586" i="1"/>
  <c r="G585" i="1"/>
  <c r="G584" i="1"/>
  <c r="G583" i="1"/>
  <c r="G582"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4" i="1"/>
  <c r="G493" i="1"/>
  <c r="G492" i="1"/>
  <c r="G491" i="1"/>
  <c r="G490" i="1"/>
  <c r="G489" i="1"/>
  <c r="G488" i="1"/>
  <c r="G487" i="1"/>
  <c r="G486" i="1"/>
  <c r="G485" i="1"/>
  <c r="G484" i="1"/>
  <c r="G483" i="1"/>
  <c r="G482" i="1"/>
  <c r="G481" i="1"/>
  <c r="G480" i="1"/>
  <c r="G479" i="1"/>
  <c r="G478"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39" i="1"/>
  <c r="G438" i="1"/>
  <c r="G437" i="1"/>
  <c r="G436" i="1"/>
  <c r="G435" i="1"/>
  <c r="G434" i="1"/>
  <c r="G433" i="1"/>
  <c r="G432" i="1"/>
  <c r="G431" i="1"/>
  <c r="G429" i="1"/>
  <c r="G428" i="1"/>
  <c r="G427" i="1"/>
  <c r="G426" i="1"/>
  <c r="G425" i="1"/>
  <c r="G424" i="1"/>
  <c r="G423" i="1"/>
  <c r="G422" i="1"/>
  <c r="G421" i="1"/>
  <c r="G420" i="1"/>
  <c r="G419" i="1"/>
  <c r="G418" i="1"/>
  <c r="G417" i="1"/>
  <c r="G416" i="1"/>
  <c r="G415" i="1"/>
  <c r="G414" i="1"/>
  <c r="G413" i="1"/>
  <c r="G412" i="1"/>
  <c r="G411" i="1"/>
  <c r="G410" i="1"/>
  <c r="G409" i="1"/>
  <c r="G408" i="1"/>
  <c r="G407" i="1"/>
  <c r="G405" i="1"/>
  <c r="G404" i="1"/>
  <c r="G403" i="1"/>
  <c r="G402" i="1"/>
  <c r="G401" i="1"/>
  <c r="G400" i="1"/>
  <c r="G399" i="1"/>
  <c r="G398" i="1"/>
  <c r="G397" i="1"/>
  <c r="G396" i="1"/>
  <c r="G395" i="1"/>
  <c r="G393" i="1"/>
  <c r="G392" i="1"/>
  <c r="G391" i="1"/>
  <c r="G390" i="1"/>
  <c r="G389" i="1"/>
  <c r="G388" i="1"/>
  <c r="G387" i="1"/>
  <c r="G386" i="1"/>
  <c r="G385" i="1"/>
  <c r="G384" i="1"/>
  <c r="G383" i="1"/>
  <c r="G382" i="1"/>
  <c r="G381" i="1"/>
  <c r="G380" i="1"/>
  <c r="G379" i="1"/>
  <c r="G378" i="1"/>
  <c r="G377" i="1"/>
  <c r="G376" i="1"/>
  <c r="G374" i="1"/>
  <c r="G373" i="1"/>
  <c r="G372"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2" i="1"/>
  <c r="G331" i="1"/>
  <c r="G314" i="1"/>
  <c r="G329" i="1"/>
  <c r="G328" i="1"/>
  <c r="G327" i="1"/>
  <c r="G326" i="1"/>
  <c r="G325" i="1"/>
  <c r="G318" i="1"/>
  <c r="G317" i="1"/>
  <c r="G324" i="1"/>
  <c r="G313" i="1"/>
  <c r="G312" i="1"/>
  <c r="G310" i="1"/>
  <c r="G309" i="1"/>
  <c r="G308" i="1"/>
  <c r="G307" i="1"/>
  <c r="G306" i="1"/>
  <c r="G305" i="1"/>
  <c r="G304" i="1"/>
  <c r="G303" i="1"/>
  <c r="G302" i="1"/>
  <c r="G301" i="1"/>
  <c r="G300" i="1"/>
  <c r="G299" i="1"/>
  <c r="G298" i="1"/>
  <c r="G297" i="1"/>
  <c r="G296" i="1"/>
  <c r="G295" i="1"/>
  <c r="G294" i="1"/>
  <c r="G293" i="1"/>
  <c r="G292" i="1"/>
  <c r="G291" i="1"/>
  <c r="G290" i="1"/>
  <c r="G289" i="1"/>
  <c r="G288" i="1"/>
  <c r="G287"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315" i="1"/>
  <c r="G255" i="1"/>
  <c r="G254" i="1"/>
  <c r="G252" i="1"/>
  <c r="G251" i="1"/>
  <c r="G250" i="1"/>
  <c r="G249" i="1"/>
  <c r="G248" i="1"/>
  <c r="G247" i="1"/>
  <c r="G246" i="1"/>
  <c r="G245" i="1"/>
  <c r="G244" i="1"/>
  <c r="G243"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6" i="1"/>
  <c r="G205" i="1"/>
  <c r="G204" i="1"/>
  <c r="G203" i="1"/>
  <c r="G202" i="1"/>
  <c r="G201" i="1"/>
  <c r="G200" i="1"/>
  <c r="G199" i="1"/>
  <c r="G198" i="1"/>
  <c r="G196" i="1"/>
  <c r="G195" i="1"/>
  <c r="G194" i="1"/>
  <c r="G193" i="1"/>
  <c r="G192" i="1"/>
  <c r="G191" i="1"/>
  <c r="G190" i="1"/>
  <c r="G189" i="1"/>
  <c r="G187" i="1"/>
  <c r="G186" i="1"/>
  <c r="G185" i="1"/>
  <c r="G184" i="1"/>
  <c r="G183" i="1"/>
  <c r="G182" i="1"/>
  <c r="G181" i="1"/>
  <c r="G180" i="1"/>
  <c r="G176" i="1"/>
  <c r="G173" i="1"/>
  <c r="G174" i="1"/>
  <c r="G169" i="1"/>
  <c r="G168" i="1"/>
  <c r="G167" i="1"/>
  <c r="G166" i="1"/>
  <c r="G165" i="1"/>
  <c r="G164" i="1"/>
  <c r="G163" i="1"/>
  <c r="G162" i="1"/>
  <c r="G161" i="1"/>
  <c r="G159" i="1"/>
  <c r="G158" i="1"/>
  <c r="G157" i="1"/>
  <c r="G156" i="1"/>
  <c r="G155" i="1"/>
  <c r="G154" i="1"/>
  <c r="G153" i="1"/>
  <c r="G152" i="1"/>
  <c r="G151" i="1"/>
  <c r="G132"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39" i="1"/>
  <c r="G38" i="1"/>
  <c r="G36" i="1"/>
  <c r="G35" i="1"/>
  <c r="G34" i="1"/>
  <c r="G32" i="1"/>
  <c r="G31" i="1"/>
  <c r="G30" i="1"/>
  <c r="G29" i="1"/>
  <c r="G28" i="1"/>
  <c r="G27" i="1"/>
  <c r="G26" i="1"/>
  <c r="G25" i="1"/>
  <c r="G24" i="1"/>
  <c r="G23" i="1"/>
  <c r="G22" i="1"/>
  <c r="G21" i="1"/>
  <c r="G20" i="1"/>
  <c r="G19" i="1"/>
  <c r="G18" i="1"/>
  <c r="G17" i="1"/>
  <c r="N674" i="12" l="1"/>
  <c r="M674" i="12"/>
  <c r="M179" i="12"/>
  <c r="N179" i="12"/>
  <c r="N664" i="12"/>
  <c r="M664" i="12"/>
  <c r="N394" i="12"/>
  <c r="M394" i="12"/>
  <c r="N170" i="12"/>
  <c r="M170" i="12"/>
  <c r="N406" i="12"/>
  <c r="M406" i="12"/>
  <c r="M643" i="12"/>
  <c r="N643" i="12"/>
  <c r="N375" i="12"/>
  <c r="M375" i="12"/>
  <c r="N150" i="12"/>
  <c r="M150" i="12"/>
  <c r="O150" i="12" s="1"/>
  <c r="M638" i="12"/>
  <c r="N638" i="12"/>
  <c r="M624" i="12"/>
  <c r="N624" i="12"/>
  <c r="M311" i="12"/>
  <c r="N311" i="12"/>
  <c r="N114" i="12"/>
  <c r="M114" i="12"/>
  <c r="M124" i="12"/>
  <c r="N124" i="12"/>
  <c r="N605" i="12"/>
  <c r="M605" i="12"/>
  <c r="O605" i="12" s="1"/>
  <c r="M286" i="12"/>
  <c r="N286" i="12"/>
  <c r="M40" i="12"/>
  <c r="N40" i="12"/>
  <c r="M625" i="12"/>
  <c r="N625" i="12"/>
  <c r="N581" i="12"/>
  <c r="M581" i="12"/>
  <c r="N253" i="12"/>
  <c r="M253" i="12"/>
  <c r="O253" i="12" s="1"/>
  <c r="N33" i="12"/>
  <c r="M33" i="12"/>
  <c r="O33" i="12" s="1"/>
  <c r="M333" i="12"/>
  <c r="N333" i="12"/>
  <c r="N540" i="12"/>
  <c r="M540" i="12"/>
  <c r="N242" i="12"/>
  <c r="M242" i="12"/>
  <c r="M134" i="12"/>
  <c r="N134" i="12"/>
  <c r="N715" i="12"/>
  <c r="M715" i="12"/>
  <c r="N495" i="12"/>
  <c r="M495" i="12"/>
  <c r="O495" i="12" s="1"/>
  <c r="N207" i="12"/>
  <c r="M207" i="12"/>
  <c r="N692" i="12"/>
  <c r="M692" i="12"/>
  <c r="N477" i="12"/>
  <c r="M477" i="12"/>
  <c r="O477" i="12" s="1"/>
  <c r="M197" i="12"/>
  <c r="N197" i="12"/>
  <c r="N334" i="12"/>
  <c r="M334" i="12"/>
  <c r="N684" i="12"/>
  <c r="M684" i="12"/>
  <c r="M440" i="12"/>
  <c r="N440" i="12"/>
  <c r="M188" i="12"/>
  <c r="N188" i="12"/>
  <c r="M581" i="7"/>
  <c r="N581" i="7"/>
  <c r="M33" i="7"/>
  <c r="N33" i="7"/>
  <c r="M540" i="7"/>
  <c r="N540" i="7"/>
  <c r="M242" i="7"/>
  <c r="N242" i="7"/>
  <c r="M692" i="7"/>
  <c r="N692" i="7"/>
  <c r="M477" i="7"/>
  <c r="N477" i="7"/>
  <c r="N197" i="7"/>
  <c r="M197" i="7"/>
  <c r="M684" i="7"/>
  <c r="N684" i="7"/>
  <c r="M440" i="7"/>
  <c r="N440" i="7"/>
  <c r="M188" i="7"/>
  <c r="N188" i="7"/>
  <c r="M253" i="7"/>
  <c r="N253" i="7"/>
  <c r="N674" i="7"/>
  <c r="M674" i="7"/>
  <c r="M406" i="7"/>
  <c r="N406" i="7"/>
  <c r="N179" i="7"/>
  <c r="M179" i="7"/>
  <c r="O179" i="7" s="1"/>
  <c r="M664" i="7"/>
  <c r="N664" i="7"/>
  <c r="N394" i="7"/>
  <c r="M394" i="7"/>
  <c r="N170" i="7"/>
  <c r="M170" i="7"/>
  <c r="M643" i="7"/>
  <c r="N643" i="7"/>
  <c r="N375" i="7"/>
  <c r="M375" i="7"/>
  <c r="N150" i="7"/>
  <c r="M150" i="7"/>
  <c r="M638" i="7"/>
  <c r="N638" i="7"/>
  <c r="M334" i="7"/>
  <c r="N334" i="7"/>
  <c r="N134" i="7"/>
  <c r="M134" i="7"/>
  <c r="M495" i="7"/>
  <c r="N495" i="7"/>
  <c r="M625" i="7"/>
  <c r="N625" i="7"/>
  <c r="M333" i="7"/>
  <c r="N333" i="7"/>
  <c r="M124" i="7"/>
  <c r="N124" i="7"/>
  <c r="M715" i="7"/>
  <c r="N715" i="7"/>
  <c r="N624" i="7"/>
  <c r="M624" i="7"/>
  <c r="N311" i="7"/>
  <c r="M311" i="7"/>
  <c r="O311" i="7" s="1"/>
  <c r="M114" i="7"/>
  <c r="N114" i="7"/>
  <c r="N207" i="7"/>
  <c r="M207" i="7"/>
  <c r="N605" i="7"/>
  <c r="M605" i="7"/>
  <c r="N286" i="7"/>
  <c r="M286" i="7"/>
  <c r="M40" i="7"/>
  <c r="N40" i="7"/>
  <c r="N664" i="4"/>
  <c r="M664" i="4"/>
  <c r="N540" i="4"/>
  <c r="M540" i="4"/>
  <c r="M242" i="4"/>
  <c r="N242" i="4"/>
  <c r="N394" i="4"/>
  <c r="M394" i="4"/>
  <c r="N715" i="4"/>
  <c r="M715" i="4"/>
  <c r="M495" i="4"/>
  <c r="N495" i="4"/>
  <c r="N207" i="4"/>
  <c r="M207" i="4"/>
  <c r="M170" i="4"/>
  <c r="N170" i="4"/>
  <c r="N692" i="4"/>
  <c r="M692" i="4"/>
  <c r="N477" i="4"/>
  <c r="M477" i="4"/>
  <c r="N197" i="4"/>
  <c r="M197" i="4"/>
  <c r="M684" i="4"/>
  <c r="N684" i="4"/>
  <c r="O684" i="4" s="1"/>
  <c r="M440" i="4"/>
  <c r="N440" i="4"/>
  <c r="N188" i="4"/>
  <c r="M188" i="4"/>
  <c r="N674" i="4"/>
  <c r="M674" i="4"/>
  <c r="O674" i="4" s="1"/>
  <c r="N406" i="4"/>
  <c r="M406" i="4"/>
  <c r="N179" i="4"/>
  <c r="M179" i="4"/>
  <c r="M643" i="4"/>
  <c r="N643" i="4"/>
  <c r="N375" i="4"/>
  <c r="M375" i="4"/>
  <c r="M150" i="4"/>
  <c r="N150" i="4"/>
  <c r="N638" i="4"/>
  <c r="M638" i="4"/>
  <c r="M334" i="4"/>
  <c r="N334" i="4"/>
  <c r="M134" i="4"/>
  <c r="N134" i="4"/>
  <c r="M625" i="4"/>
  <c r="N625" i="4"/>
  <c r="M333" i="4"/>
  <c r="N333" i="4"/>
  <c r="N124" i="4"/>
  <c r="M124" i="4"/>
  <c r="N624" i="4"/>
  <c r="M624" i="4"/>
  <c r="N311" i="4"/>
  <c r="M311" i="4"/>
  <c r="M114" i="4"/>
  <c r="N114" i="4"/>
  <c r="M605" i="4"/>
  <c r="N605" i="4"/>
  <c r="M286" i="4"/>
  <c r="N286" i="4"/>
  <c r="N40" i="4"/>
  <c r="M40" i="4"/>
  <c r="N581" i="4"/>
  <c r="M581" i="4"/>
  <c r="N253" i="4"/>
  <c r="M253" i="4"/>
  <c r="N33" i="4"/>
  <c r="M33" i="4"/>
  <c r="O33" i="4" s="1"/>
  <c r="N440" i="10"/>
  <c r="M440" i="10"/>
  <c r="M674" i="10"/>
  <c r="N674" i="10"/>
  <c r="N406" i="10"/>
  <c r="M406" i="10"/>
  <c r="M179" i="10"/>
  <c r="N179" i="10"/>
  <c r="M684" i="10"/>
  <c r="N684" i="10"/>
  <c r="M188" i="10"/>
  <c r="O188" i="10" s="1"/>
  <c r="N188" i="10"/>
  <c r="N664" i="10"/>
  <c r="M664" i="10"/>
  <c r="M394" i="10"/>
  <c r="N394" i="10"/>
  <c r="M170" i="10"/>
  <c r="N170" i="10"/>
  <c r="N625" i="10"/>
  <c r="M625" i="10"/>
  <c r="N333" i="10"/>
  <c r="M333" i="10"/>
  <c r="M124" i="10"/>
  <c r="N124" i="10"/>
  <c r="N624" i="10"/>
  <c r="M624" i="10"/>
  <c r="N311" i="10"/>
  <c r="M311" i="10"/>
  <c r="N114" i="10"/>
  <c r="M114" i="10"/>
  <c r="M375" i="10"/>
  <c r="N375" i="10"/>
  <c r="M605" i="10"/>
  <c r="N605" i="10"/>
  <c r="M286" i="10"/>
  <c r="N286" i="10"/>
  <c r="N40" i="10"/>
  <c r="M40" i="10"/>
  <c r="M581" i="10"/>
  <c r="N581" i="10"/>
  <c r="N253" i="10"/>
  <c r="M253" i="10"/>
  <c r="M33" i="10"/>
  <c r="N33" i="10"/>
  <c r="M150" i="10"/>
  <c r="N150" i="10"/>
  <c r="N334" i="10"/>
  <c r="M334" i="10"/>
  <c r="M540" i="10"/>
  <c r="N540" i="10"/>
  <c r="N242" i="10"/>
  <c r="M242" i="10"/>
  <c r="M643" i="10"/>
  <c r="N643" i="10"/>
  <c r="N134" i="10"/>
  <c r="M134" i="10"/>
  <c r="M715" i="10"/>
  <c r="N715" i="10"/>
  <c r="M495" i="10"/>
  <c r="N495" i="10"/>
  <c r="N207" i="10"/>
  <c r="M207" i="10"/>
  <c r="N638" i="10"/>
  <c r="M638" i="10"/>
  <c r="M692" i="10"/>
  <c r="N692" i="10"/>
  <c r="M477" i="10"/>
  <c r="N477" i="10"/>
  <c r="M197" i="10"/>
  <c r="N197" i="10"/>
  <c r="N581" i="9"/>
  <c r="M581" i="9"/>
  <c r="N253" i="9"/>
  <c r="M253" i="9"/>
  <c r="O253" i="9" s="1"/>
  <c r="M33" i="9"/>
  <c r="N33" i="9"/>
  <c r="M540" i="9"/>
  <c r="N540" i="9"/>
  <c r="M242" i="9"/>
  <c r="N242" i="9"/>
  <c r="N692" i="9"/>
  <c r="M692" i="9"/>
  <c r="N477" i="9"/>
  <c r="M477" i="9"/>
  <c r="N197" i="9"/>
  <c r="M197" i="9"/>
  <c r="N286" i="9"/>
  <c r="M286" i="9"/>
  <c r="O286" i="9" s="1"/>
  <c r="N40" i="9"/>
  <c r="M40" i="9"/>
  <c r="N715" i="9"/>
  <c r="M715" i="9"/>
  <c r="M684" i="9"/>
  <c r="N684" i="9"/>
  <c r="N440" i="9"/>
  <c r="M440" i="9"/>
  <c r="M188" i="9"/>
  <c r="N188" i="9"/>
  <c r="N605" i="9"/>
  <c r="M605" i="9"/>
  <c r="O605" i="9" s="1"/>
  <c r="M674" i="9"/>
  <c r="N674" i="9"/>
  <c r="N406" i="9"/>
  <c r="M406" i="9"/>
  <c r="M179" i="9"/>
  <c r="N179" i="9"/>
  <c r="N664" i="9"/>
  <c r="M664" i="9"/>
  <c r="M394" i="9"/>
  <c r="N394" i="9"/>
  <c r="N170" i="9"/>
  <c r="M170" i="9"/>
  <c r="O170" i="9" s="1"/>
  <c r="N643" i="9"/>
  <c r="M643" i="9"/>
  <c r="M375" i="9"/>
  <c r="N375" i="9"/>
  <c r="M150" i="9"/>
  <c r="N150" i="9"/>
  <c r="M495" i="9"/>
  <c r="N495" i="9"/>
  <c r="M638" i="9"/>
  <c r="N638" i="9"/>
  <c r="N334" i="9"/>
  <c r="M334" i="9"/>
  <c r="N134" i="9"/>
  <c r="M134" i="9"/>
  <c r="N207" i="9"/>
  <c r="M207" i="9"/>
  <c r="M625" i="9"/>
  <c r="N625" i="9"/>
  <c r="N333" i="9"/>
  <c r="M333" i="9"/>
  <c r="N124" i="9"/>
  <c r="M124" i="9"/>
  <c r="O124" i="9" s="1"/>
  <c r="M624" i="9"/>
  <c r="N624" i="9"/>
  <c r="N311" i="9"/>
  <c r="M311" i="9"/>
  <c r="M114" i="9"/>
  <c r="N114" i="9"/>
  <c r="N540" i="3"/>
  <c r="M540" i="3"/>
  <c r="O540" i="3" s="1"/>
  <c r="M242" i="3"/>
  <c r="N242" i="3"/>
  <c r="N624" i="3"/>
  <c r="M624" i="3"/>
  <c r="N114" i="3"/>
  <c r="M114" i="3"/>
  <c r="M605" i="3"/>
  <c r="N605" i="3"/>
  <c r="M40" i="3"/>
  <c r="N40" i="3"/>
  <c r="O40" i="3" s="1"/>
  <c r="N715" i="3"/>
  <c r="M715" i="3"/>
  <c r="O715" i="3" s="1"/>
  <c r="M495" i="3"/>
  <c r="N495" i="3"/>
  <c r="N207" i="3"/>
  <c r="M207" i="3"/>
  <c r="M311" i="3"/>
  <c r="N311" i="3"/>
  <c r="M286" i="3"/>
  <c r="N286" i="3"/>
  <c r="N692" i="3"/>
  <c r="M692" i="3"/>
  <c r="M477" i="3"/>
  <c r="N477" i="3"/>
  <c r="N197" i="3"/>
  <c r="M197" i="3"/>
  <c r="N684" i="3"/>
  <c r="M684" i="3"/>
  <c r="N440" i="3"/>
  <c r="M440" i="3"/>
  <c r="O440" i="3" s="1"/>
  <c r="N188" i="3"/>
  <c r="M188" i="3"/>
  <c r="M674" i="3"/>
  <c r="N674" i="3"/>
  <c r="M406" i="3"/>
  <c r="N406" i="3"/>
  <c r="M179" i="3"/>
  <c r="N179" i="3"/>
  <c r="M664" i="3"/>
  <c r="N664" i="3"/>
  <c r="M394" i="3"/>
  <c r="N394" i="3"/>
  <c r="M170" i="3"/>
  <c r="N170" i="3"/>
  <c r="M33" i="3"/>
  <c r="N33" i="3"/>
  <c r="N643" i="3"/>
  <c r="M643" i="3"/>
  <c r="M375" i="3"/>
  <c r="N375" i="3"/>
  <c r="N150" i="3"/>
  <c r="M150" i="3"/>
  <c r="O150" i="3" s="1"/>
  <c r="M253" i="3"/>
  <c r="N253" i="3"/>
  <c r="N638" i="3"/>
  <c r="M638" i="3"/>
  <c r="M334" i="3"/>
  <c r="N334" i="3"/>
  <c r="N134" i="3"/>
  <c r="M134" i="3"/>
  <c r="O134" i="3" s="1"/>
  <c r="M581" i="3"/>
  <c r="N581" i="3"/>
  <c r="N625" i="3"/>
  <c r="M625" i="3"/>
  <c r="M333" i="3"/>
  <c r="N333" i="3"/>
  <c r="M124" i="3"/>
  <c r="O124" i="3" s="1"/>
  <c r="N124" i="3"/>
  <c r="M664" i="1"/>
  <c r="N664" i="1"/>
  <c r="N170" i="1"/>
  <c r="M170" i="1"/>
  <c r="M643" i="1"/>
  <c r="N643" i="1"/>
  <c r="N375" i="1"/>
  <c r="M375" i="1"/>
  <c r="N150" i="1"/>
  <c r="M150" i="1"/>
  <c r="M394" i="1"/>
  <c r="N394" i="1"/>
  <c r="M638" i="1"/>
  <c r="N638" i="1"/>
  <c r="N334" i="1"/>
  <c r="M334" i="1"/>
  <c r="M134" i="1"/>
  <c r="N134" i="1"/>
  <c r="M605" i="1"/>
  <c r="N605" i="1"/>
  <c r="N286" i="1"/>
  <c r="M286" i="1"/>
  <c r="M40" i="1"/>
  <c r="N40" i="1"/>
  <c r="M581" i="1"/>
  <c r="N581" i="1"/>
  <c r="M253" i="1"/>
  <c r="N253" i="1"/>
  <c r="N625" i="1"/>
  <c r="M625" i="1"/>
  <c r="O625" i="1" s="1"/>
  <c r="M333" i="1"/>
  <c r="N333" i="1"/>
  <c r="N124" i="1"/>
  <c r="M124" i="1"/>
  <c r="M624" i="1"/>
  <c r="N624" i="1"/>
  <c r="N540" i="1"/>
  <c r="M540" i="1"/>
  <c r="O540" i="1" s="1"/>
  <c r="N242" i="1"/>
  <c r="M242" i="1"/>
  <c r="N114" i="1"/>
  <c r="M114" i="1"/>
  <c r="O114" i="1" s="1"/>
  <c r="M715" i="1"/>
  <c r="N715" i="1"/>
  <c r="M495" i="1"/>
  <c r="N495" i="1"/>
  <c r="N207" i="1"/>
  <c r="M207" i="1"/>
  <c r="N692" i="1"/>
  <c r="M692" i="1"/>
  <c r="O692" i="1" s="1"/>
  <c r="M477" i="1"/>
  <c r="N477" i="1"/>
  <c r="N197" i="1"/>
  <c r="M197" i="1"/>
  <c r="O197" i="1" s="1"/>
  <c r="N684" i="1"/>
  <c r="M684" i="1"/>
  <c r="M440" i="1"/>
  <c r="N440" i="1"/>
  <c r="M188" i="1"/>
  <c r="N188" i="1"/>
  <c r="N311" i="1"/>
  <c r="M311" i="1"/>
  <c r="M674" i="1"/>
  <c r="N674" i="1"/>
  <c r="N406" i="1"/>
  <c r="M406" i="1"/>
  <c r="M179" i="1"/>
  <c r="N179" i="1"/>
  <c r="N33" i="1"/>
  <c r="M33" i="1"/>
  <c r="M605" i="6"/>
  <c r="N605" i="6"/>
  <c r="M540" i="6"/>
  <c r="N540" i="6"/>
  <c r="M242" i="6"/>
  <c r="N242" i="6"/>
  <c r="M715" i="6"/>
  <c r="N715" i="6"/>
  <c r="N495" i="6"/>
  <c r="M495" i="6"/>
  <c r="M207" i="6"/>
  <c r="N207" i="6"/>
  <c r="M286" i="6"/>
  <c r="O286" i="6" s="1"/>
  <c r="N286" i="6"/>
  <c r="N692" i="6"/>
  <c r="M692" i="6"/>
  <c r="N477" i="6"/>
  <c r="M477" i="6"/>
  <c r="N197" i="6"/>
  <c r="M197" i="6"/>
  <c r="N684" i="6"/>
  <c r="M684" i="6"/>
  <c r="N440" i="6"/>
  <c r="M440" i="6"/>
  <c r="N188" i="6"/>
  <c r="M188" i="6"/>
  <c r="M674" i="6"/>
  <c r="N674" i="6"/>
  <c r="M406" i="6"/>
  <c r="N406" i="6"/>
  <c r="N179" i="6"/>
  <c r="M179" i="6"/>
  <c r="N664" i="6"/>
  <c r="M664" i="6"/>
  <c r="M394" i="6"/>
  <c r="N394" i="6"/>
  <c r="N170" i="6"/>
  <c r="M170" i="6"/>
  <c r="M643" i="6"/>
  <c r="N643" i="6"/>
  <c r="N375" i="6"/>
  <c r="M375" i="6"/>
  <c r="N150" i="6"/>
  <c r="M150" i="6"/>
  <c r="M40" i="6"/>
  <c r="N40" i="6"/>
  <c r="N581" i="6"/>
  <c r="M581" i="6"/>
  <c r="N638" i="6"/>
  <c r="M638" i="6"/>
  <c r="M334" i="6"/>
  <c r="N334" i="6"/>
  <c r="N134" i="6"/>
  <c r="M134" i="6"/>
  <c r="M253" i="6"/>
  <c r="N253" i="6"/>
  <c r="N625" i="6"/>
  <c r="M625" i="6"/>
  <c r="M333" i="6"/>
  <c r="N333" i="6"/>
  <c r="N124" i="6"/>
  <c r="M124" i="6"/>
  <c r="N33" i="6"/>
  <c r="M33" i="6"/>
  <c r="N624" i="6"/>
  <c r="M624" i="6"/>
  <c r="N311" i="6"/>
  <c r="M311" i="6"/>
  <c r="N114" i="6"/>
  <c r="M114" i="6"/>
  <c r="M540" i="8"/>
  <c r="N540" i="8"/>
  <c r="M242" i="8"/>
  <c r="N242" i="8"/>
  <c r="M715" i="8"/>
  <c r="N715" i="8"/>
  <c r="M495" i="8"/>
  <c r="N495" i="8"/>
  <c r="M207" i="8"/>
  <c r="N207" i="8"/>
  <c r="M684" i="8"/>
  <c r="N684" i="8"/>
  <c r="M440" i="8"/>
  <c r="N440" i="8"/>
  <c r="N188" i="8"/>
  <c r="M188" i="8"/>
  <c r="M477" i="8"/>
  <c r="N477" i="8"/>
  <c r="N674" i="8"/>
  <c r="M674" i="8"/>
  <c r="N406" i="8"/>
  <c r="M406" i="8"/>
  <c r="N179" i="8"/>
  <c r="M179" i="8"/>
  <c r="M253" i="8"/>
  <c r="N253" i="8"/>
  <c r="M664" i="8"/>
  <c r="N664" i="8"/>
  <c r="M394" i="8"/>
  <c r="N394" i="8"/>
  <c r="N170" i="8"/>
  <c r="M170" i="8"/>
  <c r="M581" i="8"/>
  <c r="N581" i="8"/>
  <c r="M643" i="8"/>
  <c r="N643" i="8"/>
  <c r="M375" i="8"/>
  <c r="N375" i="8"/>
  <c r="M150" i="8"/>
  <c r="N150" i="8"/>
  <c r="N638" i="8"/>
  <c r="M638" i="8"/>
  <c r="N334" i="8"/>
  <c r="M334" i="8"/>
  <c r="M134" i="8"/>
  <c r="N134" i="8"/>
  <c r="N33" i="8"/>
  <c r="M33" i="8"/>
  <c r="N692" i="8"/>
  <c r="M692" i="8"/>
  <c r="M625" i="8"/>
  <c r="N625" i="8"/>
  <c r="N333" i="8"/>
  <c r="M333" i="8"/>
  <c r="M124" i="8"/>
  <c r="N124" i="8"/>
  <c r="M624" i="8"/>
  <c r="N624" i="8"/>
  <c r="M311" i="8"/>
  <c r="N311" i="8"/>
  <c r="N114" i="8"/>
  <c r="M114" i="8"/>
  <c r="N197" i="8"/>
  <c r="M197" i="8"/>
  <c r="M605" i="8"/>
  <c r="N605" i="8"/>
  <c r="N286" i="8"/>
  <c r="M286" i="8"/>
  <c r="M40" i="8"/>
  <c r="N40" i="8"/>
  <c r="G160" i="12"/>
  <c r="G138" i="12"/>
  <c r="G123" i="12"/>
  <c r="G121" i="12"/>
  <c r="G135" i="12"/>
  <c r="G146" i="12"/>
  <c r="G119" i="12"/>
  <c r="G131" i="12"/>
  <c r="G144" i="12"/>
  <c r="G117" i="12"/>
  <c r="G143" i="12"/>
  <c r="G116" i="12"/>
  <c r="G127" i="12"/>
  <c r="G140" i="12"/>
  <c r="G430" i="12"/>
  <c r="G149" i="12"/>
  <c r="G137" i="12"/>
  <c r="G122" i="12"/>
  <c r="G136" i="12"/>
  <c r="G147" i="12"/>
  <c r="G120" i="12"/>
  <c r="G133" i="12"/>
  <c r="G145" i="12"/>
  <c r="G118" i="12"/>
  <c r="G130" i="12"/>
  <c r="G129" i="12"/>
  <c r="G128" i="12"/>
  <c r="G139" i="12"/>
  <c r="G148" i="12"/>
  <c r="G115" i="12"/>
  <c r="G126" i="12"/>
  <c r="G125" i="12"/>
  <c r="G142" i="12"/>
  <c r="G141" i="12"/>
  <c r="G641" i="10"/>
  <c r="G430" i="10"/>
  <c r="G139" i="10"/>
  <c r="G125" i="10"/>
  <c r="G130" i="10"/>
  <c r="G143" i="10"/>
  <c r="G142" i="10"/>
  <c r="G127" i="10"/>
  <c r="G160" i="10"/>
  <c r="G138" i="10"/>
  <c r="G123" i="10"/>
  <c r="G120" i="10"/>
  <c r="G119" i="10"/>
  <c r="G145" i="10"/>
  <c r="G144" i="10"/>
  <c r="G116" i="10"/>
  <c r="G115" i="10"/>
  <c r="G149" i="10"/>
  <c r="G137" i="10"/>
  <c r="G122" i="10"/>
  <c r="G147" i="10"/>
  <c r="G146" i="10"/>
  <c r="G118" i="10"/>
  <c r="G126" i="10"/>
  <c r="G148" i="10"/>
  <c r="G136" i="10"/>
  <c r="G121" i="10"/>
  <c r="G135" i="10"/>
  <c r="G133" i="10"/>
  <c r="G131" i="10"/>
  <c r="G117" i="10"/>
  <c r="G129" i="10"/>
  <c r="G128" i="10"/>
  <c r="G140" i="10"/>
  <c r="G141" i="10"/>
  <c r="G145" i="8"/>
  <c r="G131" i="8"/>
  <c r="G118" i="8"/>
  <c r="G125" i="8"/>
  <c r="G147" i="8"/>
  <c r="G144" i="8"/>
  <c r="G130" i="8"/>
  <c r="G117" i="8"/>
  <c r="G430" i="8"/>
  <c r="G123" i="8"/>
  <c r="G149" i="8"/>
  <c r="G136" i="8"/>
  <c r="G143" i="8"/>
  <c r="G129" i="8"/>
  <c r="G116" i="8"/>
  <c r="G140" i="8"/>
  <c r="G160" i="8"/>
  <c r="G120" i="8"/>
  <c r="G133" i="8"/>
  <c r="G142" i="8"/>
  <c r="G128" i="8"/>
  <c r="G115" i="8"/>
  <c r="G138" i="8"/>
  <c r="G122" i="8"/>
  <c r="G148" i="8"/>
  <c r="G135" i="8"/>
  <c r="G146" i="8"/>
  <c r="G141" i="8"/>
  <c r="G127" i="8"/>
  <c r="G126" i="8"/>
  <c r="G139" i="8"/>
  <c r="G137" i="8"/>
  <c r="G121" i="8"/>
  <c r="G119" i="8"/>
  <c r="G149" i="6"/>
  <c r="G137" i="6"/>
  <c r="G122" i="6"/>
  <c r="G130" i="6"/>
  <c r="G148" i="6"/>
  <c r="G136" i="6"/>
  <c r="G121" i="6"/>
  <c r="G117" i="6"/>
  <c r="G147" i="6"/>
  <c r="G135" i="6"/>
  <c r="G120" i="6"/>
  <c r="G146" i="6"/>
  <c r="G133" i="6"/>
  <c r="G119" i="6"/>
  <c r="G145" i="6"/>
  <c r="G131" i="6"/>
  <c r="G118" i="6"/>
  <c r="G144" i="6"/>
  <c r="G690" i="6"/>
  <c r="G143" i="6"/>
  <c r="G129" i="6"/>
  <c r="G116" i="6"/>
  <c r="G127" i="6"/>
  <c r="G126" i="6"/>
  <c r="G142" i="6"/>
  <c r="G128" i="6"/>
  <c r="G115" i="6"/>
  <c r="G141" i="6"/>
  <c r="G140" i="6"/>
  <c r="G430" i="6"/>
  <c r="G139" i="6"/>
  <c r="G125" i="6"/>
  <c r="G138" i="6"/>
  <c r="G123" i="6"/>
  <c r="G160" i="6"/>
  <c r="G690" i="4"/>
  <c r="G145" i="4"/>
  <c r="G131" i="4"/>
  <c r="G118" i="4"/>
  <c r="G144" i="4"/>
  <c r="G130" i="4"/>
  <c r="G117" i="4"/>
  <c r="G143" i="4"/>
  <c r="G129" i="4"/>
  <c r="G116" i="4"/>
  <c r="G136" i="4"/>
  <c r="G120" i="4"/>
  <c r="G119" i="4"/>
  <c r="G142" i="4"/>
  <c r="G128" i="4"/>
  <c r="G115" i="4"/>
  <c r="G141" i="4"/>
  <c r="G127" i="4"/>
  <c r="G139" i="4"/>
  <c r="G138" i="4"/>
  <c r="G123" i="4"/>
  <c r="G137" i="4"/>
  <c r="G148" i="4"/>
  <c r="G147" i="4"/>
  <c r="G146" i="4"/>
  <c r="G140" i="4"/>
  <c r="G126" i="4"/>
  <c r="G430" i="4"/>
  <c r="G125" i="4"/>
  <c r="G160" i="4"/>
  <c r="G149" i="4"/>
  <c r="G122" i="4"/>
  <c r="G121" i="4"/>
  <c r="G135" i="4"/>
  <c r="G133" i="4"/>
  <c r="G148" i="7"/>
  <c r="G136" i="7"/>
  <c r="G121" i="7"/>
  <c r="G142" i="7"/>
  <c r="G126" i="7"/>
  <c r="G139" i="7"/>
  <c r="G147" i="7"/>
  <c r="G135" i="7"/>
  <c r="G120" i="7"/>
  <c r="G143" i="7"/>
  <c r="G141" i="7"/>
  <c r="G146" i="7"/>
  <c r="G133" i="7"/>
  <c r="G119" i="7"/>
  <c r="G129" i="7"/>
  <c r="G115" i="7"/>
  <c r="G125" i="7"/>
  <c r="G145" i="7"/>
  <c r="G131" i="7"/>
  <c r="G118" i="7"/>
  <c r="G144" i="7"/>
  <c r="G130" i="7"/>
  <c r="G117" i="7"/>
  <c r="G116" i="7"/>
  <c r="G128" i="7"/>
  <c r="G127" i="7"/>
  <c r="G140" i="7"/>
  <c r="G160" i="7"/>
  <c r="G138" i="7"/>
  <c r="G123" i="7"/>
  <c r="G149" i="7"/>
  <c r="G137" i="7"/>
  <c r="G122" i="7"/>
  <c r="G430" i="7"/>
  <c r="G146" i="9"/>
  <c r="G133" i="9"/>
  <c r="G119" i="9"/>
  <c r="G145" i="9"/>
  <c r="G131" i="9"/>
  <c r="G118" i="9"/>
  <c r="G144" i="9"/>
  <c r="G130" i="9"/>
  <c r="G117" i="9"/>
  <c r="G143" i="9"/>
  <c r="G129" i="9"/>
  <c r="G116" i="9"/>
  <c r="G142" i="9"/>
  <c r="G128" i="9"/>
  <c r="G115" i="9"/>
  <c r="G141" i="9"/>
  <c r="G127" i="9"/>
  <c r="G140" i="9"/>
  <c r="G126" i="9"/>
  <c r="G430" i="9"/>
  <c r="G139" i="9"/>
  <c r="G125" i="9"/>
  <c r="G160" i="9"/>
  <c r="G138" i="9"/>
  <c r="G123" i="9"/>
  <c r="G135" i="9"/>
  <c r="G149" i="9"/>
  <c r="G137" i="9"/>
  <c r="G122" i="9"/>
  <c r="G148" i="9"/>
  <c r="G136" i="9"/>
  <c r="G121" i="9"/>
  <c r="G147" i="9"/>
  <c r="G120" i="9"/>
  <c r="G146" i="3"/>
  <c r="G133" i="3"/>
  <c r="G119" i="3"/>
  <c r="G145" i="3"/>
  <c r="G118" i="3"/>
  <c r="G130" i="3"/>
  <c r="G129" i="3"/>
  <c r="G142" i="3"/>
  <c r="G115" i="3"/>
  <c r="G141" i="3"/>
  <c r="G140" i="3"/>
  <c r="G139" i="3"/>
  <c r="G160" i="3"/>
  <c r="G149" i="3"/>
  <c r="G122" i="3"/>
  <c r="G148" i="3"/>
  <c r="G136" i="3"/>
  <c r="G121" i="3"/>
  <c r="G147" i="3"/>
  <c r="G135" i="3"/>
  <c r="G120" i="3"/>
  <c r="G131" i="3"/>
  <c r="G144" i="3"/>
  <c r="G117" i="3"/>
  <c r="G143" i="3"/>
  <c r="G116" i="3"/>
  <c r="G128" i="3"/>
  <c r="G127" i="3"/>
  <c r="G126" i="3"/>
  <c r="G430" i="3"/>
  <c r="G125" i="3"/>
  <c r="G138" i="3"/>
  <c r="G123" i="3"/>
  <c r="G137" i="3"/>
  <c r="G145" i="1"/>
  <c r="G144" i="1"/>
  <c r="G143" i="1"/>
  <c r="G129" i="1"/>
  <c r="G116" i="1"/>
  <c r="G142" i="1"/>
  <c r="G128" i="1"/>
  <c r="G115" i="1"/>
  <c r="G141" i="1"/>
  <c r="G127" i="1"/>
  <c r="G690" i="1"/>
  <c r="G140" i="1"/>
  <c r="G126" i="1"/>
  <c r="G430" i="1"/>
  <c r="G139" i="1"/>
  <c r="G125" i="1"/>
  <c r="G160" i="1"/>
  <c r="G138" i="1"/>
  <c r="G123" i="1"/>
  <c r="G149" i="1"/>
  <c r="G137" i="1"/>
  <c r="G122" i="1"/>
  <c r="G148" i="1"/>
  <c r="G136" i="1"/>
  <c r="G121" i="1"/>
  <c r="G147" i="1"/>
  <c r="G135" i="1"/>
  <c r="G120" i="1"/>
  <c r="G146" i="1"/>
  <c r="G133" i="1"/>
  <c r="G119" i="1"/>
  <c r="G131" i="1"/>
  <c r="G118" i="1"/>
  <c r="G130" i="1"/>
  <c r="G117" i="1"/>
  <c r="G641" i="3"/>
  <c r="G173" i="4"/>
  <c r="G641" i="4"/>
  <c r="G641" i="12"/>
  <c r="G173" i="6"/>
  <c r="G38" i="4"/>
  <c r="G690" i="7"/>
  <c r="G172" i="7"/>
  <c r="G690" i="12"/>
  <c r="G690" i="8"/>
  <c r="G314" i="6"/>
  <c r="G321" i="4"/>
  <c r="G322" i="4"/>
  <c r="G324" i="4"/>
  <c r="G172" i="4"/>
  <c r="G690" i="3"/>
  <c r="G316" i="12"/>
  <c r="G37" i="12"/>
  <c r="G314" i="12"/>
  <c r="G173" i="12"/>
  <c r="G256" i="12"/>
  <c r="G639" i="12"/>
  <c r="G371" i="12"/>
  <c r="G316" i="10"/>
  <c r="G256" i="10"/>
  <c r="G690" i="10"/>
  <c r="G639" i="10"/>
  <c r="G37" i="10"/>
  <c r="G172" i="10"/>
  <c r="G371" i="10"/>
  <c r="G175" i="10"/>
  <c r="G152" i="10"/>
  <c r="G330" i="10"/>
  <c r="G37" i="8"/>
  <c r="G323" i="8"/>
  <c r="G324" i="8"/>
  <c r="G322" i="8"/>
  <c r="G321" i="8"/>
  <c r="G316" i="8"/>
  <c r="G314" i="8"/>
  <c r="G330" i="8"/>
  <c r="G256" i="8"/>
  <c r="G371" i="8"/>
  <c r="G175" i="8"/>
  <c r="G371" i="6"/>
  <c r="G256" i="6"/>
  <c r="G37" i="6"/>
  <c r="G316" i="6"/>
  <c r="G641" i="6"/>
  <c r="G319" i="6"/>
  <c r="G320" i="6"/>
  <c r="G172" i="6"/>
  <c r="G324" i="6"/>
  <c r="G316" i="4"/>
  <c r="G256" i="4"/>
  <c r="G639" i="4"/>
  <c r="G319" i="4"/>
  <c r="G320" i="4"/>
  <c r="G371" i="4"/>
  <c r="G152" i="4"/>
  <c r="G330" i="4"/>
  <c r="G316" i="7"/>
  <c r="G256" i="7"/>
  <c r="G37" i="7"/>
  <c r="G371" i="7"/>
  <c r="G175" i="7"/>
  <c r="G152" i="7"/>
  <c r="G330" i="7"/>
  <c r="G316" i="9"/>
  <c r="G320" i="9"/>
  <c r="G319" i="9"/>
  <c r="G322" i="9"/>
  <c r="G690" i="9"/>
  <c r="G323" i="9"/>
  <c r="G324" i="9"/>
  <c r="G371" i="9"/>
  <c r="G173" i="9"/>
  <c r="G175" i="9"/>
  <c r="G315" i="9"/>
  <c r="G256" i="9"/>
  <c r="G37" i="9"/>
  <c r="G172" i="9"/>
  <c r="G152" i="9"/>
  <c r="G330" i="9"/>
  <c r="G639" i="3"/>
  <c r="G316" i="3"/>
  <c r="G256" i="3"/>
  <c r="G37" i="3"/>
  <c r="G371" i="3"/>
  <c r="G175" i="3"/>
  <c r="G172" i="3"/>
  <c r="G330" i="3"/>
  <c r="G256" i="1"/>
  <c r="G371" i="1"/>
  <c r="G316" i="1"/>
  <c r="G37" i="1"/>
  <c r="G175" i="1"/>
  <c r="G691" i="1"/>
  <c r="G330" i="1"/>
  <c r="G172" i="12"/>
  <c r="G324" i="12"/>
  <c r="G171" i="12"/>
  <c r="G319" i="12"/>
  <c r="G320" i="12"/>
  <c r="G321" i="12"/>
  <c r="G322" i="12"/>
  <c r="G321" i="10"/>
  <c r="G322" i="10"/>
  <c r="G324" i="10"/>
  <c r="G171" i="10"/>
  <c r="G320" i="10"/>
  <c r="G319" i="10"/>
  <c r="G172" i="8"/>
  <c r="G641" i="8"/>
  <c r="G171" i="8"/>
  <c r="G319" i="8"/>
  <c r="G320" i="8"/>
  <c r="G171" i="6"/>
  <c r="G321" i="6"/>
  <c r="G322" i="6"/>
  <c r="G171" i="4"/>
  <c r="G641" i="7"/>
  <c r="G171" i="7"/>
  <c r="G324" i="7"/>
  <c r="G319" i="7"/>
  <c r="G320" i="7"/>
  <c r="G321" i="7"/>
  <c r="G322" i="7"/>
  <c r="G641" i="9"/>
  <c r="G171" i="9"/>
  <c r="G323" i="3"/>
  <c r="G324" i="3"/>
  <c r="G171" i="3"/>
  <c r="G322" i="3"/>
  <c r="G319" i="3"/>
  <c r="G321" i="3"/>
  <c r="G641" i="1"/>
  <c r="G319" i="1"/>
  <c r="G320" i="1"/>
  <c r="G321" i="1"/>
  <c r="G322" i="1"/>
  <c r="G172" i="1"/>
  <c r="G323" i="1"/>
  <c r="G171" i="1"/>
  <c r="O333" i="12" l="1"/>
  <c r="O664" i="12"/>
  <c r="O134" i="12"/>
  <c r="O375" i="7"/>
  <c r="O197" i="7"/>
  <c r="O134" i="7"/>
  <c r="O715" i="7"/>
  <c r="O33" i="7"/>
  <c r="O33" i="6"/>
  <c r="O286" i="4"/>
  <c r="O114" i="4"/>
  <c r="O124" i="4"/>
  <c r="O333" i="4"/>
  <c r="O197" i="4"/>
  <c r="O124" i="8"/>
  <c r="O674" i="10"/>
  <c r="O440" i="10"/>
  <c r="O334" i="10"/>
  <c r="O134" i="9"/>
  <c r="O188" i="9"/>
  <c r="O114" i="9"/>
  <c r="O114" i="3"/>
  <c r="O150" i="1"/>
  <c r="O333" i="1"/>
  <c r="O394" i="12"/>
  <c r="O638" i="12"/>
  <c r="O170" i="12"/>
  <c r="O540" i="12"/>
  <c r="O375" i="12"/>
  <c r="O253" i="7"/>
  <c r="O624" i="7"/>
  <c r="O170" i="7"/>
  <c r="O188" i="7"/>
  <c r="O638" i="7"/>
  <c r="O674" i="7"/>
  <c r="O188" i="4"/>
  <c r="O311" i="4"/>
  <c r="O406" i="4"/>
  <c r="O207" i="4"/>
  <c r="O170" i="4"/>
  <c r="O394" i="4"/>
  <c r="O477" i="10"/>
  <c r="O715" i="10"/>
  <c r="O242" i="10"/>
  <c r="O253" i="10"/>
  <c r="O207" i="10"/>
  <c r="O624" i="10"/>
  <c r="O406" i="10"/>
  <c r="O207" i="9"/>
  <c r="O624" i="9"/>
  <c r="O334" i="9"/>
  <c r="O715" i="9"/>
  <c r="O477" i="9"/>
  <c r="O33" i="9"/>
  <c r="O179" i="3"/>
  <c r="O638" i="3"/>
  <c r="O33" i="3"/>
  <c r="O495" i="3"/>
  <c r="O242" i="3"/>
  <c r="O188" i="3"/>
  <c r="O692" i="3"/>
  <c r="O477" i="1"/>
  <c r="O684" i="1"/>
  <c r="O124" i="1"/>
  <c r="O334" i="12"/>
  <c r="O207" i="12"/>
  <c r="O624" i="12"/>
  <c r="O440" i="12"/>
  <c r="O124" i="12"/>
  <c r="O643" i="12"/>
  <c r="O179" i="12"/>
  <c r="O684" i="12"/>
  <c r="O692" i="12"/>
  <c r="O715" i="12"/>
  <c r="O581" i="12"/>
  <c r="O114" i="12"/>
  <c r="O406" i="12"/>
  <c r="O674" i="12"/>
  <c r="O625" i="12"/>
  <c r="O311" i="12"/>
  <c r="O242" i="12"/>
  <c r="O40" i="12"/>
  <c r="O188" i="12"/>
  <c r="O197" i="12"/>
  <c r="O286" i="12"/>
  <c r="O286" i="7"/>
  <c r="O334" i="7"/>
  <c r="O581" i="7"/>
  <c r="O605" i="7"/>
  <c r="O207" i="7"/>
  <c r="O394" i="7"/>
  <c r="O124" i="7"/>
  <c r="O150" i="7"/>
  <c r="O664" i="7"/>
  <c r="O440" i="7"/>
  <c r="O333" i="7"/>
  <c r="O406" i="7"/>
  <c r="O684" i="7"/>
  <c r="O477" i="7"/>
  <c r="O242" i="7"/>
  <c r="O114" i="7"/>
  <c r="O625" i="7"/>
  <c r="O495" i="7"/>
  <c r="O643" i="7"/>
  <c r="O692" i="7"/>
  <c r="O540" i="7"/>
  <c r="O40" i="7"/>
  <c r="O624" i="6"/>
  <c r="O134" i="6"/>
  <c r="O150" i="6"/>
  <c r="O179" i="6"/>
  <c r="O124" i="6"/>
  <c r="O638" i="6"/>
  <c r="O170" i="6"/>
  <c r="O581" i="6"/>
  <c r="O40" i="6"/>
  <c r="O406" i="6"/>
  <c r="O581" i="4"/>
  <c r="O40" i="4"/>
  <c r="O624" i="4"/>
  <c r="O692" i="4"/>
  <c r="O334" i="4"/>
  <c r="O253" i="4"/>
  <c r="O638" i="4"/>
  <c r="O477" i="4"/>
  <c r="O625" i="4"/>
  <c r="O150" i="4"/>
  <c r="O495" i="4"/>
  <c r="O242" i="4"/>
  <c r="O375" i="4"/>
  <c r="O715" i="4"/>
  <c r="O540" i="4"/>
  <c r="O664" i="4"/>
  <c r="O605" i="4"/>
  <c r="O643" i="4"/>
  <c r="O179" i="4"/>
  <c r="O134" i="4"/>
  <c r="O440" i="4"/>
  <c r="O188" i="8"/>
  <c r="O242" i="8"/>
  <c r="O495" i="8"/>
  <c r="O114" i="8"/>
  <c r="O477" i="8"/>
  <c r="O375" i="8"/>
  <c r="O643" i="10"/>
  <c r="O375" i="10"/>
  <c r="O179" i="10"/>
  <c r="O692" i="10"/>
  <c r="O581" i="10"/>
  <c r="O286" i="10"/>
  <c r="O684" i="10"/>
  <c r="O311" i="10"/>
  <c r="O170" i="10"/>
  <c r="O197" i="10"/>
  <c r="O495" i="10"/>
  <c r="O33" i="10"/>
  <c r="O124" i="10"/>
  <c r="O394" i="10"/>
  <c r="O134" i="10"/>
  <c r="O40" i="10"/>
  <c r="O333" i="10"/>
  <c r="O664" i="10"/>
  <c r="O638" i="10"/>
  <c r="O114" i="10"/>
  <c r="O625" i="10"/>
  <c r="O605" i="10"/>
  <c r="O540" i="10"/>
  <c r="O150" i="10"/>
  <c r="O540" i="9"/>
  <c r="O197" i="9"/>
  <c r="O375" i="9"/>
  <c r="O394" i="9"/>
  <c r="O179" i="9"/>
  <c r="O692" i="9"/>
  <c r="O333" i="9"/>
  <c r="O643" i="9"/>
  <c r="O664" i="9"/>
  <c r="O406" i="9"/>
  <c r="O311" i="9"/>
  <c r="O625" i="9"/>
  <c r="O674" i="9"/>
  <c r="O242" i="9"/>
  <c r="O40" i="9"/>
  <c r="O581" i="9"/>
  <c r="O638" i="9"/>
  <c r="O440" i="9"/>
  <c r="O495" i="9"/>
  <c r="O150" i="9"/>
  <c r="O684" i="9"/>
  <c r="O170" i="3"/>
  <c r="O406" i="3"/>
  <c r="O477" i="3"/>
  <c r="O333" i="3"/>
  <c r="O375" i="3"/>
  <c r="O311" i="3"/>
  <c r="O207" i="3"/>
  <c r="O625" i="3"/>
  <c r="O643" i="3"/>
  <c r="O197" i="3"/>
  <c r="O624" i="3"/>
  <c r="O581" i="3"/>
  <c r="O394" i="3"/>
  <c r="O674" i="3"/>
  <c r="O605" i="3"/>
  <c r="O334" i="3"/>
  <c r="O664" i="3"/>
  <c r="O286" i="3"/>
  <c r="O684" i="3"/>
  <c r="O253" i="3"/>
  <c r="O406" i="1"/>
  <c r="O311" i="1"/>
  <c r="O33" i="1"/>
  <c r="O394" i="1"/>
  <c r="O664" i="1"/>
  <c r="O375" i="1"/>
  <c r="O170" i="1"/>
  <c r="O495" i="1"/>
  <c r="O242" i="1"/>
  <c r="O674" i="1"/>
  <c r="O188" i="1"/>
  <c r="O715" i="1"/>
  <c r="O253" i="1"/>
  <c r="O179" i="1"/>
  <c r="O605" i="1"/>
  <c r="O638" i="1"/>
  <c r="O207" i="1"/>
  <c r="O440" i="1"/>
  <c r="O624" i="1"/>
  <c r="O581" i="1"/>
  <c r="O40" i="1"/>
  <c r="O134" i="1"/>
  <c r="O643" i="1"/>
  <c r="O286" i="1"/>
  <c r="O334" i="1"/>
  <c r="O581" i="8"/>
  <c r="O253" i="8"/>
  <c r="O440" i="8"/>
  <c r="O33" i="8"/>
  <c r="O179" i="8"/>
  <c r="O40" i="8"/>
  <c r="O624" i="8"/>
  <c r="O134" i="8"/>
  <c r="O207" i="8"/>
  <c r="O333" i="8"/>
  <c r="O394" i="8"/>
  <c r="O440" i="6"/>
  <c r="O207" i="6"/>
  <c r="O197" i="6"/>
  <c r="O375" i="6"/>
  <c r="O242" i="6"/>
  <c r="O692" i="6"/>
  <c r="O334" i="6"/>
  <c r="O643" i="6"/>
  <c r="O540" i="6"/>
  <c r="O188" i="6"/>
  <c r="O605" i="6"/>
  <c r="O333" i="6"/>
  <c r="O394" i="6"/>
  <c r="O114" i="6"/>
  <c r="O625" i="6"/>
  <c r="O664" i="6"/>
  <c r="O684" i="6"/>
  <c r="O495" i="6"/>
  <c r="O311" i="6"/>
  <c r="O253" i="6"/>
  <c r="O715" i="6"/>
  <c r="O477" i="6"/>
  <c r="O674" i="6"/>
  <c r="O311" i="8"/>
  <c r="O643" i="8"/>
  <c r="O684" i="8"/>
  <c r="O406" i="8"/>
  <c r="O286" i="8"/>
  <c r="O334" i="8"/>
  <c r="O674" i="8"/>
  <c r="O170" i="8"/>
  <c r="O638" i="8"/>
  <c r="O605" i="8"/>
  <c r="O715" i="8"/>
  <c r="O150" i="8"/>
  <c r="O197" i="8"/>
  <c r="O625" i="8"/>
  <c r="O664" i="8"/>
  <c r="O692" i="8"/>
  <c r="O540" i="8"/>
  <c r="F18" i="15"/>
  <c r="G18" i="15"/>
  <c r="H18" i="15"/>
  <c r="I15" i="15"/>
  <c r="I16" i="15"/>
  <c r="I14" i="15"/>
  <c r="F19" i="13"/>
  <c r="G19" i="13"/>
  <c r="H19" i="13"/>
  <c r="F17" i="14"/>
  <c r="G17" i="14"/>
  <c r="H17" i="14"/>
  <c r="I15" i="14"/>
  <c r="I14" i="14"/>
  <c r="I15" i="13"/>
  <c r="I16" i="13"/>
  <c r="I17" i="13"/>
  <c r="D15" i="15"/>
  <c r="D16" i="15" s="1"/>
  <c r="D15" i="14"/>
  <c r="D15" i="13"/>
  <c r="D16" i="13" s="1"/>
  <c r="D17" i="13" s="1"/>
  <c r="N738" i="12"/>
  <c r="M738" i="12"/>
  <c r="J737" i="12"/>
  <c r="J736" i="12"/>
  <c r="J735" i="12"/>
  <c r="J734" i="12"/>
  <c r="J733" i="12"/>
  <c r="J732" i="12"/>
  <c r="J731" i="12"/>
  <c r="J730" i="12"/>
  <c r="J729" i="12"/>
  <c r="J728" i="12"/>
  <c r="J727" i="12"/>
  <c r="J726" i="12"/>
  <c r="J725" i="12"/>
  <c r="J724" i="12"/>
  <c r="J723" i="12"/>
  <c r="J722" i="12"/>
  <c r="J721" i="12"/>
  <c r="J720" i="12"/>
  <c r="J719" i="12"/>
  <c r="J718" i="12"/>
  <c r="J717" i="12"/>
  <c r="J716" i="12"/>
  <c r="J714" i="12"/>
  <c r="J713" i="12"/>
  <c r="J712" i="12"/>
  <c r="J711" i="12"/>
  <c r="J710" i="12"/>
  <c r="J709" i="12"/>
  <c r="J708" i="12"/>
  <c r="J707" i="12"/>
  <c r="J706" i="12"/>
  <c r="J705" i="12"/>
  <c r="J704" i="12"/>
  <c r="J703" i="12"/>
  <c r="J702" i="12"/>
  <c r="J701" i="12"/>
  <c r="J700" i="12"/>
  <c r="J699" i="12"/>
  <c r="J698" i="12"/>
  <c r="J697" i="12"/>
  <c r="J696" i="12"/>
  <c r="J695" i="12"/>
  <c r="J694" i="12"/>
  <c r="J693" i="12"/>
  <c r="J691" i="12"/>
  <c r="J690" i="12"/>
  <c r="J689" i="12"/>
  <c r="J688" i="12"/>
  <c r="J687" i="12"/>
  <c r="J686" i="12"/>
  <c r="J685" i="12"/>
  <c r="J683" i="12"/>
  <c r="J682" i="12"/>
  <c r="J681" i="12"/>
  <c r="J680" i="12"/>
  <c r="J679" i="12"/>
  <c r="J678" i="12"/>
  <c r="J677" i="12"/>
  <c r="J676" i="12"/>
  <c r="J675" i="12"/>
  <c r="J673" i="12"/>
  <c r="J672" i="12"/>
  <c r="J671" i="12"/>
  <c r="J670" i="12"/>
  <c r="J669" i="12"/>
  <c r="J668" i="12"/>
  <c r="J667" i="12"/>
  <c r="J666" i="12"/>
  <c r="J665" i="12"/>
  <c r="J663" i="12"/>
  <c r="J662" i="12"/>
  <c r="J661" i="12"/>
  <c r="J660" i="12"/>
  <c r="J659" i="12"/>
  <c r="J658" i="12"/>
  <c r="J657" i="12"/>
  <c r="J656" i="12"/>
  <c r="J655" i="12"/>
  <c r="J654" i="12"/>
  <c r="J653" i="12"/>
  <c r="J652" i="12"/>
  <c r="J651" i="12"/>
  <c r="J650" i="12"/>
  <c r="J649" i="12"/>
  <c r="J648" i="12"/>
  <c r="J647" i="12"/>
  <c r="J646" i="12"/>
  <c r="J645" i="12"/>
  <c r="J644" i="12"/>
  <c r="J642" i="12"/>
  <c r="J641" i="12"/>
  <c r="J640" i="12"/>
  <c r="J639" i="12"/>
  <c r="J637" i="12"/>
  <c r="J636" i="12"/>
  <c r="J635" i="12"/>
  <c r="J634" i="12"/>
  <c r="J633" i="12"/>
  <c r="J632" i="12"/>
  <c r="J631" i="12"/>
  <c r="J630" i="12"/>
  <c r="J629" i="12"/>
  <c r="J628" i="12"/>
  <c r="J627" i="12"/>
  <c r="J626" i="12"/>
  <c r="J623" i="12"/>
  <c r="J622" i="12"/>
  <c r="J621" i="12"/>
  <c r="J620" i="12"/>
  <c r="J619" i="12"/>
  <c r="J618" i="12"/>
  <c r="J617" i="12"/>
  <c r="J616" i="12"/>
  <c r="J615" i="12"/>
  <c r="J614" i="12"/>
  <c r="J613" i="12"/>
  <c r="J612" i="12"/>
  <c r="J611" i="12"/>
  <c r="J610" i="12"/>
  <c r="J609" i="12"/>
  <c r="J608" i="12"/>
  <c r="J607" i="12"/>
  <c r="J606" i="12"/>
  <c r="J604" i="12"/>
  <c r="J603" i="12"/>
  <c r="J602" i="12"/>
  <c r="J601" i="12"/>
  <c r="J600" i="12"/>
  <c r="J599" i="12"/>
  <c r="J598" i="12"/>
  <c r="J597" i="12"/>
  <c r="J596" i="12"/>
  <c r="J595" i="12"/>
  <c r="J594" i="12"/>
  <c r="J593" i="12"/>
  <c r="J592" i="12"/>
  <c r="J591" i="12"/>
  <c r="J590" i="12"/>
  <c r="J589" i="12"/>
  <c r="J588" i="12"/>
  <c r="J587" i="12"/>
  <c r="J586" i="12"/>
  <c r="J585" i="12"/>
  <c r="J584" i="12"/>
  <c r="J583" i="12"/>
  <c r="J582"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42" i="12"/>
  <c r="J541"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98" i="12"/>
  <c r="J497" i="12"/>
  <c r="J496" i="12"/>
  <c r="J494" i="12"/>
  <c r="J493" i="12"/>
  <c r="J492" i="12"/>
  <c r="J491" i="12"/>
  <c r="J490" i="12"/>
  <c r="J489" i="12"/>
  <c r="J488" i="12"/>
  <c r="J487" i="12"/>
  <c r="J486" i="12"/>
  <c r="J485" i="12"/>
  <c r="J484" i="12"/>
  <c r="J483" i="12"/>
  <c r="J482" i="12"/>
  <c r="J481" i="12"/>
  <c r="J480" i="12"/>
  <c r="J479" i="12"/>
  <c r="J478"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J453" i="12"/>
  <c r="J452" i="12"/>
  <c r="J451" i="12"/>
  <c r="J450" i="12"/>
  <c r="J449" i="12"/>
  <c r="J448" i="12"/>
  <c r="J447" i="12"/>
  <c r="J446" i="12"/>
  <c r="J445" i="12"/>
  <c r="J444" i="12"/>
  <c r="J443" i="12"/>
  <c r="J442" i="12"/>
  <c r="J441"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12" i="12"/>
  <c r="J411" i="12"/>
  <c r="J410" i="12"/>
  <c r="J409" i="12"/>
  <c r="J408" i="12"/>
  <c r="J407" i="12"/>
  <c r="J405" i="12"/>
  <c r="J404" i="12"/>
  <c r="J403" i="12"/>
  <c r="J402" i="12"/>
  <c r="J401" i="12"/>
  <c r="J400" i="12"/>
  <c r="J399" i="12"/>
  <c r="J398" i="12"/>
  <c r="J397" i="12"/>
  <c r="J396" i="12"/>
  <c r="J395" i="12"/>
  <c r="J393" i="12"/>
  <c r="J392" i="12"/>
  <c r="J391" i="12"/>
  <c r="J390" i="12"/>
  <c r="J389" i="12"/>
  <c r="J388" i="12"/>
  <c r="J387" i="12"/>
  <c r="J386" i="12"/>
  <c r="J385" i="12"/>
  <c r="J384" i="12"/>
  <c r="J383" i="12"/>
  <c r="J382" i="12"/>
  <c r="J381" i="12"/>
  <c r="J380" i="12"/>
  <c r="J379" i="12"/>
  <c r="J378" i="12"/>
  <c r="J377" i="12"/>
  <c r="J376" i="12"/>
  <c r="J374" i="12"/>
  <c r="J373" i="12"/>
  <c r="J372" i="12"/>
  <c r="J371" i="12"/>
  <c r="J370" i="12"/>
  <c r="J369" i="12"/>
  <c r="J368" i="12"/>
  <c r="J367" i="12"/>
  <c r="J366" i="12"/>
  <c r="J365" i="12"/>
  <c r="J36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2" i="12"/>
  <c r="J331" i="12"/>
  <c r="J330" i="12"/>
  <c r="J329" i="12"/>
  <c r="J328" i="12"/>
  <c r="J327" i="12"/>
  <c r="J326" i="12"/>
  <c r="J325" i="12"/>
  <c r="J324" i="12"/>
  <c r="J323" i="12"/>
  <c r="J322" i="12"/>
  <c r="J321" i="12"/>
  <c r="J320" i="12"/>
  <c r="J319" i="12"/>
  <c r="J318" i="12"/>
  <c r="J317" i="12"/>
  <c r="J316" i="12"/>
  <c r="J315" i="12"/>
  <c r="J314" i="12"/>
  <c r="J313" i="12"/>
  <c r="J312"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2" i="12"/>
  <c r="J251" i="12"/>
  <c r="J250" i="12"/>
  <c r="J249" i="12"/>
  <c r="J248" i="12"/>
  <c r="J247" i="12"/>
  <c r="J246" i="12"/>
  <c r="J245" i="12"/>
  <c r="J244" i="12"/>
  <c r="J243"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206" i="12"/>
  <c r="J205" i="12"/>
  <c r="J204" i="12"/>
  <c r="J203" i="12"/>
  <c r="J202" i="12"/>
  <c r="J201" i="12"/>
  <c r="J200" i="12"/>
  <c r="J199" i="12"/>
  <c r="J198" i="12"/>
  <c r="J196" i="12"/>
  <c r="J195" i="12"/>
  <c r="J194" i="12"/>
  <c r="J193" i="12"/>
  <c r="J192" i="12"/>
  <c r="J191" i="12"/>
  <c r="J190" i="12"/>
  <c r="J189" i="12"/>
  <c r="J187" i="12"/>
  <c r="J186" i="12"/>
  <c r="J185" i="12"/>
  <c r="J184" i="12"/>
  <c r="J183" i="12"/>
  <c r="J182" i="12"/>
  <c r="J181" i="12"/>
  <c r="J180" i="12"/>
  <c r="J176" i="12"/>
  <c r="J175" i="12"/>
  <c r="J174" i="12"/>
  <c r="J173" i="12"/>
  <c r="J172" i="12"/>
  <c r="J171" i="12"/>
  <c r="J169" i="12"/>
  <c r="J168" i="12"/>
  <c r="J167" i="12"/>
  <c r="J166" i="12"/>
  <c r="J165" i="12"/>
  <c r="J164" i="12"/>
  <c r="J163" i="12"/>
  <c r="J162" i="12"/>
  <c r="J161" i="12"/>
  <c r="J160" i="12"/>
  <c r="J159" i="12"/>
  <c r="J158" i="12"/>
  <c r="J157" i="12"/>
  <c r="J156" i="12"/>
  <c r="J155" i="12"/>
  <c r="J154" i="12"/>
  <c r="J153" i="12"/>
  <c r="J152" i="12"/>
  <c r="J151" i="12"/>
  <c r="J149" i="12"/>
  <c r="J148" i="12"/>
  <c r="J147" i="12"/>
  <c r="J146" i="12"/>
  <c r="J145" i="12"/>
  <c r="J144" i="12"/>
  <c r="J143" i="12"/>
  <c r="J142" i="12"/>
  <c r="J141" i="12"/>
  <c r="J140" i="12"/>
  <c r="J139" i="12"/>
  <c r="J138" i="12"/>
  <c r="J137" i="12"/>
  <c r="J136" i="12"/>
  <c r="J135" i="12"/>
  <c r="J133" i="12"/>
  <c r="J132" i="12"/>
  <c r="J131" i="12"/>
  <c r="J130" i="12"/>
  <c r="J129" i="12"/>
  <c r="J128" i="12"/>
  <c r="J127" i="12"/>
  <c r="J126" i="12"/>
  <c r="J125" i="12"/>
  <c r="J123" i="12"/>
  <c r="J122" i="12"/>
  <c r="J121" i="12"/>
  <c r="J120" i="12"/>
  <c r="J119" i="12"/>
  <c r="J118" i="12"/>
  <c r="J117" i="12"/>
  <c r="J116" i="12"/>
  <c r="J115"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J59" i="12"/>
  <c r="J58" i="12"/>
  <c r="J57" i="12"/>
  <c r="J56" i="12"/>
  <c r="J55" i="12"/>
  <c r="J54" i="12"/>
  <c r="J53" i="12"/>
  <c r="J52" i="12"/>
  <c r="J51" i="12"/>
  <c r="J50" i="12"/>
  <c r="J49" i="12"/>
  <c r="J48" i="12"/>
  <c r="J47" i="12"/>
  <c r="J46" i="12"/>
  <c r="J45" i="12"/>
  <c r="J44" i="12"/>
  <c r="J43" i="12"/>
  <c r="J42" i="12"/>
  <c r="J41" i="12"/>
  <c r="J39" i="12"/>
  <c r="J38" i="12"/>
  <c r="J37" i="12"/>
  <c r="J36" i="12"/>
  <c r="J35" i="12"/>
  <c r="J34" i="12"/>
  <c r="J32" i="12"/>
  <c r="J31" i="12"/>
  <c r="J30" i="12"/>
  <c r="J29" i="12"/>
  <c r="J28" i="12"/>
  <c r="J27" i="12"/>
  <c r="J26" i="12"/>
  <c r="J25" i="12"/>
  <c r="J24" i="12"/>
  <c r="J23" i="12"/>
  <c r="J22" i="12"/>
  <c r="J21" i="12"/>
  <c r="J20" i="12"/>
  <c r="J19" i="12"/>
  <c r="J18" i="12"/>
  <c r="J17" i="12"/>
  <c r="J16" i="12"/>
  <c r="N738" i="10"/>
  <c r="M738" i="10"/>
  <c r="J737" i="10"/>
  <c r="J736" i="10"/>
  <c r="J735" i="10"/>
  <c r="J734" i="10"/>
  <c r="J733" i="10"/>
  <c r="J732" i="10"/>
  <c r="J731" i="10"/>
  <c r="J730" i="10"/>
  <c r="J729" i="10"/>
  <c r="J728" i="10"/>
  <c r="J727" i="10"/>
  <c r="J726" i="10"/>
  <c r="J725" i="10"/>
  <c r="J724" i="10"/>
  <c r="J723" i="10"/>
  <c r="J722" i="10"/>
  <c r="J721" i="10"/>
  <c r="J720" i="10"/>
  <c r="J719" i="10"/>
  <c r="J718" i="10"/>
  <c r="J717" i="10"/>
  <c r="J716" i="10"/>
  <c r="J714" i="10"/>
  <c r="J713" i="10"/>
  <c r="J712" i="10"/>
  <c r="J711" i="10"/>
  <c r="J710" i="10"/>
  <c r="J709" i="10"/>
  <c r="J708" i="10"/>
  <c r="J707" i="10"/>
  <c r="J706" i="10"/>
  <c r="J705" i="10"/>
  <c r="J704" i="10"/>
  <c r="J703" i="10"/>
  <c r="J702" i="10"/>
  <c r="J701" i="10"/>
  <c r="J700" i="10"/>
  <c r="J699" i="10"/>
  <c r="J698" i="10"/>
  <c r="J697" i="10"/>
  <c r="J696" i="10"/>
  <c r="J695" i="10"/>
  <c r="J694" i="10"/>
  <c r="J693" i="10"/>
  <c r="J691" i="10"/>
  <c r="J690" i="10"/>
  <c r="J689" i="10"/>
  <c r="J688" i="10"/>
  <c r="J687" i="10"/>
  <c r="J686" i="10"/>
  <c r="J685" i="10"/>
  <c r="J683" i="10"/>
  <c r="J682" i="10"/>
  <c r="J681" i="10"/>
  <c r="J680" i="10"/>
  <c r="J679" i="10"/>
  <c r="J678" i="10"/>
  <c r="J677" i="10"/>
  <c r="J676" i="10"/>
  <c r="J675" i="10"/>
  <c r="J673" i="10"/>
  <c r="J672" i="10"/>
  <c r="J671" i="10"/>
  <c r="J670" i="10"/>
  <c r="J669" i="10"/>
  <c r="J668" i="10"/>
  <c r="J667" i="10"/>
  <c r="J666" i="10"/>
  <c r="J665" i="10"/>
  <c r="J663" i="10"/>
  <c r="J662" i="10"/>
  <c r="J661" i="10"/>
  <c r="J660" i="10"/>
  <c r="J659" i="10"/>
  <c r="J658" i="10"/>
  <c r="J657" i="10"/>
  <c r="J656" i="10"/>
  <c r="J655" i="10"/>
  <c r="J654" i="10"/>
  <c r="J653" i="10"/>
  <c r="J652" i="10"/>
  <c r="J651" i="10"/>
  <c r="J650" i="10"/>
  <c r="J649" i="10"/>
  <c r="J648" i="10"/>
  <c r="J647" i="10"/>
  <c r="J646" i="10"/>
  <c r="J645" i="10"/>
  <c r="J644" i="10"/>
  <c r="J642" i="10"/>
  <c r="J641" i="10"/>
  <c r="J640" i="10"/>
  <c r="J639" i="10"/>
  <c r="J637" i="10"/>
  <c r="J636" i="10"/>
  <c r="J635" i="10"/>
  <c r="J634" i="10"/>
  <c r="J633" i="10"/>
  <c r="J632" i="10"/>
  <c r="J631" i="10"/>
  <c r="J630" i="10"/>
  <c r="J629" i="10"/>
  <c r="J628" i="10"/>
  <c r="J627" i="10"/>
  <c r="J626" i="10"/>
  <c r="J623" i="10"/>
  <c r="J622" i="10"/>
  <c r="J621" i="10"/>
  <c r="J620" i="10"/>
  <c r="J619" i="10"/>
  <c r="J618" i="10"/>
  <c r="J617" i="10"/>
  <c r="J616" i="10"/>
  <c r="J615" i="10"/>
  <c r="J614" i="10"/>
  <c r="J613" i="10"/>
  <c r="J612" i="10"/>
  <c r="J611" i="10"/>
  <c r="J610" i="10"/>
  <c r="J609" i="10"/>
  <c r="J608" i="10"/>
  <c r="J607" i="10"/>
  <c r="J606"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4" i="10"/>
  <c r="J493" i="10"/>
  <c r="J492" i="10"/>
  <c r="J491" i="10"/>
  <c r="J490" i="10"/>
  <c r="J489" i="10"/>
  <c r="J488" i="10"/>
  <c r="J487" i="10"/>
  <c r="J486" i="10"/>
  <c r="J485" i="10"/>
  <c r="J484" i="10"/>
  <c r="J483" i="10"/>
  <c r="J482" i="10"/>
  <c r="J481" i="10"/>
  <c r="J480" i="10"/>
  <c r="J479" i="10"/>
  <c r="J478"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5" i="10"/>
  <c r="J404" i="10"/>
  <c r="J403" i="10"/>
  <c r="J402" i="10"/>
  <c r="J401" i="10"/>
  <c r="J400" i="10"/>
  <c r="J399" i="10"/>
  <c r="J398" i="10"/>
  <c r="J397" i="10"/>
  <c r="J396" i="10"/>
  <c r="J395" i="10"/>
  <c r="J393" i="10"/>
  <c r="J392" i="10"/>
  <c r="J391" i="10"/>
  <c r="J390" i="10"/>
  <c r="J389" i="10"/>
  <c r="J388" i="10"/>
  <c r="J387" i="10"/>
  <c r="J386" i="10"/>
  <c r="J385" i="10"/>
  <c r="J384" i="10"/>
  <c r="J383" i="10"/>
  <c r="J382" i="10"/>
  <c r="J381" i="10"/>
  <c r="J380" i="10"/>
  <c r="J379" i="10"/>
  <c r="J378" i="10"/>
  <c r="J377" i="10"/>
  <c r="J376"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2" i="10"/>
  <c r="J331" i="10"/>
  <c r="J330" i="10"/>
  <c r="J329" i="10"/>
  <c r="J328" i="10"/>
  <c r="J327" i="10"/>
  <c r="J326" i="10"/>
  <c r="J325" i="10"/>
  <c r="J324" i="10"/>
  <c r="J323" i="10"/>
  <c r="J322" i="10"/>
  <c r="J321" i="10"/>
  <c r="J320" i="10"/>
  <c r="J319" i="10"/>
  <c r="J318" i="10"/>
  <c r="J317" i="10"/>
  <c r="J316" i="10"/>
  <c r="J315" i="10"/>
  <c r="J314" i="10"/>
  <c r="J313" i="10"/>
  <c r="J312"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2" i="10"/>
  <c r="J251" i="10"/>
  <c r="J250" i="10"/>
  <c r="J249" i="10"/>
  <c r="J248" i="10"/>
  <c r="J247" i="10"/>
  <c r="J246" i="10"/>
  <c r="J245" i="10"/>
  <c r="J244" i="10"/>
  <c r="J243"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6" i="10"/>
  <c r="J205" i="10"/>
  <c r="J204" i="10"/>
  <c r="J203" i="10"/>
  <c r="J202" i="10"/>
  <c r="J201" i="10"/>
  <c r="J200" i="10"/>
  <c r="J199" i="10"/>
  <c r="J198" i="10"/>
  <c r="J196" i="10"/>
  <c r="J195" i="10"/>
  <c r="J194" i="10"/>
  <c r="J193" i="10"/>
  <c r="J192" i="10"/>
  <c r="J191" i="10"/>
  <c r="J190" i="10"/>
  <c r="J189" i="10"/>
  <c r="J187" i="10"/>
  <c r="J186" i="10"/>
  <c r="J185" i="10"/>
  <c r="J184" i="10"/>
  <c r="J183" i="10"/>
  <c r="J182" i="10"/>
  <c r="J181" i="10"/>
  <c r="J180" i="10"/>
  <c r="J176" i="10"/>
  <c r="J175" i="10"/>
  <c r="J174" i="10"/>
  <c r="J173" i="10"/>
  <c r="J172" i="10"/>
  <c r="J171" i="10"/>
  <c r="J169" i="10"/>
  <c r="J168" i="10"/>
  <c r="J167" i="10"/>
  <c r="J166" i="10"/>
  <c r="J165" i="10"/>
  <c r="J164" i="10"/>
  <c r="J163" i="10"/>
  <c r="J162" i="10"/>
  <c r="J161" i="10"/>
  <c r="J160" i="10"/>
  <c r="J159" i="10"/>
  <c r="J158" i="10"/>
  <c r="J157" i="10"/>
  <c r="J156" i="10"/>
  <c r="J155" i="10"/>
  <c r="J154" i="10"/>
  <c r="J153" i="10"/>
  <c r="J152" i="10"/>
  <c r="J151" i="10"/>
  <c r="J149" i="10"/>
  <c r="J148" i="10"/>
  <c r="J147" i="10"/>
  <c r="J146" i="10"/>
  <c r="J145" i="10"/>
  <c r="J144" i="10"/>
  <c r="J143" i="10"/>
  <c r="J142" i="10"/>
  <c r="J141" i="10"/>
  <c r="J140" i="10"/>
  <c r="J139" i="10"/>
  <c r="J138" i="10"/>
  <c r="J137" i="10"/>
  <c r="J136" i="10"/>
  <c r="J135" i="10"/>
  <c r="J133" i="10"/>
  <c r="J132" i="10"/>
  <c r="J131" i="10"/>
  <c r="J130" i="10"/>
  <c r="J129" i="10"/>
  <c r="J128" i="10"/>
  <c r="J127" i="10"/>
  <c r="J126" i="10"/>
  <c r="J125" i="10"/>
  <c r="J123" i="10"/>
  <c r="J122" i="10"/>
  <c r="J121" i="10"/>
  <c r="J120" i="10"/>
  <c r="J119" i="10"/>
  <c r="J118" i="10"/>
  <c r="J117" i="10"/>
  <c r="J116" i="10"/>
  <c r="J115"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39" i="10"/>
  <c r="J38" i="10"/>
  <c r="J37" i="10"/>
  <c r="J36" i="10"/>
  <c r="J35" i="10"/>
  <c r="J34" i="10"/>
  <c r="J32" i="10"/>
  <c r="J31" i="10"/>
  <c r="J30" i="10"/>
  <c r="J29" i="10"/>
  <c r="J28" i="10"/>
  <c r="J27" i="10"/>
  <c r="J26" i="10"/>
  <c r="J25" i="10"/>
  <c r="J24" i="10"/>
  <c r="J23" i="10"/>
  <c r="J22" i="10"/>
  <c r="J21" i="10"/>
  <c r="J20" i="10"/>
  <c r="J19" i="10"/>
  <c r="J18" i="10"/>
  <c r="J17" i="10"/>
  <c r="J16" i="10"/>
  <c r="N738" i="8"/>
  <c r="M738" i="8"/>
  <c r="J737" i="8"/>
  <c r="L737" i="8" s="1"/>
  <c r="N737" i="8" s="1"/>
  <c r="J736" i="8"/>
  <c r="L736" i="8" s="1"/>
  <c r="N736" i="8" s="1"/>
  <c r="J735" i="8"/>
  <c r="L735" i="8" s="1"/>
  <c r="N735" i="8" s="1"/>
  <c r="J734" i="8"/>
  <c r="K734" i="8" s="1"/>
  <c r="M734" i="8" s="1"/>
  <c r="J733" i="8"/>
  <c r="K733" i="8" s="1"/>
  <c r="M733" i="8" s="1"/>
  <c r="J732" i="8"/>
  <c r="L732" i="8" s="1"/>
  <c r="N732" i="8" s="1"/>
  <c r="J731" i="8"/>
  <c r="L731" i="8" s="1"/>
  <c r="N731" i="8" s="1"/>
  <c r="J730" i="8"/>
  <c r="K730" i="8" s="1"/>
  <c r="M730" i="8" s="1"/>
  <c r="J729" i="8"/>
  <c r="K729" i="8" s="1"/>
  <c r="M729" i="8" s="1"/>
  <c r="J728" i="8"/>
  <c r="L728" i="8"/>
  <c r="N728" i="8" s="1"/>
  <c r="K728" i="8"/>
  <c r="M728" i="8" s="1"/>
  <c r="J727" i="8"/>
  <c r="L727" i="8" s="1"/>
  <c r="N727" i="8" s="1"/>
  <c r="J726" i="8"/>
  <c r="K726" i="8" s="1"/>
  <c r="M726" i="8" s="1"/>
  <c r="L726" i="8"/>
  <c r="N726" i="8" s="1"/>
  <c r="J725" i="8"/>
  <c r="L725" i="8" s="1"/>
  <c r="N725" i="8" s="1"/>
  <c r="K725" i="8"/>
  <c r="M725" i="8" s="1"/>
  <c r="J724" i="8"/>
  <c r="J723" i="8"/>
  <c r="L723" i="8" s="1"/>
  <c r="N723" i="8" s="1"/>
  <c r="J722" i="8"/>
  <c r="L722" i="8" s="1"/>
  <c r="N722" i="8" s="1"/>
  <c r="J721" i="8"/>
  <c r="J720" i="8"/>
  <c r="L720" i="8" s="1"/>
  <c r="N720" i="8" s="1"/>
  <c r="J719" i="8"/>
  <c r="L719" i="8" s="1"/>
  <c r="N719" i="8" s="1"/>
  <c r="J718" i="8"/>
  <c r="J717" i="8"/>
  <c r="J716" i="8"/>
  <c r="L716" i="8" s="1"/>
  <c r="N716" i="8" s="1"/>
  <c r="J714" i="8"/>
  <c r="L714" i="8"/>
  <c r="N714" i="8" s="1"/>
  <c r="K714" i="8"/>
  <c r="M714" i="8" s="1"/>
  <c r="J713" i="8"/>
  <c r="L713" i="8" s="1"/>
  <c r="N713" i="8" s="1"/>
  <c r="J712" i="8"/>
  <c r="J711" i="8"/>
  <c r="L711" i="8" s="1"/>
  <c r="N711" i="8" s="1"/>
  <c r="J710" i="8"/>
  <c r="L710" i="8"/>
  <c r="N710" i="8" s="1"/>
  <c r="K710" i="8"/>
  <c r="M710" i="8" s="1"/>
  <c r="J709" i="8"/>
  <c r="L709" i="8" s="1"/>
  <c r="N709" i="8" s="1"/>
  <c r="J708" i="8"/>
  <c r="J707" i="8"/>
  <c r="L707" i="8" s="1"/>
  <c r="N707" i="8" s="1"/>
  <c r="J706" i="8"/>
  <c r="K706" i="8" s="1"/>
  <c r="M706" i="8" s="1"/>
  <c r="L706" i="8"/>
  <c r="N706" i="8" s="1"/>
  <c r="J705" i="8"/>
  <c r="L705" i="8" s="1"/>
  <c r="N705" i="8" s="1"/>
  <c r="J704" i="8"/>
  <c r="J703" i="8"/>
  <c r="L703" i="8" s="1"/>
  <c r="N703" i="8" s="1"/>
  <c r="J702" i="8"/>
  <c r="L702" i="8"/>
  <c r="N702" i="8" s="1"/>
  <c r="K702" i="8"/>
  <c r="M702" i="8" s="1"/>
  <c r="J701" i="8"/>
  <c r="L701" i="8" s="1"/>
  <c r="N701" i="8" s="1"/>
  <c r="K701" i="8"/>
  <c r="M701" i="8" s="1"/>
  <c r="J700" i="8"/>
  <c r="J699" i="8"/>
  <c r="L699" i="8" s="1"/>
  <c r="N699" i="8" s="1"/>
  <c r="J698" i="8"/>
  <c r="L698" i="8"/>
  <c r="N698" i="8" s="1"/>
  <c r="K698" i="8"/>
  <c r="M698" i="8" s="1"/>
  <c r="J697" i="8"/>
  <c r="L697" i="8" s="1"/>
  <c r="N697" i="8" s="1"/>
  <c r="K697" i="8"/>
  <c r="M697" i="8" s="1"/>
  <c r="J696" i="8"/>
  <c r="J695" i="8"/>
  <c r="L695" i="8" s="1"/>
  <c r="N695" i="8" s="1"/>
  <c r="J694" i="8"/>
  <c r="L694" i="8" s="1"/>
  <c r="N694" i="8" s="1"/>
  <c r="K694" i="8"/>
  <c r="M694" i="8" s="1"/>
  <c r="J693" i="8"/>
  <c r="L693" i="8" s="1"/>
  <c r="N693" i="8" s="1"/>
  <c r="K693" i="8"/>
  <c r="M693" i="8" s="1"/>
  <c r="J691" i="8"/>
  <c r="J690" i="8"/>
  <c r="L690" i="8" s="1"/>
  <c r="N690" i="8" s="1"/>
  <c r="J689" i="8"/>
  <c r="L689" i="8" s="1"/>
  <c r="N689" i="8" s="1"/>
  <c r="K689" i="8"/>
  <c r="M689" i="8" s="1"/>
  <c r="J688" i="8"/>
  <c r="L688" i="8" s="1"/>
  <c r="N688" i="8" s="1"/>
  <c r="K688" i="8"/>
  <c r="M688" i="8" s="1"/>
  <c r="J687" i="8"/>
  <c r="J686" i="8"/>
  <c r="L686" i="8" s="1"/>
  <c r="N686" i="8" s="1"/>
  <c r="J685" i="8"/>
  <c r="L685" i="8" s="1"/>
  <c r="N685" i="8" s="1"/>
  <c r="K685" i="8"/>
  <c r="M685" i="8" s="1"/>
  <c r="J683" i="8"/>
  <c r="L683" i="8" s="1"/>
  <c r="N683" i="8" s="1"/>
  <c r="K683" i="8"/>
  <c r="M683" i="8" s="1"/>
  <c r="J682" i="8"/>
  <c r="J681" i="8"/>
  <c r="L681" i="8" s="1"/>
  <c r="N681" i="8" s="1"/>
  <c r="J680" i="8"/>
  <c r="J679" i="8"/>
  <c r="L679" i="8" s="1"/>
  <c r="N679" i="8" s="1"/>
  <c r="J678" i="8"/>
  <c r="J677" i="8"/>
  <c r="L677" i="8" s="1"/>
  <c r="N677" i="8" s="1"/>
  <c r="J676" i="8"/>
  <c r="L676" i="8" s="1"/>
  <c r="N676" i="8" s="1"/>
  <c r="J675" i="8"/>
  <c r="L675" i="8" s="1"/>
  <c r="N675" i="8" s="1"/>
  <c r="K675" i="8"/>
  <c r="M675" i="8" s="1"/>
  <c r="J673" i="8"/>
  <c r="J672" i="8"/>
  <c r="L672" i="8" s="1"/>
  <c r="N672" i="8" s="1"/>
  <c r="J671" i="8"/>
  <c r="L671" i="8" s="1"/>
  <c r="N671" i="8" s="1"/>
  <c r="K671" i="8"/>
  <c r="M671" i="8" s="1"/>
  <c r="J670" i="8"/>
  <c r="K670" i="8" s="1"/>
  <c r="M670" i="8" s="1"/>
  <c r="L670" i="8"/>
  <c r="N670" i="8" s="1"/>
  <c r="J669" i="8"/>
  <c r="J668" i="8"/>
  <c r="L668" i="8" s="1"/>
  <c r="N668" i="8" s="1"/>
  <c r="J667" i="8"/>
  <c r="L667" i="8"/>
  <c r="N667" i="8" s="1"/>
  <c r="K667" i="8"/>
  <c r="M667" i="8" s="1"/>
  <c r="J666" i="8"/>
  <c r="L666" i="8" s="1"/>
  <c r="N666" i="8" s="1"/>
  <c r="J665" i="8"/>
  <c r="J663" i="8"/>
  <c r="L663" i="8" s="1"/>
  <c r="N663" i="8" s="1"/>
  <c r="J662" i="8"/>
  <c r="L662" i="8" s="1"/>
  <c r="N662" i="8" s="1"/>
  <c r="J661" i="8"/>
  <c r="L661" i="8" s="1"/>
  <c r="N661" i="8" s="1"/>
  <c r="K661" i="8"/>
  <c r="M661" i="8" s="1"/>
  <c r="J660" i="8"/>
  <c r="J659" i="8"/>
  <c r="L659" i="8" s="1"/>
  <c r="N659" i="8" s="1"/>
  <c r="J658" i="8"/>
  <c r="L658" i="8" s="1"/>
  <c r="N658" i="8" s="1"/>
  <c r="K658" i="8"/>
  <c r="M658" i="8" s="1"/>
  <c r="J657" i="8"/>
  <c r="K657" i="8" s="1"/>
  <c r="M657" i="8" s="1"/>
  <c r="L657" i="8"/>
  <c r="N657" i="8" s="1"/>
  <c r="J656" i="8"/>
  <c r="J655" i="8"/>
  <c r="L655" i="8" s="1"/>
  <c r="N655" i="8" s="1"/>
  <c r="J654" i="8"/>
  <c r="L654" i="8"/>
  <c r="N654" i="8" s="1"/>
  <c r="K654" i="8"/>
  <c r="M654" i="8" s="1"/>
  <c r="J653" i="8"/>
  <c r="L653" i="8" s="1"/>
  <c r="N653" i="8" s="1"/>
  <c r="J652" i="8"/>
  <c r="J651" i="8"/>
  <c r="L651" i="8" s="1"/>
  <c r="N651" i="8" s="1"/>
  <c r="J650" i="8"/>
  <c r="L650" i="8" s="1"/>
  <c r="N650" i="8" s="1"/>
  <c r="J649" i="8"/>
  <c r="L649" i="8" s="1"/>
  <c r="N649" i="8" s="1"/>
  <c r="K649" i="8"/>
  <c r="M649" i="8" s="1"/>
  <c r="J648" i="8"/>
  <c r="J647" i="8"/>
  <c r="L647" i="8" s="1"/>
  <c r="N647" i="8" s="1"/>
  <c r="J646" i="8"/>
  <c r="L646" i="8" s="1"/>
  <c r="N646" i="8" s="1"/>
  <c r="K646" i="8"/>
  <c r="M646" i="8" s="1"/>
  <c r="J645" i="8"/>
  <c r="K645" i="8" s="1"/>
  <c r="M645" i="8" s="1"/>
  <c r="L645" i="8"/>
  <c r="N645" i="8" s="1"/>
  <c r="J644" i="8"/>
  <c r="J642" i="8"/>
  <c r="L642" i="8" s="1"/>
  <c r="N642" i="8" s="1"/>
  <c r="J641" i="8"/>
  <c r="L641" i="8"/>
  <c r="N641" i="8" s="1"/>
  <c r="K641" i="8"/>
  <c r="M641" i="8" s="1"/>
  <c r="J640" i="8"/>
  <c r="L640" i="8" s="1"/>
  <c r="N640" i="8" s="1"/>
  <c r="J639" i="8"/>
  <c r="J637" i="8"/>
  <c r="L637" i="8" s="1"/>
  <c r="N637" i="8" s="1"/>
  <c r="J636" i="8"/>
  <c r="L636" i="8" s="1"/>
  <c r="N636" i="8" s="1"/>
  <c r="J635" i="8"/>
  <c r="L635" i="8" s="1"/>
  <c r="N635" i="8" s="1"/>
  <c r="K635" i="8"/>
  <c r="M635" i="8" s="1"/>
  <c r="J634" i="8"/>
  <c r="J633" i="8"/>
  <c r="L633" i="8" s="1"/>
  <c r="N633" i="8" s="1"/>
  <c r="J632" i="8"/>
  <c r="L632" i="8" s="1"/>
  <c r="N632" i="8" s="1"/>
  <c r="K632" i="8"/>
  <c r="M632" i="8" s="1"/>
  <c r="J631" i="8"/>
  <c r="K631" i="8" s="1"/>
  <c r="M631" i="8" s="1"/>
  <c r="L631" i="8"/>
  <c r="N631" i="8" s="1"/>
  <c r="J630" i="8"/>
  <c r="J629" i="8"/>
  <c r="L629" i="8" s="1"/>
  <c r="N629" i="8" s="1"/>
  <c r="J628" i="8"/>
  <c r="L628" i="8"/>
  <c r="N628" i="8" s="1"/>
  <c r="K628" i="8"/>
  <c r="M628" i="8" s="1"/>
  <c r="J627" i="8"/>
  <c r="L627" i="8" s="1"/>
  <c r="N627" i="8" s="1"/>
  <c r="J626" i="8"/>
  <c r="J623" i="8"/>
  <c r="L623" i="8" s="1"/>
  <c r="N623" i="8" s="1"/>
  <c r="J622" i="8"/>
  <c r="L622" i="8" s="1"/>
  <c r="N622" i="8" s="1"/>
  <c r="J621" i="8"/>
  <c r="L621" i="8" s="1"/>
  <c r="N621" i="8" s="1"/>
  <c r="K621" i="8"/>
  <c r="M621" i="8" s="1"/>
  <c r="J620" i="8"/>
  <c r="J619" i="8"/>
  <c r="L619" i="8" s="1"/>
  <c r="N619" i="8" s="1"/>
  <c r="J618" i="8"/>
  <c r="L618" i="8" s="1"/>
  <c r="N618" i="8" s="1"/>
  <c r="K618" i="8"/>
  <c r="M618" i="8" s="1"/>
  <c r="J617" i="8"/>
  <c r="K617" i="8" s="1"/>
  <c r="M617" i="8" s="1"/>
  <c r="L617" i="8"/>
  <c r="N617" i="8" s="1"/>
  <c r="J616" i="8"/>
  <c r="J615" i="8"/>
  <c r="L615" i="8" s="1"/>
  <c r="N615" i="8" s="1"/>
  <c r="J614" i="8"/>
  <c r="L614" i="8"/>
  <c r="N614" i="8" s="1"/>
  <c r="K614" i="8"/>
  <c r="M614" i="8" s="1"/>
  <c r="J613" i="8"/>
  <c r="L613" i="8" s="1"/>
  <c r="N613" i="8" s="1"/>
  <c r="J612" i="8"/>
  <c r="J611" i="8"/>
  <c r="L611" i="8" s="1"/>
  <c r="N611" i="8" s="1"/>
  <c r="J610" i="8"/>
  <c r="L610" i="8" s="1"/>
  <c r="N610" i="8" s="1"/>
  <c r="J609" i="8"/>
  <c r="L609" i="8" s="1"/>
  <c r="N609" i="8" s="1"/>
  <c r="K609" i="8"/>
  <c r="M609" i="8" s="1"/>
  <c r="J608" i="8"/>
  <c r="J607" i="8"/>
  <c r="L607" i="8" s="1"/>
  <c r="N607" i="8" s="1"/>
  <c r="J606" i="8"/>
  <c r="L606" i="8" s="1"/>
  <c r="N606" i="8" s="1"/>
  <c r="K606" i="8"/>
  <c r="M606" i="8" s="1"/>
  <c r="J604" i="8"/>
  <c r="K604" i="8" s="1"/>
  <c r="M604" i="8" s="1"/>
  <c r="L604" i="8"/>
  <c r="N604" i="8" s="1"/>
  <c r="J603" i="8"/>
  <c r="J602" i="8"/>
  <c r="L602" i="8" s="1"/>
  <c r="N602" i="8" s="1"/>
  <c r="J601" i="8"/>
  <c r="L601" i="8"/>
  <c r="N601" i="8" s="1"/>
  <c r="K601" i="8"/>
  <c r="M601" i="8" s="1"/>
  <c r="J600" i="8"/>
  <c r="L600" i="8" s="1"/>
  <c r="N600" i="8" s="1"/>
  <c r="J599" i="8"/>
  <c r="J598" i="8"/>
  <c r="L598" i="8" s="1"/>
  <c r="N598" i="8" s="1"/>
  <c r="J597" i="8"/>
  <c r="L597" i="8" s="1"/>
  <c r="N597" i="8" s="1"/>
  <c r="J596" i="8"/>
  <c r="L596" i="8" s="1"/>
  <c r="N596" i="8" s="1"/>
  <c r="K596" i="8"/>
  <c r="M596" i="8" s="1"/>
  <c r="J595" i="8"/>
  <c r="J594" i="8"/>
  <c r="L594" i="8" s="1"/>
  <c r="N594" i="8" s="1"/>
  <c r="J593" i="8"/>
  <c r="L593" i="8" s="1"/>
  <c r="N593" i="8" s="1"/>
  <c r="K593" i="8"/>
  <c r="M593" i="8" s="1"/>
  <c r="J592" i="8"/>
  <c r="K592" i="8" s="1"/>
  <c r="M592" i="8" s="1"/>
  <c r="L592" i="8"/>
  <c r="N592" i="8" s="1"/>
  <c r="J591" i="8"/>
  <c r="J590" i="8"/>
  <c r="K590" i="8" s="1"/>
  <c r="M590" i="8" s="1"/>
  <c r="J589" i="8"/>
  <c r="J588" i="8"/>
  <c r="L588" i="8" s="1"/>
  <c r="N588" i="8" s="1"/>
  <c r="K588" i="8"/>
  <c r="M588" i="8" s="1"/>
  <c r="J587" i="8"/>
  <c r="J586" i="8"/>
  <c r="K586" i="8" s="1"/>
  <c r="M586" i="8" s="1"/>
  <c r="J585" i="8"/>
  <c r="K585" i="8" s="1"/>
  <c r="M585" i="8" s="1"/>
  <c r="L585" i="8"/>
  <c r="N585" i="8" s="1"/>
  <c r="J584" i="8"/>
  <c r="J583" i="8"/>
  <c r="J582" i="8"/>
  <c r="K582" i="8" s="1"/>
  <c r="M582" i="8" s="1"/>
  <c r="L582" i="8"/>
  <c r="N582" i="8" s="1"/>
  <c r="J580" i="8"/>
  <c r="K580" i="8" s="1"/>
  <c r="M580" i="8" s="1"/>
  <c r="L580" i="8"/>
  <c r="N580" i="8" s="1"/>
  <c r="J579" i="8"/>
  <c r="K579" i="8" s="1"/>
  <c r="M579" i="8" s="1"/>
  <c r="L579" i="8"/>
  <c r="N579" i="8" s="1"/>
  <c r="J578" i="8"/>
  <c r="J577" i="8"/>
  <c r="K577" i="8" s="1"/>
  <c r="M577" i="8" s="1"/>
  <c r="L577" i="8"/>
  <c r="N577" i="8" s="1"/>
  <c r="J576" i="8"/>
  <c r="L576" i="8"/>
  <c r="N576" i="8" s="1"/>
  <c r="K576" i="8"/>
  <c r="M576" i="8" s="1"/>
  <c r="J575" i="8"/>
  <c r="K575" i="8" s="1"/>
  <c r="M575" i="8" s="1"/>
  <c r="L575" i="8"/>
  <c r="N575" i="8" s="1"/>
  <c r="J574" i="8"/>
  <c r="J573" i="8"/>
  <c r="L573" i="8" s="1"/>
  <c r="N573" i="8" s="1"/>
  <c r="K573" i="8"/>
  <c r="M573" i="8" s="1"/>
  <c r="J572" i="8"/>
  <c r="K572" i="8" s="1"/>
  <c r="M572" i="8" s="1"/>
  <c r="L572" i="8"/>
  <c r="N572" i="8" s="1"/>
  <c r="J571" i="8"/>
  <c r="L571" i="8"/>
  <c r="N571" i="8" s="1"/>
  <c r="K571" i="8"/>
  <c r="M571" i="8" s="1"/>
  <c r="J570" i="8"/>
  <c r="J569" i="8"/>
  <c r="L569" i="8"/>
  <c r="N569" i="8" s="1"/>
  <c r="K569" i="8"/>
  <c r="M569" i="8" s="1"/>
  <c r="J568" i="8"/>
  <c r="L568" i="8"/>
  <c r="N568" i="8" s="1"/>
  <c r="K568" i="8"/>
  <c r="M568" i="8" s="1"/>
  <c r="J567" i="8"/>
  <c r="J566" i="8"/>
  <c r="J565" i="8"/>
  <c r="K565" i="8" s="1"/>
  <c r="M565" i="8" s="1"/>
  <c r="L565" i="8"/>
  <c r="N565" i="8" s="1"/>
  <c r="J564" i="8"/>
  <c r="K564" i="8" s="1"/>
  <c r="M564" i="8" s="1"/>
  <c r="L564" i="8"/>
  <c r="N564" i="8" s="1"/>
  <c r="J563" i="8"/>
  <c r="L563" i="8" s="1"/>
  <c r="N563" i="8" s="1"/>
  <c r="K563" i="8"/>
  <c r="M563" i="8" s="1"/>
  <c r="J562" i="8"/>
  <c r="J561" i="8"/>
  <c r="L561" i="8"/>
  <c r="N561" i="8" s="1"/>
  <c r="K561" i="8"/>
  <c r="M561" i="8" s="1"/>
  <c r="J560" i="8"/>
  <c r="J559" i="8"/>
  <c r="L559" i="8" s="1"/>
  <c r="N559" i="8" s="1"/>
  <c r="K559" i="8"/>
  <c r="M559" i="8" s="1"/>
  <c r="J558" i="8"/>
  <c r="J557" i="8"/>
  <c r="J556" i="8"/>
  <c r="L556" i="8" s="1"/>
  <c r="N556" i="8" s="1"/>
  <c r="K556" i="8"/>
  <c r="M556" i="8" s="1"/>
  <c r="J555" i="8"/>
  <c r="L555" i="8"/>
  <c r="N555" i="8" s="1"/>
  <c r="K555" i="8"/>
  <c r="M555" i="8" s="1"/>
  <c r="J554" i="8"/>
  <c r="J553" i="8"/>
  <c r="L553" i="8" s="1"/>
  <c r="N553" i="8" s="1"/>
  <c r="K553" i="8"/>
  <c r="M553" i="8" s="1"/>
  <c r="J552" i="8"/>
  <c r="L552" i="8"/>
  <c r="N552" i="8" s="1"/>
  <c r="K552" i="8"/>
  <c r="M552" i="8" s="1"/>
  <c r="J551" i="8"/>
  <c r="K551" i="8" s="1"/>
  <c r="M551" i="8" s="1"/>
  <c r="L551" i="8"/>
  <c r="N551" i="8" s="1"/>
  <c r="J550" i="8"/>
  <c r="J549" i="8"/>
  <c r="L549" i="8" s="1"/>
  <c r="N549" i="8" s="1"/>
  <c r="K549" i="8"/>
  <c r="M549" i="8" s="1"/>
  <c r="J548" i="8"/>
  <c r="K548" i="8" s="1"/>
  <c r="M548" i="8" s="1"/>
  <c r="L548" i="8"/>
  <c r="N548" i="8" s="1"/>
  <c r="J547" i="8"/>
  <c r="L547" i="8"/>
  <c r="N547" i="8" s="1"/>
  <c r="K547" i="8"/>
  <c r="M547" i="8" s="1"/>
  <c r="J546" i="8"/>
  <c r="J545" i="8"/>
  <c r="L545" i="8"/>
  <c r="N545" i="8" s="1"/>
  <c r="K545" i="8"/>
  <c r="M545" i="8" s="1"/>
  <c r="J544" i="8"/>
  <c r="L544" i="8"/>
  <c r="N544" i="8" s="1"/>
  <c r="K544" i="8"/>
  <c r="M544" i="8" s="1"/>
  <c r="J543" i="8"/>
  <c r="J542" i="8"/>
  <c r="J541" i="8"/>
  <c r="K541" i="8" s="1"/>
  <c r="M541" i="8" s="1"/>
  <c r="L541" i="8"/>
  <c r="N541" i="8" s="1"/>
  <c r="J539" i="8"/>
  <c r="K539" i="8" s="1"/>
  <c r="M539" i="8" s="1"/>
  <c r="L539" i="8"/>
  <c r="N539" i="8" s="1"/>
  <c r="J538" i="8"/>
  <c r="L538" i="8" s="1"/>
  <c r="N538" i="8" s="1"/>
  <c r="J537" i="8"/>
  <c r="J536" i="8"/>
  <c r="L536" i="8"/>
  <c r="N536" i="8" s="1"/>
  <c r="K536" i="8"/>
  <c r="M536" i="8" s="1"/>
  <c r="J535" i="8"/>
  <c r="J534" i="8"/>
  <c r="L534" i="8" s="1"/>
  <c r="N534" i="8" s="1"/>
  <c r="K534" i="8"/>
  <c r="M534" i="8" s="1"/>
  <c r="J533" i="8"/>
  <c r="J532" i="8"/>
  <c r="J531" i="8"/>
  <c r="L531" i="8" s="1"/>
  <c r="N531" i="8" s="1"/>
  <c r="K531" i="8"/>
  <c r="M531" i="8" s="1"/>
  <c r="J530" i="8"/>
  <c r="L530" i="8"/>
  <c r="N530" i="8" s="1"/>
  <c r="K530" i="8"/>
  <c r="M530" i="8" s="1"/>
  <c r="J529" i="8"/>
  <c r="J528" i="8"/>
  <c r="L528" i="8" s="1"/>
  <c r="N528" i="8" s="1"/>
  <c r="J527" i="8"/>
  <c r="L527" i="8"/>
  <c r="N527" i="8" s="1"/>
  <c r="K527" i="8"/>
  <c r="M527" i="8" s="1"/>
  <c r="J526" i="8"/>
  <c r="K526" i="8" s="1"/>
  <c r="M526" i="8" s="1"/>
  <c r="L526" i="8"/>
  <c r="N526" i="8" s="1"/>
  <c r="J525" i="8"/>
  <c r="J524" i="8"/>
  <c r="L524" i="8" s="1"/>
  <c r="N524" i="8" s="1"/>
  <c r="K524" i="8"/>
  <c r="M524" i="8" s="1"/>
  <c r="J523" i="8"/>
  <c r="K523" i="8" s="1"/>
  <c r="M523" i="8" s="1"/>
  <c r="L523" i="8"/>
  <c r="N523" i="8" s="1"/>
  <c r="J522" i="8"/>
  <c r="L522" i="8"/>
  <c r="N522" i="8" s="1"/>
  <c r="K522" i="8"/>
  <c r="M522" i="8" s="1"/>
  <c r="J521" i="8"/>
  <c r="J520" i="8"/>
  <c r="L520" i="8"/>
  <c r="N520" i="8" s="1"/>
  <c r="K520" i="8"/>
  <c r="M520" i="8" s="1"/>
  <c r="J519" i="8"/>
  <c r="L519" i="8"/>
  <c r="N519" i="8" s="1"/>
  <c r="K519" i="8"/>
  <c r="M519" i="8" s="1"/>
  <c r="J518" i="8"/>
  <c r="J517" i="8"/>
  <c r="J516" i="8"/>
  <c r="K516" i="8" s="1"/>
  <c r="M516" i="8" s="1"/>
  <c r="L516" i="8"/>
  <c r="N516" i="8" s="1"/>
  <c r="J515" i="8"/>
  <c r="K515" i="8" s="1"/>
  <c r="M515" i="8" s="1"/>
  <c r="L515" i="8"/>
  <c r="N515" i="8" s="1"/>
  <c r="J514" i="8"/>
  <c r="L514" i="8" s="1"/>
  <c r="N514" i="8" s="1"/>
  <c r="J513" i="8"/>
  <c r="J512" i="8"/>
  <c r="L512" i="8"/>
  <c r="N512" i="8" s="1"/>
  <c r="K512" i="8"/>
  <c r="M512" i="8" s="1"/>
  <c r="J511" i="8"/>
  <c r="J510" i="8"/>
  <c r="L510" i="8" s="1"/>
  <c r="N510" i="8" s="1"/>
  <c r="K510" i="8"/>
  <c r="M510" i="8" s="1"/>
  <c r="J509" i="8"/>
  <c r="J508" i="8"/>
  <c r="J507" i="8"/>
  <c r="L507" i="8" s="1"/>
  <c r="N507" i="8" s="1"/>
  <c r="K507" i="8"/>
  <c r="M507" i="8" s="1"/>
  <c r="J506" i="8"/>
  <c r="L506" i="8"/>
  <c r="N506" i="8" s="1"/>
  <c r="K506" i="8"/>
  <c r="M506" i="8" s="1"/>
  <c r="J505" i="8"/>
  <c r="J504" i="8"/>
  <c r="L504" i="8" s="1"/>
  <c r="N504" i="8" s="1"/>
  <c r="J503" i="8"/>
  <c r="L503" i="8"/>
  <c r="N503" i="8" s="1"/>
  <c r="K503" i="8"/>
  <c r="M503" i="8" s="1"/>
  <c r="J502" i="8"/>
  <c r="K502" i="8" s="1"/>
  <c r="M502" i="8" s="1"/>
  <c r="L502" i="8"/>
  <c r="N502" i="8" s="1"/>
  <c r="J501" i="8"/>
  <c r="J500" i="8"/>
  <c r="L500" i="8" s="1"/>
  <c r="N500" i="8" s="1"/>
  <c r="K500" i="8"/>
  <c r="M500" i="8" s="1"/>
  <c r="J499" i="8"/>
  <c r="K499" i="8" s="1"/>
  <c r="M499" i="8" s="1"/>
  <c r="L499" i="8"/>
  <c r="N499" i="8" s="1"/>
  <c r="J498" i="8"/>
  <c r="L498" i="8"/>
  <c r="N498" i="8" s="1"/>
  <c r="K498" i="8"/>
  <c r="M498" i="8" s="1"/>
  <c r="J497" i="8"/>
  <c r="J496" i="8"/>
  <c r="L496" i="8"/>
  <c r="N496" i="8" s="1"/>
  <c r="K496" i="8"/>
  <c r="M496" i="8" s="1"/>
  <c r="J494" i="8"/>
  <c r="L494" i="8"/>
  <c r="N494" i="8" s="1"/>
  <c r="K494" i="8"/>
  <c r="M494" i="8" s="1"/>
  <c r="J493" i="8"/>
  <c r="J492" i="8"/>
  <c r="J491" i="8"/>
  <c r="K491" i="8" s="1"/>
  <c r="M491" i="8" s="1"/>
  <c r="L491" i="8"/>
  <c r="N491" i="8" s="1"/>
  <c r="J490" i="8"/>
  <c r="K490" i="8" s="1"/>
  <c r="M490" i="8" s="1"/>
  <c r="L490" i="8"/>
  <c r="N490" i="8" s="1"/>
  <c r="J489" i="8"/>
  <c r="L489" i="8" s="1"/>
  <c r="N489" i="8" s="1"/>
  <c r="J488" i="8"/>
  <c r="J487" i="8"/>
  <c r="L487" i="8"/>
  <c r="N487" i="8" s="1"/>
  <c r="K487" i="8"/>
  <c r="M487" i="8" s="1"/>
  <c r="J486" i="8"/>
  <c r="J485" i="8"/>
  <c r="L485" i="8" s="1"/>
  <c r="N485" i="8" s="1"/>
  <c r="K485" i="8"/>
  <c r="M485" i="8" s="1"/>
  <c r="J484" i="8"/>
  <c r="J483" i="8"/>
  <c r="J482" i="8"/>
  <c r="L482" i="8" s="1"/>
  <c r="N482" i="8" s="1"/>
  <c r="K482" i="8"/>
  <c r="M482" i="8" s="1"/>
  <c r="J481" i="8"/>
  <c r="L481" i="8"/>
  <c r="N481" i="8" s="1"/>
  <c r="K481" i="8"/>
  <c r="M481" i="8" s="1"/>
  <c r="J480" i="8"/>
  <c r="J479" i="8"/>
  <c r="L479" i="8" s="1"/>
  <c r="N479" i="8" s="1"/>
  <c r="J478" i="8"/>
  <c r="L478" i="8"/>
  <c r="N478" i="8" s="1"/>
  <c r="K478" i="8"/>
  <c r="M478" i="8" s="1"/>
  <c r="J476" i="8"/>
  <c r="K476" i="8" s="1"/>
  <c r="M476" i="8" s="1"/>
  <c r="L476" i="8"/>
  <c r="N476" i="8" s="1"/>
  <c r="J475" i="8"/>
  <c r="J474" i="8"/>
  <c r="L474" i="8" s="1"/>
  <c r="N474" i="8" s="1"/>
  <c r="K474" i="8"/>
  <c r="M474" i="8" s="1"/>
  <c r="J473" i="8"/>
  <c r="K473" i="8" s="1"/>
  <c r="M473" i="8" s="1"/>
  <c r="L473" i="8"/>
  <c r="N473" i="8" s="1"/>
  <c r="J472" i="8"/>
  <c r="L472" i="8"/>
  <c r="N472" i="8" s="1"/>
  <c r="K472" i="8"/>
  <c r="M472" i="8" s="1"/>
  <c r="J471" i="8"/>
  <c r="J470" i="8"/>
  <c r="L470" i="8"/>
  <c r="N470" i="8" s="1"/>
  <c r="K470" i="8"/>
  <c r="M470" i="8" s="1"/>
  <c r="J469" i="8"/>
  <c r="L469" i="8"/>
  <c r="N469" i="8" s="1"/>
  <c r="K469" i="8"/>
  <c r="M469" i="8" s="1"/>
  <c r="J468" i="8"/>
  <c r="J467" i="8"/>
  <c r="J466" i="8"/>
  <c r="K466" i="8" s="1"/>
  <c r="M466" i="8" s="1"/>
  <c r="L466" i="8"/>
  <c r="N466" i="8" s="1"/>
  <c r="J465" i="8"/>
  <c r="K465" i="8" s="1"/>
  <c r="M465" i="8" s="1"/>
  <c r="L465" i="8"/>
  <c r="N465" i="8" s="1"/>
  <c r="J464" i="8"/>
  <c r="L464" i="8" s="1"/>
  <c r="N464" i="8" s="1"/>
  <c r="K464" i="8"/>
  <c r="M464" i="8" s="1"/>
  <c r="J463" i="8"/>
  <c r="J462" i="8"/>
  <c r="L462" i="8"/>
  <c r="N462" i="8" s="1"/>
  <c r="K462" i="8"/>
  <c r="M462" i="8" s="1"/>
  <c r="J461" i="8"/>
  <c r="J460" i="8"/>
  <c r="L460" i="8" s="1"/>
  <c r="N460" i="8" s="1"/>
  <c r="K460" i="8"/>
  <c r="M460" i="8" s="1"/>
  <c r="J459" i="8"/>
  <c r="J458" i="8"/>
  <c r="J457" i="8"/>
  <c r="L457" i="8" s="1"/>
  <c r="N457" i="8" s="1"/>
  <c r="J456" i="8"/>
  <c r="L456" i="8"/>
  <c r="N456" i="8" s="1"/>
  <c r="K456" i="8"/>
  <c r="M456" i="8" s="1"/>
  <c r="J455" i="8"/>
  <c r="J454" i="8"/>
  <c r="L454" i="8" s="1"/>
  <c r="N454" i="8" s="1"/>
  <c r="K454" i="8"/>
  <c r="M454" i="8" s="1"/>
  <c r="J453" i="8"/>
  <c r="L453" i="8"/>
  <c r="N453" i="8" s="1"/>
  <c r="K453" i="8"/>
  <c r="M453" i="8" s="1"/>
  <c r="J452" i="8"/>
  <c r="K452" i="8" s="1"/>
  <c r="M452" i="8" s="1"/>
  <c r="L452" i="8"/>
  <c r="N452" i="8" s="1"/>
  <c r="J451" i="8"/>
  <c r="J450" i="8"/>
  <c r="L450" i="8" s="1"/>
  <c r="N450" i="8" s="1"/>
  <c r="K450" i="8"/>
  <c r="M450" i="8" s="1"/>
  <c r="J449" i="8"/>
  <c r="K449" i="8" s="1"/>
  <c r="M449" i="8" s="1"/>
  <c r="L449" i="8"/>
  <c r="N449" i="8" s="1"/>
  <c r="J448" i="8"/>
  <c r="L448" i="8"/>
  <c r="N448" i="8" s="1"/>
  <c r="K448" i="8"/>
  <c r="M448" i="8" s="1"/>
  <c r="J447" i="8"/>
  <c r="J446" i="8"/>
  <c r="L446" i="8"/>
  <c r="N446" i="8" s="1"/>
  <c r="K446" i="8"/>
  <c r="M446" i="8" s="1"/>
  <c r="J445" i="8"/>
  <c r="L445" i="8"/>
  <c r="N445" i="8" s="1"/>
  <c r="K445" i="8"/>
  <c r="M445" i="8" s="1"/>
  <c r="J444" i="8"/>
  <c r="J443" i="8"/>
  <c r="J442" i="8"/>
  <c r="K442" i="8" s="1"/>
  <c r="M442" i="8" s="1"/>
  <c r="L442" i="8"/>
  <c r="N442" i="8" s="1"/>
  <c r="J441" i="8"/>
  <c r="K441" i="8" s="1"/>
  <c r="M441" i="8" s="1"/>
  <c r="L441" i="8"/>
  <c r="N441" i="8" s="1"/>
  <c r="J439" i="8"/>
  <c r="L439" i="8" s="1"/>
  <c r="N439" i="8" s="1"/>
  <c r="J438" i="8"/>
  <c r="J437" i="8"/>
  <c r="L437" i="8"/>
  <c r="N437" i="8" s="1"/>
  <c r="K437" i="8"/>
  <c r="M437" i="8" s="1"/>
  <c r="J436" i="8"/>
  <c r="J435" i="8"/>
  <c r="L435" i="8" s="1"/>
  <c r="N435" i="8" s="1"/>
  <c r="J434" i="8"/>
  <c r="J433" i="8"/>
  <c r="J432" i="8"/>
  <c r="L432" i="8" s="1"/>
  <c r="N432" i="8" s="1"/>
  <c r="J431" i="8"/>
  <c r="L431" i="8"/>
  <c r="N431" i="8" s="1"/>
  <c r="K431" i="8"/>
  <c r="M431" i="8" s="1"/>
  <c r="J430" i="8"/>
  <c r="J429" i="8"/>
  <c r="L429" i="8" s="1"/>
  <c r="N429" i="8" s="1"/>
  <c r="J428" i="8"/>
  <c r="L428" i="8"/>
  <c r="N428" i="8" s="1"/>
  <c r="K428" i="8"/>
  <c r="M428" i="8" s="1"/>
  <c r="J427" i="8"/>
  <c r="K427" i="8" s="1"/>
  <c r="M427" i="8" s="1"/>
  <c r="L427" i="8"/>
  <c r="N427" i="8" s="1"/>
  <c r="J426" i="8"/>
  <c r="J425" i="8"/>
  <c r="L425" i="8" s="1"/>
  <c r="N425" i="8" s="1"/>
  <c r="K425" i="8"/>
  <c r="M425" i="8" s="1"/>
  <c r="J424" i="8"/>
  <c r="K424" i="8" s="1"/>
  <c r="M424" i="8" s="1"/>
  <c r="L424" i="8"/>
  <c r="N424" i="8" s="1"/>
  <c r="J423" i="8"/>
  <c r="L423" i="8"/>
  <c r="N423" i="8" s="1"/>
  <c r="K423" i="8"/>
  <c r="M423" i="8" s="1"/>
  <c r="J422" i="8"/>
  <c r="J421" i="8"/>
  <c r="L421" i="8"/>
  <c r="N421" i="8" s="1"/>
  <c r="K421" i="8"/>
  <c r="M421" i="8" s="1"/>
  <c r="J420" i="8"/>
  <c r="L420" i="8"/>
  <c r="N420" i="8" s="1"/>
  <c r="K420" i="8"/>
  <c r="M420" i="8" s="1"/>
  <c r="J419" i="8"/>
  <c r="J418" i="8"/>
  <c r="J417" i="8"/>
  <c r="K417" i="8" s="1"/>
  <c r="M417" i="8" s="1"/>
  <c r="L417" i="8"/>
  <c r="N417" i="8" s="1"/>
  <c r="J416" i="8"/>
  <c r="K416" i="8" s="1"/>
  <c r="M416" i="8" s="1"/>
  <c r="L416" i="8"/>
  <c r="N416" i="8" s="1"/>
  <c r="J415" i="8"/>
  <c r="L415" i="8" s="1"/>
  <c r="N415" i="8" s="1"/>
  <c r="J414" i="8"/>
  <c r="J413" i="8"/>
  <c r="L413" i="8"/>
  <c r="N413" i="8" s="1"/>
  <c r="K413" i="8"/>
  <c r="M413" i="8" s="1"/>
  <c r="J412" i="8"/>
  <c r="J411" i="8"/>
  <c r="L411" i="8" s="1"/>
  <c r="N411" i="8" s="1"/>
  <c r="K411" i="8"/>
  <c r="M411" i="8" s="1"/>
  <c r="J410" i="8"/>
  <c r="J409" i="8"/>
  <c r="J408" i="8"/>
  <c r="L408" i="8" s="1"/>
  <c r="N408" i="8" s="1"/>
  <c r="K408" i="8"/>
  <c r="M408" i="8" s="1"/>
  <c r="J407" i="8"/>
  <c r="L407" i="8"/>
  <c r="N407" i="8" s="1"/>
  <c r="K407" i="8"/>
  <c r="M407" i="8" s="1"/>
  <c r="J405" i="8"/>
  <c r="J404" i="8"/>
  <c r="L404" i="8" s="1"/>
  <c r="N404" i="8" s="1"/>
  <c r="J403" i="8"/>
  <c r="L403" i="8"/>
  <c r="N403" i="8" s="1"/>
  <c r="K403" i="8"/>
  <c r="M403" i="8" s="1"/>
  <c r="J402" i="8"/>
  <c r="K402" i="8" s="1"/>
  <c r="M402" i="8" s="1"/>
  <c r="L402" i="8"/>
  <c r="N402" i="8" s="1"/>
  <c r="J401" i="8"/>
  <c r="J400" i="8"/>
  <c r="L400" i="8" s="1"/>
  <c r="N400" i="8" s="1"/>
  <c r="K400" i="8"/>
  <c r="M400" i="8" s="1"/>
  <c r="J399" i="8"/>
  <c r="K399" i="8" s="1"/>
  <c r="M399" i="8" s="1"/>
  <c r="L399" i="8"/>
  <c r="N399" i="8" s="1"/>
  <c r="J398" i="8"/>
  <c r="L398" i="8"/>
  <c r="N398" i="8" s="1"/>
  <c r="K398" i="8"/>
  <c r="M398" i="8" s="1"/>
  <c r="J397" i="8"/>
  <c r="J396" i="8"/>
  <c r="L396" i="8"/>
  <c r="N396" i="8" s="1"/>
  <c r="K396" i="8"/>
  <c r="M396" i="8" s="1"/>
  <c r="J395" i="8"/>
  <c r="L395" i="8"/>
  <c r="N395" i="8" s="1"/>
  <c r="K395" i="8"/>
  <c r="M395" i="8" s="1"/>
  <c r="J393" i="8"/>
  <c r="J392" i="8"/>
  <c r="J391" i="8"/>
  <c r="K391" i="8" s="1"/>
  <c r="M391" i="8" s="1"/>
  <c r="J390" i="8"/>
  <c r="K390" i="8" s="1"/>
  <c r="M390" i="8" s="1"/>
  <c r="L390" i="8"/>
  <c r="N390" i="8" s="1"/>
  <c r="J389" i="8"/>
  <c r="L389" i="8" s="1"/>
  <c r="N389" i="8" s="1"/>
  <c r="J388" i="8"/>
  <c r="J387" i="8"/>
  <c r="L387" i="8"/>
  <c r="N387" i="8" s="1"/>
  <c r="K387" i="8"/>
  <c r="M387" i="8" s="1"/>
  <c r="J386" i="8"/>
  <c r="J385" i="8"/>
  <c r="L385" i="8" s="1"/>
  <c r="N385" i="8" s="1"/>
  <c r="K385" i="8"/>
  <c r="M385" i="8" s="1"/>
  <c r="J384" i="8"/>
  <c r="J383" i="8"/>
  <c r="J382" i="8"/>
  <c r="L382" i="8" s="1"/>
  <c r="N382" i="8" s="1"/>
  <c r="J381" i="8"/>
  <c r="L381" i="8"/>
  <c r="N381" i="8" s="1"/>
  <c r="K381" i="8"/>
  <c r="M381" i="8" s="1"/>
  <c r="J380" i="8"/>
  <c r="K380" i="8" s="1"/>
  <c r="M380" i="8" s="1"/>
  <c r="L380" i="8"/>
  <c r="N380" i="8" s="1"/>
  <c r="J379" i="8"/>
  <c r="K379" i="8" s="1"/>
  <c r="M379" i="8" s="1"/>
  <c r="L379" i="8"/>
  <c r="N379" i="8" s="1"/>
  <c r="J378" i="8"/>
  <c r="L378" i="8"/>
  <c r="N378" i="8" s="1"/>
  <c r="K378" i="8"/>
  <c r="M378" i="8" s="1"/>
  <c r="J377" i="8"/>
  <c r="L377" i="8" s="1"/>
  <c r="N377" i="8" s="1"/>
  <c r="J376" i="8"/>
  <c r="J374" i="8"/>
  <c r="L374" i="8" s="1"/>
  <c r="N374" i="8" s="1"/>
  <c r="J373" i="8"/>
  <c r="L373" i="8"/>
  <c r="N373" i="8" s="1"/>
  <c r="K373" i="8"/>
  <c r="M373" i="8" s="1"/>
  <c r="J372" i="8"/>
  <c r="K372" i="8" s="1"/>
  <c r="M372" i="8" s="1"/>
  <c r="J371" i="8"/>
  <c r="K371" i="8" s="1"/>
  <c r="M371" i="8" s="1"/>
  <c r="L371" i="8"/>
  <c r="N371" i="8" s="1"/>
  <c r="J370" i="8"/>
  <c r="L370" i="8" s="1"/>
  <c r="N370" i="8" s="1"/>
  <c r="J369" i="8"/>
  <c r="L369" i="8"/>
  <c r="N369" i="8" s="1"/>
  <c r="K369" i="8"/>
  <c r="M369" i="8" s="1"/>
  <c r="J368" i="8"/>
  <c r="K368" i="8" s="1"/>
  <c r="M368" i="8" s="1"/>
  <c r="J367" i="8"/>
  <c r="K367" i="8" s="1"/>
  <c r="M367" i="8" s="1"/>
  <c r="L367" i="8"/>
  <c r="N367" i="8" s="1"/>
  <c r="J366" i="8"/>
  <c r="L366" i="8" s="1"/>
  <c r="N366" i="8" s="1"/>
  <c r="K366" i="8"/>
  <c r="M366" i="8" s="1"/>
  <c r="J365" i="8"/>
  <c r="L365" i="8"/>
  <c r="N365" i="8" s="1"/>
  <c r="K365" i="8"/>
  <c r="M365" i="8" s="1"/>
  <c r="J364" i="8"/>
  <c r="K364" i="8" s="1"/>
  <c r="M364" i="8" s="1"/>
  <c r="L364" i="8"/>
  <c r="N364" i="8" s="1"/>
  <c r="J363" i="8"/>
  <c r="K363" i="8" s="1"/>
  <c r="M363" i="8" s="1"/>
  <c r="L363" i="8"/>
  <c r="N363" i="8" s="1"/>
  <c r="J362" i="8"/>
  <c r="L362" i="8" s="1"/>
  <c r="N362" i="8" s="1"/>
  <c r="J361" i="8"/>
  <c r="L361" i="8"/>
  <c r="N361" i="8" s="1"/>
  <c r="K361" i="8"/>
  <c r="M361" i="8" s="1"/>
  <c r="J360" i="8"/>
  <c r="K360" i="8" s="1"/>
  <c r="M360" i="8" s="1"/>
  <c r="J359" i="8"/>
  <c r="K359" i="8" s="1"/>
  <c r="M359" i="8" s="1"/>
  <c r="J358" i="8"/>
  <c r="L358" i="8" s="1"/>
  <c r="N358" i="8" s="1"/>
  <c r="J357" i="8"/>
  <c r="L357" i="8"/>
  <c r="N357" i="8" s="1"/>
  <c r="K357" i="8"/>
  <c r="M357" i="8" s="1"/>
  <c r="J356" i="8"/>
  <c r="K356" i="8" s="1"/>
  <c r="M356" i="8" s="1"/>
  <c r="J355" i="8"/>
  <c r="K355" i="8" s="1"/>
  <c r="M355" i="8" s="1"/>
  <c r="L355" i="8"/>
  <c r="N355" i="8" s="1"/>
  <c r="J354" i="8"/>
  <c r="L354" i="8" s="1"/>
  <c r="N354" i="8" s="1"/>
  <c r="J353" i="8"/>
  <c r="L353" i="8" s="1"/>
  <c r="N353" i="8" s="1"/>
  <c r="J352" i="8"/>
  <c r="L352" i="8"/>
  <c r="N352" i="8" s="1"/>
  <c r="K352" i="8"/>
  <c r="M352" i="8" s="1"/>
  <c r="J351" i="8"/>
  <c r="L351" i="8" s="1"/>
  <c r="N351" i="8" s="1"/>
  <c r="J350" i="8"/>
  <c r="L350" i="8" s="1"/>
  <c r="N350" i="8" s="1"/>
  <c r="J349" i="8"/>
  <c r="L349" i="8" s="1"/>
  <c r="N349" i="8" s="1"/>
  <c r="J348" i="8"/>
  <c r="J347" i="8"/>
  <c r="L347" i="8" s="1"/>
  <c r="N347" i="8" s="1"/>
  <c r="J346" i="8"/>
  <c r="L346" i="8"/>
  <c r="N346" i="8" s="1"/>
  <c r="K346" i="8"/>
  <c r="M346" i="8" s="1"/>
  <c r="J345" i="8"/>
  <c r="L345" i="8" s="1"/>
  <c r="N345" i="8" s="1"/>
  <c r="J344" i="8"/>
  <c r="L344" i="8" s="1"/>
  <c r="N344" i="8" s="1"/>
  <c r="K344" i="8"/>
  <c r="M344" i="8" s="1"/>
  <c r="J343" i="8"/>
  <c r="L343" i="8"/>
  <c r="N343" i="8" s="1"/>
  <c r="K343" i="8"/>
  <c r="M343" i="8" s="1"/>
  <c r="J342" i="8"/>
  <c r="K342" i="8" s="1"/>
  <c r="M342" i="8" s="1"/>
  <c r="J341" i="8"/>
  <c r="L341" i="8" s="1"/>
  <c r="N341" i="8" s="1"/>
  <c r="J340" i="8"/>
  <c r="L340" i="8" s="1"/>
  <c r="N340" i="8" s="1"/>
  <c r="J339" i="8"/>
  <c r="K339" i="8" s="1"/>
  <c r="M339" i="8" s="1"/>
  <c r="L339" i="8"/>
  <c r="N339" i="8" s="1"/>
  <c r="J338" i="8"/>
  <c r="L338" i="8"/>
  <c r="N338" i="8" s="1"/>
  <c r="K338" i="8"/>
  <c r="M338" i="8" s="1"/>
  <c r="J337" i="8"/>
  <c r="L337" i="8" s="1"/>
  <c r="N337" i="8" s="1"/>
  <c r="J336" i="8"/>
  <c r="L336" i="8"/>
  <c r="N336" i="8" s="1"/>
  <c r="K336" i="8"/>
  <c r="M336" i="8" s="1"/>
  <c r="J335" i="8"/>
  <c r="L335" i="8"/>
  <c r="N335" i="8" s="1"/>
  <c r="K335" i="8"/>
  <c r="M335" i="8" s="1"/>
  <c r="J332" i="8"/>
  <c r="J331" i="8"/>
  <c r="L331" i="8" s="1"/>
  <c r="N331" i="8" s="1"/>
  <c r="J330" i="8"/>
  <c r="K330" i="8" s="1"/>
  <c r="M330" i="8" s="1"/>
  <c r="L330" i="8"/>
  <c r="N330" i="8" s="1"/>
  <c r="J329" i="8"/>
  <c r="K329" i="8" s="1"/>
  <c r="M329" i="8" s="1"/>
  <c r="L329" i="8"/>
  <c r="N329" i="8" s="1"/>
  <c r="J328" i="8"/>
  <c r="L328" i="8" s="1"/>
  <c r="N328" i="8" s="1"/>
  <c r="J327" i="8"/>
  <c r="L327" i="8" s="1"/>
  <c r="N327" i="8" s="1"/>
  <c r="J326" i="8"/>
  <c r="L326" i="8"/>
  <c r="N326" i="8" s="1"/>
  <c r="K326" i="8"/>
  <c r="M326" i="8" s="1"/>
  <c r="J325" i="8"/>
  <c r="L325" i="8" s="1"/>
  <c r="N325" i="8" s="1"/>
  <c r="J324" i="8"/>
  <c r="L324" i="8" s="1"/>
  <c r="N324" i="8" s="1"/>
  <c r="J323" i="8"/>
  <c r="L323" i="8" s="1"/>
  <c r="N323" i="8" s="1"/>
  <c r="J322" i="8"/>
  <c r="J321" i="8"/>
  <c r="L321" i="8" s="1"/>
  <c r="N321" i="8" s="1"/>
  <c r="J320" i="8"/>
  <c r="L320" i="8"/>
  <c r="N320" i="8" s="1"/>
  <c r="K320" i="8"/>
  <c r="M320" i="8" s="1"/>
  <c r="J319" i="8"/>
  <c r="L319" i="8" s="1"/>
  <c r="N319" i="8" s="1"/>
  <c r="J318" i="8"/>
  <c r="L318" i="8"/>
  <c r="N318" i="8" s="1"/>
  <c r="K318" i="8"/>
  <c r="M318" i="8" s="1"/>
  <c r="J317" i="8"/>
  <c r="L317" i="8"/>
  <c r="N317" i="8" s="1"/>
  <c r="K317" i="8"/>
  <c r="M317" i="8" s="1"/>
  <c r="J316" i="8"/>
  <c r="K316" i="8" s="1"/>
  <c r="M316" i="8" s="1"/>
  <c r="J315" i="8"/>
  <c r="L315" i="8" s="1"/>
  <c r="N315" i="8" s="1"/>
  <c r="J314" i="8"/>
  <c r="L314" i="8" s="1"/>
  <c r="N314" i="8" s="1"/>
  <c r="K314" i="8"/>
  <c r="M314" i="8" s="1"/>
  <c r="J313" i="8"/>
  <c r="K313" i="8" s="1"/>
  <c r="M313" i="8" s="1"/>
  <c r="J312" i="8"/>
  <c r="L312" i="8" s="1"/>
  <c r="N312" i="8" s="1"/>
  <c r="K312" i="8"/>
  <c r="M312" i="8" s="1"/>
  <c r="J310" i="8"/>
  <c r="L310" i="8" s="1"/>
  <c r="N310" i="8" s="1"/>
  <c r="J309" i="8"/>
  <c r="L309" i="8"/>
  <c r="N309" i="8" s="1"/>
  <c r="K309" i="8"/>
  <c r="M309" i="8" s="1"/>
  <c r="J308" i="8"/>
  <c r="L308" i="8"/>
  <c r="N308" i="8" s="1"/>
  <c r="K308" i="8"/>
  <c r="M308" i="8" s="1"/>
  <c r="J307" i="8"/>
  <c r="L307" i="8" s="1"/>
  <c r="N307" i="8" s="1"/>
  <c r="J306" i="8"/>
  <c r="L306" i="8" s="1"/>
  <c r="N306" i="8" s="1"/>
  <c r="J305" i="8"/>
  <c r="K305" i="8" s="1"/>
  <c r="M305" i="8" s="1"/>
  <c r="L305" i="8"/>
  <c r="N305" i="8" s="1"/>
  <c r="J304" i="8"/>
  <c r="K304" i="8" s="1"/>
  <c r="M304" i="8" s="1"/>
  <c r="J303" i="8"/>
  <c r="L303" i="8" s="1"/>
  <c r="N303" i="8" s="1"/>
  <c r="J302" i="8"/>
  <c r="L302" i="8" s="1"/>
  <c r="N302" i="8" s="1"/>
  <c r="J301" i="8"/>
  <c r="L301" i="8" s="1"/>
  <c r="N301" i="8" s="1"/>
  <c r="J300" i="8"/>
  <c r="L300" i="8" s="1"/>
  <c r="N300" i="8" s="1"/>
  <c r="J299" i="8"/>
  <c r="L299" i="8" s="1"/>
  <c r="N299" i="8" s="1"/>
  <c r="K299" i="8"/>
  <c r="M299" i="8" s="1"/>
  <c r="J298" i="8"/>
  <c r="L298" i="8" s="1"/>
  <c r="N298" i="8" s="1"/>
  <c r="J297" i="8"/>
  <c r="L297" i="8" s="1"/>
  <c r="N297" i="8" s="1"/>
  <c r="J296" i="8"/>
  <c r="L296" i="8" s="1"/>
  <c r="N296" i="8" s="1"/>
  <c r="K296" i="8"/>
  <c r="M296" i="8" s="1"/>
  <c r="J295" i="8"/>
  <c r="L295" i="8"/>
  <c r="N295" i="8" s="1"/>
  <c r="K295" i="8"/>
  <c r="M295" i="8" s="1"/>
  <c r="J294" i="8"/>
  <c r="L294" i="8" s="1"/>
  <c r="N294" i="8" s="1"/>
  <c r="J293" i="8"/>
  <c r="K293" i="8" s="1"/>
  <c r="M293" i="8" s="1"/>
  <c r="L293" i="8"/>
  <c r="N293" i="8" s="1"/>
  <c r="J292" i="8"/>
  <c r="L292" i="8"/>
  <c r="N292" i="8" s="1"/>
  <c r="K292" i="8"/>
  <c r="M292" i="8" s="1"/>
  <c r="J291" i="8"/>
  <c r="K291" i="8" s="1"/>
  <c r="M291" i="8" s="1"/>
  <c r="L291" i="8"/>
  <c r="N291" i="8" s="1"/>
  <c r="J290" i="8"/>
  <c r="L290" i="8" s="1"/>
  <c r="N290" i="8" s="1"/>
  <c r="J289" i="8"/>
  <c r="L289" i="8" s="1"/>
  <c r="N289" i="8" s="1"/>
  <c r="K289" i="8"/>
  <c r="M289" i="8" s="1"/>
  <c r="J288" i="8"/>
  <c r="K288" i="8" s="1"/>
  <c r="M288" i="8" s="1"/>
  <c r="L288" i="8"/>
  <c r="N288" i="8" s="1"/>
  <c r="J287" i="8"/>
  <c r="L287" i="8" s="1"/>
  <c r="N287" i="8" s="1"/>
  <c r="J285" i="8"/>
  <c r="L285" i="8" s="1"/>
  <c r="N285" i="8" s="1"/>
  <c r="J284" i="8"/>
  <c r="L284" i="8"/>
  <c r="N284" i="8" s="1"/>
  <c r="K284" i="8"/>
  <c r="M284" i="8" s="1"/>
  <c r="J283" i="8"/>
  <c r="L283" i="8"/>
  <c r="N283" i="8" s="1"/>
  <c r="K283" i="8"/>
  <c r="M283" i="8" s="1"/>
  <c r="J282" i="8"/>
  <c r="L282" i="8" s="1"/>
  <c r="N282" i="8" s="1"/>
  <c r="K282" i="8"/>
  <c r="M282" i="8" s="1"/>
  <c r="J281" i="8"/>
  <c r="L281" i="8" s="1"/>
  <c r="N281" i="8" s="1"/>
  <c r="J280" i="8"/>
  <c r="K280" i="8" s="1"/>
  <c r="M280" i="8" s="1"/>
  <c r="J279" i="8"/>
  <c r="K279" i="8" s="1"/>
  <c r="M279" i="8" s="1"/>
  <c r="L279" i="8"/>
  <c r="N279" i="8" s="1"/>
  <c r="J278" i="8"/>
  <c r="L278" i="8"/>
  <c r="N278" i="8" s="1"/>
  <c r="K278" i="8"/>
  <c r="M278" i="8" s="1"/>
  <c r="J277" i="8"/>
  <c r="L277" i="8" s="1"/>
  <c r="N277" i="8" s="1"/>
  <c r="J276" i="8"/>
  <c r="L276" i="8" s="1"/>
  <c r="N276" i="8" s="1"/>
  <c r="K276" i="8"/>
  <c r="M276" i="8" s="1"/>
  <c r="J275" i="8"/>
  <c r="L275" i="8" s="1"/>
  <c r="N275" i="8" s="1"/>
  <c r="J274" i="8"/>
  <c r="L274" i="8" s="1"/>
  <c r="N274" i="8" s="1"/>
  <c r="J273" i="8"/>
  <c r="L273" i="8" s="1"/>
  <c r="N273" i="8" s="1"/>
  <c r="J272" i="8"/>
  <c r="L272" i="8" s="1"/>
  <c r="N272" i="8" s="1"/>
  <c r="K272" i="8"/>
  <c r="M272" i="8" s="1"/>
  <c r="J271" i="8"/>
  <c r="L271" i="8" s="1"/>
  <c r="N271" i="8" s="1"/>
  <c r="K271" i="8"/>
  <c r="M271" i="8" s="1"/>
  <c r="J270" i="8"/>
  <c r="L270" i="8"/>
  <c r="N270" i="8" s="1"/>
  <c r="K270" i="8"/>
  <c r="M270" i="8" s="1"/>
  <c r="J269" i="8"/>
  <c r="L269" i="8" s="1"/>
  <c r="N269" i="8" s="1"/>
  <c r="J268" i="8"/>
  <c r="L268" i="8" s="1"/>
  <c r="N268" i="8" s="1"/>
  <c r="K268" i="8"/>
  <c r="M268" i="8" s="1"/>
  <c r="J267" i="8"/>
  <c r="L267" i="8"/>
  <c r="N267" i="8" s="1"/>
  <c r="K267" i="8"/>
  <c r="M267" i="8" s="1"/>
  <c r="J266" i="8"/>
  <c r="K266" i="8" s="1"/>
  <c r="M266" i="8" s="1"/>
  <c r="L266" i="8"/>
  <c r="N266" i="8" s="1"/>
  <c r="J265" i="8"/>
  <c r="L265" i="8" s="1"/>
  <c r="N265" i="8" s="1"/>
  <c r="J264" i="8"/>
  <c r="L264" i="8" s="1"/>
  <c r="N264" i="8" s="1"/>
  <c r="K264" i="8"/>
  <c r="M264" i="8" s="1"/>
  <c r="J263" i="8"/>
  <c r="K263" i="8" s="1"/>
  <c r="M263" i="8" s="1"/>
  <c r="J262" i="8"/>
  <c r="L262" i="8"/>
  <c r="N262" i="8" s="1"/>
  <c r="K262" i="8"/>
  <c r="M262" i="8" s="1"/>
  <c r="J261" i="8"/>
  <c r="L261" i="8" s="1"/>
  <c r="N261" i="8" s="1"/>
  <c r="J260" i="8"/>
  <c r="L260" i="8"/>
  <c r="N260" i="8" s="1"/>
  <c r="K260" i="8"/>
  <c r="M260" i="8" s="1"/>
  <c r="J259" i="8"/>
  <c r="L259" i="8"/>
  <c r="N259" i="8" s="1"/>
  <c r="K259" i="8"/>
  <c r="M259" i="8" s="1"/>
  <c r="J258" i="8"/>
  <c r="L258" i="8" s="1"/>
  <c r="N258" i="8" s="1"/>
  <c r="J257" i="8"/>
  <c r="L257" i="8" s="1"/>
  <c r="N257" i="8" s="1"/>
  <c r="J256" i="8"/>
  <c r="K256" i="8" s="1"/>
  <c r="M256" i="8" s="1"/>
  <c r="J255" i="8"/>
  <c r="K255" i="8" s="1"/>
  <c r="M255" i="8" s="1"/>
  <c r="J254" i="8"/>
  <c r="L254" i="8"/>
  <c r="N254" i="8" s="1"/>
  <c r="K254" i="8"/>
  <c r="M254" i="8" s="1"/>
  <c r="J252" i="8"/>
  <c r="L252" i="8" s="1"/>
  <c r="N252" i="8" s="1"/>
  <c r="J251" i="8"/>
  <c r="L251" i="8" s="1"/>
  <c r="N251" i="8" s="1"/>
  <c r="J250" i="8"/>
  <c r="L250" i="8" s="1"/>
  <c r="N250" i="8" s="1"/>
  <c r="K250" i="8"/>
  <c r="M250" i="8" s="1"/>
  <c r="J249" i="8"/>
  <c r="L249" i="8" s="1"/>
  <c r="N249" i="8" s="1"/>
  <c r="K249" i="8"/>
  <c r="M249" i="8" s="1"/>
  <c r="J248" i="8"/>
  <c r="L248" i="8" s="1"/>
  <c r="N248" i="8" s="1"/>
  <c r="J247" i="8"/>
  <c r="L247" i="8" s="1"/>
  <c r="N247" i="8" s="1"/>
  <c r="K247" i="8"/>
  <c r="M247" i="8" s="1"/>
  <c r="J246" i="8"/>
  <c r="L246" i="8"/>
  <c r="N246" i="8" s="1"/>
  <c r="K246" i="8"/>
  <c r="M246" i="8" s="1"/>
  <c r="J245" i="8"/>
  <c r="L245" i="8"/>
  <c r="N245" i="8" s="1"/>
  <c r="K245" i="8"/>
  <c r="M245" i="8" s="1"/>
  <c r="J244" i="8"/>
  <c r="L244" i="8" s="1"/>
  <c r="N244" i="8" s="1"/>
  <c r="J243" i="8"/>
  <c r="L243" i="8"/>
  <c r="N243" i="8" s="1"/>
  <c r="K243" i="8"/>
  <c r="M243" i="8" s="1"/>
  <c r="J241" i="8"/>
  <c r="L241" i="8"/>
  <c r="N241" i="8" s="1"/>
  <c r="K241" i="8"/>
  <c r="M241" i="8" s="1"/>
  <c r="J240" i="8"/>
  <c r="K240" i="8" s="1"/>
  <c r="M240" i="8" s="1"/>
  <c r="L240" i="8"/>
  <c r="N240" i="8" s="1"/>
  <c r="J239" i="8"/>
  <c r="L239" i="8" s="1"/>
  <c r="N239" i="8" s="1"/>
  <c r="J238" i="8"/>
  <c r="L238" i="8" s="1"/>
  <c r="N238" i="8" s="1"/>
  <c r="K238" i="8"/>
  <c r="M238" i="8" s="1"/>
  <c r="J237" i="8"/>
  <c r="L237" i="8"/>
  <c r="N237" i="8" s="1"/>
  <c r="K237" i="8"/>
  <c r="M237" i="8" s="1"/>
  <c r="J236" i="8"/>
  <c r="L236" i="8"/>
  <c r="N236" i="8" s="1"/>
  <c r="K236" i="8"/>
  <c r="M236" i="8" s="1"/>
  <c r="J235" i="8"/>
  <c r="L235" i="8" s="1"/>
  <c r="N235" i="8" s="1"/>
  <c r="J234" i="8"/>
  <c r="L234" i="8"/>
  <c r="N234" i="8" s="1"/>
  <c r="K234" i="8"/>
  <c r="M234" i="8" s="1"/>
  <c r="J233" i="8"/>
  <c r="L233" i="8"/>
  <c r="N233" i="8" s="1"/>
  <c r="K233" i="8"/>
  <c r="M233" i="8" s="1"/>
  <c r="J232" i="8"/>
  <c r="L232" i="8" s="1"/>
  <c r="N232" i="8" s="1"/>
  <c r="J231" i="8"/>
  <c r="L231" i="8" s="1"/>
  <c r="N231" i="8" s="1"/>
  <c r="J230" i="8"/>
  <c r="K230" i="8" s="1"/>
  <c r="M230" i="8" s="1"/>
  <c r="L230" i="8"/>
  <c r="N230" i="8" s="1"/>
  <c r="J229" i="8"/>
  <c r="L229" i="8" s="1"/>
  <c r="N229" i="8" s="1"/>
  <c r="J228" i="8"/>
  <c r="L228" i="8"/>
  <c r="N228" i="8" s="1"/>
  <c r="K228" i="8"/>
  <c r="M228" i="8" s="1"/>
  <c r="J227" i="8"/>
  <c r="L227" i="8" s="1"/>
  <c r="N227" i="8" s="1"/>
  <c r="J226" i="8"/>
  <c r="L226" i="8" s="1"/>
  <c r="N226" i="8" s="1"/>
  <c r="K226" i="8"/>
  <c r="M226" i="8" s="1"/>
  <c r="J225" i="8"/>
  <c r="L225" i="8" s="1"/>
  <c r="N225" i="8" s="1"/>
  <c r="K225" i="8"/>
  <c r="M225" i="8" s="1"/>
  <c r="J224" i="8"/>
  <c r="L224" i="8" s="1"/>
  <c r="N224" i="8" s="1"/>
  <c r="J223" i="8"/>
  <c r="L223" i="8" s="1"/>
  <c r="N223" i="8" s="1"/>
  <c r="J222" i="8"/>
  <c r="L222" i="8" s="1"/>
  <c r="N222" i="8" s="1"/>
  <c r="K222" i="8"/>
  <c r="M222" i="8" s="1"/>
  <c r="J221" i="8"/>
  <c r="L221" i="8" s="1"/>
  <c r="N221" i="8" s="1"/>
  <c r="K221" i="8"/>
  <c r="M221" i="8" s="1"/>
  <c r="J220" i="8"/>
  <c r="L220" i="8"/>
  <c r="N220" i="8" s="1"/>
  <c r="K220" i="8"/>
  <c r="M220" i="8" s="1"/>
  <c r="J219" i="8"/>
  <c r="L219" i="8" s="1"/>
  <c r="N219" i="8" s="1"/>
  <c r="J218" i="8"/>
  <c r="L218" i="8" s="1"/>
  <c r="N218" i="8" s="1"/>
  <c r="K218" i="8"/>
  <c r="M218" i="8" s="1"/>
  <c r="J217" i="8"/>
  <c r="L217" i="8"/>
  <c r="N217" i="8" s="1"/>
  <c r="K217" i="8"/>
  <c r="M217" i="8" s="1"/>
  <c r="J216" i="8"/>
  <c r="K216" i="8" s="1"/>
  <c r="M216" i="8" s="1"/>
  <c r="L216" i="8"/>
  <c r="N216" i="8" s="1"/>
  <c r="J215" i="8"/>
  <c r="L215" i="8" s="1"/>
  <c r="N215" i="8" s="1"/>
  <c r="J214" i="8"/>
  <c r="K214" i="8" s="1"/>
  <c r="M214" i="8" s="1"/>
  <c r="L214" i="8"/>
  <c r="N214" i="8" s="1"/>
  <c r="J213" i="8"/>
  <c r="L213" i="8" s="1"/>
  <c r="N213" i="8" s="1"/>
  <c r="K213" i="8"/>
  <c r="M213" i="8" s="1"/>
  <c r="J212" i="8"/>
  <c r="L212" i="8"/>
  <c r="N212" i="8" s="1"/>
  <c r="K212" i="8"/>
  <c r="M212" i="8" s="1"/>
  <c r="J211" i="8"/>
  <c r="L211" i="8" s="1"/>
  <c r="N211" i="8" s="1"/>
  <c r="J210" i="8"/>
  <c r="L210" i="8"/>
  <c r="N210" i="8" s="1"/>
  <c r="K210" i="8"/>
  <c r="M210" i="8" s="1"/>
  <c r="J209" i="8"/>
  <c r="L209" i="8" s="1"/>
  <c r="N209" i="8" s="1"/>
  <c r="J208" i="8"/>
  <c r="L208" i="8"/>
  <c r="N208" i="8" s="1"/>
  <c r="K208" i="8"/>
  <c r="M208" i="8" s="1"/>
  <c r="J206" i="8"/>
  <c r="L206" i="8" s="1"/>
  <c r="N206" i="8" s="1"/>
  <c r="J205" i="8"/>
  <c r="K205" i="8" s="1"/>
  <c r="M205" i="8" s="1"/>
  <c r="J204" i="8"/>
  <c r="L204" i="8" s="1"/>
  <c r="N204" i="8" s="1"/>
  <c r="K204" i="8"/>
  <c r="M204" i="8" s="1"/>
  <c r="J203" i="8"/>
  <c r="L203" i="8" s="1"/>
  <c r="N203" i="8" s="1"/>
  <c r="J202" i="8"/>
  <c r="L202" i="8" s="1"/>
  <c r="N202" i="8" s="1"/>
  <c r="J201" i="8"/>
  <c r="L201" i="8" s="1"/>
  <c r="N201" i="8" s="1"/>
  <c r="K201" i="8"/>
  <c r="M201" i="8" s="1"/>
  <c r="J200" i="8"/>
  <c r="L200" i="8" s="1"/>
  <c r="N200" i="8" s="1"/>
  <c r="J199" i="8"/>
  <c r="L199" i="8" s="1"/>
  <c r="N199" i="8" s="1"/>
  <c r="K199" i="8"/>
  <c r="M199" i="8" s="1"/>
  <c r="J198" i="8"/>
  <c r="L198" i="8" s="1"/>
  <c r="N198" i="8" s="1"/>
  <c r="J196" i="8"/>
  <c r="L196" i="8" s="1"/>
  <c r="N196" i="8" s="1"/>
  <c r="J195" i="8"/>
  <c r="L195" i="8" s="1"/>
  <c r="N195" i="8" s="1"/>
  <c r="K195" i="8"/>
  <c r="M195" i="8" s="1"/>
  <c r="J194" i="8"/>
  <c r="L194" i="8"/>
  <c r="N194" i="8" s="1"/>
  <c r="K194" i="8"/>
  <c r="M194" i="8" s="1"/>
  <c r="J193" i="8"/>
  <c r="L193" i="8" s="1"/>
  <c r="N193" i="8" s="1"/>
  <c r="J192" i="8"/>
  <c r="K192" i="8" s="1"/>
  <c r="M192" i="8" s="1"/>
  <c r="L192" i="8"/>
  <c r="N192" i="8" s="1"/>
  <c r="J191" i="8"/>
  <c r="L191" i="8" s="1"/>
  <c r="N191" i="8" s="1"/>
  <c r="K191" i="8"/>
  <c r="M191" i="8" s="1"/>
  <c r="J190" i="8"/>
  <c r="K190" i="8" s="1"/>
  <c r="M190" i="8" s="1"/>
  <c r="L190" i="8"/>
  <c r="N190" i="8" s="1"/>
  <c r="J189" i="8"/>
  <c r="L189" i="8" s="1"/>
  <c r="N189" i="8" s="1"/>
  <c r="J187" i="8"/>
  <c r="L187" i="8"/>
  <c r="N187" i="8" s="1"/>
  <c r="K187" i="8"/>
  <c r="M187" i="8" s="1"/>
  <c r="J186" i="8"/>
  <c r="K186" i="8" s="1"/>
  <c r="M186" i="8" s="1"/>
  <c r="L186" i="8"/>
  <c r="N186" i="8" s="1"/>
  <c r="J185" i="8"/>
  <c r="L185" i="8" s="1"/>
  <c r="N185" i="8" s="1"/>
  <c r="K185" i="8"/>
  <c r="M185" i="8" s="1"/>
  <c r="J184" i="8"/>
  <c r="L184" i="8" s="1"/>
  <c r="N184" i="8" s="1"/>
  <c r="J183" i="8"/>
  <c r="L183" i="8"/>
  <c r="N183" i="8" s="1"/>
  <c r="K183" i="8"/>
  <c r="M183" i="8" s="1"/>
  <c r="J182" i="8"/>
  <c r="L182" i="8" s="1"/>
  <c r="N182" i="8" s="1"/>
  <c r="K182" i="8"/>
  <c r="M182" i="8" s="1"/>
  <c r="J181" i="8"/>
  <c r="L181" i="8" s="1"/>
  <c r="N181" i="8" s="1"/>
  <c r="J180" i="8"/>
  <c r="L180" i="8" s="1"/>
  <c r="N180" i="8" s="1"/>
  <c r="J176" i="8"/>
  <c r="K176" i="8" s="1"/>
  <c r="M176" i="8" s="1"/>
  <c r="J175" i="8"/>
  <c r="L175" i="8" s="1"/>
  <c r="N175" i="8" s="1"/>
  <c r="J174" i="8"/>
  <c r="L174" i="8" s="1"/>
  <c r="N174" i="8" s="1"/>
  <c r="K174" i="8"/>
  <c r="M174" i="8" s="1"/>
  <c r="J173" i="8"/>
  <c r="L173" i="8" s="1"/>
  <c r="N173" i="8" s="1"/>
  <c r="J172" i="8"/>
  <c r="L172" i="8" s="1"/>
  <c r="N172" i="8" s="1"/>
  <c r="J171" i="8"/>
  <c r="L171" i="8" s="1"/>
  <c r="N171" i="8" s="1"/>
  <c r="J169" i="8"/>
  <c r="L169" i="8" s="1"/>
  <c r="N169" i="8" s="1"/>
  <c r="J168" i="8"/>
  <c r="L168" i="8" s="1"/>
  <c r="N168" i="8" s="1"/>
  <c r="J167" i="8"/>
  <c r="L167" i="8"/>
  <c r="N167" i="8" s="1"/>
  <c r="K167" i="8"/>
  <c r="M167" i="8" s="1"/>
  <c r="J166" i="8"/>
  <c r="L166" i="8" s="1"/>
  <c r="N166" i="8" s="1"/>
  <c r="J165" i="8"/>
  <c r="L165" i="8"/>
  <c r="N165" i="8" s="1"/>
  <c r="K165" i="8"/>
  <c r="M165" i="8" s="1"/>
  <c r="J164" i="8"/>
  <c r="L164" i="8" s="1"/>
  <c r="N164" i="8" s="1"/>
  <c r="J163" i="8"/>
  <c r="L163" i="8"/>
  <c r="N163" i="8" s="1"/>
  <c r="K163" i="8"/>
  <c r="M163" i="8" s="1"/>
  <c r="J162" i="8"/>
  <c r="K162" i="8" s="1"/>
  <c r="M162" i="8" s="1"/>
  <c r="L162" i="8"/>
  <c r="N162" i="8" s="1"/>
  <c r="J161" i="8"/>
  <c r="K161" i="8" s="1"/>
  <c r="M161" i="8" s="1"/>
  <c r="J160" i="8"/>
  <c r="L160" i="8" s="1"/>
  <c r="N160" i="8" s="1"/>
  <c r="J159" i="8"/>
  <c r="L159" i="8"/>
  <c r="N159" i="8" s="1"/>
  <c r="K159" i="8"/>
  <c r="M159" i="8" s="1"/>
  <c r="J158" i="8"/>
  <c r="L158" i="8"/>
  <c r="N158" i="8" s="1"/>
  <c r="K158" i="8"/>
  <c r="M158" i="8" s="1"/>
  <c r="J157" i="8"/>
  <c r="K157" i="8" s="1"/>
  <c r="M157" i="8" s="1"/>
  <c r="L157" i="8"/>
  <c r="N157" i="8" s="1"/>
  <c r="J156" i="8"/>
  <c r="L156" i="8" s="1"/>
  <c r="N156" i="8" s="1"/>
  <c r="J155" i="8"/>
  <c r="L155" i="8"/>
  <c r="N155" i="8" s="1"/>
  <c r="K155" i="8"/>
  <c r="M155" i="8" s="1"/>
  <c r="J154" i="8"/>
  <c r="L154" i="8" s="1"/>
  <c r="N154" i="8" s="1"/>
  <c r="J153" i="8"/>
  <c r="L153" i="8" s="1"/>
  <c r="N153" i="8" s="1"/>
  <c r="K153" i="8"/>
  <c r="M153" i="8" s="1"/>
  <c r="J152" i="8"/>
  <c r="L152" i="8" s="1"/>
  <c r="N152" i="8" s="1"/>
  <c r="J151" i="8"/>
  <c r="K151" i="8" s="1"/>
  <c r="M151" i="8" s="1"/>
  <c r="J149" i="8"/>
  <c r="L149" i="8"/>
  <c r="N149" i="8" s="1"/>
  <c r="K149" i="8"/>
  <c r="M149" i="8" s="1"/>
  <c r="J148" i="8"/>
  <c r="L148" i="8" s="1"/>
  <c r="N148" i="8" s="1"/>
  <c r="J147" i="8"/>
  <c r="L147" i="8" s="1"/>
  <c r="N147" i="8" s="1"/>
  <c r="J146" i="8"/>
  <c r="L146" i="8"/>
  <c r="N146" i="8" s="1"/>
  <c r="K146" i="8"/>
  <c r="M146" i="8" s="1"/>
  <c r="J145" i="8"/>
  <c r="L145" i="8" s="1"/>
  <c r="N145" i="8" s="1"/>
  <c r="J144" i="8"/>
  <c r="L144" i="8"/>
  <c r="N144" i="8" s="1"/>
  <c r="K144" i="8"/>
  <c r="M144" i="8" s="1"/>
  <c r="J143" i="8"/>
  <c r="L143" i="8" s="1"/>
  <c r="N143" i="8" s="1"/>
  <c r="J142" i="8"/>
  <c r="L142" i="8" s="1"/>
  <c r="N142" i="8" s="1"/>
  <c r="K142" i="8"/>
  <c r="M142" i="8" s="1"/>
  <c r="J141" i="8"/>
  <c r="L141" i="8"/>
  <c r="N141" i="8" s="1"/>
  <c r="K141" i="8"/>
  <c r="M141" i="8" s="1"/>
  <c r="J140" i="8"/>
  <c r="L140" i="8"/>
  <c r="N140" i="8" s="1"/>
  <c r="K140" i="8"/>
  <c r="M140" i="8" s="1"/>
  <c r="J139" i="8"/>
  <c r="L139" i="8" s="1"/>
  <c r="N139" i="8" s="1"/>
  <c r="J138" i="8"/>
  <c r="L138" i="8"/>
  <c r="N138" i="8" s="1"/>
  <c r="K138" i="8"/>
  <c r="M138" i="8" s="1"/>
  <c r="J137" i="8"/>
  <c r="L137" i="8"/>
  <c r="N137" i="8" s="1"/>
  <c r="K137" i="8"/>
  <c r="M137" i="8" s="1"/>
  <c r="J136" i="8"/>
  <c r="K136" i="8" s="1"/>
  <c r="M136" i="8" s="1"/>
  <c r="L136" i="8"/>
  <c r="N136" i="8" s="1"/>
  <c r="J135" i="8"/>
  <c r="L135" i="8" s="1"/>
  <c r="N135" i="8" s="1"/>
  <c r="J133" i="8"/>
  <c r="L133" i="8" s="1"/>
  <c r="N133" i="8" s="1"/>
  <c r="K133" i="8"/>
  <c r="M133" i="8" s="1"/>
  <c r="J132" i="8"/>
  <c r="L132" i="8"/>
  <c r="N132" i="8" s="1"/>
  <c r="K132" i="8"/>
  <c r="M132" i="8" s="1"/>
  <c r="J131" i="8"/>
  <c r="L131" i="8"/>
  <c r="N131" i="8" s="1"/>
  <c r="K131" i="8"/>
  <c r="M131" i="8" s="1"/>
  <c r="J130" i="8"/>
  <c r="L130" i="8" s="1"/>
  <c r="N130" i="8" s="1"/>
  <c r="J129" i="8"/>
  <c r="L129" i="8"/>
  <c r="N129" i="8" s="1"/>
  <c r="K129" i="8"/>
  <c r="M129" i="8" s="1"/>
  <c r="J128" i="8"/>
  <c r="L128" i="8"/>
  <c r="N128" i="8" s="1"/>
  <c r="K128" i="8"/>
  <c r="M128" i="8" s="1"/>
  <c r="J127" i="8"/>
  <c r="L127" i="8" s="1"/>
  <c r="N127" i="8" s="1"/>
  <c r="J126" i="8"/>
  <c r="L126" i="8" s="1"/>
  <c r="N126" i="8" s="1"/>
  <c r="J125" i="8"/>
  <c r="K125" i="8" s="1"/>
  <c r="M125" i="8" s="1"/>
  <c r="L125" i="8"/>
  <c r="N125" i="8" s="1"/>
  <c r="J123" i="8"/>
  <c r="L123" i="8" s="1"/>
  <c r="N123" i="8" s="1"/>
  <c r="J122" i="8"/>
  <c r="L122" i="8"/>
  <c r="N122" i="8" s="1"/>
  <c r="K122" i="8"/>
  <c r="M122" i="8" s="1"/>
  <c r="J121" i="8"/>
  <c r="L121" i="8" s="1"/>
  <c r="N121" i="8" s="1"/>
  <c r="J120" i="8"/>
  <c r="L120" i="8" s="1"/>
  <c r="N120" i="8" s="1"/>
  <c r="K120" i="8"/>
  <c r="M120" i="8" s="1"/>
  <c r="J119" i="8"/>
  <c r="L119" i="8" s="1"/>
  <c r="N119" i="8" s="1"/>
  <c r="K119" i="8"/>
  <c r="M119" i="8" s="1"/>
  <c r="J118" i="8"/>
  <c r="L118" i="8" s="1"/>
  <c r="N118" i="8" s="1"/>
  <c r="J117" i="8"/>
  <c r="L117" i="8" s="1"/>
  <c r="N117" i="8" s="1"/>
  <c r="J116" i="8"/>
  <c r="L116" i="8" s="1"/>
  <c r="N116" i="8" s="1"/>
  <c r="K116" i="8"/>
  <c r="M116" i="8" s="1"/>
  <c r="J115" i="8"/>
  <c r="L115" i="8" s="1"/>
  <c r="N115" i="8" s="1"/>
  <c r="K115" i="8"/>
  <c r="M115" i="8" s="1"/>
  <c r="J113" i="8"/>
  <c r="L113" i="8"/>
  <c r="N113" i="8" s="1"/>
  <c r="K113" i="8"/>
  <c r="M113" i="8" s="1"/>
  <c r="J112" i="8"/>
  <c r="L112" i="8" s="1"/>
  <c r="N112" i="8" s="1"/>
  <c r="J111" i="8"/>
  <c r="L111" i="8" s="1"/>
  <c r="N111" i="8" s="1"/>
  <c r="K111" i="8"/>
  <c r="M111" i="8" s="1"/>
  <c r="J110" i="8"/>
  <c r="L110" i="8"/>
  <c r="N110" i="8" s="1"/>
  <c r="K110" i="8"/>
  <c r="M110" i="8" s="1"/>
  <c r="J109" i="8"/>
  <c r="K109" i="8" s="1"/>
  <c r="M109" i="8" s="1"/>
  <c r="L109" i="8"/>
  <c r="N109" i="8" s="1"/>
  <c r="J108" i="8"/>
  <c r="L108" i="8" s="1"/>
  <c r="N108" i="8" s="1"/>
  <c r="J107" i="8"/>
  <c r="K107" i="8" s="1"/>
  <c r="M107" i="8" s="1"/>
  <c r="L107" i="8"/>
  <c r="N107" i="8" s="1"/>
  <c r="J106" i="8"/>
  <c r="L106" i="8" s="1"/>
  <c r="N106" i="8" s="1"/>
  <c r="K106" i="8"/>
  <c r="M106" i="8" s="1"/>
  <c r="J105" i="8"/>
  <c r="L105" i="8"/>
  <c r="N105" i="8" s="1"/>
  <c r="K105" i="8"/>
  <c r="M105" i="8" s="1"/>
  <c r="J104" i="8"/>
  <c r="L104" i="8" s="1"/>
  <c r="N104" i="8" s="1"/>
  <c r="J103" i="8"/>
  <c r="L103" i="8"/>
  <c r="N103" i="8" s="1"/>
  <c r="K103" i="8"/>
  <c r="M103" i="8" s="1"/>
  <c r="J102" i="8"/>
  <c r="L102" i="8" s="1"/>
  <c r="N102" i="8" s="1"/>
  <c r="J101" i="8"/>
  <c r="L101" i="8"/>
  <c r="N101" i="8" s="1"/>
  <c r="K101" i="8"/>
  <c r="M101" i="8" s="1"/>
  <c r="J100" i="8"/>
  <c r="L100" i="8" s="1"/>
  <c r="N100" i="8" s="1"/>
  <c r="J99" i="8"/>
  <c r="K99" i="8" s="1"/>
  <c r="M99" i="8" s="1"/>
  <c r="J98" i="8"/>
  <c r="L98" i="8" s="1"/>
  <c r="N98" i="8" s="1"/>
  <c r="K98" i="8"/>
  <c r="M98" i="8" s="1"/>
  <c r="J97" i="8"/>
  <c r="L97" i="8" s="1"/>
  <c r="N97" i="8" s="1"/>
  <c r="J96" i="8"/>
  <c r="L96" i="8" s="1"/>
  <c r="N96" i="8" s="1"/>
  <c r="J95" i="8"/>
  <c r="L95" i="8" s="1"/>
  <c r="N95" i="8" s="1"/>
  <c r="K95" i="8"/>
  <c r="M95" i="8" s="1"/>
  <c r="J94" i="8"/>
  <c r="L94" i="8" s="1"/>
  <c r="N94" i="8" s="1"/>
  <c r="J93" i="8"/>
  <c r="L93" i="8" s="1"/>
  <c r="N93" i="8" s="1"/>
  <c r="K93" i="8"/>
  <c r="M93" i="8" s="1"/>
  <c r="J92" i="8"/>
  <c r="L92" i="8" s="1"/>
  <c r="N92" i="8" s="1"/>
  <c r="J91" i="8"/>
  <c r="L91" i="8" s="1"/>
  <c r="N91" i="8" s="1"/>
  <c r="J90" i="8"/>
  <c r="L90" i="8" s="1"/>
  <c r="N90" i="8" s="1"/>
  <c r="K90" i="8"/>
  <c r="M90" i="8" s="1"/>
  <c r="J89" i="8"/>
  <c r="L89" i="8"/>
  <c r="N89" i="8" s="1"/>
  <c r="K89" i="8"/>
  <c r="M89" i="8" s="1"/>
  <c r="J88" i="8"/>
  <c r="L88" i="8" s="1"/>
  <c r="N88" i="8" s="1"/>
  <c r="J87" i="8"/>
  <c r="K87" i="8" s="1"/>
  <c r="M87" i="8" s="1"/>
  <c r="L87" i="8"/>
  <c r="N87" i="8" s="1"/>
  <c r="J86" i="8"/>
  <c r="L86" i="8" s="1"/>
  <c r="N86" i="8" s="1"/>
  <c r="K86" i="8"/>
  <c r="M86" i="8" s="1"/>
  <c r="J85" i="8"/>
  <c r="K85" i="8" s="1"/>
  <c r="M85" i="8" s="1"/>
  <c r="L85" i="8"/>
  <c r="N85" i="8" s="1"/>
  <c r="J84" i="8"/>
  <c r="L84" i="8" s="1"/>
  <c r="N84" i="8" s="1"/>
  <c r="J83" i="8"/>
  <c r="L83" i="8"/>
  <c r="N83" i="8" s="1"/>
  <c r="K83" i="8"/>
  <c r="M83" i="8" s="1"/>
  <c r="J82" i="8"/>
  <c r="K82" i="8" s="1"/>
  <c r="M82" i="8" s="1"/>
  <c r="L82" i="8"/>
  <c r="N82" i="8" s="1"/>
  <c r="J81" i="8"/>
  <c r="L81" i="8" s="1"/>
  <c r="N81" i="8" s="1"/>
  <c r="K81" i="8"/>
  <c r="M81" i="8" s="1"/>
  <c r="J80" i="8"/>
  <c r="L80" i="8" s="1"/>
  <c r="N80" i="8" s="1"/>
  <c r="J79" i="8"/>
  <c r="L79" i="8"/>
  <c r="N79" i="8" s="1"/>
  <c r="K79" i="8"/>
  <c r="M79" i="8" s="1"/>
  <c r="J78" i="8"/>
  <c r="L78" i="8" s="1"/>
  <c r="N78" i="8" s="1"/>
  <c r="K78" i="8"/>
  <c r="M78" i="8" s="1"/>
  <c r="J77" i="8"/>
  <c r="L77" i="8" s="1"/>
  <c r="N77" i="8" s="1"/>
  <c r="J76" i="8"/>
  <c r="L76" i="8" s="1"/>
  <c r="N76" i="8" s="1"/>
  <c r="J75" i="8"/>
  <c r="K75" i="8" s="1"/>
  <c r="M75" i="8" s="1"/>
  <c r="J74" i="8"/>
  <c r="L74" i="8" s="1"/>
  <c r="N74" i="8" s="1"/>
  <c r="J73" i="8"/>
  <c r="L73" i="8" s="1"/>
  <c r="N73" i="8" s="1"/>
  <c r="K73" i="8"/>
  <c r="M73" i="8" s="1"/>
  <c r="J72" i="8"/>
  <c r="L72" i="8" s="1"/>
  <c r="N72" i="8" s="1"/>
  <c r="J71" i="8"/>
  <c r="L71" i="8" s="1"/>
  <c r="N71" i="8" s="1"/>
  <c r="J70" i="8"/>
  <c r="L70" i="8" s="1"/>
  <c r="N70" i="8" s="1"/>
  <c r="J69" i="8"/>
  <c r="L69" i="8" s="1"/>
  <c r="N69" i="8" s="1"/>
  <c r="J68" i="8"/>
  <c r="L68" i="8" s="1"/>
  <c r="N68" i="8" s="1"/>
  <c r="J67" i="8"/>
  <c r="L67" i="8"/>
  <c r="N67" i="8" s="1"/>
  <c r="K67" i="8"/>
  <c r="M67" i="8" s="1"/>
  <c r="J66" i="8"/>
  <c r="L66" i="8" s="1"/>
  <c r="N66" i="8" s="1"/>
  <c r="J65" i="8"/>
  <c r="L65" i="8"/>
  <c r="N65" i="8" s="1"/>
  <c r="K65" i="8"/>
  <c r="M65" i="8" s="1"/>
  <c r="J64" i="8"/>
  <c r="L64" i="8" s="1"/>
  <c r="N64" i="8" s="1"/>
  <c r="J63" i="8"/>
  <c r="L63" i="8"/>
  <c r="N63" i="8" s="1"/>
  <c r="K63" i="8"/>
  <c r="M63" i="8" s="1"/>
  <c r="J62" i="8"/>
  <c r="K62" i="8" s="1"/>
  <c r="M62" i="8" s="1"/>
  <c r="L62" i="8"/>
  <c r="N62" i="8" s="1"/>
  <c r="J61" i="8"/>
  <c r="K61" i="8" s="1"/>
  <c r="M61" i="8" s="1"/>
  <c r="J60" i="8"/>
  <c r="L60" i="8" s="1"/>
  <c r="N60" i="8" s="1"/>
  <c r="J59" i="8"/>
  <c r="L59" i="8"/>
  <c r="N59" i="8" s="1"/>
  <c r="K59" i="8"/>
  <c r="M59" i="8" s="1"/>
  <c r="J58" i="8"/>
  <c r="L58" i="8"/>
  <c r="N58" i="8" s="1"/>
  <c r="K58" i="8"/>
  <c r="M58" i="8" s="1"/>
  <c r="J57" i="8"/>
  <c r="K57" i="8" s="1"/>
  <c r="M57" i="8" s="1"/>
  <c r="L57" i="8"/>
  <c r="N57" i="8" s="1"/>
  <c r="J56" i="8"/>
  <c r="L56" i="8" s="1"/>
  <c r="N56" i="8" s="1"/>
  <c r="J55" i="8"/>
  <c r="L55" i="8"/>
  <c r="N55" i="8" s="1"/>
  <c r="K55" i="8"/>
  <c r="M55" i="8" s="1"/>
  <c r="J54" i="8"/>
  <c r="L54" i="8" s="1"/>
  <c r="N54" i="8" s="1"/>
  <c r="J53" i="8"/>
  <c r="L53" i="8" s="1"/>
  <c r="N53" i="8" s="1"/>
  <c r="K53" i="8"/>
  <c r="M53" i="8" s="1"/>
  <c r="J52" i="8"/>
  <c r="L52" i="8" s="1"/>
  <c r="N52" i="8" s="1"/>
  <c r="J51" i="8"/>
  <c r="K51" i="8" s="1"/>
  <c r="M51" i="8" s="1"/>
  <c r="J50" i="8"/>
  <c r="L50" i="8"/>
  <c r="N50" i="8" s="1"/>
  <c r="K50" i="8"/>
  <c r="M50" i="8" s="1"/>
  <c r="J49" i="8"/>
  <c r="L49" i="8" s="1"/>
  <c r="N49" i="8" s="1"/>
  <c r="J48" i="8"/>
  <c r="L48" i="8" s="1"/>
  <c r="N48" i="8" s="1"/>
  <c r="J47" i="8"/>
  <c r="L47" i="8"/>
  <c r="N47" i="8" s="1"/>
  <c r="K47" i="8"/>
  <c r="M47" i="8" s="1"/>
  <c r="J46" i="8"/>
  <c r="L46" i="8" s="1"/>
  <c r="N46" i="8" s="1"/>
  <c r="J45" i="8"/>
  <c r="L45" i="8" s="1"/>
  <c r="N45" i="8" s="1"/>
  <c r="K45" i="8"/>
  <c r="M45" i="8" s="1"/>
  <c r="J44" i="8"/>
  <c r="L44" i="8" s="1"/>
  <c r="N44" i="8" s="1"/>
  <c r="J43" i="8"/>
  <c r="L43" i="8"/>
  <c r="N43" i="8" s="1"/>
  <c r="K43" i="8"/>
  <c r="M43" i="8" s="1"/>
  <c r="J42" i="8"/>
  <c r="K42" i="8" s="1"/>
  <c r="M42" i="8" s="1"/>
  <c r="L42" i="8"/>
  <c r="N42" i="8" s="1"/>
  <c r="J41" i="8"/>
  <c r="L41" i="8" s="1"/>
  <c r="N41" i="8" s="1"/>
  <c r="K41" i="8"/>
  <c r="M41" i="8" s="1"/>
  <c r="J39" i="8"/>
  <c r="L39" i="8" s="1"/>
  <c r="N39" i="8" s="1"/>
  <c r="J38" i="8"/>
  <c r="L38" i="8" s="1"/>
  <c r="N38" i="8" s="1"/>
  <c r="J37" i="8"/>
  <c r="L37" i="8" s="1"/>
  <c r="N37" i="8" s="1"/>
  <c r="K37" i="8"/>
  <c r="M37" i="8" s="1"/>
  <c r="J36" i="8"/>
  <c r="L36" i="8" s="1"/>
  <c r="N36" i="8" s="1"/>
  <c r="J35" i="8"/>
  <c r="L35" i="8" s="1"/>
  <c r="N35" i="8" s="1"/>
  <c r="J34" i="8"/>
  <c r="L34" i="8" s="1"/>
  <c r="N34" i="8" s="1"/>
  <c r="K34" i="8"/>
  <c r="M34" i="8" s="1"/>
  <c r="J32" i="8"/>
  <c r="L32" i="8" s="1"/>
  <c r="N32" i="8" s="1"/>
  <c r="K32" i="8"/>
  <c r="M32" i="8" s="1"/>
  <c r="J31" i="8"/>
  <c r="L31" i="8"/>
  <c r="N31" i="8" s="1"/>
  <c r="K31" i="8"/>
  <c r="M31" i="8" s="1"/>
  <c r="J30" i="8"/>
  <c r="L30" i="8" s="1"/>
  <c r="N30" i="8" s="1"/>
  <c r="J29" i="8"/>
  <c r="L29" i="8" s="1"/>
  <c r="N29" i="8" s="1"/>
  <c r="K29" i="8"/>
  <c r="M29" i="8" s="1"/>
  <c r="J28" i="8"/>
  <c r="L28" i="8"/>
  <c r="N28" i="8" s="1"/>
  <c r="K28" i="8"/>
  <c r="M28" i="8" s="1"/>
  <c r="J27" i="8"/>
  <c r="L27" i="8"/>
  <c r="N27" i="8" s="1"/>
  <c r="K27" i="8"/>
  <c r="M27" i="8" s="1"/>
  <c r="J26" i="8"/>
  <c r="L26" i="8" s="1"/>
  <c r="N26" i="8" s="1"/>
  <c r="J25" i="8"/>
  <c r="L25" i="8" s="1"/>
  <c r="N25" i="8" s="1"/>
  <c r="J24" i="8"/>
  <c r="L24" i="8"/>
  <c r="N24" i="8" s="1"/>
  <c r="K24" i="8"/>
  <c r="M24" i="8" s="1"/>
  <c r="J23" i="8"/>
  <c r="L23" i="8" s="1"/>
  <c r="N23" i="8" s="1"/>
  <c r="J22" i="8"/>
  <c r="L22" i="8" s="1"/>
  <c r="N22" i="8" s="1"/>
  <c r="J21" i="8"/>
  <c r="J20" i="8"/>
  <c r="K20" i="8" s="1"/>
  <c r="M20" i="8" s="1"/>
  <c r="L20" i="8"/>
  <c r="N20" i="8" s="1"/>
  <c r="J19" i="8"/>
  <c r="J18" i="8"/>
  <c r="L18" i="8" s="1"/>
  <c r="N18" i="8" s="1"/>
  <c r="J17" i="8"/>
  <c r="K17" i="8" s="1"/>
  <c r="M17" i="8" s="1"/>
  <c r="J16" i="8"/>
  <c r="L16" i="8" s="1"/>
  <c r="N16" i="8" s="1"/>
  <c r="N738" i="6"/>
  <c r="M738" i="6"/>
  <c r="J737" i="6"/>
  <c r="L737" i="6" s="1"/>
  <c r="N737" i="6" s="1"/>
  <c r="K737" i="6"/>
  <c r="M737" i="6" s="1"/>
  <c r="J736" i="6"/>
  <c r="L736" i="6"/>
  <c r="N736" i="6" s="1"/>
  <c r="K736" i="6"/>
  <c r="M736" i="6" s="1"/>
  <c r="J735" i="6"/>
  <c r="L735" i="6" s="1"/>
  <c r="N735" i="6" s="1"/>
  <c r="K735" i="6"/>
  <c r="M735" i="6" s="1"/>
  <c r="J734" i="6"/>
  <c r="L734" i="6" s="1"/>
  <c r="N734" i="6" s="1"/>
  <c r="K734" i="6"/>
  <c r="M734" i="6" s="1"/>
  <c r="J733" i="6"/>
  <c r="L733" i="6" s="1"/>
  <c r="N733" i="6" s="1"/>
  <c r="J732" i="6"/>
  <c r="L732" i="6"/>
  <c r="N732" i="6" s="1"/>
  <c r="K732" i="6"/>
  <c r="M732" i="6" s="1"/>
  <c r="J731" i="6"/>
  <c r="L731" i="6" s="1"/>
  <c r="N731" i="6" s="1"/>
  <c r="K731" i="6"/>
  <c r="M731" i="6" s="1"/>
  <c r="J730" i="6"/>
  <c r="L730" i="6" s="1"/>
  <c r="N730" i="6" s="1"/>
  <c r="K730" i="6"/>
  <c r="M730" i="6" s="1"/>
  <c r="J729" i="6"/>
  <c r="L729" i="6" s="1"/>
  <c r="N729" i="6" s="1"/>
  <c r="J728" i="6"/>
  <c r="L728" i="6"/>
  <c r="N728" i="6" s="1"/>
  <c r="K728" i="6"/>
  <c r="M728" i="6" s="1"/>
  <c r="J727" i="6"/>
  <c r="L727" i="6" s="1"/>
  <c r="N727" i="6" s="1"/>
  <c r="K727" i="6"/>
  <c r="M727" i="6" s="1"/>
  <c r="J726" i="6"/>
  <c r="L726" i="6" s="1"/>
  <c r="N726" i="6" s="1"/>
  <c r="K726" i="6"/>
  <c r="M726" i="6" s="1"/>
  <c r="J725" i="6"/>
  <c r="K725" i="6" s="1"/>
  <c r="M725" i="6" s="1"/>
  <c r="L725" i="6"/>
  <c r="N725" i="6" s="1"/>
  <c r="J724" i="6"/>
  <c r="L724" i="6"/>
  <c r="N724" i="6" s="1"/>
  <c r="K724" i="6"/>
  <c r="M724" i="6" s="1"/>
  <c r="J723" i="6"/>
  <c r="L723" i="6" s="1"/>
  <c r="N723" i="6" s="1"/>
  <c r="K723" i="6"/>
  <c r="M723" i="6" s="1"/>
  <c r="J722" i="6"/>
  <c r="L722" i="6" s="1"/>
  <c r="N722" i="6" s="1"/>
  <c r="K722" i="6"/>
  <c r="M722" i="6" s="1"/>
  <c r="J721" i="6"/>
  <c r="L721" i="6" s="1"/>
  <c r="N721" i="6" s="1"/>
  <c r="K721" i="6"/>
  <c r="M721" i="6" s="1"/>
  <c r="J720" i="6"/>
  <c r="L720" i="6"/>
  <c r="N720" i="6" s="1"/>
  <c r="K720" i="6"/>
  <c r="M720" i="6" s="1"/>
  <c r="J719" i="6"/>
  <c r="L719" i="6" s="1"/>
  <c r="N719" i="6" s="1"/>
  <c r="K719" i="6"/>
  <c r="M719" i="6" s="1"/>
  <c r="J718" i="6"/>
  <c r="L718" i="6" s="1"/>
  <c r="N718" i="6" s="1"/>
  <c r="K718" i="6"/>
  <c r="M718" i="6" s="1"/>
  <c r="J717" i="6"/>
  <c r="L717" i="6"/>
  <c r="N717" i="6" s="1"/>
  <c r="K717" i="6"/>
  <c r="M717" i="6" s="1"/>
  <c r="J716" i="6"/>
  <c r="L716" i="6"/>
  <c r="N716" i="6" s="1"/>
  <c r="K716" i="6"/>
  <c r="M716" i="6" s="1"/>
  <c r="J714" i="6"/>
  <c r="L714" i="6" s="1"/>
  <c r="N714" i="6" s="1"/>
  <c r="K714" i="6"/>
  <c r="M714" i="6" s="1"/>
  <c r="J713" i="6"/>
  <c r="L713" i="6" s="1"/>
  <c r="N713" i="6" s="1"/>
  <c r="K713" i="6"/>
  <c r="M713" i="6" s="1"/>
  <c r="J712" i="6"/>
  <c r="L712" i="6" s="1"/>
  <c r="N712" i="6" s="1"/>
  <c r="K712" i="6"/>
  <c r="M712" i="6" s="1"/>
  <c r="J711" i="6"/>
  <c r="K711" i="6" s="1"/>
  <c r="M711" i="6" s="1"/>
  <c r="L711" i="6"/>
  <c r="N711" i="6" s="1"/>
  <c r="J710" i="6"/>
  <c r="L710" i="6" s="1"/>
  <c r="N710" i="6" s="1"/>
  <c r="K710" i="6"/>
  <c r="M710" i="6" s="1"/>
  <c r="J709" i="6"/>
  <c r="L709" i="6" s="1"/>
  <c r="N709" i="6" s="1"/>
  <c r="K709" i="6"/>
  <c r="M709" i="6" s="1"/>
  <c r="J708" i="6"/>
  <c r="L708" i="6"/>
  <c r="N708" i="6" s="1"/>
  <c r="K708" i="6"/>
  <c r="M708" i="6" s="1"/>
  <c r="J707" i="6"/>
  <c r="L707" i="6"/>
  <c r="N707" i="6" s="1"/>
  <c r="K707" i="6"/>
  <c r="M707" i="6" s="1"/>
  <c r="J706" i="6"/>
  <c r="L706" i="6" s="1"/>
  <c r="N706" i="6" s="1"/>
  <c r="K706" i="6"/>
  <c r="M706" i="6" s="1"/>
  <c r="J705" i="6"/>
  <c r="L705" i="6" s="1"/>
  <c r="N705" i="6" s="1"/>
  <c r="K705" i="6"/>
  <c r="M705" i="6" s="1"/>
  <c r="J704" i="6"/>
  <c r="L704" i="6" s="1"/>
  <c r="N704" i="6" s="1"/>
  <c r="J703" i="6"/>
  <c r="K703" i="6" s="1"/>
  <c r="M703" i="6" s="1"/>
  <c r="J702" i="6"/>
  <c r="L702" i="6" s="1"/>
  <c r="N702" i="6" s="1"/>
  <c r="K702" i="6"/>
  <c r="M702" i="6" s="1"/>
  <c r="J701" i="6"/>
  <c r="L701" i="6" s="1"/>
  <c r="N701" i="6" s="1"/>
  <c r="K701" i="6"/>
  <c r="M701" i="6" s="1"/>
  <c r="J700" i="6"/>
  <c r="L700" i="6" s="1"/>
  <c r="N700" i="6" s="1"/>
  <c r="J699" i="6"/>
  <c r="L699" i="6" s="1"/>
  <c r="N699" i="6" s="1"/>
  <c r="K699" i="6"/>
  <c r="M699" i="6" s="1"/>
  <c r="J698" i="6"/>
  <c r="L698" i="6" s="1"/>
  <c r="N698" i="6" s="1"/>
  <c r="K698" i="6"/>
  <c r="M698" i="6" s="1"/>
  <c r="J697" i="6"/>
  <c r="L697" i="6" s="1"/>
  <c r="N697" i="6" s="1"/>
  <c r="K697" i="6"/>
  <c r="M697" i="6" s="1"/>
  <c r="J696" i="6"/>
  <c r="L696" i="6" s="1"/>
  <c r="N696" i="6" s="1"/>
  <c r="K696" i="6"/>
  <c r="M696" i="6" s="1"/>
  <c r="J695" i="6"/>
  <c r="L695" i="6" s="1"/>
  <c r="N695" i="6" s="1"/>
  <c r="J694" i="6"/>
  <c r="L694" i="6" s="1"/>
  <c r="N694" i="6" s="1"/>
  <c r="K694" i="6"/>
  <c r="M694" i="6" s="1"/>
  <c r="J693" i="6"/>
  <c r="L693" i="6" s="1"/>
  <c r="N693" i="6" s="1"/>
  <c r="K693" i="6"/>
  <c r="M693" i="6" s="1"/>
  <c r="J691" i="6"/>
  <c r="L691" i="6"/>
  <c r="N691" i="6" s="1"/>
  <c r="K691" i="6"/>
  <c r="M691" i="6" s="1"/>
  <c r="J690" i="6"/>
  <c r="L690" i="6"/>
  <c r="N690" i="6" s="1"/>
  <c r="K690" i="6"/>
  <c r="M690" i="6" s="1"/>
  <c r="J689" i="6"/>
  <c r="L689" i="6" s="1"/>
  <c r="N689" i="6" s="1"/>
  <c r="K689" i="6"/>
  <c r="M689" i="6" s="1"/>
  <c r="J688" i="6"/>
  <c r="L688" i="6" s="1"/>
  <c r="N688" i="6" s="1"/>
  <c r="K688" i="6"/>
  <c r="M688" i="6" s="1"/>
  <c r="J687" i="6"/>
  <c r="L687" i="6" s="1"/>
  <c r="N687" i="6" s="1"/>
  <c r="K687" i="6"/>
  <c r="M687" i="6" s="1"/>
  <c r="J686" i="6"/>
  <c r="K686" i="6" s="1"/>
  <c r="M686" i="6" s="1"/>
  <c r="L686" i="6"/>
  <c r="N686" i="6" s="1"/>
  <c r="J685" i="6"/>
  <c r="L685" i="6" s="1"/>
  <c r="N685" i="6" s="1"/>
  <c r="K685" i="6"/>
  <c r="M685" i="6" s="1"/>
  <c r="J683" i="6"/>
  <c r="L683" i="6" s="1"/>
  <c r="N683" i="6" s="1"/>
  <c r="K683" i="6"/>
  <c r="M683" i="6" s="1"/>
  <c r="J682" i="6"/>
  <c r="L682" i="6"/>
  <c r="N682" i="6" s="1"/>
  <c r="K682" i="6"/>
  <c r="M682" i="6" s="1"/>
  <c r="J681" i="6"/>
  <c r="L681" i="6"/>
  <c r="N681" i="6" s="1"/>
  <c r="K681" i="6"/>
  <c r="M681" i="6" s="1"/>
  <c r="J680" i="6"/>
  <c r="L680" i="6" s="1"/>
  <c r="N680" i="6" s="1"/>
  <c r="K680" i="6"/>
  <c r="M680" i="6" s="1"/>
  <c r="J679" i="6"/>
  <c r="L679" i="6" s="1"/>
  <c r="N679" i="6" s="1"/>
  <c r="K679" i="6"/>
  <c r="M679" i="6" s="1"/>
  <c r="J678" i="6"/>
  <c r="L678" i="6" s="1"/>
  <c r="N678" i="6" s="1"/>
  <c r="J677" i="6"/>
  <c r="K677" i="6" s="1"/>
  <c r="M677" i="6" s="1"/>
  <c r="J676" i="6"/>
  <c r="L676" i="6" s="1"/>
  <c r="N676" i="6" s="1"/>
  <c r="K676" i="6"/>
  <c r="M676" i="6" s="1"/>
  <c r="J675" i="6"/>
  <c r="L675" i="6" s="1"/>
  <c r="N675" i="6" s="1"/>
  <c r="K675" i="6"/>
  <c r="M675" i="6" s="1"/>
  <c r="J673" i="6"/>
  <c r="L673" i="6" s="1"/>
  <c r="N673" i="6" s="1"/>
  <c r="J672" i="6"/>
  <c r="L672" i="6" s="1"/>
  <c r="N672" i="6" s="1"/>
  <c r="K672" i="6"/>
  <c r="M672" i="6" s="1"/>
  <c r="J671" i="6"/>
  <c r="L671" i="6" s="1"/>
  <c r="N671" i="6" s="1"/>
  <c r="K671" i="6"/>
  <c r="M671" i="6" s="1"/>
  <c r="J670" i="6"/>
  <c r="L670" i="6" s="1"/>
  <c r="N670" i="6" s="1"/>
  <c r="K670" i="6"/>
  <c r="M670" i="6" s="1"/>
  <c r="J669" i="6"/>
  <c r="L669" i="6" s="1"/>
  <c r="N669" i="6" s="1"/>
  <c r="J668" i="6"/>
  <c r="L668" i="6" s="1"/>
  <c r="N668" i="6" s="1"/>
  <c r="J667" i="6"/>
  <c r="L667" i="6" s="1"/>
  <c r="N667" i="6" s="1"/>
  <c r="K667" i="6"/>
  <c r="M667" i="6" s="1"/>
  <c r="J666" i="6"/>
  <c r="L666" i="6" s="1"/>
  <c r="N666" i="6" s="1"/>
  <c r="K666" i="6"/>
  <c r="M666" i="6" s="1"/>
  <c r="J665" i="6"/>
  <c r="L665" i="6"/>
  <c r="N665" i="6" s="1"/>
  <c r="K665" i="6"/>
  <c r="M665" i="6" s="1"/>
  <c r="J663" i="6"/>
  <c r="L663" i="6"/>
  <c r="N663" i="6" s="1"/>
  <c r="K663" i="6"/>
  <c r="M663" i="6" s="1"/>
  <c r="J662" i="6"/>
  <c r="L662" i="6" s="1"/>
  <c r="N662" i="6" s="1"/>
  <c r="K662" i="6"/>
  <c r="M662" i="6" s="1"/>
  <c r="J661" i="6"/>
  <c r="L661" i="6" s="1"/>
  <c r="N661" i="6" s="1"/>
  <c r="K661" i="6"/>
  <c r="M661" i="6" s="1"/>
  <c r="J660" i="6"/>
  <c r="L660" i="6" s="1"/>
  <c r="N660" i="6" s="1"/>
  <c r="K660" i="6"/>
  <c r="M660" i="6" s="1"/>
  <c r="J659" i="6"/>
  <c r="K659" i="6" s="1"/>
  <c r="M659" i="6" s="1"/>
  <c r="L659" i="6"/>
  <c r="N659" i="6" s="1"/>
  <c r="J658" i="6"/>
  <c r="L658" i="6" s="1"/>
  <c r="N658" i="6" s="1"/>
  <c r="K658" i="6"/>
  <c r="M658" i="6" s="1"/>
  <c r="J657" i="6"/>
  <c r="L657" i="6" s="1"/>
  <c r="N657" i="6" s="1"/>
  <c r="K657" i="6"/>
  <c r="M657" i="6" s="1"/>
  <c r="J656" i="6"/>
  <c r="L656" i="6"/>
  <c r="N656" i="6" s="1"/>
  <c r="K656" i="6"/>
  <c r="M656" i="6" s="1"/>
  <c r="J655" i="6"/>
  <c r="L655" i="6"/>
  <c r="N655" i="6" s="1"/>
  <c r="K655" i="6"/>
  <c r="M655" i="6" s="1"/>
  <c r="J654" i="6"/>
  <c r="L654" i="6" s="1"/>
  <c r="N654" i="6" s="1"/>
  <c r="K654" i="6"/>
  <c r="M654" i="6" s="1"/>
  <c r="J653" i="6"/>
  <c r="L653" i="6" s="1"/>
  <c r="N653" i="6" s="1"/>
  <c r="K653" i="6"/>
  <c r="M653" i="6" s="1"/>
  <c r="J652" i="6"/>
  <c r="L652" i="6" s="1"/>
  <c r="N652" i="6" s="1"/>
  <c r="J651" i="6"/>
  <c r="K651" i="6" s="1"/>
  <c r="M651" i="6" s="1"/>
  <c r="J650" i="6"/>
  <c r="L650" i="6" s="1"/>
  <c r="N650" i="6" s="1"/>
  <c r="K650" i="6"/>
  <c r="M650" i="6" s="1"/>
  <c r="J649" i="6"/>
  <c r="L649" i="6" s="1"/>
  <c r="N649" i="6" s="1"/>
  <c r="K649" i="6"/>
  <c r="M649" i="6" s="1"/>
  <c r="J648" i="6"/>
  <c r="L648" i="6" s="1"/>
  <c r="N648" i="6" s="1"/>
  <c r="J647" i="6"/>
  <c r="L647" i="6" s="1"/>
  <c r="N647" i="6" s="1"/>
  <c r="K647" i="6"/>
  <c r="M647" i="6" s="1"/>
  <c r="J646" i="6"/>
  <c r="L646" i="6" s="1"/>
  <c r="N646" i="6" s="1"/>
  <c r="K646" i="6"/>
  <c r="M646" i="6" s="1"/>
  <c r="J645" i="6"/>
  <c r="L645" i="6" s="1"/>
  <c r="N645" i="6" s="1"/>
  <c r="K645" i="6"/>
  <c r="M645" i="6" s="1"/>
  <c r="J644" i="6"/>
  <c r="L644" i="6" s="1"/>
  <c r="N644" i="6" s="1"/>
  <c r="J642" i="6"/>
  <c r="L642" i="6" s="1"/>
  <c r="N642" i="6" s="1"/>
  <c r="J641" i="6"/>
  <c r="L641" i="6" s="1"/>
  <c r="N641" i="6" s="1"/>
  <c r="K641" i="6"/>
  <c r="M641" i="6" s="1"/>
  <c r="J640" i="6"/>
  <c r="L640" i="6" s="1"/>
  <c r="N640" i="6" s="1"/>
  <c r="K640" i="6"/>
  <c r="M640" i="6" s="1"/>
  <c r="J639" i="6"/>
  <c r="L639" i="6"/>
  <c r="N639" i="6" s="1"/>
  <c r="K639" i="6"/>
  <c r="M639" i="6" s="1"/>
  <c r="J637" i="6"/>
  <c r="L637" i="6"/>
  <c r="N637" i="6" s="1"/>
  <c r="K637" i="6"/>
  <c r="M637" i="6" s="1"/>
  <c r="J636" i="6"/>
  <c r="L636" i="6" s="1"/>
  <c r="N636" i="6" s="1"/>
  <c r="K636" i="6"/>
  <c r="M636" i="6" s="1"/>
  <c r="J635" i="6"/>
  <c r="L635" i="6" s="1"/>
  <c r="N635" i="6" s="1"/>
  <c r="K635" i="6"/>
  <c r="M635" i="6" s="1"/>
  <c r="J634" i="6"/>
  <c r="L634" i="6" s="1"/>
  <c r="N634" i="6" s="1"/>
  <c r="K634" i="6"/>
  <c r="M634" i="6" s="1"/>
  <c r="J633" i="6"/>
  <c r="K633" i="6" s="1"/>
  <c r="M633" i="6" s="1"/>
  <c r="L633" i="6"/>
  <c r="N633" i="6" s="1"/>
  <c r="J632" i="6"/>
  <c r="L632" i="6" s="1"/>
  <c r="N632" i="6" s="1"/>
  <c r="K632" i="6"/>
  <c r="M632" i="6" s="1"/>
  <c r="J631" i="6"/>
  <c r="L631" i="6" s="1"/>
  <c r="N631" i="6" s="1"/>
  <c r="K631" i="6"/>
  <c r="M631" i="6" s="1"/>
  <c r="J630" i="6"/>
  <c r="L630" i="6"/>
  <c r="N630" i="6" s="1"/>
  <c r="K630" i="6"/>
  <c r="M630" i="6" s="1"/>
  <c r="J629" i="6"/>
  <c r="L629" i="6"/>
  <c r="N629" i="6" s="1"/>
  <c r="K629" i="6"/>
  <c r="M629" i="6" s="1"/>
  <c r="J628" i="6"/>
  <c r="L628" i="6" s="1"/>
  <c r="N628" i="6" s="1"/>
  <c r="K628" i="6"/>
  <c r="M628" i="6" s="1"/>
  <c r="J627" i="6"/>
  <c r="L627" i="6" s="1"/>
  <c r="N627" i="6" s="1"/>
  <c r="K627" i="6"/>
  <c r="M627" i="6" s="1"/>
  <c r="J626" i="6"/>
  <c r="L626" i="6" s="1"/>
  <c r="N626" i="6" s="1"/>
  <c r="J623" i="6"/>
  <c r="K623" i="6" s="1"/>
  <c r="M623" i="6" s="1"/>
  <c r="J622" i="6"/>
  <c r="L622" i="6" s="1"/>
  <c r="N622" i="6" s="1"/>
  <c r="K622" i="6"/>
  <c r="M622" i="6" s="1"/>
  <c r="J621" i="6"/>
  <c r="L621" i="6" s="1"/>
  <c r="N621" i="6" s="1"/>
  <c r="K621" i="6"/>
  <c r="M621" i="6" s="1"/>
  <c r="J620" i="6"/>
  <c r="L620" i="6" s="1"/>
  <c r="N620" i="6" s="1"/>
  <c r="J619" i="6"/>
  <c r="L619" i="6" s="1"/>
  <c r="N619" i="6" s="1"/>
  <c r="K619" i="6"/>
  <c r="M619" i="6" s="1"/>
  <c r="J618" i="6"/>
  <c r="L618" i="6" s="1"/>
  <c r="N618" i="6" s="1"/>
  <c r="K618" i="6"/>
  <c r="M618" i="6" s="1"/>
  <c r="J617" i="6"/>
  <c r="L617" i="6" s="1"/>
  <c r="N617" i="6" s="1"/>
  <c r="K617" i="6"/>
  <c r="M617" i="6" s="1"/>
  <c r="J616" i="6"/>
  <c r="L616" i="6" s="1"/>
  <c r="N616" i="6" s="1"/>
  <c r="J615" i="6"/>
  <c r="L615" i="6" s="1"/>
  <c r="N615" i="6" s="1"/>
  <c r="J614" i="6"/>
  <c r="L614" i="6" s="1"/>
  <c r="N614" i="6" s="1"/>
  <c r="K614" i="6"/>
  <c r="M614" i="6" s="1"/>
  <c r="J613" i="6"/>
  <c r="L613" i="6" s="1"/>
  <c r="N613" i="6" s="1"/>
  <c r="K613" i="6"/>
  <c r="M613" i="6" s="1"/>
  <c r="J612" i="6"/>
  <c r="L612" i="6"/>
  <c r="N612" i="6" s="1"/>
  <c r="K612" i="6"/>
  <c r="M612" i="6" s="1"/>
  <c r="J611" i="6"/>
  <c r="L611" i="6"/>
  <c r="N611" i="6" s="1"/>
  <c r="K611" i="6"/>
  <c r="M611" i="6" s="1"/>
  <c r="J610" i="6"/>
  <c r="L610" i="6" s="1"/>
  <c r="N610" i="6" s="1"/>
  <c r="K610" i="6"/>
  <c r="M610" i="6" s="1"/>
  <c r="J609" i="6"/>
  <c r="L609" i="6" s="1"/>
  <c r="N609" i="6" s="1"/>
  <c r="K609" i="6"/>
  <c r="M609" i="6" s="1"/>
  <c r="J608" i="6"/>
  <c r="L608" i="6" s="1"/>
  <c r="N608" i="6" s="1"/>
  <c r="K608" i="6"/>
  <c r="M608" i="6" s="1"/>
  <c r="J607" i="6"/>
  <c r="K607" i="6" s="1"/>
  <c r="M607" i="6" s="1"/>
  <c r="L607" i="6"/>
  <c r="N607" i="6" s="1"/>
  <c r="J606" i="6"/>
  <c r="L606" i="6" s="1"/>
  <c r="N606" i="6" s="1"/>
  <c r="K606" i="6"/>
  <c r="M606" i="6" s="1"/>
  <c r="J604" i="6"/>
  <c r="L604" i="6" s="1"/>
  <c r="N604" i="6" s="1"/>
  <c r="K604" i="6"/>
  <c r="M604" i="6" s="1"/>
  <c r="J603" i="6"/>
  <c r="L603" i="6"/>
  <c r="N603" i="6" s="1"/>
  <c r="K603" i="6"/>
  <c r="M603" i="6" s="1"/>
  <c r="J602" i="6"/>
  <c r="L602" i="6"/>
  <c r="N602" i="6" s="1"/>
  <c r="K602" i="6"/>
  <c r="M602" i="6" s="1"/>
  <c r="J601" i="6"/>
  <c r="L601" i="6" s="1"/>
  <c r="N601" i="6" s="1"/>
  <c r="K601" i="6"/>
  <c r="M601" i="6" s="1"/>
  <c r="J600" i="6"/>
  <c r="L600" i="6" s="1"/>
  <c r="N600" i="6" s="1"/>
  <c r="K600" i="6"/>
  <c r="M600" i="6" s="1"/>
  <c r="J599" i="6"/>
  <c r="L599" i="6" s="1"/>
  <c r="N599" i="6" s="1"/>
  <c r="J598" i="6"/>
  <c r="K598" i="6" s="1"/>
  <c r="M598" i="6" s="1"/>
  <c r="J597" i="6"/>
  <c r="L597" i="6" s="1"/>
  <c r="N597" i="6" s="1"/>
  <c r="K597" i="6"/>
  <c r="M597" i="6" s="1"/>
  <c r="J596" i="6"/>
  <c r="L596" i="6" s="1"/>
  <c r="N596" i="6" s="1"/>
  <c r="K596" i="6"/>
  <c r="M596" i="6" s="1"/>
  <c r="J595" i="6"/>
  <c r="L595" i="6" s="1"/>
  <c r="N595" i="6" s="1"/>
  <c r="J594" i="6"/>
  <c r="L594" i="6" s="1"/>
  <c r="N594" i="6" s="1"/>
  <c r="K594" i="6"/>
  <c r="M594" i="6" s="1"/>
  <c r="J593" i="6"/>
  <c r="L593" i="6" s="1"/>
  <c r="N593" i="6" s="1"/>
  <c r="K593" i="6"/>
  <c r="M593" i="6" s="1"/>
  <c r="J592" i="6"/>
  <c r="L592" i="6" s="1"/>
  <c r="N592" i="6" s="1"/>
  <c r="K592" i="6"/>
  <c r="M592" i="6" s="1"/>
  <c r="J591" i="6"/>
  <c r="L591" i="6" s="1"/>
  <c r="N591" i="6" s="1"/>
  <c r="J590" i="6"/>
  <c r="L590" i="6" s="1"/>
  <c r="N590" i="6" s="1"/>
  <c r="J589" i="6"/>
  <c r="L589" i="6" s="1"/>
  <c r="N589" i="6" s="1"/>
  <c r="K589" i="6"/>
  <c r="M589" i="6" s="1"/>
  <c r="J588" i="6"/>
  <c r="L588" i="6" s="1"/>
  <c r="N588" i="6" s="1"/>
  <c r="K588" i="6"/>
  <c r="M588" i="6" s="1"/>
  <c r="J587" i="6"/>
  <c r="L587" i="6"/>
  <c r="N587" i="6" s="1"/>
  <c r="K587" i="6"/>
  <c r="M587" i="6" s="1"/>
  <c r="J586" i="6"/>
  <c r="L586" i="6"/>
  <c r="N586" i="6" s="1"/>
  <c r="K586" i="6"/>
  <c r="M586" i="6" s="1"/>
  <c r="J585" i="6"/>
  <c r="L585" i="6" s="1"/>
  <c r="N585" i="6" s="1"/>
  <c r="K585" i="6"/>
  <c r="M585" i="6" s="1"/>
  <c r="J584" i="6"/>
  <c r="L584" i="6" s="1"/>
  <c r="N584" i="6" s="1"/>
  <c r="K584" i="6"/>
  <c r="M584" i="6" s="1"/>
  <c r="J583" i="6"/>
  <c r="L583" i="6" s="1"/>
  <c r="N583" i="6" s="1"/>
  <c r="K583" i="6"/>
  <c r="M583" i="6" s="1"/>
  <c r="J582" i="6"/>
  <c r="K582" i="6" s="1"/>
  <c r="M582" i="6" s="1"/>
  <c r="L582" i="6"/>
  <c r="N582" i="6" s="1"/>
  <c r="J580" i="6"/>
  <c r="L580" i="6" s="1"/>
  <c r="N580" i="6" s="1"/>
  <c r="K580" i="6"/>
  <c r="M580" i="6" s="1"/>
  <c r="J579" i="6"/>
  <c r="L579" i="6" s="1"/>
  <c r="N579" i="6" s="1"/>
  <c r="K579" i="6"/>
  <c r="M579" i="6" s="1"/>
  <c r="J578" i="6"/>
  <c r="L578" i="6"/>
  <c r="N578" i="6" s="1"/>
  <c r="K578" i="6"/>
  <c r="M578" i="6" s="1"/>
  <c r="J577" i="6"/>
  <c r="L577" i="6"/>
  <c r="N577" i="6" s="1"/>
  <c r="K577" i="6"/>
  <c r="M577" i="6" s="1"/>
  <c r="J576" i="6"/>
  <c r="L576" i="6" s="1"/>
  <c r="N576" i="6" s="1"/>
  <c r="K576" i="6"/>
  <c r="M576" i="6" s="1"/>
  <c r="J575" i="6"/>
  <c r="L575" i="6" s="1"/>
  <c r="N575" i="6" s="1"/>
  <c r="K575" i="6"/>
  <c r="M575" i="6" s="1"/>
  <c r="J574" i="6"/>
  <c r="L574" i="6" s="1"/>
  <c r="N574" i="6" s="1"/>
  <c r="J573" i="6"/>
  <c r="J572" i="6"/>
  <c r="L572" i="6" s="1"/>
  <c r="N572" i="6" s="1"/>
  <c r="K572" i="6"/>
  <c r="M572" i="6" s="1"/>
  <c r="J571" i="6"/>
  <c r="L571" i="6" s="1"/>
  <c r="N571" i="6" s="1"/>
  <c r="K571" i="6"/>
  <c r="M571" i="6" s="1"/>
  <c r="J570" i="6"/>
  <c r="L570" i="6" s="1"/>
  <c r="N570" i="6" s="1"/>
  <c r="J569" i="6"/>
  <c r="L569" i="6" s="1"/>
  <c r="N569" i="6" s="1"/>
  <c r="K569" i="6"/>
  <c r="M569" i="6" s="1"/>
  <c r="J568" i="6"/>
  <c r="L568" i="6" s="1"/>
  <c r="N568" i="6" s="1"/>
  <c r="K568" i="6"/>
  <c r="M568" i="6" s="1"/>
  <c r="J567" i="6"/>
  <c r="L567" i="6" s="1"/>
  <c r="N567" i="6" s="1"/>
  <c r="K567" i="6"/>
  <c r="M567" i="6" s="1"/>
  <c r="J566" i="6"/>
  <c r="L566" i="6" s="1"/>
  <c r="N566" i="6" s="1"/>
  <c r="J565" i="6"/>
  <c r="L565" i="6" s="1"/>
  <c r="N565" i="6" s="1"/>
  <c r="J564" i="6"/>
  <c r="L564" i="6" s="1"/>
  <c r="N564" i="6" s="1"/>
  <c r="K564" i="6"/>
  <c r="M564" i="6" s="1"/>
  <c r="J563" i="6"/>
  <c r="L563" i="6" s="1"/>
  <c r="N563" i="6" s="1"/>
  <c r="K563" i="6"/>
  <c r="M563" i="6" s="1"/>
  <c r="J562" i="6"/>
  <c r="L562" i="6"/>
  <c r="N562" i="6" s="1"/>
  <c r="K562" i="6"/>
  <c r="M562" i="6" s="1"/>
  <c r="J561" i="6"/>
  <c r="L561" i="6"/>
  <c r="N561" i="6" s="1"/>
  <c r="K561" i="6"/>
  <c r="M561" i="6" s="1"/>
  <c r="J560" i="6"/>
  <c r="L560" i="6" s="1"/>
  <c r="N560" i="6" s="1"/>
  <c r="K560" i="6"/>
  <c r="M560" i="6" s="1"/>
  <c r="J559" i="6"/>
  <c r="L559" i="6" s="1"/>
  <c r="N559" i="6" s="1"/>
  <c r="K559" i="6"/>
  <c r="M559" i="6" s="1"/>
  <c r="J558" i="6"/>
  <c r="L558" i="6" s="1"/>
  <c r="N558" i="6" s="1"/>
  <c r="K558" i="6"/>
  <c r="M558" i="6" s="1"/>
  <c r="J557" i="6"/>
  <c r="K557" i="6" s="1"/>
  <c r="M557" i="6" s="1"/>
  <c r="L557" i="6"/>
  <c r="N557" i="6" s="1"/>
  <c r="J556" i="6"/>
  <c r="L556" i="6" s="1"/>
  <c r="N556" i="6" s="1"/>
  <c r="K556" i="6"/>
  <c r="M556" i="6" s="1"/>
  <c r="J555" i="6"/>
  <c r="L555" i="6" s="1"/>
  <c r="N555" i="6" s="1"/>
  <c r="K555" i="6"/>
  <c r="M555" i="6" s="1"/>
  <c r="J554" i="6"/>
  <c r="L554" i="6"/>
  <c r="N554" i="6" s="1"/>
  <c r="K554" i="6"/>
  <c r="M554" i="6" s="1"/>
  <c r="J553" i="6"/>
  <c r="L553" i="6"/>
  <c r="N553" i="6" s="1"/>
  <c r="K553" i="6"/>
  <c r="M553" i="6" s="1"/>
  <c r="J552" i="6"/>
  <c r="L552" i="6" s="1"/>
  <c r="N552" i="6" s="1"/>
  <c r="K552" i="6"/>
  <c r="M552" i="6" s="1"/>
  <c r="J551" i="6"/>
  <c r="L551" i="6" s="1"/>
  <c r="N551" i="6" s="1"/>
  <c r="K551" i="6"/>
  <c r="M551" i="6" s="1"/>
  <c r="J550" i="6"/>
  <c r="L550" i="6" s="1"/>
  <c r="N550" i="6" s="1"/>
  <c r="J549" i="6"/>
  <c r="J548" i="6"/>
  <c r="L548" i="6" s="1"/>
  <c r="N548" i="6" s="1"/>
  <c r="K548" i="6"/>
  <c r="M548" i="6" s="1"/>
  <c r="J547" i="6"/>
  <c r="L547" i="6" s="1"/>
  <c r="N547" i="6" s="1"/>
  <c r="K547" i="6"/>
  <c r="M547" i="6" s="1"/>
  <c r="J546" i="6"/>
  <c r="L546" i="6" s="1"/>
  <c r="N546" i="6" s="1"/>
  <c r="J545" i="6"/>
  <c r="L545" i="6" s="1"/>
  <c r="N545" i="6" s="1"/>
  <c r="K545" i="6"/>
  <c r="M545" i="6" s="1"/>
  <c r="J544" i="6"/>
  <c r="L544" i="6" s="1"/>
  <c r="N544" i="6" s="1"/>
  <c r="K544" i="6"/>
  <c r="M544" i="6" s="1"/>
  <c r="J543" i="6"/>
  <c r="L543" i="6" s="1"/>
  <c r="N543" i="6" s="1"/>
  <c r="K543" i="6"/>
  <c r="M543" i="6" s="1"/>
  <c r="J542" i="6"/>
  <c r="J541" i="6"/>
  <c r="L541" i="6" s="1"/>
  <c r="N541" i="6" s="1"/>
  <c r="J539" i="6"/>
  <c r="L539" i="6" s="1"/>
  <c r="N539" i="6" s="1"/>
  <c r="K539" i="6"/>
  <c r="M539" i="6" s="1"/>
  <c r="J538" i="6"/>
  <c r="L538" i="6" s="1"/>
  <c r="N538" i="6" s="1"/>
  <c r="K538" i="6"/>
  <c r="M538" i="6" s="1"/>
  <c r="J537" i="6"/>
  <c r="L537" i="6"/>
  <c r="N537" i="6" s="1"/>
  <c r="K537" i="6"/>
  <c r="M537" i="6" s="1"/>
  <c r="J536" i="6"/>
  <c r="L536" i="6"/>
  <c r="N536" i="6" s="1"/>
  <c r="K536" i="6"/>
  <c r="M536" i="6" s="1"/>
  <c r="J535" i="6"/>
  <c r="L535" i="6" s="1"/>
  <c r="N535" i="6" s="1"/>
  <c r="K535" i="6"/>
  <c r="M535" i="6" s="1"/>
  <c r="J534" i="6"/>
  <c r="L534" i="6" s="1"/>
  <c r="N534" i="6" s="1"/>
  <c r="K534" i="6"/>
  <c r="M534" i="6" s="1"/>
  <c r="J533" i="6"/>
  <c r="L533" i="6" s="1"/>
  <c r="N533" i="6" s="1"/>
  <c r="K533" i="6"/>
  <c r="M533" i="6" s="1"/>
  <c r="J532" i="6"/>
  <c r="K532" i="6" s="1"/>
  <c r="M532" i="6" s="1"/>
  <c r="L532" i="6"/>
  <c r="N532" i="6" s="1"/>
  <c r="J531" i="6"/>
  <c r="L531" i="6" s="1"/>
  <c r="N531" i="6" s="1"/>
  <c r="K531" i="6"/>
  <c r="M531" i="6" s="1"/>
  <c r="J530" i="6"/>
  <c r="L530" i="6" s="1"/>
  <c r="N530" i="6" s="1"/>
  <c r="K530" i="6"/>
  <c r="M530" i="6" s="1"/>
  <c r="J529" i="6"/>
  <c r="L529" i="6"/>
  <c r="N529" i="6" s="1"/>
  <c r="K529" i="6"/>
  <c r="M529" i="6" s="1"/>
  <c r="J528" i="6"/>
  <c r="L528" i="6"/>
  <c r="N528" i="6" s="1"/>
  <c r="K528" i="6"/>
  <c r="M528" i="6" s="1"/>
  <c r="J527" i="6"/>
  <c r="L527" i="6" s="1"/>
  <c r="N527" i="6" s="1"/>
  <c r="K527" i="6"/>
  <c r="M527" i="6" s="1"/>
  <c r="J526" i="6"/>
  <c r="L526" i="6" s="1"/>
  <c r="N526" i="6" s="1"/>
  <c r="K526" i="6"/>
  <c r="M526" i="6" s="1"/>
  <c r="J525" i="6"/>
  <c r="L525" i="6" s="1"/>
  <c r="N525" i="6" s="1"/>
  <c r="J524" i="6"/>
  <c r="J523" i="6"/>
  <c r="L523" i="6" s="1"/>
  <c r="N523" i="6" s="1"/>
  <c r="K523" i="6"/>
  <c r="M523" i="6" s="1"/>
  <c r="J522" i="6"/>
  <c r="L522" i="6" s="1"/>
  <c r="N522" i="6" s="1"/>
  <c r="K522" i="6"/>
  <c r="M522" i="6" s="1"/>
  <c r="J521" i="6"/>
  <c r="K521" i="6" s="1"/>
  <c r="M521" i="6" s="1"/>
  <c r="L521" i="6"/>
  <c r="N521" i="6" s="1"/>
  <c r="J520" i="6"/>
  <c r="L520" i="6" s="1"/>
  <c r="N520" i="6" s="1"/>
  <c r="K520" i="6"/>
  <c r="M520" i="6" s="1"/>
  <c r="J519" i="6"/>
  <c r="L519" i="6" s="1"/>
  <c r="N519" i="6" s="1"/>
  <c r="K519" i="6"/>
  <c r="M519" i="6" s="1"/>
  <c r="J518" i="6"/>
  <c r="L518" i="6" s="1"/>
  <c r="N518" i="6" s="1"/>
  <c r="K518" i="6"/>
  <c r="M518" i="6" s="1"/>
  <c r="J517" i="6"/>
  <c r="L517" i="6" s="1"/>
  <c r="N517" i="6" s="1"/>
  <c r="K517" i="6"/>
  <c r="M517" i="6" s="1"/>
  <c r="J516" i="6"/>
  <c r="J515" i="6"/>
  <c r="L515" i="6" s="1"/>
  <c r="N515" i="6" s="1"/>
  <c r="K515" i="6"/>
  <c r="M515" i="6" s="1"/>
  <c r="J514" i="6"/>
  <c r="L514" i="6" s="1"/>
  <c r="N514" i="6" s="1"/>
  <c r="K514" i="6"/>
  <c r="M514" i="6" s="1"/>
  <c r="J513" i="6"/>
  <c r="L513" i="6"/>
  <c r="N513" i="6" s="1"/>
  <c r="K513" i="6"/>
  <c r="M513" i="6" s="1"/>
  <c r="J512" i="6"/>
  <c r="L512" i="6"/>
  <c r="N512" i="6" s="1"/>
  <c r="K512" i="6"/>
  <c r="M512" i="6" s="1"/>
  <c r="J511" i="6"/>
  <c r="L511" i="6" s="1"/>
  <c r="N511" i="6" s="1"/>
  <c r="K511" i="6"/>
  <c r="M511" i="6" s="1"/>
  <c r="J510" i="6"/>
  <c r="L510" i="6" s="1"/>
  <c r="N510" i="6" s="1"/>
  <c r="K510" i="6"/>
  <c r="M510" i="6" s="1"/>
  <c r="J509" i="6"/>
  <c r="L509" i="6" s="1"/>
  <c r="N509" i="6" s="1"/>
  <c r="K509" i="6"/>
  <c r="M509" i="6" s="1"/>
  <c r="J508" i="6"/>
  <c r="K508" i="6" s="1"/>
  <c r="M508" i="6" s="1"/>
  <c r="L508" i="6"/>
  <c r="N508" i="6" s="1"/>
  <c r="J507" i="6"/>
  <c r="L507" i="6" s="1"/>
  <c r="N507" i="6" s="1"/>
  <c r="K507" i="6"/>
  <c r="M507" i="6" s="1"/>
  <c r="J506" i="6"/>
  <c r="L506" i="6" s="1"/>
  <c r="N506" i="6" s="1"/>
  <c r="K506" i="6"/>
  <c r="M506" i="6" s="1"/>
  <c r="J505" i="6"/>
  <c r="L505" i="6"/>
  <c r="N505" i="6" s="1"/>
  <c r="K505" i="6"/>
  <c r="M505" i="6" s="1"/>
  <c r="J504" i="6"/>
  <c r="L504" i="6"/>
  <c r="N504" i="6" s="1"/>
  <c r="K504" i="6"/>
  <c r="M504" i="6" s="1"/>
  <c r="J503" i="6"/>
  <c r="L503" i="6" s="1"/>
  <c r="N503" i="6" s="1"/>
  <c r="K503" i="6"/>
  <c r="M503" i="6" s="1"/>
  <c r="J502" i="6"/>
  <c r="L502" i="6" s="1"/>
  <c r="N502" i="6" s="1"/>
  <c r="K502" i="6"/>
  <c r="M502" i="6" s="1"/>
  <c r="J501" i="6"/>
  <c r="L501" i="6" s="1"/>
  <c r="N501" i="6" s="1"/>
  <c r="J500" i="6"/>
  <c r="J499" i="6"/>
  <c r="L499" i="6" s="1"/>
  <c r="N499" i="6" s="1"/>
  <c r="K499" i="6"/>
  <c r="M499" i="6" s="1"/>
  <c r="J498" i="6"/>
  <c r="L498" i="6" s="1"/>
  <c r="N498" i="6" s="1"/>
  <c r="K498" i="6"/>
  <c r="M498" i="6" s="1"/>
  <c r="J497" i="6"/>
  <c r="K497" i="6" s="1"/>
  <c r="M497" i="6" s="1"/>
  <c r="J496" i="6"/>
  <c r="L496" i="6" s="1"/>
  <c r="N496" i="6" s="1"/>
  <c r="K496" i="6"/>
  <c r="M496" i="6" s="1"/>
  <c r="J494" i="6"/>
  <c r="L494" i="6" s="1"/>
  <c r="N494" i="6" s="1"/>
  <c r="K494" i="6"/>
  <c r="M494" i="6" s="1"/>
  <c r="J493" i="6"/>
  <c r="L493" i="6" s="1"/>
  <c r="N493" i="6" s="1"/>
  <c r="K493" i="6"/>
  <c r="M493" i="6" s="1"/>
  <c r="J492" i="6"/>
  <c r="L492" i="6" s="1"/>
  <c r="N492" i="6" s="1"/>
  <c r="J491" i="6"/>
  <c r="J490" i="6"/>
  <c r="L490" i="6" s="1"/>
  <c r="N490" i="6" s="1"/>
  <c r="K490" i="6"/>
  <c r="M490" i="6" s="1"/>
  <c r="J489" i="6"/>
  <c r="L489" i="6" s="1"/>
  <c r="N489" i="6" s="1"/>
  <c r="K489" i="6"/>
  <c r="M489" i="6" s="1"/>
  <c r="J488" i="6"/>
  <c r="L488" i="6"/>
  <c r="N488" i="6" s="1"/>
  <c r="K488" i="6"/>
  <c r="M488" i="6" s="1"/>
  <c r="J487" i="6"/>
  <c r="L487" i="6"/>
  <c r="N487" i="6" s="1"/>
  <c r="K487" i="6"/>
  <c r="M487" i="6" s="1"/>
  <c r="J486" i="6"/>
  <c r="L486" i="6" s="1"/>
  <c r="N486" i="6" s="1"/>
  <c r="K486" i="6"/>
  <c r="M486" i="6" s="1"/>
  <c r="J485" i="6"/>
  <c r="L485" i="6" s="1"/>
  <c r="N485" i="6" s="1"/>
  <c r="K485" i="6"/>
  <c r="M485" i="6" s="1"/>
  <c r="J484" i="6"/>
  <c r="L484" i="6" s="1"/>
  <c r="N484" i="6" s="1"/>
  <c r="K484" i="6"/>
  <c r="M484" i="6" s="1"/>
  <c r="J483" i="6"/>
  <c r="K483" i="6" s="1"/>
  <c r="M483" i="6" s="1"/>
  <c r="L483" i="6"/>
  <c r="N483" i="6" s="1"/>
  <c r="J482" i="6"/>
  <c r="L482" i="6" s="1"/>
  <c r="N482" i="6" s="1"/>
  <c r="K482" i="6"/>
  <c r="M482" i="6" s="1"/>
  <c r="J481" i="6"/>
  <c r="L481" i="6" s="1"/>
  <c r="N481" i="6" s="1"/>
  <c r="K481" i="6"/>
  <c r="M481" i="6" s="1"/>
  <c r="J480" i="6"/>
  <c r="L480" i="6"/>
  <c r="N480" i="6" s="1"/>
  <c r="K480" i="6"/>
  <c r="M480" i="6" s="1"/>
  <c r="J479" i="6"/>
  <c r="L479" i="6"/>
  <c r="N479" i="6" s="1"/>
  <c r="K479" i="6"/>
  <c r="M479" i="6" s="1"/>
  <c r="J478" i="6"/>
  <c r="L478" i="6" s="1"/>
  <c r="N478" i="6" s="1"/>
  <c r="K478" i="6"/>
  <c r="M478" i="6" s="1"/>
  <c r="J476" i="6"/>
  <c r="L476" i="6" s="1"/>
  <c r="N476" i="6" s="1"/>
  <c r="K476" i="6"/>
  <c r="M476" i="6" s="1"/>
  <c r="J475" i="6"/>
  <c r="L475" i="6" s="1"/>
  <c r="N475" i="6" s="1"/>
  <c r="J474" i="6"/>
  <c r="J473" i="6"/>
  <c r="L473" i="6" s="1"/>
  <c r="N473" i="6" s="1"/>
  <c r="K473" i="6"/>
  <c r="M473" i="6" s="1"/>
  <c r="J472" i="6"/>
  <c r="L472" i="6" s="1"/>
  <c r="N472" i="6" s="1"/>
  <c r="K472" i="6"/>
  <c r="M472" i="6" s="1"/>
  <c r="J471" i="6"/>
  <c r="K471" i="6" s="1"/>
  <c r="M471" i="6" s="1"/>
  <c r="L471" i="6"/>
  <c r="N471" i="6" s="1"/>
  <c r="J470" i="6"/>
  <c r="L470" i="6" s="1"/>
  <c r="N470" i="6" s="1"/>
  <c r="K470" i="6"/>
  <c r="M470" i="6" s="1"/>
  <c r="J469" i="6"/>
  <c r="L469" i="6" s="1"/>
  <c r="N469" i="6" s="1"/>
  <c r="K469" i="6"/>
  <c r="M469" i="6" s="1"/>
  <c r="J468" i="6"/>
  <c r="L468" i="6" s="1"/>
  <c r="N468" i="6" s="1"/>
  <c r="K468" i="6"/>
  <c r="M468" i="6" s="1"/>
  <c r="J467" i="6"/>
  <c r="L467" i="6" s="1"/>
  <c r="N467" i="6" s="1"/>
  <c r="J466" i="6"/>
  <c r="J465" i="6"/>
  <c r="L465" i="6" s="1"/>
  <c r="N465" i="6" s="1"/>
  <c r="K465" i="6"/>
  <c r="M465" i="6" s="1"/>
  <c r="J464" i="6"/>
  <c r="L464" i="6" s="1"/>
  <c r="N464" i="6" s="1"/>
  <c r="K464" i="6"/>
  <c r="M464" i="6" s="1"/>
  <c r="J463" i="6"/>
  <c r="K463" i="6" s="1"/>
  <c r="M463" i="6" s="1"/>
  <c r="L463" i="6"/>
  <c r="N463" i="6" s="1"/>
  <c r="J462" i="6"/>
  <c r="L462" i="6"/>
  <c r="N462" i="6" s="1"/>
  <c r="K462" i="6"/>
  <c r="M462" i="6" s="1"/>
  <c r="J461" i="6"/>
  <c r="L461" i="6" s="1"/>
  <c r="N461" i="6" s="1"/>
  <c r="K461" i="6"/>
  <c r="M461" i="6" s="1"/>
  <c r="J460" i="6"/>
  <c r="L460" i="6" s="1"/>
  <c r="N460" i="6" s="1"/>
  <c r="K460" i="6"/>
  <c r="M460" i="6" s="1"/>
  <c r="J459" i="6"/>
  <c r="L459" i="6" s="1"/>
  <c r="N459" i="6" s="1"/>
  <c r="K459" i="6"/>
  <c r="M459" i="6" s="1"/>
  <c r="J458" i="6"/>
  <c r="K458" i="6" s="1"/>
  <c r="M458" i="6" s="1"/>
  <c r="L458" i="6"/>
  <c r="N458" i="6" s="1"/>
  <c r="J457" i="6"/>
  <c r="L457" i="6" s="1"/>
  <c r="N457" i="6" s="1"/>
  <c r="K457" i="6"/>
  <c r="M457" i="6" s="1"/>
  <c r="J456" i="6"/>
  <c r="L456" i="6" s="1"/>
  <c r="N456" i="6" s="1"/>
  <c r="K456" i="6"/>
  <c r="M456" i="6" s="1"/>
  <c r="J455" i="6"/>
  <c r="L455" i="6"/>
  <c r="N455" i="6" s="1"/>
  <c r="K455" i="6"/>
  <c r="M455" i="6" s="1"/>
  <c r="J454" i="6"/>
  <c r="L454" i="6"/>
  <c r="N454" i="6" s="1"/>
  <c r="K454" i="6"/>
  <c r="M454" i="6" s="1"/>
  <c r="J453" i="6"/>
  <c r="L453" i="6" s="1"/>
  <c r="N453" i="6" s="1"/>
  <c r="K453" i="6"/>
  <c r="M453" i="6" s="1"/>
  <c r="J452" i="6"/>
  <c r="L452" i="6" s="1"/>
  <c r="N452" i="6" s="1"/>
  <c r="K452" i="6"/>
  <c r="M452" i="6" s="1"/>
  <c r="J451" i="6"/>
  <c r="L451" i="6" s="1"/>
  <c r="N451" i="6" s="1"/>
  <c r="J450" i="6"/>
  <c r="J449" i="6"/>
  <c r="L449" i="6" s="1"/>
  <c r="N449" i="6" s="1"/>
  <c r="K449" i="6"/>
  <c r="M449" i="6" s="1"/>
  <c r="J448" i="6"/>
  <c r="L448" i="6" s="1"/>
  <c r="N448" i="6" s="1"/>
  <c r="K448" i="6"/>
  <c r="M448" i="6" s="1"/>
  <c r="J447" i="6"/>
  <c r="K447" i="6" s="1"/>
  <c r="M447" i="6" s="1"/>
  <c r="J446" i="6"/>
  <c r="L446" i="6" s="1"/>
  <c r="N446" i="6" s="1"/>
  <c r="K446" i="6"/>
  <c r="M446" i="6" s="1"/>
  <c r="J445" i="6"/>
  <c r="L445" i="6" s="1"/>
  <c r="N445" i="6" s="1"/>
  <c r="K445" i="6"/>
  <c r="M445" i="6" s="1"/>
  <c r="J444" i="6"/>
  <c r="L444" i="6" s="1"/>
  <c r="N444" i="6" s="1"/>
  <c r="K444" i="6"/>
  <c r="M444" i="6" s="1"/>
  <c r="J443" i="6"/>
  <c r="L443" i="6" s="1"/>
  <c r="N443" i="6" s="1"/>
  <c r="K443" i="6"/>
  <c r="M443" i="6" s="1"/>
  <c r="J442" i="6"/>
  <c r="J441" i="6"/>
  <c r="L441" i="6" s="1"/>
  <c r="N441" i="6" s="1"/>
  <c r="K441" i="6"/>
  <c r="M441" i="6" s="1"/>
  <c r="J439" i="6"/>
  <c r="L439" i="6" s="1"/>
  <c r="N439" i="6" s="1"/>
  <c r="K439" i="6"/>
  <c r="M439" i="6" s="1"/>
  <c r="J438" i="6"/>
  <c r="L438" i="6" s="1"/>
  <c r="N438" i="6" s="1"/>
  <c r="J437" i="6"/>
  <c r="L437" i="6"/>
  <c r="N437" i="6" s="1"/>
  <c r="K437" i="6"/>
  <c r="M437" i="6" s="1"/>
  <c r="J436" i="6"/>
  <c r="L436" i="6" s="1"/>
  <c r="N436" i="6" s="1"/>
  <c r="K436" i="6"/>
  <c r="M436" i="6" s="1"/>
  <c r="J435" i="6"/>
  <c r="L435" i="6" s="1"/>
  <c r="N435" i="6" s="1"/>
  <c r="K435" i="6"/>
  <c r="M435" i="6" s="1"/>
  <c r="J434" i="6"/>
  <c r="L434" i="6" s="1"/>
  <c r="N434" i="6" s="1"/>
  <c r="K434" i="6"/>
  <c r="M434" i="6" s="1"/>
  <c r="J433" i="6"/>
  <c r="K433" i="6" s="1"/>
  <c r="M433" i="6" s="1"/>
  <c r="J432" i="6"/>
  <c r="L432" i="6" s="1"/>
  <c r="N432" i="6" s="1"/>
  <c r="K432" i="6"/>
  <c r="M432" i="6" s="1"/>
  <c r="J431" i="6"/>
  <c r="L431" i="6" s="1"/>
  <c r="N431" i="6" s="1"/>
  <c r="K431" i="6"/>
  <c r="M431" i="6" s="1"/>
  <c r="J430" i="6"/>
  <c r="L430" i="6"/>
  <c r="N430" i="6" s="1"/>
  <c r="K430" i="6"/>
  <c r="M430" i="6" s="1"/>
  <c r="J429" i="6"/>
  <c r="L429" i="6"/>
  <c r="N429" i="6" s="1"/>
  <c r="K429" i="6"/>
  <c r="M429" i="6" s="1"/>
  <c r="J428" i="6"/>
  <c r="L428" i="6" s="1"/>
  <c r="N428" i="6" s="1"/>
  <c r="K428" i="6"/>
  <c r="M428" i="6" s="1"/>
  <c r="J427" i="6"/>
  <c r="L427" i="6" s="1"/>
  <c r="N427" i="6" s="1"/>
  <c r="K427" i="6"/>
  <c r="M427" i="6" s="1"/>
  <c r="J426" i="6"/>
  <c r="L426" i="6" s="1"/>
  <c r="N426" i="6" s="1"/>
  <c r="J425" i="6"/>
  <c r="J424" i="6"/>
  <c r="L424" i="6" s="1"/>
  <c r="N424" i="6" s="1"/>
  <c r="K424" i="6"/>
  <c r="M424" i="6" s="1"/>
  <c r="J423" i="6"/>
  <c r="L423" i="6" s="1"/>
  <c r="N423" i="6" s="1"/>
  <c r="K423" i="6"/>
  <c r="M423" i="6" s="1"/>
  <c r="J422" i="6"/>
  <c r="K422" i="6" s="1"/>
  <c r="M422" i="6" s="1"/>
  <c r="J421" i="6"/>
  <c r="L421" i="6" s="1"/>
  <c r="N421" i="6" s="1"/>
  <c r="K421" i="6"/>
  <c r="M421" i="6" s="1"/>
  <c r="J420" i="6"/>
  <c r="L420" i="6" s="1"/>
  <c r="N420" i="6" s="1"/>
  <c r="K420" i="6"/>
  <c r="M420" i="6" s="1"/>
  <c r="J419" i="6"/>
  <c r="L419" i="6" s="1"/>
  <c r="N419" i="6" s="1"/>
  <c r="K419" i="6"/>
  <c r="M419" i="6" s="1"/>
  <c r="J418" i="6"/>
  <c r="L418" i="6" s="1"/>
  <c r="N418" i="6" s="1"/>
  <c r="K418" i="6"/>
  <c r="M418" i="6" s="1"/>
  <c r="J417" i="6"/>
  <c r="J416" i="6"/>
  <c r="L416" i="6" s="1"/>
  <c r="N416" i="6" s="1"/>
  <c r="K416" i="6"/>
  <c r="M416" i="6" s="1"/>
  <c r="J415" i="6"/>
  <c r="L415" i="6" s="1"/>
  <c r="N415" i="6" s="1"/>
  <c r="J414" i="6"/>
  <c r="L414" i="6" s="1"/>
  <c r="N414" i="6" s="1"/>
  <c r="J413" i="6"/>
  <c r="L413" i="6"/>
  <c r="N413" i="6" s="1"/>
  <c r="K413" i="6"/>
  <c r="M413" i="6" s="1"/>
  <c r="J412" i="6"/>
  <c r="L412" i="6" s="1"/>
  <c r="N412" i="6" s="1"/>
  <c r="J411" i="6"/>
  <c r="L411" i="6" s="1"/>
  <c r="N411" i="6" s="1"/>
  <c r="K411" i="6"/>
  <c r="M411" i="6" s="1"/>
  <c r="J410" i="6"/>
  <c r="L410" i="6" s="1"/>
  <c r="N410" i="6" s="1"/>
  <c r="K410" i="6"/>
  <c r="M410" i="6" s="1"/>
  <c r="J409" i="6"/>
  <c r="K409" i="6" s="1"/>
  <c r="M409" i="6" s="1"/>
  <c r="L409" i="6"/>
  <c r="N409" i="6" s="1"/>
  <c r="J408" i="6"/>
  <c r="L408" i="6" s="1"/>
  <c r="N408" i="6" s="1"/>
  <c r="J407" i="6"/>
  <c r="L407" i="6" s="1"/>
  <c r="N407" i="6" s="1"/>
  <c r="J405" i="6"/>
  <c r="L405" i="6"/>
  <c r="N405" i="6" s="1"/>
  <c r="K405" i="6"/>
  <c r="M405" i="6" s="1"/>
  <c r="J404" i="6"/>
  <c r="L404" i="6"/>
  <c r="N404" i="6" s="1"/>
  <c r="K404" i="6"/>
  <c r="M404" i="6" s="1"/>
  <c r="J403" i="6"/>
  <c r="J402" i="6"/>
  <c r="L402" i="6" s="1"/>
  <c r="N402" i="6" s="1"/>
  <c r="K402" i="6"/>
  <c r="M402" i="6" s="1"/>
  <c r="J401" i="6"/>
  <c r="J400" i="6"/>
  <c r="J399" i="6"/>
  <c r="L399" i="6" s="1"/>
  <c r="N399" i="6" s="1"/>
  <c r="J398" i="6"/>
  <c r="J397" i="6"/>
  <c r="L397" i="6"/>
  <c r="N397" i="6" s="1"/>
  <c r="K397" i="6"/>
  <c r="M397" i="6" s="1"/>
  <c r="J396" i="6"/>
  <c r="L396" i="6" s="1"/>
  <c r="N396" i="6" s="1"/>
  <c r="K396" i="6"/>
  <c r="M396" i="6" s="1"/>
  <c r="J395" i="6"/>
  <c r="L395" i="6" s="1"/>
  <c r="N395" i="6" s="1"/>
  <c r="J393" i="6"/>
  <c r="L393" i="6" s="1"/>
  <c r="N393" i="6" s="1"/>
  <c r="J392" i="6"/>
  <c r="L392" i="6" s="1"/>
  <c r="N392" i="6" s="1"/>
  <c r="K392" i="6"/>
  <c r="M392" i="6" s="1"/>
  <c r="J391" i="6"/>
  <c r="K391" i="6" s="1"/>
  <c r="M391" i="6" s="1"/>
  <c r="J390" i="6"/>
  <c r="L390" i="6" s="1"/>
  <c r="N390" i="6" s="1"/>
  <c r="K390" i="6"/>
  <c r="M390" i="6" s="1"/>
  <c r="J389" i="6"/>
  <c r="L389" i="6" s="1"/>
  <c r="N389" i="6" s="1"/>
  <c r="J388" i="6"/>
  <c r="L388" i="6" s="1"/>
  <c r="N388" i="6" s="1"/>
  <c r="J387" i="6"/>
  <c r="L387" i="6"/>
  <c r="N387" i="6" s="1"/>
  <c r="K387" i="6"/>
  <c r="M387" i="6" s="1"/>
  <c r="J386" i="6"/>
  <c r="J385" i="6"/>
  <c r="L385" i="6" s="1"/>
  <c r="N385" i="6" s="1"/>
  <c r="K385" i="6"/>
  <c r="M385" i="6" s="1"/>
  <c r="J384" i="6"/>
  <c r="L384" i="6" s="1"/>
  <c r="N384" i="6" s="1"/>
  <c r="K384" i="6"/>
  <c r="M384" i="6" s="1"/>
  <c r="J383" i="6"/>
  <c r="K383" i="6" s="1"/>
  <c r="M383" i="6" s="1"/>
  <c r="L383" i="6"/>
  <c r="N383" i="6" s="1"/>
  <c r="J382" i="6"/>
  <c r="L382" i="6" s="1"/>
  <c r="N382" i="6" s="1"/>
  <c r="J381" i="6"/>
  <c r="J380" i="6"/>
  <c r="L380" i="6"/>
  <c r="N380" i="6" s="1"/>
  <c r="K380" i="6"/>
  <c r="M380" i="6" s="1"/>
  <c r="J379" i="6"/>
  <c r="L379" i="6"/>
  <c r="N379" i="6" s="1"/>
  <c r="K379" i="6"/>
  <c r="M379" i="6" s="1"/>
  <c r="J378" i="6"/>
  <c r="L378" i="6" s="1"/>
  <c r="N378" i="6" s="1"/>
  <c r="J377" i="6"/>
  <c r="K377" i="6" s="1"/>
  <c r="M377" i="6" s="1"/>
  <c r="J376" i="6"/>
  <c r="L376" i="6"/>
  <c r="N376" i="6" s="1"/>
  <c r="K376" i="6"/>
  <c r="M376" i="6" s="1"/>
  <c r="J374" i="6"/>
  <c r="L374" i="6"/>
  <c r="N374" i="6" s="1"/>
  <c r="K374" i="6"/>
  <c r="M374" i="6" s="1"/>
  <c r="J373" i="6"/>
  <c r="L373" i="6" s="1"/>
  <c r="N373" i="6" s="1"/>
  <c r="K373" i="6"/>
  <c r="M373" i="6" s="1"/>
  <c r="J372" i="6"/>
  <c r="K372" i="6" s="1"/>
  <c r="M372" i="6" s="1"/>
  <c r="J371" i="6"/>
  <c r="L371" i="6"/>
  <c r="N371" i="6" s="1"/>
  <c r="K371" i="6"/>
  <c r="M371" i="6" s="1"/>
  <c r="J370" i="6"/>
  <c r="L370" i="6"/>
  <c r="N370" i="6" s="1"/>
  <c r="K370" i="6"/>
  <c r="M370" i="6" s="1"/>
  <c r="J369" i="6"/>
  <c r="L369" i="6" s="1"/>
  <c r="N369" i="6" s="1"/>
  <c r="J368" i="6"/>
  <c r="K368" i="6" s="1"/>
  <c r="M368" i="6" s="1"/>
  <c r="L368" i="6"/>
  <c r="N368" i="6" s="1"/>
  <c r="J367" i="6"/>
  <c r="L367" i="6"/>
  <c r="N367" i="6" s="1"/>
  <c r="K367" i="6"/>
  <c r="M367" i="6" s="1"/>
  <c r="J366" i="6"/>
  <c r="L366" i="6"/>
  <c r="N366" i="6" s="1"/>
  <c r="K366" i="6"/>
  <c r="M366" i="6" s="1"/>
  <c r="J365" i="6"/>
  <c r="L365" i="6" s="1"/>
  <c r="N365" i="6" s="1"/>
  <c r="J364" i="6"/>
  <c r="K364" i="6" s="1"/>
  <c r="M364" i="6" s="1"/>
  <c r="J363" i="6"/>
  <c r="L363" i="6"/>
  <c r="N363" i="6" s="1"/>
  <c r="K363" i="6"/>
  <c r="M363" i="6" s="1"/>
  <c r="J362" i="6"/>
  <c r="L362" i="6"/>
  <c r="N362" i="6" s="1"/>
  <c r="K362" i="6"/>
  <c r="M362" i="6" s="1"/>
  <c r="J361" i="6"/>
  <c r="L361" i="6" s="1"/>
  <c r="N361" i="6" s="1"/>
  <c r="K361" i="6"/>
  <c r="M361" i="6" s="1"/>
  <c r="J360" i="6"/>
  <c r="K360" i="6" s="1"/>
  <c r="M360" i="6" s="1"/>
  <c r="J359" i="6"/>
  <c r="L359" i="6"/>
  <c r="N359" i="6" s="1"/>
  <c r="K359" i="6"/>
  <c r="M359" i="6" s="1"/>
  <c r="J358" i="6"/>
  <c r="L358" i="6"/>
  <c r="N358" i="6" s="1"/>
  <c r="K358" i="6"/>
  <c r="M358" i="6" s="1"/>
  <c r="J357" i="6"/>
  <c r="L357" i="6" s="1"/>
  <c r="N357" i="6" s="1"/>
  <c r="J356" i="6"/>
  <c r="K356" i="6" s="1"/>
  <c r="M356" i="6" s="1"/>
  <c r="L356" i="6"/>
  <c r="N356" i="6" s="1"/>
  <c r="J355" i="6"/>
  <c r="L355" i="6"/>
  <c r="N355" i="6" s="1"/>
  <c r="K355" i="6"/>
  <c r="M355" i="6" s="1"/>
  <c r="J354" i="6"/>
  <c r="L354" i="6"/>
  <c r="N354" i="6" s="1"/>
  <c r="K354" i="6"/>
  <c r="M354" i="6" s="1"/>
  <c r="J353" i="6"/>
  <c r="L353" i="6" s="1"/>
  <c r="N353" i="6" s="1"/>
  <c r="J352" i="6"/>
  <c r="K352" i="6" s="1"/>
  <c r="M352" i="6" s="1"/>
  <c r="J351" i="6"/>
  <c r="L351" i="6"/>
  <c r="N351" i="6" s="1"/>
  <c r="K351" i="6"/>
  <c r="M351" i="6" s="1"/>
  <c r="J350" i="6"/>
  <c r="L350" i="6"/>
  <c r="N350" i="6" s="1"/>
  <c r="K350" i="6"/>
  <c r="M350" i="6" s="1"/>
  <c r="J349" i="6"/>
  <c r="L349" i="6" s="1"/>
  <c r="N349" i="6" s="1"/>
  <c r="K349" i="6"/>
  <c r="M349" i="6" s="1"/>
  <c r="J348" i="6"/>
  <c r="K348" i="6" s="1"/>
  <c r="M348" i="6" s="1"/>
  <c r="J347" i="6"/>
  <c r="L347" i="6"/>
  <c r="N347" i="6" s="1"/>
  <c r="K347" i="6"/>
  <c r="M347" i="6" s="1"/>
  <c r="J346" i="6"/>
  <c r="L346" i="6"/>
  <c r="N346" i="6" s="1"/>
  <c r="K346" i="6"/>
  <c r="M346" i="6" s="1"/>
  <c r="J345" i="6"/>
  <c r="L345" i="6" s="1"/>
  <c r="N345" i="6" s="1"/>
  <c r="J344" i="6"/>
  <c r="K344" i="6" s="1"/>
  <c r="M344" i="6" s="1"/>
  <c r="L344" i="6"/>
  <c r="N344" i="6" s="1"/>
  <c r="J343" i="6"/>
  <c r="L343" i="6"/>
  <c r="N343" i="6" s="1"/>
  <c r="K343" i="6"/>
  <c r="M343" i="6" s="1"/>
  <c r="J342" i="6"/>
  <c r="L342" i="6"/>
  <c r="N342" i="6" s="1"/>
  <c r="K342" i="6"/>
  <c r="M342" i="6" s="1"/>
  <c r="J341" i="6"/>
  <c r="L341" i="6" s="1"/>
  <c r="N341" i="6" s="1"/>
  <c r="J340" i="6"/>
  <c r="K340" i="6" s="1"/>
  <c r="M340" i="6" s="1"/>
  <c r="J339" i="6"/>
  <c r="L339" i="6"/>
  <c r="N339" i="6" s="1"/>
  <c r="K339" i="6"/>
  <c r="M339" i="6" s="1"/>
  <c r="J338" i="6"/>
  <c r="L338" i="6"/>
  <c r="N338" i="6" s="1"/>
  <c r="K338" i="6"/>
  <c r="M338" i="6" s="1"/>
  <c r="J337" i="6"/>
  <c r="L337" i="6" s="1"/>
  <c r="N337" i="6" s="1"/>
  <c r="K337" i="6"/>
  <c r="M337" i="6" s="1"/>
  <c r="J336" i="6"/>
  <c r="K336" i="6" s="1"/>
  <c r="M336" i="6" s="1"/>
  <c r="J335" i="6"/>
  <c r="L335" i="6"/>
  <c r="N335" i="6" s="1"/>
  <c r="K335" i="6"/>
  <c r="M335" i="6" s="1"/>
  <c r="J332" i="6"/>
  <c r="L332" i="6"/>
  <c r="N332" i="6" s="1"/>
  <c r="K332" i="6"/>
  <c r="M332" i="6" s="1"/>
  <c r="J331" i="6"/>
  <c r="L331" i="6" s="1"/>
  <c r="N331" i="6" s="1"/>
  <c r="J330" i="6"/>
  <c r="K330" i="6" s="1"/>
  <c r="M330" i="6" s="1"/>
  <c r="L330" i="6"/>
  <c r="N330" i="6" s="1"/>
  <c r="J329" i="6"/>
  <c r="L329" i="6"/>
  <c r="N329" i="6" s="1"/>
  <c r="K329" i="6"/>
  <c r="M329" i="6" s="1"/>
  <c r="J328" i="6"/>
  <c r="L328" i="6"/>
  <c r="N328" i="6" s="1"/>
  <c r="K328" i="6"/>
  <c r="M328" i="6" s="1"/>
  <c r="J327" i="6"/>
  <c r="L327" i="6" s="1"/>
  <c r="N327" i="6" s="1"/>
  <c r="J326" i="6"/>
  <c r="K326" i="6" s="1"/>
  <c r="M326" i="6" s="1"/>
  <c r="J325" i="6"/>
  <c r="L325" i="6"/>
  <c r="N325" i="6" s="1"/>
  <c r="K325" i="6"/>
  <c r="M325" i="6" s="1"/>
  <c r="J324" i="6"/>
  <c r="L324" i="6"/>
  <c r="N324" i="6" s="1"/>
  <c r="K324" i="6"/>
  <c r="M324" i="6" s="1"/>
  <c r="J323" i="6"/>
  <c r="L323" i="6"/>
  <c r="N323" i="6" s="1"/>
  <c r="K323" i="6"/>
  <c r="M323" i="6" s="1"/>
  <c r="J322" i="6"/>
  <c r="K322" i="6" s="1"/>
  <c r="M322" i="6" s="1"/>
  <c r="L322" i="6"/>
  <c r="N322" i="6" s="1"/>
  <c r="J321" i="6"/>
  <c r="L321" i="6"/>
  <c r="N321" i="6" s="1"/>
  <c r="K321" i="6"/>
  <c r="M321" i="6" s="1"/>
  <c r="J320" i="6"/>
  <c r="L320" i="6"/>
  <c r="N320" i="6" s="1"/>
  <c r="K320" i="6"/>
  <c r="M320" i="6" s="1"/>
  <c r="J319" i="6"/>
  <c r="L319" i="6" s="1"/>
  <c r="N319" i="6" s="1"/>
  <c r="K319" i="6"/>
  <c r="M319" i="6" s="1"/>
  <c r="J318" i="6"/>
  <c r="K318" i="6" s="1"/>
  <c r="M318" i="6" s="1"/>
  <c r="J317" i="6"/>
  <c r="L317" i="6"/>
  <c r="N317" i="6" s="1"/>
  <c r="K317" i="6"/>
  <c r="M317" i="6" s="1"/>
  <c r="J316" i="6"/>
  <c r="L316" i="6"/>
  <c r="N316" i="6" s="1"/>
  <c r="K316" i="6"/>
  <c r="M316" i="6" s="1"/>
  <c r="J315" i="6"/>
  <c r="K315" i="6" s="1"/>
  <c r="M315" i="6" s="1"/>
  <c r="J314" i="6"/>
  <c r="K314" i="6" s="1"/>
  <c r="M314" i="6" s="1"/>
  <c r="L314" i="6"/>
  <c r="N314" i="6" s="1"/>
  <c r="J313" i="6"/>
  <c r="L313" i="6"/>
  <c r="N313" i="6" s="1"/>
  <c r="K313" i="6"/>
  <c r="M313" i="6" s="1"/>
  <c r="J312" i="6"/>
  <c r="L312" i="6"/>
  <c r="N312" i="6" s="1"/>
  <c r="K312" i="6"/>
  <c r="M312" i="6" s="1"/>
  <c r="J310" i="6"/>
  <c r="L310" i="6"/>
  <c r="N310" i="6" s="1"/>
  <c r="K310" i="6"/>
  <c r="M310" i="6" s="1"/>
  <c r="J309" i="6"/>
  <c r="K309" i="6" s="1"/>
  <c r="M309" i="6" s="1"/>
  <c r="L309" i="6"/>
  <c r="N309" i="6" s="1"/>
  <c r="J308" i="6"/>
  <c r="L308" i="6"/>
  <c r="N308" i="6" s="1"/>
  <c r="K308" i="6"/>
  <c r="M308" i="6" s="1"/>
  <c r="J307" i="6"/>
  <c r="L307" i="6"/>
  <c r="N307" i="6" s="1"/>
  <c r="K307" i="6"/>
  <c r="M307" i="6" s="1"/>
  <c r="J306" i="6"/>
  <c r="L306" i="6" s="1"/>
  <c r="N306" i="6" s="1"/>
  <c r="K306" i="6"/>
  <c r="M306" i="6" s="1"/>
  <c r="J305" i="6"/>
  <c r="K305" i="6" s="1"/>
  <c r="M305" i="6" s="1"/>
  <c r="J304" i="6"/>
  <c r="L304" i="6"/>
  <c r="N304" i="6" s="1"/>
  <c r="K304" i="6"/>
  <c r="M304" i="6" s="1"/>
  <c r="J303" i="6"/>
  <c r="L303" i="6"/>
  <c r="N303" i="6" s="1"/>
  <c r="K303" i="6"/>
  <c r="M303" i="6" s="1"/>
  <c r="J302" i="6"/>
  <c r="L302" i="6" s="1"/>
  <c r="N302" i="6" s="1"/>
  <c r="J301" i="6"/>
  <c r="K301" i="6" s="1"/>
  <c r="M301" i="6" s="1"/>
  <c r="J300" i="6"/>
  <c r="L300" i="6"/>
  <c r="N300" i="6" s="1"/>
  <c r="K300" i="6"/>
  <c r="M300" i="6" s="1"/>
  <c r="J299" i="6"/>
  <c r="L299" i="6"/>
  <c r="N299" i="6" s="1"/>
  <c r="K299" i="6"/>
  <c r="M299" i="6" s="1"/>
  <c r="J298" i="6"/>
  <c r="K298" i="6" s="1"/>
  <c r="M298" i="6" s="1"/>
  <c r="L298" i="6"/>
  <c r="N298" i="6" s="1"/>
  <c r="J297" i="6"/>
  <c r="K297" i="6" s="1"/>
  <c r="M297" i="6" s="1"/>
  <c r="L297" i="6"/>
  <c r="N297" i="6" s="1"/>
  <c r="J296" i="6"/>
  <c r="L296" i="6"/>
  <c r="N296" i="6" s="1"/>
  <c r="K296" i="6"/>
  <c r="M296" i="6" s="1"/>
  <c r="J295" i="6"/>
  <c r="L295" i="6"/>
  <c r="N295" i="6" s="1"/>
  <c r="K295" i="6"/>
  <c r="M295" i="6" s="1"/>
  <c r="J294" i="6"/>
  <c r="L294" i="6" s="1"/>
  <c r="N294" i="6" s="1"/>
  <c r="K294" i="6"/>
  <c r="M294" i="6" s="1"/>
  <c r="J293" i="6"/>
  <c r="K293" i="6" s="1"/>
  <c r="M293" i="6" s="1"/>
  <c r="J292" i="6"/>
  <c r="L292" i="6"/>
  <c r="N292" i="6" s="1"/>
  <c r="K292" i="6"/>
  <c r="M292" i="6" s="1"/>
  <c r="J291" i="6"/>
  <c r="L291" i="6"/>
  <c r="N291" i="6" s="1"/>
  <c r="K291" i="6"/>
  <c r="M291" i="6" s="1"/>
  <c r="J290" i="6"/>
  <c r="L290" i="6" s="1"/>
  <c r="N290" i="6" s="1"/>
  <c r="J289" i="6"/>
  <c r="K289" i="6" s="1"/>
  <c r="M289" i="6" s="1"/>
  <c r="J288" i="6"/>
  <c r="L288" i="6"/>
  <c r="N288" i="6" s="1"/>
  <c r="K288" i="6"/>
  <c r="M288" i="6" s="1"/>
  <c r="J287" i="6"/>
  <c r="L287" i="6"/>
  <c r="N287" i="6" s="1"/>
  <c r="K287" i="6"/>
  <c r="M287" i="6" s="1"/>
  <c r="J285" i="6"/>
  <c r="L285" i="6"/>
  <c r="N285" i="6" s="1"/>
  <c r="K285" i="6"/>
  <c r="M285" i="6" s="1"/>
  <c r="J284" i="6"/>
  <c r="K284" i="6" s="1"/>
  <c r="M284" i="6" s="1"/>
  <c r="L284" i="6"/>
  <c r="N284" i="6" s="1"/>
  <c r="J283" i="6"/>
  <c r="L283" i="6"/>
  <c r="N283" i="6" s="1"/>
  <c r="K283" i="6"/>
  <c r="M283" i="6" s="1"/>
  <c r="J282" i="6"/>
  <c r="L282" i="6"/>
  <c r="N282" i="6" s="1"/>
  <c r="K282" i="6"/>
  <c r="M282" i="6" s="1"/>
  <c r="J281" i="6"/>
  <c r="L281" i="6" s="1"/>
  <c r="N281" i="6" s="1"/>
  <c r="K281" i="6"/>
  <c r="M281" i="6" s="1"/>
  <c r="J280" i="6"/>
  <c r="K280" i="6" s="1"/>
  <c r="M280" i="6" s="1"/>
  <c r="J279" i="6"/>
  <c r="L279" i="6"/>
  <c r="N279" i="6" s="1"/>
  <c r="K279" i="6"/>
  <c r="M279" i="6" s="1"/>
  <c r="J278" i="6"/>
  <c r="L278" i="6"/>
  <c r="N278" i="6" s="1"/>
  <c r="K278" i="6"/>
  <c r="M278" i="6" s="1"/>
  <c r="J277" i="6"/>
  <c r="K277" i="6" s="1"/>
  <c r="M277" i="6" s="1"/>
  <c r="L277" i="6"/>
  <c r="N277" i="6" s="1"/>
  <c r="J276" i="6"/>
  <c r="K276" i="6" s="1"/>
  <c r="M276" i="6" s="1"/>
  <c r="J275" i="6"/>
  <c r="L275" i="6"/>
  <c r="N275" i="6" s="1"/>
  <c r="K275" i="6"/>
  <c r="M275" i="6" s="1"/>
  <c r="J274" i="6"/>
  <c r="L274" i="6"/>
  <c r="N274" i="6" s="1"/>
  <c r="K274" i="6"/>
  <c r="M274" i="6" s="1"/>
  <c r="J273" i="6"/>
  <c r="L273" i="6"/>
  <c r="N273" i="6" s="1"/>
  <c r="K273" i="6"/>
  <c r="M273" i="6" s="1"/>
  <c r="J272" i="6"/>
  <c r="K272" i="6" s="1"/>
  <c r="M272" i="6" s="1"/>
  <c r="L272" i="6"/>
  <c r="N272" i="6" s="1"/>
  <c r="J271" i="6"/>
  <c r="L271" i="6"/>
  <c r="N271" i="6" s="1"/>
  <c r="K271" i="6"/>
  <c r="M271" i="6" s="1"/>
  <c r="J270" i="6"/>
  <c r="L270" i="6"/>
  <c r="N270" i="6" s="1"/>
  <c r="K270" i="6"/>
  <c r="M270" i="6" s="1"/>
  <c r="J269" i="6"/>
  <c r="L269" i="6" s="1"/>
  <c r="N269" i="6" s="1"/>
  <c r="K269" i="6"/>
  <c r="M269" i="6" s="1"/>
  <c r="J268" i="6"/>
  <c r="K268" i="6" s="1"/>
  <c r="M268" i="6" s="1"/>
  <c r="J267" i="6"/>
  <c r="L267" i="6"/>
  <c r="N267" i="6" s="1"/>
  <c r="K267" i="6"/>
  <c r="M267" i="6" s="1"/>
  <c r="J266" i="6"/>
  <c r="L266" i="6"/>
  <c r="N266" i="6" s="1"/>
  <c r="K266" i="6"/>
  <c r="M266" i="6" s="1"/>
  <c r="J265" i="6"/>
  <c r="K265" i="6" s="1"/>
  <c r="M265" i="6" s="1"/>
  <c r="J264" i="6"/>
  <c r="K264" i="6" s="1"/>
  <c r="M264" i="6" s="1"/>
  <c r="L264" i="6"/>
  <c r="N264" i="6" s="1"/>
  <c r="J263" i="6"/>
  <c r="L263" i="6"/>
  <c r="N263" i="6" s="1"/>
  <c r="K263" i="6"/>
  <c r="M263" i="6" s="1"/>
  <c r="J262" i="6"/>
  <c r="L262" i="6"/>
  <c r="N262" i="6" s="1"/>
  <c r="K262" i="6"/>
  <c r="M262" i="6" s="1"/>
  <c r="J261" i="6"/>
  <c r="L261" i="6"/>
  <c r="N261" i="6" s="1"/>
  <c r="K261" i="6"/>
  <c r="M261" i="6" s="1"/>
  <c r="J260" i="6"/>
  <c r="K260" i="6" s="1"/>
  <c r="M260" i="6" s="1"/>
  <c r="L260" i="6"/>
  <c r="N260" i="6" s="1"/>
  <c r="J259" i="6"/>
  <c r="L259" i="6"/>
  <c r="N259" i="6" s="1"/>
  <c r="K259" i="6"/>
  <c r="M259" i="6" s="1"/>
  <c r="J258" i="6"/>
  <c r="L258" i="6"/>
  <c r="N258" i="6" s="1"/>
  <c r="K258" i="6"/>
  <c r="M258" i="6" s="1"/>
  <c r="J257" i="6"/>
  <c r="L257" i="6" s="1"/>
  <c r="N257" i="6" s="1"/>
  <c r="K257" i="6"/>
  <c r="M257" i="6" s="1"/>
  <c r="J256" i="6"/>
  <c r="K256" i="6" s="1"/>
  <c r="M256" i="6" s="1"/>
  <c r="J255" i="6"/>
  <c r="L255" i="6"/>
  <c r="N255" i="6" s="1"/>
  <c r="K255" i="6"/>
  <c r="M255" i="6" s="1"/>
  <c r="J254" i="6"/>
  <c r="L254" i="6"/>
  <c r="N254" i="6" s="1"/>
  <c r="K254" i="6"/>
  <c r="M254" i="6" s="1"/>
  <c r="J252" i="6"/>
  <c r="L252" i="6" s="1"/>
  <c r="N252" i="6" s="1"/>
  <c r="J251" i="6"/>
  <c r="K251" i="6" s="1"/>
  <c r="M251" i="6" s="1"/>
  <c r="J250" i="6"/>
  <c r="L250" i="6"/>
  <c r="N250" i="6" s="1"/>
  <c r="K250" i="6"/>
  <c r="M250" i="6" s="1"/>
  <c r="J249" i="6"/>
  <c r="L249" i="6"/>
  <c r="N249" i="6" s="1"/>
  <c r="K249" i="6"/>
  <c r="M249" i="6" s="1"/>
  <c r="J248" i="6"/>
  <c r="K248" i="6" s="1"/>
  <c r="M248" i="6" s="1"/>
  <c r="L248" i="6"/>
  <c r="N248" i="6" s="1"/>
  <c r="J247" i="6"/>
  <c r="K247" i="6" s="1"/>
  <c r="M247" i="6" s="1"/>
  <c r="L247" i="6"/>
  <c r="N247" i="6" s="1"/>
  <c r="J246" i="6"/>
  <c r="L246" i="6"/>
  <c r="N246" i="6" s="1"/>
  <c r="K246" i="6"/>
  <c r="M246" i="6" s="1"/>
  <c r="J245" i="6"/>
  <c r="L245" i="6"/>
  <c r="N245" i="6" s="1"/>
  <c r="K245" i="6"/>
  <c r="M245" i="6" s="1"/>
  <c r="J244" i="6"/>
  <c r="L244" i="6" s="1"/>
  <c r="N244" i="6" s="1"/>
  <c r="K244" i="6"/>
  <c r="M244" i="6" s="1"/>
  <c r="J243" i="6"/>
  <c r="K243" i="6" s="1"/>
  <c r="M243" i="6" s="1"/>
  <c r="J241" i="6"/>
  <c r="L241" i="6"/>
  <c r="N241" i="6" s="1"/>
  <c r="K241" i="6"/>
  <c r="M241" i="6" s="1"/>
  <c r="J240" i="6"/>
  <c r="L240" i="6"/>
  <c r="N240" i="6" s="1"/>
  <c r="K240" i="6"/>
  <c r="M240" i="6" s="1"/>
  <c r="J239" i="6"/>
  <c r="L239" i="6" s="1"/>
  <c r="N239" i="6" s="1"/>
  <c r="J238" i="6"/>
  <c r="K238" i="6" s="1"/>
  <c r="M238" i="6" s="1"/>
  <c r="J237" i="6"/>
  <c r="L237" i="6"/>
  <c r="N237" i="6" s="1"/>
  <c r="K237" i="6"/>
  <c r="M237" i="6" s="1"/>
  <c r="J236" i="6"/>
  <c r="L236" i="6"/>
  <c r="N236" i="6" s="1"/>
  <c r="K236" i="6"/>
  <c r="M236" i="6" s="1"/>
  <c r="J235" i="6"/>
  <c r="L235" i="6"/>
  <c r="N235" i="6" s="1"/>
  <c r="K235" i="6"/>
  <c r="M235" i="6" s="1"/>
  <c r="J234" i="6"/>
  <c r="K234" i="6" s="1"/>
  <c r="M234" i="6" s="1"/>
  <c r="L234" i="6"/>
  <c r="N234" i="6" s="1"/>
  <c r="J233" i="6"/>
  <c r="L233" i="6"/>
  <c r="N233" i="6" s="1"/>
  <c r="K233" i="6"/>
  <c r="M233" i="6" s="1"/>
  <c r="J232" i="6"/>
  <c r="L232" i="6"/>
  <c r="N232" i="6" s="1"/>
  <c r="K232" i="6"/>
  <c r="M232" i="6" s="1"/>
  <c r="J231" i="6"/>
  <c r="L231" i="6" s="1"/>
  <c r="N231" i="6" s="1"/>
  <c r="K231" i="6"/>
  <c r="M231" i="6" s="1"/>
  <c r="J230" i="6"/>
  <c r="K230" i="6" s="1"/>
  <c r="M230" i="6" s="1"/>
  <c r="J229" i="6"/>
  <c r="L229" i="6"/>
  <c r="N229" i="6" s="1"/>
  <c r="K229" i="6"/>
  <c r="M229" i="6" s="1"/>
  <c r="J228" i="6"/>
  <c r="L228" i="6"/>
  <c r="N228" i="6" s="1"/>
  <c r="K228" i="6"/>
  <c r="M228" i="6" s="1"/>
  <c r="J227" i="6"/>
  <c r="K227" i="6" s="1"/>
  <c r="M227" i="6" s="1"/>
  <c r="L227" i="6"/>
  <c r="N227" i="6" s="1"/>
  <c r="J226" i="6"/>
  <c r="K226" i="6" s="1"/>
  <c r="M226" i="6" s="1"/>
  <c r="J225" i="6"/>
  <c r="L225" i="6"/>
  <c r="N225" i="6" s="1"/>
  <c r="K225" i="6"/>
  <c r="M225" i="6" s="1"/>
  <c r="J224" i="6"/>
  <c r="L224" i="6"/>
  <c r="N224" i="6" s="1"/>
  <c r="K224" i="6"/>
  <c r="M224" i="6" s="1"/>
  <c r="J223" i="6"/>
  <c r="L223" i="6"/>
  <c r="N223" i="6" s="1"/>
  <c r="K223" i="6"/>
  <c r="M223" i="6" s="1"/>
  <c r="J222" i="6"/>
  <c r="K222" i="6" s="1"/>
  <c r="M222" i="6" s="1"/>
  <c r="L222" i="6"/>
  <c r="N222" i="6" s="1"/>
  <c r="J221" i="6"/>
  <c r="L221" i="6"/>
  <c r="N221" i="6" s="1"/>
  <c r="K221" i="6"/>
  <c r="M221" i="6" s="1"/>
  <c r="J220" i="6"/>
  <c r="L220" i="6"/>
  <c r="N220" i="6" s="1"/>
  <c r="K220" i="6"/>
  <c r="M220" i="6" s="1"/>
  <c r="J219" i="6"/>
  <c r="L219" i="6" s="1"/>
  <c r="N219" i="6" s="1"/>
  <c r="K219" i="6"/>
  <c r="M219" i="6" s="1"/>
  <c r="J218" i="6"/>
  <c r="K218" i="6" s="1"/>
  <c r="M218" i="6" s="1"/>
  <c r="J217" i="6"/>
  <c r="L217" i="6"/>
  <c r="N217" i="6" s="1"/>
  <c r="K217" i="6"/>
  <c r="M217" i="6" s="1"/>
  <c r="J216" i="6"/>
  <c r="L216" i="6"/>
  <c r="N216" i="6" s="1"/>
  <c r="K216" i="6"/>
  <c r="M216" i="6" s="1"/>
  <c r="J215" i="6"/>
  <c r="K215" i="6" s="1"/>
  <c r="M215" i="6" s="1"/>
  <c r="J214" i="6"/>
  <c r="K214" i="6" s="1"/>
  <c r="M214" i="6" s="1"/>
  <c r="L214" i="6"/>
  <c r="N214" i="6" s="1"/>
  <c r="J213" i="6"/>
  <c r="L213" i="6"/>
  <c r="N213" i="6" s="1"/>
  <c r="K213" i="6"/>
  <c r="M213" i="6" s="1"/>
  <c r="J212" i="6"/>
  <c r="L212" i="6"/>
  <c r="N212" i="6" s="1"/>
  <c r="K212" i="6"/>
  <c r="M212" i="6" s="1"/>
  <c r="J211" i="6"/>
  <c r="L211" i="6"/>
  <c r="N211" i="6" s="1"/>
  <c r="K211" i="6"/>
  <c r="M211" i="6" s="1"/>
  <c r="J210" i="6"/>
  <c r="K210" i="6" s="1"/>
  <c r="M210" i="6" s="1"/>
  <c r="L210" i="6"/>
  <c r="N210" i="6" s="1"/>
  <c r="J209" i="6"/>
  <c r="L209" i="6"/>
  <c r="N209" i="6" s="1"/>
  <c r="K209" i="6"/>
  <c r="M209" i="6" s="1"/>
  <c r="J208" i="6"/>
  <c r="L208" i="6"/>
  <c r="N208" i="6" s="1"/>
  <c r="K208" i="6"/>
  <c r="M208" i="6" s="1"/>
  <c r="J206" i="6"/>
  <c r="L206" i="6" s="1"/>
  <c r="N206" i="6" s="1"/>
  <c r="K206" i="6"/>
  <c r="M206" i="6" s="1"/>
  <c r="J205" i="6"/>
  <c r="K205" i="6" s="1"/>
  <c r="M205" i="6" s="1"/>
  <c r="J204" i="6"/>
  <c r="L204" i="6"/>
  <c r="N204" i="6" s="1"/>
  <c r="K204" i="6"/>
  <c r="M204" i="6" s="1"/>
  <c r="J203" i="6"/>
  <c r="L203" i="6"/>
  <c r="N203" i="6" s="1"/>
  <c r="K203" i="6"/>
  <c r="M203" i="6" s="1"/>
  <c r="J202" i="6"/>
  <c r="L202" i="6" s="1"/>
  <c r="N202" i="6" s="1"/>
  <c r="J201" i="6"/>
  <c r="K201" i="6" s="1"/>
  <c r="M201" i="6" s="1"/>
  <c r="J200" i="6"/>
  <c r="L200" i="6"/>
  <c r="N200" i="6" s="1"/>
  <c r="K200" i="6"/>
  <c r="M200" i="6" s="1"/>
  <c r="J199" i="6"/>
  <c r="L199" i="6"/>
  <c r="N199" i="6" s="1"/>
  <c r="K199" i="6"/>
  <c r="M199" i="6" s="1"/>
  <c r="J198" i="6"/>
  <c r="K198" i="6" s="1"/>
  <c r="M198" i="6" s="1"/>
  <c r="L198" i="6"/>
  <c r="N198" i="6" s="1"/>
  <c r="J196" i="6"/>
  <c r="K196" i="6" s="1"/>
  <c r="M196" i="6" s="1"/>
  <c r="L196" i="6"/>
  <c r="N196" i="6" s="1"/>
  <c r="J195" i="6"/>
  <c r="L195" i="6"/>
  <c r="N195" i="6" s="1"/>
  <c r="K195" i="6"/>
  <c r="M195" i="6" s="1"/>
  <c r="J194" i="6"/>
  <c r="L194" i="6"/>
  <c r="N194" i="6" s="1"/>
  <c r="K194" i="6"/>
  <c r="M194" i="6" s="1"/>
  <c r="J193" i="6"/>
  <c r="L193" i="6" s="1"/>
  <c r="N193" i="6" s="1"/>
  <c r="K193" i="6"/>
  <c r="M193" i="6" s="1"/>
  <c r="J192" i="6"/>
  <c r="K192" i="6" s="1"/>
  <c r="M192" i="6" s="1"/>
  <c r="J191" i="6"/>
  <c r="L191" i="6"/>
  <c r="N191" i="6" s="1"/>
  <c r="K191" i="6"/>
  <c r="M191" i="6" s="1"/>
  <c r="J190" i="6"/>
  <c r="L190" i="6"/>
  <c r="N190" i="6" s="1"/>
  <c r="K190" i="6"/>
  <c r="M190" i="6" s="1"/>
  <c r="J189" i="6"/>
  <c r="L189" i="6" s="1"/>
  <c r="N189" i="6" s="1"/>
  <c r="J187" i="6"/>
  <c r="K187" i="6" s="1"/>
  <c r="M187" i="6" s="1"/>
  <c r="J186" i="6"/>
  <c r="L186" i="6"/>
  <c r="N186" i="6" s="1"/>
  <c r="K186" i="6"/>
  <c r="M186" i="6" s="1"/>
  <c r="J185" i="6"/>
  <c r="L185" i="6"/>
  <c r="N185" i="6" s="1"/>
  <c r="K185" i="6"/>
  <c r="M185" i="6" s="1"/>
  <c r="J184" i="6"/>
  <c r="L184" i="6"/>
  <c r="N184" i="6" s="1"/>
  <c r="K184" i="6"/>
  <c r="M184" i="6" s="1"/>
  <c r="J183" i="6"/>
  <c r="K183" i="6" s="1"/>
  <c r="M183" i="6" s="1"/>
  <c r="L183" i="6"/>
  <c r="N183" i="6" s="1"/>
  <c r="J182" i="6"/>
  <c r="L182" i="6"/>
  <c r="N182" i="6" s="1"/>
  <c r="K182" i="6"/>
  <c r="M182" i="6" s="1"/>
  <c r="J181" i="6"/>
  <c r="L181" i="6"/>
  <c r="N181" i="6" s="1"/>
  <c r="K181" i="6"/>
  <c r="M181" i="6" s="1"/>
  <c r="J180" i="6"/>
  <c r="L180" i="6" s="1"/>
  <c r="N180" i="6" s="1"/>
  <c r="J176" i="6"/>
  <c r="K176" i="6" s="1"/>
  <c r="M176" i="6" s="1"/>
  <c r="J175" i="6"/>
  <c r="L175" i="6"/>
  <c r="N175" i="6" s="1"/>
  <c r="K175" i="6"/>
  <c r="M175" i="6" s="1"/>
  <c r="J174" i="6"/>
  <c r="L174" i="6"/>
  <c r="N174" i="6" s="1"/>
  <c r="K174" i="6"/>
  <c r="M174" i="6" s="1"/>
  <c r="J173" i="6"/>
  <c r="K173" i="6" s="1"/>
  <c r="M173" i="6" s="1"/>
  <c r="L173" i="6"/>
  <c r="N173" i="6" s="1"/>
  <c r="J172" i="6"/>
  <c r="K172" i="6" s="1"/>
  <c r="M172" i="6" s="1"/>
  <c r="J171" i="6"/>
  <c r="L171" i="6"/>
  <c r="N171" i="6" s="1"/>
  <c r="K171" i="6"/>
  <c r="M171" i="6" s="1"/>
  <c r="J169" i="6"/>
  <c r="L169" i="6"/>
  <c r="N169" i="6" s="1"/>
  <c r="K169" i="6"/>
  <c r="M169" i="6" s="1"/>
  <c r="J168" i="6"/>
  <c r="L168" i="6"/>
  <c r="N168" i="6" s="1"/>
  <c r="K168" i="6"/>
  <c r="M168" i="6" s="1"/>
  <c r="J167" i="6"/>
  <c r="K167" i="6" s="1"/>
  <c r="M167" i="6" s="1"/>
  <c r="L167" i="6"/>
  <c r="N167" i="6" s="1"/>
  <c r="J166" i="6"/>
  <c r="L166" i="6"/>
  <c r="N166" i="6" s="1"/>
  <c r="K166" i="6"/>
  <c r="M166" i="6" s="1"/>
  <c r="J165" i="6"/>
  <c r="L165" i="6"/>
  <c r="N165" i="6" s="1"/>
  <c r="K165" i="6"/>
  <c r="M165" i="6" s="1"/>
  <c r="J164" i="6"/>
  <c r="L164" i="6" s="1"/>
  <c r="N164" i="6" s="1"/>
  <c r="K164" i="6"/>
  <c r="M164" i="6" s="1"/>
  <c r="J163" i="6"/>
  <c r="K163" i="6" s="1"/>
  <c r="M163" i="6" s="1"/>
  <c r="J162" i="6"/>
  <c r="L162" i="6"/>
  <c r="N162" i="6" s="1"/>
  <c r="K162" i="6"/>
  <c r="M162" i="6" s="1"/>
  <c r="J161" i="6"/>
  <c r="L161" i="6"/>
  <c r="N161" i="6" s="1"/>
  <c r="K161" i="6"/>
  <c r="M161" i="6" s="1"/>
  <c r="J160" i="6"/>
  <c r="K160" i="6" s="1"/>
  <c r="M160" i="6" s="1"/>
  <c r="J159" i="6"/>
  <c r="K159" i="6" s="1"/>
  <c r="M159" i="6" s="1"/>
  <c r="L159" i="6"/>
  <c r="N159" i="6" s="1"/>
  <c r="J158" i="6"/>
  <c r="L158" i="6"/>
  <c r="N158" i="6" s="1"/>
  <c r="K158" i="6"/>
  <c r="M158" i="6" s="1"/>
  <c r="J157" i="6"/>
  <c r="L157" i="6"/>
  <c r="N157" i="6" s="1"/>
  <c r="K157" i="6"/>
  <c r="M157" i="6" s="1"/>
  <c r="J156" i="6"/>
  <c r="L156" i="6"/>
  <c r="N156" i="6" s="1"/>
  <c r="K156" i="6"/>
  <c r="M156" i="6" s="1"/>
  <c r="J155" i="6"/>
  <c r="K155" i="6" s="1"/>
  <c r="M155" i="6" s="1"/>
  <c r="L155" i="6"/>
  <c r="N155" i="6" s="1"/>
  <c r="J154" i="6"/>
  <c r="L154" i="6"/>
  <c r="N154" i="6" s="1"/>
  <c r="K154" i="6"/>
  <c r="M154" i="6" s="1"/>
  <c r="J153" i="6"/>
  <c r="L153" i="6"/>
  <c r="N153" i="6" s="1"/>
  <c r="K153" i="6"/>
  <c r="M153" i="6" s="1"/>
  <c r="J152" i="6"/>
  <c r="L152" i="6" s="1"/>
  <c r="N152" i="6" s="1"/>
  <c r="K152" i="6"/>
  <c r="M152" i="6" s="1"/>
  <c r="J151" i="6"/>
  <c r="K151" i="6" s="1"/>
  <c r="M151" i="6" s="1"/>
  <c r="J149" i="6"/>
  <c r="L149" i="6"/>
  <c r="N149" i="6" s="1"/>
  <c r="K149" i="6"/>
  <c r="M149" i="6" s="1"/>
  <c r="J148" i="6"/>
  <c r="L148" i="6"/>
  <c r="N148" i="6" s="1"/>
  <c r="K148" i="6"/>
  <c r="M148" i="6" s="1"/>
  <c r="J147" i="6"/>
  <c r="L147" i="6" s="1"/>
  <c r="N147" i="6" s="1"/>
  <c r="J146" i="6"/>
  <c r="K146" i="6" s="1"/>
  <c r="M146" i="6" s="1"/>
  <c r="J145" i="6"/>
  <c r="L145" i="6"/>
  <c r="N145" i="6" s="1"/>
  <c r="K145" i="6"/>
  <c r="M145" i="6" s="1"/>
  <c r="J144" i="6"/>
  <c r="L144" i="6"/>
  <c r="N144" i="6" s="1"/>
  <c r="K144" i="6"/>
  <c r="M144" i="6" s="1"/>
  <c r="J143" i="6"/>
  <c r="K143" i="6" s="1"/>
  <c r="M143" i="6" s="1"/>
  <c r="L143" i="6"/>
  <c r="N143" i="6" s="1"/>
  <c r="J142" i="6"/>
  <c r="L142" i="6"/>
  <c r="N142" i="6" s="1"/>
  <c r="K142" i="6"/>
  <c r="M142" i="6" s="1"/>
  <c r="J141" i="6"/>
  <c r="L141" i="6"/>
  <c r="N141" i="6" s="1"/>
  <c r="K141" i="6"/>
  <c r="M141" i="6" s="1"/>
  <c r="J140" i="6"/>
  <c r="L140" i="6"/>
  <c r="N140" i="6" s="1"/>
  <c r="K140" i="6"/>
  <c r="M140" i="6" s="1"/>
  <c r="J139" i="6"/>
  <c r="K139" i="6" s="1"/>
  <c r="M139" i="6" s="1"/>
  <c r="L139" i="6"/>
  <c r="N139" i="6" s="1"/>
  <c r="J138" i="6"/>
  <c r="L138" i="6"/>
  <c r="N138" i="6" s="1"/>
  <c r="K138" i="6"/>
  <c r="M138" i="6" s="1"/>
  <c r="J137" i="6"/>
  <c r="L137" i="6"/>
  <c r="N137" i="6" s="1"/>
  <c r="K137" i="6"/>
  <c r="M137" i="6" s="1"/>
  <c r="J136" i="6"/>
  <c r="L136" i="6"/>
  <c r="N136" i="6" s="1"/>
  <c r="K136" i="6"/>
  <c r="M136" i="6" s="1"/>
  <c r="J135" i="6"/>
  <c r="K135" i="6" s="1"/>
  <c r="M135" i="6" s="1"/>
  <c r="L135" i="6"/>
  <c r="N135" i="6" s="1"/>
  <c r="J133" i="6"/>
  <c r="L133" i="6"/>
  <c r="N133" i="6" s="1"/>
  <c r="K133" i="6"/>
  <c r="M133" i="6" s="1"/>
  <c r="J132" i="6"/>
  <c r="L132" i="6"/>
  <c r="N132" i="6" s="1"/>
  <c r="K132" i="6"/>
  <c r="M132" i="6" s="1"/>
  <c r="J131" i="6"/>
  <c r="L131" i="6"/>
  <c r="N131" i="6" s="1"/>
  <c r="K131" i="6"/>
  <c r="M131" i="6" s="1"/>
  <c r="J130" i="6"/>
  <c r="K130" i="6" s="1"/>
  <c r="M130" i="6" s="1"/>
  <c r="L130" i="6"/>
  <c r="N130" i="6" s="1"/>
  <c r="J129" i="6"/>
  <c r="L129" i="6"/>
  <c r="N129" i="6" s="1"/>
  <c r="K129" i="6"/>
  <c r="M129" i="6" s="1"/>
  <c r="J128" i="6"/>
  <c r="L128" i="6"/>
  <c r="N128" i="6" s="1"/>
  <c r="K128" i="6"/>
  <c r="M128" i="6" s="1"/>
  <c r="J127" i="6"/>
  <c r="L127" i="6"/>
  <c r="N127" i="6" s="1"/>
  <c r="K127" i="6"/>
  <c r="M127" i="6" s="1"/>
  <c r="J126" i="6"/>
  <c r="K126" i="6" s="1"/>
  <c r="M126" i="6" s="1"/>
  <c r="L126" i="6"/>
  <c r="N126" i="6" s="1"/>
  <c r="J125" i="6"/>
  <c r="L125" i="6"/>
  <c r="N125" i="6" s="1"/>
  <c r="K125" i="6"/>
  <c r="M125" i="6" s="1"/>
  <c r="J123" i="6"/>
  <c r="L123" i="6"/>
  <c r="N123" i="6" s="1"/>
  <c r="K123" i="6"/>
  <c r="M123" i="6" s="1"/>
  <c r="J122" i="6"/>
  <c r="L122" i="6"/>
  <c r="N122" i="6" s="1"/>
  <c r="K122" i="6"/>
  <c r="M122" i="6" s="1"/>
  <c r="J121" i="6"/>
  <c r="K121" i="6" s="1"/>
  <c r="M121" i="6" s="1"/>
  <c r="L121" i="6"/>
  <c r="N121" i="6" s="1"/>
  <c r="J120" i="6"/>
  <c r="L120" i="6"/>
  <c r="N120" i="6" s="1"/>
  <c r="K120" i="6"/>
  <c r="M120" i="6" s="1"/>
  <c r="J119" i="6"/>
  <c r="L119" i="6"/>
  <c r="N119" i="6" s="1"/>
  <c r="K119" i="6"/>
  <c r="M119" i="6" s="1"/>
  <c r="J118" i="6"/>
  <c r="L118" i="6"/>
  <c r="N118" i="6" s="1"/>
  <c r="K118" i="6"/>
  <c r="M118" i="6" s="1"/>
  <c r="J117" i="6"/>
  <c r="K117" i="6" s="1"/>
  <c r="M117" i="6" s="1"/>
  <c r="L117" i="6"/>
  <c r="N117" i="6" s="1"/>
  <c r="J116" i="6"/>
  <c r="L116" i="6"/>
  <c r="N116" i="6" s="1"/>
  <c r="K116" i="6"/>
  <c r="M116" i="6" s="1"/>
  <c r="J115" i="6"/>
  <c r="L115" i="6"/>
  <c r="N115" i="6" s="1"/>
  <c r="K115" i="6"/>
  <c r="M115" i="6" s="1"/>
  <c r="J113" i="6"/>
  <c r="L113" i="6"/>
  <c r="N113" i="6" s="1"/>
  <c r="K113" i="6"/>
  <c r="M113" i="6" s="1"/>
  <c r="J112" i="6"/>
  <c r="K112" i="6" s="1"/>
  <c r="M112" i="6" s="1"/>
  <c r="L112" i="6"/>
  <c r="N112" i="6" s="1"/>
  <c r="J111" i="6"/>
  <c r="L111" i="6"/>
  <c r="N111" i="6" s="1"/>
  <c r="K111" i="6"/>
  <c r="M111" i="6" s="1"/>
  <c r="J110" i="6"/>
  <c r="L110" i="6"/>
  <c r="N110" i="6" s="1"/>
  <c r="K110" i="6"/>
  <c r="M110" i="6" s="1"/>
  <c r="J109" i="6"/>
  <c r="L109" i="6"/>
  <c r="N109" i="6" s="1"/>
  <c r="K109" i="6"/>
  <c r="M109" i="6" s="1"/>
  <c r="J108" i="6"/>
  <c r="K108" i="6" s="1"/>
  <c r="M108" i="6" s="1"/>
  <c r="L108" i="6"/>
  <c r="N108" i="6" s="1"/>
  <c r="J107" i="6"/>
  <c r="L107" i="6"/>
  <c r="N107" i="6" s="1"/>
  <c r="K107" i="6"/>
  <c r="M107" i="6" s="1"/>
  <c r="J106" i="6"/>
  <c r="L106" i="6"/>
  <c r="N106" i="6" s="1"/>
  <c r="K106" i="6"/>
  <c r="M106" i="6" s="1"/>
  <c r="J105" i="6"/>
  <c r="L105" i="6"/>
  <c r="N105" i="6" s="1"/>
  <c r="K105" i="6"/>
  <c r="M105" i="6" s="1"/>
  <c r="J104" i="6"/>
  <c r="K104" i="6" s="1"/>
  <c r="M104" i="6" s="1"/>
  <c r="L104" i="6"/>
  <c r="N104" i="6" s="1"/>
  <c r="J103" i="6"/>
  <c r="L103" i="6"/>
  <c r="N103" i="6" s="1"/>
  <c r="K103" i="6"/>
  <c r="M103" i="6" s="1"/>
  <c r="J102" i="6"/>
  <c r="L102" i="6"/>
  <c r="N102" i="6" s="1"/>
  <c r="K102" i="6"/>
  <c r="M102" i="6" s="1"/>
  <c r="J101" i="6"/>
  <c r="L101" i="6"/>
  <c r="N101" i="6" s="1"/>
  <c r="K101" i="6"/>
  <c r="M101" i="6" s="1"/>
  <c r="J100" i="6"/>
  <c r="K100" i="6" s="1"/>
  <c r="M100" i="6" s="1"/>
  <c r="L100" i="6"/>
  <c r="N100" i="6" s="1"/>
  <c r="J99" i="6"/>
  <c r="L99" i="6"/>
  <c r="N99" i="6" s="1"/>
  <c r="K99" i="6"/>
  <c r="M99" i="6" s="1"/>
  <c r="J98" i="6"/>
  <c r="L98" i="6"/>
  <c r="N98" i="6" s="1"/>
  <c r="K98" i="6"/>
  <c r="M98" i="6" s="1"/>
  <c r="J97" i="6"/>
  <c r="L97" i="6"/>
  <c r="N97" i="6" s="1"/>
  <c r="K97" i="6"/>
  <c r="M97" i="6" s="1"/>
  <c r="J96" i="6"/>
  <c r="K96" i="6" s="1"/>
  <c r="M96" i="6" s="1"/>
  <c r="L96" i="6"/>
  <c r="N96" i="6" s="1"/>
  <c r="J95" i="6"/>
  <c r="L95" i="6"/>
  <c r="N95" i="6" s="1"/>
  <c r="K95" i="6"/>
  <c r="M95" i="6" s="1"/>
  <c r="J94" i="6"/>
  <c r="L94" i="6"/>
  <c r="N94" i="6" s="1"/>
  <c r="K94" i="6"/>
  <c r="M94" i="6" s="1"/>
  <c r="J93" i="6"/>
  <c r="L93" i="6"/>
  <c r="N93" i="6" s="1"/>
  <c r="K93" i="6"/>
  <c r="M93" i="6" s="1"/>
  <c r="J92" i="6"/>
  <c r="K92" i="6" s="1"/>
  <c r="M92" i="6" s="1"/>
  <c r="L92" i="6"/>
  <c r="N92" i="6" s="1"/>
  <c r="J91" i="6"/>
  <c r="L91" i="6"/>
  <c r="N91" i="6" s="1"/>
  <c r="K91" i="6"/>
  <c r="M91" i="6" s="1"/>
  <c r="J90" i="6"/>
  <c r="L90" i="6"/>
  <c r="N90" i="6" s="1"/>
  <c r="K90" i="6"/>
  <c r="M90" i="6" s="1"/>
  <c r="J89" i="6"/>
  <c r="L89" i="6"/>
  <c r="N89" i="6" s="1"/>
  <c r="K89" i="6"/>
  <c r="M89" i="6" s="1"/>
  <c r="J88" i="6"/>
  <c r="K88" i="6" s="1"/>
  <c r="M88" i="6" s="1"/>
  <c r="L88" i="6"/>
  <c r="N88" i="6" s="1"/>
  <c r="J87" i="6"/>
  <c r="L87" i="6"/>
  <c r="N87" i="6" s="1"/>
  <c r="K87" i="6"/>
  <c r="M87" i="6" s="1"/>
  <c r="J86" i="6"/>
  <c r="L86" i="6"/>
  <c r="N86" i="6" s="1"/>
  <c r="K86" i="6"/>
  <c r="M86" i="6" s="1"/>
  <c r="J85" i="6"/>
  <c r="L85" i="6"/>
  <c r="N85" i="6" s="1"/>
  <c r="K85" i="6"/>
  <c r="M85" i="6" s="1"/>
  <c r="J84" i="6"/>
  <c r="K84" i="6" s="1"/>
  <c r="M84" i="6" s="1"/>
  <c r="L84" i="6"/>
  <c r="N84" i="6" s="1"/>
  <c r="J83" i="6"/>
  <c r="L83" i="6"/>
  <c r="N83" i="6" s="1"/>
  <c r="K83" i="6"/>
  <c r="M83" i="6" s="1"/>
  <c r="J82" i="6"/>
  <c r="L82" i="6"/>
  <c r="N82" i="6" s="1"/>
  <c r="K82" i="6"/>
  <c r="M82" i="6" s="1"/>
  <c r="J81" i="6"/>
  <c r="L81" i="6"/>
  <c r="N81" i="6" s="1"/>
  <c r="K81" i="6"/>
  <c r="M81" i="6" s="1"/>
  <c r="J80" i="6"/>
  <c r="K80" i="6" s="1"/>
  <c r="M80" i="6" s="1"/>
  <c r="L80" i="6"/>
  <c r="N80" i="6" s="1"/>
  <c r="J79" i="6"/>
  <c r="L79" i="6"/>
  <c r="N79" i="6" s="1"/>
  <c r="K79" i="6"/>
  <c r="M79" i="6" s="1"/>
  <c r="J78" i="6"/>
  <c r="L78" i="6"/>
  <c r="N78" i="6" s="1"/>
  <c r="K78" i="6"/>
  <c r="M78" i="6" s="1"/>
  <c r="J77" i="6"/>
  <c r="L77" i="6"/>
  <c r="N77" i="6" s="1"/>
  <c r="K77" i="6"/>
  <c r="M77" i="6" s="1"/>
  <c r="J76" i="6"/>
  <c r="K76" i="6" s="1"/>
  <c r="M76" i="6" s="1"/>
  <c r="L76" i="6"/>
  <c r="N76" i="6" s="1"/>
  <c r="J75" i="6"/>
  <c r="L75" i="6"/>
  <c r="N75" i="6" s="1"/>
  <c r="K75" i="6"/>
  <c r="M75" i="6" s="1"/>
  <c r="J74" i="6"/>
  <c r="L74" i="6"/>
  <c r="N74" i="6" s="1"/>
  <c r="K74" i="6"/>
  <c r="M74" i="6" s="1"/>
  <c r="J73" i="6"/>
  <c r="L73" i="6"/>
  <c r="N73" i="6" s="1"/>
  <c r="K73" i="6"/>
  <c r="M73" i="6" s="1"/>
  <c r="J72" i="6"/>
  <c r="K72" i="6" s="1"/>
  <c r="M72" i="6" s="1"/>
  <c r="L72" i="6"/>
  <c r="N72" i="6" s="1"/>
  <c r="J71" i="6"/>
  <c r="L71" i="6"/>
  <c r="N71" i="6" s="1"/>
  <c r="K71" i="6"/>
  <c r="M71" i="6" s="1"/>
  <c r="J70" i="6"/>
  <c r="L70" i="6"/>
  <c r="N70" i="6" s="1"/>
  <c r="K70" i="6"/>
  <c r="M70" i="6" s="1"/>
  <c r="J69" i="6"/>
  <c r="L69" i="6"/>
  <c r="N69" i="6" s="1"/>
  <c r="K69" i="6"/>
  <c r="M69" i="6" s="1"/>
  <c r="J68" i="6"/>
  <c r="K68" i="6" s="1"/>
  <c r="M68" i="6" s="1"/>
  <c r="L68" i="6"/>
  <c r="N68" i="6" s="1"/>
  <c r="J67" i="6"/>
  <c r="L67" i="6"/>
  <c r="N67" i="6" s="1"/>
  <c r="K67" i="6"/>
  <c r="M67" i="6" s="1"/>
  <c r="J66" i="6"/>
  <c r="L66" i="6"/>
  <c r="N66" i="6" s="1"/>
  <c r="K66" i="6"/>
  <c r="M66" i="6" s="1"/>
  <c r="J65" i="6"/>
  <c r="L65" i="6"/>
  <c r="N65" i="6" s="1"/>
  <c r="K65" i="6"/>
  <c r="M65" i="6" s="1"/>
  <c r="J64" i="6"/>
  <c r="K64" i="6" s="1"/>
  <c r="M64" i="6" s="1"/>
  <c r="L64" i="6"/>
  <c r="N64" i="6" s="1"/>
  <c r="J63" i="6"/>
  <c r="L63" i="6"/>
  <c r="N63" i="6" s="1"/>
  <c r="K63" i="6"/>
  <c r="M63" i="6" s="1"/>
  <c r="J62" i="6"/>
  <c r="L62" i="6"/>
  <c r="N62" i="6" s="1"/>
  <c r="K62" i="6"/>
  <c r="M62" i="6" s="1"/>
  <c r="J61" i="6"/>
  <c r="L61" i="6"/>
  <c r="N61" i="6" s="1"/>
  <c r="K61" i="6"/>
  <c r="M61" i="6" s="1"/>
  <c r="J60" i="6"/>
  <c r="K60" i="6" s="1"/>
  <c r="M60" i="6" s="1"/>
  <c r="L60" i="6"/>
  <c r="N60" i="6" s="1"/>
  <c r="J59" i="6"/>
  <c r="L59" i="6"/>
  <c r="N59" i="6" s="1"/>
  <c r="K59" i="6"/>
  <c r="M59" i="6" s="1"/>
  <c r="J58" i="6"/>
  <c r="L58" i="6"/>
  <c r="N58" i="6" s="1"/>
  <c r="K58" i="6"/>
  <c r="M58" i="6" s="1"/>
  <c r="J57" i="6"/>
  <c r="L57" i="6"/>
  <c r="N57" i="6" s="1"/>
  <c r="K57" i="6"/>
  <c r="M57" i="6" s="1"/>
  <c r="J56" i="6"/>
  <c r="K56" i="6" s="1"/>
  <c r="M56" i="6" s="1"/>
  <c r="L56" i="6"/>
  <c r="N56" i="6" s="1"/>
  <c r="J55" i="6"/>
  <c r="L55" i="6"/>
  <c r="N55" i="6" s="1"/>
  <c r="K55" i="6"/>
  <c r="M55" i="6" s="1"/>
  <c r="J54" i="6"/>
  <c r="L54" i="6"/>
  <c r="N54" i="6" s="1"/>
  <c r="K54" i="6"/>
  <c r="M54" i="6" s="1"/>
  <c r="J53" i="6"/>
  <c r="L53" i="6"/>
  <c r="N53" i="6" s="1"/>
  <c r="K53" i="6"/>
  <c r="M53" i="6" s="1"/>
  <c r="J52" i="6"/>
  <c r="K52" i="6" s="1"/>
  <c r="M52" i="6" s="1"/>
  <c r="L52" i="6"/>
  <c r="N52" i="6" s="1"/>
  <c r="J51" i="6"/>
  <c r="L51" i="6"/>
  <c r="N51" i="6" s="1"/>
  <c r="K51" i="6"/>
  <c r="M51" i="6" s="1"/>
  <c r="J50" i="6"/>
  <c r="L50" i="6"/>
  <c r="N50" i="6" s="1"/>
  <c r="K50" i="6"/>
  <c r="M50" i="6" s="1"/>
  <c r="J49" i="6"/>
  <c r="L49" i="6"/>
  <c r="N49" i="6" s="1"/>
  <c r="K49" i="6"/>
  <c r="M49" i="6" s="1"/>
  <c r="J48" i="6"/>
  <c r="K48" i="6" s="1"/>
  <c r="M48" i="6" s="1"/>
  <c r="L48" i="6"/>
  <c r="N48" i="6" s="1"/>
  <c r="J47" i="6"/>
  <c r="L47" i="6"/>
  <c r="N47" i="6" s="1"/>
  <c r="K47" i="6"/>
  <c r="M47" i="6" s="1"/>
  <c r="J46" i="6"/>
  <c r="L46" i="6"/>
  <c r="N46" i="6" s="1"/>
  <c r="K46" i="6"/>
  <c r="M46" i="6" s="1"/>
  <c r="J45" i="6"/>
  <c r="L45" i="6"/>
  <c r="N45" i="6" s="1"/>
  <c r="K45" i="6"/>
  <c r="M45" i="6" s="1"/>
  <c r="J44" i="6"/>
  <c r="K44" i="6" s="1"/>
  <c r="M44" i="6" s="1"/>
  <c r="L44" i="6"/>
  <c r="N44" i="6" s="1"/>
  <c r="J43" i="6"/>
  <c r="L43" i="6"/>
  <c r="N43" i="6" s="1"/>
  <c r="K43" i="6"/>
  <c r="M43" i="6" s="1"/>
  <c r="J42" i="6"/>
  <c r="L42" i="6"/>
  <c r="N42" i="6" s="1"/>
  <c r="K42" i="6"/>
  <c r="M42" i="6" s="1"/>
  <c r="J41" i="6"/>
  <c r="L41" i="6"/>
  <c r="N41" i="6" s="1"/>
  <c r="K41" i="6"/>
  <c r="M41" i="6" s="1"/>
  <c r="J39" i="6"/>
  <c r="K39" i="6" s="1"/>
  <c r="M39" i="6" s="1"/>
  <c r="L39" i="6"/>
  <c r="N39" i="6" s="1"/>
  <c r="J38" i="6"/>
  <c r="J37" i="6"/>
  <c r="K37" i="6" s="1"/>
  <c r="M37" i="6" s="1"/>
  <c r="J36" i="6"/>
  <c r="K36" i="6" s="1"/>
  <c r="M36" i="6" s="1"/>
  <c r="L36" i="6"/>
  <c r="N36" i="6" s="1"/>
  <c r="J35" i="6"/>
  <c r="J34" i="6"/>
  <c r="K34" i="6" s="1"/>
  <c r="M34" i="6" s="1"/>
  <c r="L34" i="6"/>
  <c r="N34" i="6" s="1"/>
  <c r="J32" i="6"/>
  <c r="K32" i="6" s="1"/>
  <c r="M32" i="6" s="1"/>
  <c r="J31" i="6"/>
  <c r="K31" i="6" s="1"/>
  <c r="M31" i="6" s="1"/>
  <c r="J30" i="6"/>
  <c r="K30" i="6" s="1"/>
  <c r="M30" i="6" s="1"/>
  <c r="L30" i="6"/>
  <c r="N30" i="6" s="1"/>
  <c r="J29" i="6"/>
  <c r="K29" i="6" s="1"/>
  <c r="M29" i="6" s="1"/>
  <c r="L29" i="6"/>
  <c r="N29" i="6" s="1"/>
  <c r="J28" i="6"/>
  <c r="J27" i="6"/>
  <c r="K27" i="6" s="1"/>
  <c r="M27" i="6" s="1"/>
  <c r="J26" i="6"/>
  <c r="K26" i="6" s="1"/>
  <c r="M26" i="6" s="1"/>
  <c r="J25" i="6"/>
  <c r="K25" i="6" s="1"/>
  <c r="M25" i="6" s="1"/>
  <c r="L25" i="6"/>
  <c r="N25" i="6" s="1"/>
  <c r="J24" i="6"/>
  <c r="K24" i="6" s="1"/>
  <c r="M24" i="6" s="1"/>
  <c r="J23" i="6"/>
  <c r="K23" i="6" s="1"/>
  <c r="M23" i="6" s="1"/>
  <c r="L23" i="6"/>
  <c r="N23" i="6" s="1"/>
  <c r="J22" i="6"/>
  <c r="J21" i="6"/>
  <c r="K21" i="6" s="1"/>
  <c r="M21" i="6" s="1"/>
  <c r="L21" i="6"/>
  <c r="N21" i="6" s="1"/>
  <c r="J20" i="6"/>
  <c r="J19" i="6"/>
  <c r="J18" i="6"/>
  <c r="L18" i="6" s="1"/>
  <c r="N18" i="6" s="1"/>
  <c r="K18" i="6"/>
  <c r="M18" i="6" s="1"/>
  <c r="J17" i="6"/>
  <c r="L17" i="6" s="1"/>
  <c r="N17" i="6" s="1"/>
  <c r="J16" i="6"/>
  <c r="L16" i="6" s="1"/>
  <c r="N16" i="6" s="1"/>
  <c r="N738" i="4"/>
  <c r="M738" i="4"/>
  <c r="J737" i="4"/>
  <c r="J736" i="4"/>
  <c r="J735" i="4"/>
  <c r="J734" i="4"/>
  <c r="J733" i="4"/>
  <c r="J732" i="4"/>
  <c r="J731" i="4"/>
  <c r="J730" i="4"/>
  <c r="J729" i="4"/>
  <c r="J728" i="4"/>
  <c r="J727" i="4"/>
  <c r="J726" i="4"/>
  <c r="J725" i="4"/>
  <c r="J724" i="4"/>
  <c r="J723" i="4"/>
  <c r="J722" i="4"/>
  <c r="J721" i="4"/>
  <c r="J720" i="4"/>
  <c r="J719" i="4"/>
  <c r="J718" i="4"/>
  <c r="J717" i="4"/>
  <c r="J716" i="4"/>
  <c r="J714" i="4"/>
  <c r="J713" i="4"/>
  <c r="J712" i="4"/>
  <c r="J711" i="4"/>
  <c r="J710" i="4"/>
  <c r="J709" i="4"/>
  <c r="J708" i="4"/>
  <c r="J707" i="4"/>
  <c r="J706" i="4"/>
  <c r="J705" i="4"/>
  <c r="J704" i="4"/>
  <c r="J703" i="4"/>
  <c r="J702" i="4"/>
  <c r="J701" i="4"/>
  <c r="J700" i="4"/>
  <c r="J699" i="4"/>
  <c r="J698" i="4"/>
  <c r="J697" i="4"/>
  <c r="J696" i="4"/>
  <c r="J695" i="4"/>
  <c r="J694" i="4"/>
  <c r="J693" i="4"/>
  <c r="J691" i="4"/>
  <c r="J690" i="4"/>
  <c r="J689" i="4"/>
  <c r="J688" i="4"/>
  <c r="J687" i="4"/>
  <c r="J686" i="4"/>
  <c r="J685" i="4"/>
  <c r="J683" i="4"/>
  <c r="J682" i="4"/>
  <c r="J681" i="4"/>
  <c r="J680" i="4"/>
  <c r="J679" i="4"/>
  <c r="J678" i="4"/>
  <c r="J677" i="4"/>
  <c r="J676" i="4"/>
  <c r="J675" i="4"/>
  <c r="J673" i="4"/>
  <c r="J672" i="4"/>
  <c r="J671" i="4"/>
  <c r="J670" i="4"/>
  <c r="J669" i="4"/>
  <c r="J668" i="4"/>
  <c r="J667" i="4"/>
  <c r="J666" i="4"/>
  <c r="J665" i="4"/>
  <c r="J663" i="4"/>
  <c r="J662" i="4"/>
  <c r="J661" i="4"/>
  <c r="J660" i="4"/>
  <c r="J659" i="4"/>
  <c r="J658" i="4"/>
  <c r="J657" i="4"/>
  <c r="J656" i="4"/>
  <c r="J655" i="4"/>
  <c r="J654" i="4"/>
  <c r="J653" i="4"/>
  <c r="J652" i="4"/>
  <c r="J651" i="4"/>
  <c r="J650" i="4"/>
  <c r="J649" i="4"/>
  <c r="J648" i="4"/>
  <c r="J647" i="4"/>
  <c r="J646" i="4"/>
  <c r="J645" i="4"/>
  <c r="J644" i="4"/>
  <c r="J642" i="4"/>
  <c r="J641" i="4"/>
  <c r="J640" i="4"/>
  <c r="J639" i="4"/>
  <c r="J637" i="4"/>
  <c r="J636" i="4"/>
  <c r="J635" i="4"/>
  <c r="J634" i="4"/>
  <c r="J633" i="4"/>
  <c r="J632" i="4"/>
  <c r="J631" i="4"/>
  <c r="J630" i="4"/>
  <c r="J629" i="4"/>
  <c r="J628" i="4"/>
  <c r="J627" i="4"/>
  <c r="J626" i="4"/>
  <c r="J623" i="4"/>
  <c r="J622" i="4"/>
  <c r="J621" i="4"/>
  <c r="J620" i="4"/>
  <c r="J619" i="4"/>
  <c r="J618" i="4"/>
  <c r="J617" i="4"/>
  <c r="J616" i="4"/>
  <c r="J615" i="4"/>
  <c r="J614" i="4"/>
  <c r="J613" i="4"/>
  <c r="J612" i="4"/>
  <c r="J611" i="4"/>
  <c r="J610" i="4"/>
  <c r="J609" i="4"/>
  <c r="J608" i="4"/>
  <c r="J607" i="4"/>
  <c r="J606" i="4"/>
  <c r="J604" i="4"/>
  <c r="J603" i="4"/>
  <c r="J602" i="4"/>
  <c r="J601" i="4"/>
  <c r="J600" i="4"/>
  <c r="J599" i="4"/>
  <c r="J598" i="4"/>
  <c r="J597" i="4"/>
  <c r="J596" i="4"/>
  <c r="J595" i="4"/>
  <c r="J594" i="4"/>
  <c r="J593" i="4"/>
  <c r="J592" i="4"/>
  <c r="J591" i="4"/>
  <c r="J590" i="4"/>
  <c r="J589" i="4"/>
  <c r="J588" i="4"/>
  <c r="J587" i="4"/>
  <c r="J586" i="4"/>
  <c r="J585" i="4"/>
  <c r="J584" i="4"/>
  <c r="J583" i="4"/>
  <c r="J582" i="4"/>
  <c r="J580" i="4"/>
  <c r="J579" i="4"/>
  <c r="J578" i="4"/>
  <c r="J577" i="4"/>
  <c r="J576" i="4"/>
  <c r="J575" i="4"/>
  <c r="J574" i="4"/>
  <c r="J573" i="4"/>
  <c r="J572" i="4"/>
  <c r="J571" i="4"/>
  <c r="J570" i="4"/>
  <c r="J569" i="4"/>
  <c r="J568" i="4"/>
  <c r="J567" i="4"/>
  <c r="J566" i="4"/>
  <c r="J565" i="4"/>
  <c r="J564" i="4"/>
  <c r="J563" i="4"/>
  <c r="J562" i="4"/>
  <c r="J561" i="4"/>
  <c r="J560" i="4"/>
  <c r="J559" i="4"/>
  <c r="J558" i="4"/>
  <c r="J557" i="4"/>
  <c r="J556" i="4"/>
  <c r="J555" i="4"/>
  <c r="J554" i="4"/>
  <c r="J553" i="4"/>
  <c r="J552" i="4"/>
  <c r="J551" i="4"/>
  <c r="J550" i="4"/>
  <c r="J549" i="4"/>
  <c r="J548" i="4"/>
  <c r="J547" i="4"/>
  <c r="J546" i="4"/>
  <c r="J545" i="4"/>
  <c r="J544" i="4"/>
  <c r="J543" i="4"/>
  <c r="J542" i="4"/>
  <c r="J541" i="4"/>
  <c r="J539" i="4"/>
  <c r="J538" i="4"/>
  <c r="J537" i="4"/>
  <c r="J536" i="4"/>
  <c r="J535" i="4"/>
  <c r="J534" i="4"/>
  <c r="J533" i="4"/>
  <c r="J532" i="4"/>
  <c r="J531" i="4"/>
  <c r="J530" i="4"/>
  <c r="J529" i="4"/>
  <c r="J528" i="4"/>
  <c r="J527" i="4"/>
  <c r="J526" i="4"/>
  <c r="J525" i="4"/>
  <c r="J524" i="4"/>
  <c r="J523" i="4"/>
  <c r="J522" i="4"/>
  <c r="J521" i="4"/>
  <c r="J520" i="4"/>
  <c r="J519" i="4"/>
  <c r="J518" i="4"/>
  <c r="J517" i="4"/>
  <c r="J516" i="4"/>
  <c r="J515" i="4"/>
  <c r="J514" i="4"/>
  <c r="J513" i="4"/>
  <c r="J512" i="4"/>
  <c r="J511" i="4"/>
  <c r="J510" i="4"/>
  <c r="J509" i="4"/>
  <c r="J508" i="4"/>
  <c r="J507" i="4"/>
  <c r="J506" i="4"/>
  <c r="J505" i="4"/>
  <c r="J504" i="4"/>
  <c r="J503" i="4"/>
  <c r="J502" i="4"/>
  <c r="J501" i="4"/>
  <c r="J500" i="4"/>
  <c r="J499" i="4"/>
  <c r="J498" i="4"/>
  <c r="J497" i="4"/>
  <c r="J496" i="4"/>
  <c r="J494" i="4"/>
  <c r="J493" i="4"/>
  <c r="J492" i="4"/>
  <c r="J491" i="4"/>
  <c r="J490" i="4"/>
  <c r="J489" i="4"/>
  <c r="J488" i="4"/>
  <c r="J487" i="4"/>
  <c r="J486" i="4"/>
  <c r="J485" i="4"/>
  <c r="J484" i="4"/>
  <c r="J483" i="4"/>
  <c r="J482" i="4"/>
  <c r="J481" i="4"/>
  <c r="J480" i="4"/>
  <c r="J479" i="4"/>
  <c r="J478" i="4"/>
  <c r="J476" i="4"/>
  <c r="J475" i="4"/>
  <c r="J474" i="4"/>
  <c r="J473" i="4"/>
  <c r="J472" i="4"/>
  <c r="J471" i="4"/>
  <c r="J470" i="4"/>
  <c r="J469" i="4"/>
  <c r="J468" i="4"/>
  <c r="J467" i="4"/>
  <c r="J466" i="4"/>
  <c r="J465" i="4"/>
  <c r="J464" i="4"/>
  <c r="J463" i="4"/>
  <c r="J462" i="4"/>
  <c r="J461" i="4"/>
  <c r="J460" i="4"/>
  <c r="J459" i="4"/>
  <c r="J458" i="4"/>
  <c r="J457" i="4"/>
  <c r="J456" i="4"/>
  <c r="J455" i="4"/>
  <c r="J454" i="4"/>
  <c r="J453" i="4"/>
  <c r="J452" i="4"/>
  <c r="J451" i="4"/>
  <c r="J450" i="4"/>
  <c r="J449" i="4"/>
  <c r="J448" i="4"/>
  <c r="J447" i="4"/>
  <c r="J446" i="4"/>
  <c r="J445" i="4"/>
  <c r="J444" i="4"/>
  <c r="J443" i="4"/>
  <c r="J442" i="4"/>
  <c r="J441" i="4"/>
  <c r="J439" i="4"/>
  <c r="J438" i="4"/>
  <c r="J437" i="4"/>
  <c r="J436" i="4"/>
  <c r="J435" i="4"/>
  <c r="J434" i="4"/>
  <c r="J433" i="4"/>
  <c r="J432" i="4"/>
  <c r="J431" i="4"/>
  <c r="J430" i="4"/>
  <c r="J429" i="4"/>
  <c r="J428" i="4"/>
  <c r="J427" i="4"/>
  <c r="J426" i="4"/>
  <c r="J425" i="4"/>
  <c r="J424" i="4"/>
  <c r="J423" i="4"/>
  <c r="J422" i="4"/>
  <c r="J421" i="4"/>
  <c r="J420" i="4"/>
  <c r="J419" i="4"/>
  <c r="J418" i="4"/>
  <c r="J417" i="4"/>
  <c r="J416" i="4"/>
  <c r="J415" i="4"/>
  <c r="J414" i="4"/>
  <c r="J413" i="4"/>
  <c r="J412" i="4"/>
  <c r="J411" i="4"/>
  <c r="J410" i="4"/>
  <c r="J409" i="4"/>
  <c r="J408" i="4"/>
  <c r="J407" i="4"/>
  <c r="J405" i="4"/>
  <c r="J404" i="4"/>
  <c r="J403" i="4"/>
  <c r="J402" i="4"/>
  <c r="J401" i="4"/>
  <c r="J400" i="4"/>
  <c r="J399" i="4"/>
  <c r="J398" i="4"/>
  <c r="J397" i="4"/>
  <c r="J396" i="4"/>
  <c r="J395" i="4"/>
  <c r="J393" i="4"/>
  <c r="J392" i="4"/>
  <c r="J391" i="4"/>
  <c r="J390" i="4"/>
  <c r="J389" i="4"/>
  <c r="J388" i="4"/>
  <c r="J387" i="4"/>
  <c r="J386" i="4"/>
  <c r="J385" i="4"/>
  <c r="J384" i="4"/>
  <c r="J383" i="4"/>
  <c r="J382" i="4"/>
  <c r="J381" i="4"/>
  <c r="J380" i="4"/>
  <c r="J379" i="4"/>
  <c r="J378" i="4"/>
  <c r="J377" i="4"/>
  <c r="J376" i="4"/>
  <c r="J374" i="4"/>
  <c r="J373" i="4"/>
  <c r="J372" i="4"/>
  <c r="J371" i="4"/>
  <c r="J370" i="4"/>
  <c r="J369" i="4"/>
  <c r="J368" i="4"/>
  <c r="J367" i="4"/>
  <c r="J366" i="4"/>
  <c r="J365" i="4"/>
  <c r="J364" i="4"/>
  <c r="J363" i="4"/>
  <c r="J362" i="4"/>
  <c r="J361" i="4"/>
  <c r="J360" i="4"/>
  <c r="J359" i="4"/>
  <c r="J358" i="4"/>
  <c r="J357" i="4"/>
  <c r="J356" i="4"/>
  <c r="J355" i="4"/>
  <c r="J354" i="4"/>
  <c r="J353" i="4"/>
  <c r="J352" i="4"/>
  <c r="J351" i="4"/>
  <c r="J350" i="4"/>
  <c r="J349" i="4"/>
  <c r="J348" i="4"/>
  <c r="J347" i="4"/>
  <c r="J346" i="4"/>
  <c r="J345" i="4"/>
  <c r="J344" i="4"/>
  <c r="J343" i="4"/>
  <c r="J342" i="4"/>
  <c r="J341" i="4"/>
  <c r="J340" i="4"/>
  <c r="J339" i="4"/>
  <c r="J338" i="4"/>
  <c r="J337" i="4"/>
  <c r="J336" i="4"/>
  <c r="J335" i="4"/>
  <c r="J332" i="4"/>
  <c r="J331" i="4"/>
  <c r="J330" i="4"/>
  <c r="J329" i="4"/>
  <c r="J328" i="4"/>
  <c r="J327" i="4"/>
  <c r="J326" i="4"/>
  <c r="J325" i="4"/>
  <c r="J324" i="4"/>
  <c r="J323" i="4"/>
  <c r="J322" i="4"/>
  <c r="J321" i="4"/>
  <c r="J320" i="4"/>
  <c r="J319" i="4"/>
  <c r="J318" i="4"/>
  <c r="J317" i="4"/>
  <c r="J316" i="4"/>
  <c r="J315" i="4"/>
  <c r="J314" i="4"/>
  <c r="J313" i="4"/>
  <c r="J312" i="4"/>
  <c r="J310" i="4"/>
  <c r="J309" i="4"/>
  <c r="J308" i="4"/>
  <c r="J307" i="4"/>
  <c r="J306" i="4"/>
  <c r="J305" i="4"/>
  <c r="J304" i="4"/>
  <c r="J303" i="4"/>
  <c r="J302" i="4"/>
  <c r="J301" i="4"/>
  <c r="J300" i="4"/>
  <c r="J299" i="4"/>
  <c r="J298" i="4"/>
  <c r="J297" i="4"/>
  <c r="J296" i="4"/>
  <c r="J295" i="4"/>
  <c r="J294" i="4"/>
  <c r="J293" i="4"/>
  <c r="J292" i="4"/>
  <c r="J291" i="4"/>
  <c r="J290" i="4"/>
  <c r="J289" i="4"/>
  <c r="J288" i="4"/>
  <c r="J287" i="4"/>
  <c r="J285" i="4"/>
  <c r="J284" i="4"/>
  <c r="J283" i="4"/>
  <c r="J282" i="4"/>
  <c r="J281" i="4"/>
  <c r="J280" i="4"/>
  <c r="J279" i="4"/>
  <c r="J278" i="4"/>
  <c r="J277" i="4"/>
  <c r="J276" i="4"/>
  <c r="J275" i="4"/>
  <c r="J274" i="4"/>
  <c r="J273" i="4"/>
  <c r="J272" i="4"/>
  <c r="J271" i="4"/>
  <c r="J270" i="4"/>
  <c r="J269" i="4"/>
  <c r="J268" i="4"/>
  <c r="J267" i="4"/>
  <c r="J266" i="4"/>
  <c r="J265" i="4"/>
  <c r="J264" i="4"/>
  <c r="J263" i="4"/>
  <c r="J262" i="4"/>
  <c r="J261" i="4"/>
  <c r="J260" i="4"/>
  <c r="J259" i="4"/>
  <c r="J258" i="4"/>
  <c r="J257" i="4"/>
  <c r="J256" i="4"/>
  <c r="J255" i="4"/>
  <c r="J254" i="4"/>
  <c r="J252" i="4"/>
  <c r="J251" i="4"/>
  <c r="J250" i="4"/>
  <c r="J249" i="4"/>
  <c r="J248" i="4"/>
  <c r="J247" i="4"/>
  <c r="J246" i="4"/>
  <c r="J245" i="4"/>
  <c r="J244" i="4"/>
  <c r="J243" i="4"/>
  <c r="J241" i="4"/>
  <c r="J240" i="4"/>
  <c r="J239" i="4"/>
  <c r="J238" i="4"/>
  <c r="J237" i="4"/>
  <c r="J236" i="4"/>
  <c r="J235" i="4"/>
  <c r="J234" i="4"/>
  <c r="J233" i="4"/>
  <c r="J232" i="4"/>
  <c r="J231" i="4"/>
  <c r="J230" i="4"/>
  <c r="J229" i="4"/>
  <c r="J228" i="4"/>
  <c r="J227" i="4"/>
  <c r="J226" i="4"/>
  <c r="J225" i="4"/>
  <c r="J224" i="4"/>
  <c r="J223" i="4"/>
  <c r="J222" i="4"/>
  <c r="J221" i="4"/>
  <c r="J220" i="4"/>
  <c r="J219" i="4"/>
  <c r="J218" i="4"/>
  <c r="J217" i="4"/>
  <c r="J216" i="4"/>
  <c r="J215" i="4"/>
  <c r="J214" i="4"/>
  <c r="J213" i="4"/>
  <c r="J212" i="4"/>
  <c r="J211" i="4"/>
  <c r="J210" i="4"/>
  <c r="J209" i="4"/>
  <c r="J208" i="4"/>
  <c r="J206" i="4"/>
  <c r="J205" i="4"/>
  <c r="J204" i="4"/>
  <c r="J203" i="4"/>
  <c r="J202" i="4"/>
  <c r="J201" i="4"/>
  <c r="J200" i="4"/>
  <c r="J199" i="4"/>
  <c r="J198" i="4"/>
  <c r="J196" i="4"/>
  <c r="J195" i="4"/>
  <c r="J194" i="4"/>
  <c r="J193" i="4"/>
  <c r="J192" i="4"/>
  <c r="J191" i="4"/>
  <c r="J190" i="4"/>
  <c r="J189" i="4"/>
  <c r="J187" i="4"/>
  <c r="J186" i="4"/>
  <c r="J185" i="4"/>
  <c r="J184" i="4"/>
  <c r="J183" i="4"/>
  <c r="J182" i="4"/>
  <c r="J181" i="4"/>
  <c r="J180" i="4"/>
  <c r="J176" i="4"/>
  <c r="J175" i="4"/>
  <c r="J174" i="4"/>
  <c r="J173" i="4"/>
  <c r="J172" i="4"/>
  <c r="J171" i="4"/>
  <c r="J169" i="4"/>
  <c r="J168" i="4"/>
  <c r="J167" i="4"/>
  <c r="J166" i="4"/>
  <c r="J165" i="4"/>
  <c r="J164" i="4"/>
  <c r="J163" i="4"/>
  <c r="J162" i="4"/>
  <c r="J161" i="4"/>
  <c r="J160" i="4"/>
  <c r="J159" i="4"/>
  <c r="J158" i="4"/>
  <c r="J157" i="4"/>
  <c r="J156" i="4"/>
  <c r="J155" i="4"/>
  <c r="J154" i="4"/>
  <c r="J153" i="4"/>
  <c r="J152" i="4"/>
  <c r="J151" i="4"/>
  <c r="J149" i="4"/>
  <c r="J148" i="4"/>
  <c r="J147" i="4"/>
  <c r="J146" i="4"/>
  <c r="J145" i="4"/>
  <c r="J144" i="4"/>
  <c r="J143" i="4"/>
  <c r="J142" i="4"/>
  <c r="J141" i="4"/>
  <c r="J140" i="4"/>
  <c r="J139" i="4"/>
  <c r="J138" i="4"/>
  <c r="J137" i="4"/>
  <c r="J136" i="4"/>
  <c r="J135" i="4"/>
  <c r="J133" i="4"/>
  <c r="J132" i="4"/>
  <c r="J131" i="4"/>
  <c r="J130" i="4"/>
  <c r="J129" i="4"/>
  <c r="J128" i="4"/>
  <c r="J127" i="4"/>
  <c r="J126" i="4"/>
  <c r="J125" i="4"/>
  <c r="J123" i="4"/>
  <c r="J122" i="4"/>
  <c r="J121" i="4"/>
  <c r="J120" i="4"/>
  <c r="J119" i="4"/>
  <c r="J118" i="4"/>
  <c r="J117" i="4"/>
  <c r="J116" i="4"/>
  <c r="J115"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39" i="4"/>
  <c r="J38" i="4"/>
  <c r="J37" i="4"/>
  <c r="J36" i="4"/>
  <c r="J35" i="4"/>
  <c r="J34" i="4"/>
  <c r="J32" i="4"/>
  <c r="J31" i="4"/>
  <c r="J30" i="4"/>
  <c r="J29" i="4"/>
  <c r="J28" i="4"/>
  <c r="J27" i="4"/>
  <c r="J26" i="4"/>
  <c r="J25" i="4"/>
  <c r="J24" i="4"/>
  <c r="J23" i="4"/>
  <c r="J22" i="4"/>
  <c r="J21" i="4"/>
  <c r="J20" i="4"/>
  <c r="J19" i="4"/>
  <c r="J18" i="4"/>
  <c r="J17" i="4"/>
  <c r="J16" i="4"/>
  <c r="N738" i="7"/>
  <c r="M738" i="7"/>
  <c r="J737" i="7"/>
  <c r="J736" i="7"/>
  <c r="J735" i="7"/>
  <c r="J734" i="7"/>
  <c r="J733" i="7"/>
  <c r="J732" i="7"/>
  <c r="J731" i="7"/>
  <c r="J730" i="7"/>
  <c r="J729" i="7"/>
  <c r="J728" i="7"/>
  <c r="J727" i="7"/>
  <c r="J726" i="7"/>
  <c r="J725" i="7"/>
  <c r="J724" i="7"/>
  <c r="J723" i="7"/>
  <c r="J722" i="7"/>
  <c r="J721" i="7"/>
  <c r="J720" i="7"/>
  <c r="J719" i="7"/>
  <c r="J718" i="7"/>
  <c r="J717" i="7"/>
  <c r="J716" i="7"/>
  <c r="J714" i="7"/>
  <c r="J713" i="7"/>
  <c r="J712" i="7"/>
  <c r="J711" i="7"/>
  <c r="J710" i="7"/>
  <c r="J709" i="7"/>
  <c r="J708" i="7"/>
  <c r="J707" i="7"/>
  <c r="J706" i="7"/>
  <c r="J705" i="7"/>
  <c r="J704" i="7"/>
  <c r="J703" i="7"/>
  <c r="J702" i="7"/>
  <c r="J701" i="7"/>
  <c r="J700" i="7"/>
  <c r="J699" i="7"/>
  <c r="J698" i="7"/>
  <c r="J697" i="7"/>
  <c r="J696" i="7"/>
  <c r="J695" i="7"/>
  <c r="J694" i="7"/>
  <c r="J693" i="7"/>
  <c r="J691" i="7"/>
  <c r="J690" i="7"/>
  <c r="J689" i="7"/>
  <c r="J688" i="7"/>
  <c r="J687" i="7"/>
  <c r="J686" i="7"/>
  <c r="J685" i="7"/>
  <c r="J683" i="7"/>
  <c r="J682" i="7"/>
  <c r="J681" i="7"/>
  <c r="J680" i="7"/>
  <c r="J679" i="7"/>
  <c r="J678" i="7"/>
  <c r="J677" i="7"/>
  <c r="J676" i="7"/>
  <c r="J675" i="7"/>
  <c r="J673" i="7"/>
  <c r="J672" i="7"/>
  <c r="J671" i="7"/>
  <c r="J670" i="7"/>
  <c r="J669" i="7"/>
  <c r="J668" i="7"/>
  <c r="J667" i="7"/>
  <c r="J666" i="7"/>
  <c r="J665" i="7"/>
  <c r="J663" i="7"/>
  <c r="J662" i="7"/>
  <c r="J661" i="7"/>
  <c r="J660" i="7"/>
  <c r="J659" i="7"/>
  <c r="J658" i="7"/>
  <c r="J657" i="7"/>
  <c r="J656" i="7"/>
  <c r="J655" i="7"/>
  <c r="J654" i="7"/>
  <c r="J653" i="7"/>
  <c r="J652" i="7"/>
  <c r="J651" i="7"/>
  <c r="J650" i="7"/>
  <c r="J649" i="7"/>
  <c r="J648" i="7"/>
  <c r="J647" i="7"/>
  <c r="J646" i="7"/>
  <c r="J645" i="7"/>
  <c r="J644" i="7"/>
  <c r="J642" i="7"/>
  <c r="J641" i="7"/>
  <c r="J640" i="7"/>
  <c r="J639" i="7"/>
  <c r="J637" i="7"/>
  <c r="J636" i="7"/>
  <c r="J635" i="7"/>
  <c r="J634" i="7"/>
  <c r="J633" i="7"/>
  <c r="J632" i="7"/>
  <c r="J631" i="7"/>
  <c r="J630" i="7"/>
  <c r="J629" i="7"/>
  <c r="J628" i="7"/>
  <c r="J627" i="7"/>
  <c r="J626" i="7"/>
  <c r="J623" i="7"/>
  <c r="J622" i="7"/>
  <c r="J621" i="7"/>
  <c r="J620" i="7"/>
  <c r="J619" i="7"/>
  <c r="J618" i="7"/>
  <c r="J617" i="7"/>
  <c r="J616" i="7"/>
  <c r="J615" i="7"/>
  <c r="J614" i="7"/>
  <c r="J613" i="7"/>
  <c r="J612" i="7"/>
  <c r="J611" i="7"/>
  <c r="J610" i="7"/>
  <c r="J609" i="7"/>
  <c r="J608" i="7"/>
  <c r="J607" i="7"/>
  <c r="J606" i="7"/>
  <c r="J604" i="7"/>
  <c r="J603" i="7"/>
  <c r="J602" i="7"/>
  <c r="J601" i="7"/>
  <c r="J600" i="7"/>
  <c r="J599" i="7"/>
  <c r="J598" i="7"/>
  <c r="J597" i="7"/>
  <c r="J596" i="7"/>
  <c r="J595" i="7"/>
  <c r="J594" i="7"/>
  <c r="J593" i="7"/>
  <c r="J592" i="7"/>
  <c r="J591" i="7"/>
  <c r="J590" i="7"/>
  <c r="J589" i="7"/>
  <c r="J588" i="7"/>
  <c r="J587" i="7"/>
  <c r="J586" i="7"/>
  <c r="J585" i="7"/>
  <c r="J584" i="7"/>
  <c r="J583" i="7"/>
  <c r="J582"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4" i="7"/>
  <c r="J493" i="7"/>
  <c r="J492" i="7"/>
  <c r="J491" i="7"/>
  <c r="J490" i="7"/>
  <c r="J489" i="7"/>
  <c r="J488" i="7"/>
  <c r="J487" i="7"/>
  <c r="J486" i="7"/>
  <c r="J485" i="7"/>
  <c r="J484" i="7"/>
  <c r="J483" i="7"/>
  <c r="J482" i="7"/>
  <c r="J481" i="7"/>
  <c r="J480" i="7"/>
  <c r="J479" i="7"/>
  <c r="J478"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5" i="7"/>
  <c r="J404" i="7"/>
  <c r="J403" i="7"/>
  <c r="J402" i="7"/>
  <c r="J401" i="7"/>
  <c r="J400" i="7"/>
  <c r="J399" i="7"/>
  <c r="J398" i="7"/>
  <c r="J397" i="7"/>
  <c r="J396" i="7"/>
  <c r="J395" i="7"/>
  <c r="J393" i="7"/>
  <c r="J392" i="7"/>
  <c r="J391" i="7"/>
  <c r="J390" i="7"/>
  <c r="J389" i="7"/>
  <c r="J388" i="7"/>
  <c r="J387" i="7"/>
  <c r="J386" i="7"/>
  <c r="J385" i="7"/>
  <c r="J384" i="7"/>
  <c r="J383" i="7"/>
  <c r="J382" i="7"/>
  <c r="J381" i="7"/>
  <c r="J380" i="7"/>
  <c r="J379" i="7"/>
  <c r="J378" i="7"/>
  <c r="J377" i="7"/>
  <c r="J376"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2" i="7"/>
  <c r="J331" i="7"/>
  <c r="J330" i="7"/>
  <c r="J329" i="7"/>
  <c r="J328" i="7"/>
  <c r="J327" i="7"/>
  <c r="J326" i="7"/>
  <c r="J325" i="7"/>
  <c r="J324" i="7"/>
  <c r="J323" i="7"/>
  <c r="J322" i="7"/>
  <c r="J321" i="7"/>
  <c r="J320" i="7"/>
  <c r="J319" i="7"/>
  <c r="J318" i="7"/>
  <c r="J317" i="7"/>
  <c r="J316" i="7"/>
  <c r="J315" i="7"/>
  <c r="J314" i="7"/>
  <c r="J313" i="7"/>
  <c r="J312" i="7"/>
  <c r="J310" i="7"/>
  <c r="J309" i="7"/>
  <c r="J308" i="7"/>
  <c r="J307" i="7"/>
  <c r="J306" i="7"/>
  <c r="J305" i="7"/>
  <c r="J304" i="7"/>
  <c r="J303" i="7"/>
  <c r="J302" i="7"/>
  <c r="J301" i="7"/>
  <c r="J300" i="7"/>
  <c r="J299" i="7"/>
  <c r="J298" i="7"/>
  <c r="J297" i="7"/>
  <c r="J296" i="7"/>
  <c r="J295" i="7"/>
  <c r="J294" i="7"/>
  <c r="J293" i="7"/>
  <c r="J292" i="7"/>
  <c r="J291" i="7"/>
  <c r="J290" i="7"/>
  <c r="J289" i="7"/>
  <c r="J288" i="7"/>
  <c r="J287"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2" i="7"/>
  <c r="J251" i="7"/>
  <c r="J250" i="7"/>
  <c r="J249" i="7"/>
  <c r="J248" i="7"/>
  <c r="J247" i="7"/>
  <c r="J246" i="7"/>
  <c r="J245" i="7"/>
  <c r="J244" i="7"/>
  <c r="J243"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6" i="7"/>
  <c r="J205" i="7"/>
  <c r="J204" i="7"/>
  <c r="J203" i="7"/>
  <c r="J202" i="7"/>
  <c r="J201" i="7"/>
  <c r="J200" i="7"/>
  <c r="J199" i="7"/>
  <c r="J198" i="7"/>
  <c r="J196" i="7"/>
  <c r="J195" i="7"/>
  <c r="J194" i="7"/>
  <c r="J193" i="7"/>
  <c r="J192" i="7"/>
  <c r="J191" i="7"/>
  <c r="J190" i="7"/>
  <c r="J189" i="7"/>
  <c r="J187" i="7"/>
  <c r="J186" i="7"/>
  <c r="J185" i="7"/>
  <c r="J184" i="7"/>
  <c r="J183" i="7"/>
  <c r="J182" i="7"/>
  <c r="J181" i="7"/>
  <c r="J180" i="7"/>
  <c r="J176" i="7"/>
  <c r="J175" i="7"/>
  <c r="J174" i="7"/>
  <c r="J173" i="7"/>
  <c r="J172" i="7"/>
  <c r="J171" i="7"/>
  <c r="J169" i="7"/>
  <c r="J168" i="7"/>
  <c r="J167" i="7"/>
  <c r="J166" i="7"/>
  <c r="J165" i="7"/>
  <c r="J164" i="7"/>
  <c r="J163" i="7"/>
  <c r="J162" i="7"/>
  <c r="J161" i="7"/>
  <c r="J160" i="7"/>
  <c r="J159" i="7"/>
  <c r="J158" i="7"/>
  <c r="J157" i="7"/>
  <c r="J156" i="7"/>
  <c r="J155" i="7"/>
  <c r="J154" i="7"/>
  <c r="J153" i="7"/>
  <c r="J152" i="7"/>
  <c r="J151" i="7"/>
  <c r="J149" i="7"/>
  <c r="J148" i="7"/>
  <c r="J147" i="7"/>
  <c r="J146" i="7"/>
  <c r="J145" i="7"/>
  <c r="J144" i="7"/>
  <c r="J143" i="7"/>
  <c r="J142" i="7"/>
  <c r="J141" i="7"/>
  <c r="J140" i="7"/>
  <c r="J139" i="7"/>
  <c r="J138" i="7"/>
  <c r="J137" i="7"/>
  <c r="J136" i="7"/>
  <c r="J135" i="7"/>
  <c r="J133" i="7"/>
  <c r="J132" i="7"/>
  <c r="J131" i="7"/>
  <c r="J130" i="7"/>
  <c r="J129" i="7"/>
  <c r="J128" i="7"/>
  <c r="J127" i="7"/>
  <c r="J126" i="7"/>
  <c r="J125" i="7"/>
  <c r="J123" i="7"/>
  <c r="J122" i="7"/>
  <c r="J121" i="7"/>
  <c r="J120" i="7"/>
  <c r="J119" i="7"/>
  <c r="J118" i="7"/>
  <c r="J117" i="7"/>
  <c r="J116" i="7"/>
  <c r="J115"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39" i="7"/>
  <c r="J38" i="7"/>
  <c r="J37" i="7"/>
  <c r="J36" i="7"/>
  <c r="J35" i="7"/>
  <c r="J34" i="7"/>
  <c r="J32" i="7"/>
  <c r="J31" i="7"/>
  <c r="J30" i="7"/>
  <c r="J29" i="7"/>
  <c r="J28" i="7"/>
  <c r="J27" i="7"/>
  <c r="J26" i="7"/>
  <c r="J25" i="7"/>
  <c r="J24" i="7"/>
  <c r="J23" i="7"/>
  <c r="J22" i="7"/>
  <c r="J21" i="7"/>
  <c r="J20" i="7"/>
  <c r="J19" i="7"/>
  <c r="J18" i="7"/>
  <c r="J17" i="7"/>
  <c r="J16" i="7"/>
  <c r="N738" i="9"/>
  <c r="M738" i="9"/>
  <c r="J737" i="9"/>
  <c r="J736" i="9"/>
  <c r="J735" i="9"/>
  <c r="J734" i="9"/>
  <c r="J733" i="9"/>
  <c r="J732" i="9"/>
  <c r="J731" i="9"/>
  <c r="J730" i="9"/>
  <c r="J729" i="9"/>
  <c r="J728" i="9"/>
  <c r="J727" i="9"/>
  <c r="J726" i="9"/>
  <c r="J725" i="9"/>
  <c r="J724" i="9"/>
  <c r="J723" i="9"/>
  <c r="J722" i="9"/>
  <c r="J721" i="9"/>
  <c r="J720" i="9"/>
  <c r="J719" i="9"/>
  <c r="J718" i="9"/>
  <c r="J717" i="9"/>
  <c r="J716" i="9"/>
  <c r="J714" i="9"/>
  <c r="J713" i="9"/>
  <c r="J712" i="9"/>
  <c r="J711" i="9"/>
  <c r="J710" i="9"/>
  <c r="J709" i="9"/>
  <c r="J708" i="9"/>
  <c r="J707" i="9"/>
  <c r="J706" i="9"/>
  <c r="J705" i="9"/>
  <c r="J704" i="9"/>
  <c r="J703" i="9"/>
  <c r="J702" i="9"/>
  <c r="J701" i="9"/>
  <c r="J700" i="9"/>
  <c r="J699" i="9"/>
  <c r="J698" i="9"/>
  <c r="J697" i="9"/>
  <c r="J696" i="9"/>
  <c r="J695" i="9"/>
  <c r="J694" i="9"/>
  <c r="J693" i="9"/>
  <c r="J691" i="9"/>
  <c r="J690" i="9"/>
  <c r="J689" i="9"/>
  <c r="J688" i="9"/>
  <c r="J687" i="9"/>
  <c r="J686" i="9"/>
  <c r="J685" i="9"/>
  <c r="J683" i="9"/>
  <c r="J682" i="9"/>
  <c r="J681" i="9"/>
  <c r="J680" i="9"/>
  <c r="J679" i="9"/>
  <c r="J678" i="9"/>
  <c r="J677" i="9"/>
  <c r="J676" i="9"/>
  <c r="J675" i="9"/>
  <c r="J673" i="9"/>
  <c r="J672" i="9"/>
  <c r="J671" i="9"/>
  <c r="J670" i="9"/>
  <c r="J669" i="9"/>
  <c r="J668" i="9"/>
  <c r="J667" i="9"/>
  <c r="J666" i="9"/>
  <c r="J665" i="9"/>
  <c r="J663" i="9"/>
  <c r="J662" i="9"/>
  <c r="J661" i="9"/>
  <c r="J660" i="9"/>
  <c r="J659" i="9"/>
  <c r="J658" i="9"/>
  <c r="J657" i="9"/>
  <c r="J656" i="9"/>
  <c r="J655" i="9"/>
  <c r="J654" i="9"/>
  <c r="J653" i="9"/>
  <c r="J652" i="9"/>
  <c r="J651" i="9"/>
  <c r="J650" i="9"/>
  <c r="J649" i="9"/>
  <c r="J648" i="9"/>
  <c r="J647" i="9"/>
  <c r="J646" i="9"/>
  <c r="J645" i="9"/>
  <c r="J644" i="9"/>
  <c r="J642" i="9"/>
  <c r="J641" i="9"/>
  <c r="J640" i="9"/>
  <c r="J639" i="9"/>
  <c r="J637" i="9"/>
  <c r="J636" i="9"/>
  <c r="J635" i="9"/>
  <c r="J634" i="9"/>
  <c r="J633" i="9"/>
  <c r="J632" i="9"/>
  <c r="J631" i="9"/>
  <c r="J630" i="9"/>
  <c r="J629" i="9"/>
  <c r="J628" i="9"/>
  <c r="J627" i="9"/>
  <c r="J626" i="9"/>
  <c r="J623" i="9"/>
  <c r="J622" i="9"/>
  <c r="J621" i="9"/>
  <c r="J620" i="9"/>
  <c r="J619" i="9"/>
  <c r="J618" i="9"/>
  <c r="J617" i="9"/>
  <c r="J616" i="9"/>
  <c r="J615" i="9"/>
  <c r="J614" i="9"/>
  <c r="J613" i="9"/>
  <c r="J612" i="9"/>
  <c r="J611" i="9"/>
  <c r="J610" i="9"/>
  <c r="J609" i="9"/>
  <c r="J608" i="9"/>
  <c r="J607" i="9"/>
  <c r="J606" i="9"/>
  <c r="J604" i="9"/>
  <c r="J603" i="9"/>
  <c r="J602" i="9"/>
  <c r="J601" i="9"/>
  <c r="J600" i="9"/>
  <c r="J599" i="9"/>
  <c r="J598" i="9"/>
  <c r="J597" i="9"/>
  <c r="J596" i="9"/>
  <c r="J595" i="9"/>
  <c r="J594" i="9"/>
  <c r="J593" i="9"/>
  <c r="J592" i="9"/>
  <c r="J591" i="9"/>
  <c r="J590" i="9"/>
  <c r="J589" i="9"/>
  <c r="J588" i="9"/>
  <c r="J587" i="9"/>
  <c r="J586" i="9"/>
  <c r="J585" i="9"/>
  <c r="J584" i="9"/>
  <c r="J583" i="9"/>
  <c r="J582" i="9"/>
  <c r="J580" i="9"/>
  <c r="J579" i="9"/>
  <c r="J578" i="9"/>
  <c r="J577" i="9"/>
  <c r="J576" i="9"/>
  <c r="J575" i="9"/>
  <c r="J574" i="9"/>
  <c r="J573" i="9"/>
  <c r="J572" i="9"/>
  <c r="J571" i="9"/>
  <c r="J570" i="9"/>
  <c r="J569" i="9"/>
  <c r="J568" i="9"/>
  <c r="J567" i="9"/>
  <c r="J566" i="9"/>
  <c r="J565" i="9"/>
  <c r="J564" i="9"/>
  <c r="J563" i="9"/>
  <c r="J562" i="9"/>
  <c r="J561" i="9"/>
  <c r="J560" i="9"/>
  <c r="J559" i="9"/>
  <c r="J558" i="9"/>
  <c r="J557" i="9"/>
  <c r="J556" i="9"/>
  <c r="J555" i="9"/>
  <c r="J554" i="9"/>
  <c r="J553" i="9"/>
  <c r="J552" i="9"/>
  <c r="J551" i="9"/>
  <c r="J550" i="9"/>
  <c r="J549" i="9"/>
  <c r="J548" i="9"/>
  <c r="J547" i="9"/>
  <c r="J546" i="9"/>
  <c r="J545" i="9"/>
  <c r="J544" i="9"/>
  <c r="J543" i="9"/>
  <c r="J542" i="9"/>
  <c r="J541" i="9"/>
  <c r="J539" i="9"/>
  <c r="J538" i="9"/>
  <c r="J537" i="9"/>
  <c r="J536" i="9"/>
  <c r="J535" i="9"/>
  <c r="J534" i="9"/>
  <c r="J533" i="9"/>
  <c r="J532" i="9"/>
  <c r="J531" i="9"/>
  <c r="J530" i="9"/>
  <c r="J529" i="9"/>
  <c r="J528" i="9"/>
  <c r="J527" i="9"/>
  <c r="J526" i="9"/>
  <c r="J525" i="9"/>
  <c r="J524" i="9"/>
  <c r="J523" i="9"/>
  <c r="J522" i="9"/>
  <c r="J521" i="9"/>
  <c r="J520" i="9"/>
  <c r="J519" i="9"/>
  <c r="J518" i="9"/>
  <c r="J517" i="9"/>
  <c r="J516" i="9"/>
  <c r="J515" i="9"/>
  <c r="J514" i="9"/>
  <c r="J513" i="9"/>
  <c r="J512" i="9"/>
  <c r="J511" i="9"/>
  <c r="J510" i="9"/>
  <c r="J509" i="9"/>
  <c r="J508" i="9"/>
  <c r="J507" i="9"/>
  <c r="J506" i="9"/>
  <c r="J505" i="9"/>
  <c r="J504" i="9"/>
  <c r="J503" i="9"/>
  <c r="J502" i="9"/>
  <c r="J501" i="9"/>
  <c r="J500" i="9"/>
  <c r="J499" i="9"/>
  <c r="J498" i="9"/>
  <c r="J497" i="9"/>
  <c r="J496" i="9"/>
  <c r="J494" i="9"/>
  <c r="J493" i="9"/>
  <c r="J492" i="9"/>
  <c r="J491" i="9"/>
  <c r="J490" i="9"/>
  <c r="J489" i="9"/>
  <c r="J488" i="9"/>
  <c r="J487" i="9"/>
  <c r="J486" i="9"/>
  <c r="J485" i="9"/>
  <c r="J484" i="9"/>
  <c r="J483" i="9"/>
  <c r="J482" i="9"/>
  <c r="J481" i="9"/>
  <c r="J480" i="9"/>
  <c r="J479" i="9"/>
  <c r="J478" i="9"/>
  <c r="J476" i="9"/>
  <c r="J475" i="9"/>
  <c r="J474" i="9"/>
  <c r="J473" i="9"/>
  <c r="J472" i="9"/>
  <c r="J471" i="9"/>
  <c r="J470" i="9"/>
  <c r="J469" i="9"/>
  <c r="J468" i="9"/>
  <c r="J467" i="9"/>
  <c r="J466" i="9"/>
  <c r="J465" i="9"/>
  <c r="J464" i="9"/>
  <c r="J463" i="9"/>
  <c r="J462" i="9"/>
  <c r="J461" i="9"/>
  <c r="J460" i="9"/>
  <c r="J459" i="9"/>
  <c r="J458" i="9"/>
  <c r="J457" i="9"/>
  <c r="J456" i="9"/>
  <c r="J455" i="9"/>
  <c r="J454" i="9"/>
  <c r="J453" i="9"/>
  <c r="J452" i="9"/>
  <c r="J451" i="9"/>
  <c r="J450" i="9"/>
  <c r="J449" i="9"/>
  <c r="J448" i="9"/>
  <c r="J447" i="9"/>
  <c r="J446" i="9"/>
  <c r="J445" i="9"/>
  <c r="J444" i="9"/>
  <c r="J443" i="9"/>
  <c r="J442" i="9"/>
  <c r="J441" i="9"/>
  <c r="J439" i="9"/>
  <c r="J438" i="9"/>
  <c r="J437" i="9"/>
  <c r="J436" i="9"/>
  <c r="J435" i="9"/>
  <c r="J434" i="9"/>
  <c r="J433" i="9"/>
  <c r="J432" i="9"/>
  <c r="J431" i="9"/>
  <c r="J430" i="9"/>
  <c r="J429" i="9"/>
  <c r="J428" i="9"/>
  <c r="J427" i="9"/>
  <c r="J426" i="9"/>
  <c r="J425" i="9"/>
  <c r="J424" i="9"/>
  <c r="J423" i="9"/>
  <c r="J422" i="9"/>
  <c r="J421" i="9"/>
  <c r="J420" i="9"/>
  <c r="J419" i="9"/>
  <c r="J418" i="9"/>
  <c r="J417" i="9"/>
  <c r="J416" i="9"/>
  <c r="J415" i="9"/>
  <c r="J414" i="9"/>
  <c r="J413" i="9"/>
  <c r="J412" i="9"/>
  <c r="J411" i="9"/>
  <c r="J410" i="9"/>
  <c r="J409" i="9"/>
  <c r="J408" i="9"/>
  <c r="J407" i="9"/>
  <c r="J405" i="9"/>
  <c r="J404" i="9"/>
  <c r="J403" i="9"/>
  <c r="J402" i="9"/>
  <c r="J401" i="9"/>
  <c r="J400" i="9"/>
  <c r="J399" i="9"/>
  <c r="J398" i="9"/>
  <c r="J397" i="9"/>
  <c r="J396" i="9"/>
  <c r="J395" i="9"/>
  <c r="J393" i="9"/>
  <c r="J392" i="9"/>
  <c r="J391" i="9"/>
  <c r="J390" i="9"/>
  <c r="J389" i="9"/>
  <c r="J388" i="9"/>
  <c r="J387" i="9"/>
  <c r="J386" i="9"/>
  <c r="J385" i="9"/>
  <c r="J384" i="9"/>
  <c r="J383" i="9"/>
  <c r="J382" i="9"/>
  <c r="J381" i="9"/>
  <c r="J380" i="9"/>
  <c r="J379" i="9"/>
  <c r="J378" i="9"/>
  <c r="J377" i="9"/>
  <c r="J376" i="9"/>
  <c r="J374" i="9"/>
  <c r="J373" i="9"/>
  <c r="J372" i="9"/>
  <c r="J371" i="9"/>
  <c r="J370" i="9"/>
  <c r="J369" i="9"/>
  <c r="J368" i="9"/>
  <c r="J367" i="9"/>
  <c r="J366" i="9"/>
  <c r="J365" i="9"/>
  <c r="J364" i="9"/>
  <c r="J363" i="9"/>
  <c r="J362" i="9"/>
  <c r="J361" i="9"/>
  <c r="J360" i="9"/>
  <c r="J359" i="9"/>
  <c r="J358" i="9"/>
  <c r="J357" i="9"/>
  <c r="J356" i="9"/>
  <c r="J355" i="9"/>
  <c r="J354" i="9"/>
  <c r="J353" i="9"/>
  <c r="J352" i="9"/>
  <c r="J351" i="9"/>
  <c r="J350" i="9"/>
  <c r="J349" i="9"/>
  <c r="J348" i="9"/>
  <c r="J347" i="9"/>
  <c r="J346" i="9"/>
  <c r="J345" i="9"/>
  <c r="J344" i="9"/>
  <c r="J343" i="9"/>
  <c r="J342" i="9"/>
  <c r="J341" i="9"/>
  <c r="J340" i="9"/>
  <c r="J339" i="9"/>
  <c r="J338" i="9"/>
  <c r="J337" i="9"/>
  <c r="J336" i="9"/>
  <c r="J335" i="9"/>
  <c r="J332" i="9"/>
  <c r="J331" i="9"/>
  <c r="J330" i="9"/>
  <c r="J329" i="9"/>
  <c r="J328" i="9"/>
  <c r="J327" i="9"/>
  <c r="J326" i="9"/>
  <c r="J325" i="9"/>
  <c r="J324" i="9"/>
  <c r="J323" i="9"/>
  <c r="J322" i="9"/>
  <c r="J321" i="9"/>
  <c r="J320" i="9"/>
  <c r="J319" i="9"/>
  <c r="J318" i="9"/>
  <c r="J317" i="9"/>
  <c r="J316" i="9"/>
  <c r="J315" i="9"/>
  <c r="J314" i="9"/>
  <c r="J313" i="9"/>
  <c r="J312" i="9"/>
  <c r="J310" i="9"/>
  <c r="J309" i="9"/>
  <c r="J308" i="9"/>
  <c r="J307" i="9"/>
  <c r="J306" i="9"/>
  <c r="J305" i="9"/>
  <c r="J304" i="9"/>
  <c r="J303" i="9"/>
  <c r="J302" i="9"/>
  <c r="J301" i="9"/>
  <c r="J300" i="9"/>
  <c r="J299" i="9"/>
  <c r="J298" i="9"/>
  <c r="J297" i="9"/>
  <c r="J296" i="9"/>
  <c r="J295" i="9"/>
  <c r="J294" i="9"/>
  <c r="J293" i="9"/>
  <c r="J292" i="9"/>
  <c r="J291" i="9"/>
  <c r="J290" i="9"/>
  <c r="J289" i="9"/>
  <c r="J288" i="9"/>
  <c r="J287" i="9"/>
  <c r="J285" i="9"/>
  <c r="J284" i="9"/>
  <c r="J283" i="9"/>
  <c r="J282" i="9"/>
  <c r="J281" i="9"/>
  <c r="J280" i="9"/>
  <c r="J279" i="9"/>
  <c r="J278" i="9"/>
  <c r="J277" i="9"/>
  <c r="J276" i="9"/>
  <c r="J275" i="9"/>
  <c r="J274" i="9"/>
  <c r="J273" i="9"/>
  <c r="J272" i="9"/>
  <c r="J271" i="9"/>
  <c r="J270" i="9"/>
  <c r="J269" i="9"/>
  <c r="J268" i="9"/>
  <c r="J267" i="9"/>
  <c r="J266" i="9"/>
  <c r="J265" i="9"/>
  <c r="J264" i="9"/>
  <c r="J263" i="9"/>
  <c r="J262" i="9"/>
  <c r="J261" i="9"/>
  <c r="J260" i="9"/>
  <c r="J259" i="9"/>
  <c r="J258" i="9"/>
  <c r="J257" i="9"/>
  <c r="J256" i="9"/>
  <c r="J255" i="9"/>
  <c r="J254" i="9"/>
  <c r="J252" i="9"/>
  <c r="J251" i="9"/>
  <c r="J250" i="9"/>
  <c r="J249" i="9"/>
  <c r="J248" i="9"/>
  <c r="J247" i="9"/>
  <c r="J246" i="9"/>
  <c r="J245" i="9"/>
  <c r="J244" i="9"/>
  <c r="J243" i="9"/>
  <c r="J241" i="9"/>
  <c r="J240" i="9"/>
  <c r="J239" i="9"/>
  <c r="J238" i="9"/>
  <c r="J237" i="9"/>
  <c r="J236" i="9"/>
  <c r="J235" i="9"/>
  <c r="J234" i="9"/>
  <c r="J233" i="9"/>
  <c r="J232" i="9"/>
  <c r="J231" i="9"/>
  <c r="J230" i="9"/>
  <c r="J229" i="9"/>
  <c r="J228" i="9"/>
  <c r="J227" i="9"/>
  <c r="J226" i="9"/>
  <c r="J225" i="9"/>
  <c r="J224" i="9"/>
  <c r="J223" i="9"/>
  <c r="J222" i="9"/>
  <c r="J221" i="9"/>
  <c r="J220" i="9"/>
  <c r="J219" i="9"/>
  <c r="J218" i="9"/>
  <c r="J217" i="9"/>
  <c r="J216" i="9"/>
  <c r="J215" i="9"/>
  <c r="J214" i="9"/>
  <c r="J213" i="9"/>
  <c r="J212" i="9"/>
  <c r="J211" i="9"/>
  <c r="J210" i="9"/>
  <c r="J209" i="9"/>
  <c r="J208" i="9"/>
  <c r="J206" i="9"/>
  <c r="J205" i="9"/>
  <c r="J204" i="9"/>
  <c r="J203" i="9"/>
  <c r="J202" i="9"/>
  <c r="J201" i="9"/>
  <c r="J200" i="9"/>
  <c r="J199" i="9"/>
  <c r="J198" i="9"/>
  <c r="J196" i="9"/>
  <c r="J195" i="9"/>
  <c r="J194" i="9"/>
  <c r="J193" i="9"/>
  <c r="J192" i="9"/>
  <c r="J191" i="9"/>
  <c r="J190" i="9"/>
  <c r="J189" i="9"/>
  <c r="J187" i="9"/>
  <c r="J186" i="9"/>
  <c r="J185" i="9"/>
  <c r="J184" i="9"/>
  <c r="J183" i="9"/>
  <c r="J182" i="9"/>
  <c r="J181" i="9"/>
  <c r="J180" i="9"/>
  <c r="J176" i="9"/>
  <c r="J175" i="9"/>
  <c r="J174" i="9"/>
  <c r="J173" i="9"/>
  <c r="J172" i="9"/>
  <c r="J171" i="9"/>
  <c r="J169" i="9"/>
  <c r="J168" i="9"/>
  <c r="J167" i="9"/>
  <c r="J166" i="9"/>
  <c r="J165" i="9"/>
  <c r="J164" i="9"/>
  <c r="J163" i="9"/>
  <c r="J162" i="9"/>
  <c r="J161" i="9"/>
  <c r="J160" i="9"/>
  <c r="J159" i="9"/>
  <c r="J158" i="9"/>
  <c r="J157" i="9"/>
  <c r="J156" i="9"/>
  <c r="J155" i="9"/>
  <c r="J154" i="9"/>
  <c r="J153" i="9"/>
  <c r="J152" i="9"/>
  <c r="J151" i="9"/>
  <c r="J149" i="9"/>
  <c r="J148" i="9"/>
  <c r="J147" i="9"/>
  <c r="J146" i="9"/>
  <c r="J145" i="9"/>
  <c r="J144" i="9"/>
  <c r="J143" i="9"/>
  <c r="J142" i="9"/>
  <c r="J141" i="9"/>
  <c r="J140" i="9"/>
  <c r="J139" i="9"/>
  <c r="J138" i="9"/>
  <c r="J137" i="9"/>
  <c r="J136" i="9"/>
  <c r="J135" i="9"/>
  <c r="J133" i="9"/>
  <c r="J132" i="9"/>
  <c r="J131" i="9"/>
  <c r="J130" i="9"/>
  <c r="J129" i="9"/>
  <c r="J128" i="9"/>
  <c r="J127" i="9"/>
  <c r="J126" i="9"/>
  <c r="J125" i="9"/>
  <c r="J123" i="9"/>
  <c r="J122" i="9"/>
  <c r="J121" i="9"/>
  <c r="J120" i="9"/>
  <c r="J119" i="9"/>
  <c r="J118" i="9"/>
  <c r="J117" i="9"/>
  <c r="J116" i="9"/>
  <c r="J115"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J87" i="9"/>
  <c r="J86" i="9"/>
  <c r="J85" i="9"/>
  <c r="J84" i="9"/>
  <c r="J83" i="9"/>
  <c r="J82" i="9"/>
  <c r="J81" i="9"/>
  <c r="J80" i="9"/>
  <c r="J79" i="9"/>
  <c r="J78" i="9"/>
  <c r="J77" i="9"/>
  <c r="J76" i="9"/>
  <c r="J75" i="9"/>
  <c r="J74" i="9"/>
  <c r="J73" i="9"/>
  <c r="J72" i="9"/>
  <c r="J71" i="9"/>
  <c r="J70" i="9"/>
  <c r="J69" i="9"/>
  <c r="J68" i="9"/>
  <c r="J67" i="9"/>
  <c r="J66" i="9"/>
  <c r="J65" i="9"/>
  <c r="J64" i="9"/>
  <c r="J63" i="9"/>
  <c r="J62" i="9"/>
  <c r="J61" i="9"/>
  <c r="J60" i="9"/>
  <c r="J59" i="9"/>
  <c r="J58" i="9"/>
  <c r="J57" i="9"/>
  <c r="J56" i="9"/>
  <c r="J55" i="9"/>
  <c r="J54" i="9"/>
  <c r="J53" i="9"/>
  <c r="J52" i="9"/>
  <c r="J51" i="9"/>
  <c r="J50" i="9"/>
  <c r="J49" i="9"/>
  <c r="J48" i="9"/>
  <c r="J47" i="9"/>
  <c r="J46" i="9"/>
  <c r="J45" i="9"/>
  <c r="J44" i="9"/>
  <c r="J43" i="9"/>
  <c r="J42" i="9"/>
  <c r="J41" i="9"/>
  <c r="J39" i="9"/>
  <c r="J38" i="9"/>
  <c r="J37" i="9"/>
  <c r="J36" i="9"/>
  <c r="J35" i="9"/>
  <c r="J34" i="9"/>
  <c r="J32" i="9"/>
  <c r="J31" i="9"/>
  <c r="J30" i="9"/>
  <c r="J29" i="9"/>
  <c r="J28" i="9"/>
  <c r="J27" i="9"/>
  <c r="J26" i="9"/>
  <c r="J25" i="9"/>
  <c r="J24" i="9"/>
  <c r="J23" i="9"/>
  <c r="J22" i="9"/>
  <c r="J21" i="9"/>
  <c r="J20" i="9"/>
  <c r="J19" i="9"/>
  <c r="J18" i="9"/>
  <c r="J17" i="9"/>
  <c r="J16" i="9"/>
  <c r="N738" i="3"/>
  <c r="M738" i="3"/>
  <c r="J737" i="3"/>
  <c r="J736" i="3"/>
  <c r="J735" i="3"/>
  <c r="J734" i="3"/>
  <c r="J733" i="3"/>
  <c r="J732" i="3"/>
  <c r="J731" i="3"/>
  <c r="J730" i="3"/>
  <c r="J729" i="3"/>
  <c r="J728" i="3"/>
  <c r="J727" i="3"/>
  <c r="J726" i="3"/>
  <c r="J725" i="3"/>
  <c r="J724" i="3"/>
  <c r="J723" i="3"/>
  <c r="J722" i="3"/>
  <c r="J721" i="3"/>
  <c r="J720" i="3"/>
  <c r="J719" i="3"/>
  <c r="J718" i="3"/>
  <c r="J717" i="3"/>
  <c r="J716" i="3"/>
  <c r="J714" i="3"/>
  <c r="J713" i="3"/>
  <c r="J712" i="3"/>
  <c r="J711" i="3"/>
  <c r="J710" i="3"/>
  <c r="J709" i="3"/>
  <c r="J708" i="3"/>
  <c r="J707" i="3"/>
  <c r="J706" i="3"/>
  <c r="J705" i="3"/>
  <c r="J704" i="3"/>
  <c r="J703" i="3"/>
  <c r="J702" i="3"/>
  <c r="J701" i="3"/>
  <c r="J700" i="3"/>
  <c r="J699" i="3"/>
  <c r="J698" i="3"/>
  <c r="J697" i="3"/>
  <c r="J696" i="3"/>
  <c r="J695" i="3"/>
  <c r="J694" i="3"/>
  <c r="J693" i="3"/>
  <c r="J691" i="3"/>
  <c r="J690" i="3"/>
  <c r="J689" i="3"/>
  <c r="J688" i="3"/>
  <c r="J687" i="3"/>
  <c r="J686" i="3"/>
  <c r="J685" i="3"/>
  <c r="J683" i="3"/>
  <c r="J682" i="3"/>
  <c r="J681" i="3"/>
  <c r="J680" i="3"/>
  <c r="J679" i="3"/>
  <c r="J678" i="3"/>
  <c r="J677" i="3"/>
  <c r="J676" i="3"/>
  <c r="J675" i="3"/>
  <c r="J673" i="3"/>
  <c r="J672" i="3"/>
  <c r="J671" i="3"/>
  <c r="J670" i="3"/>
  <c r="J669" i="3"/>
  <c r="J668" i="3"/>
  <c r="J667" i="3"/>
  <c r="J666" i="3"/>
  <c r="J665" i="3"/>
  <c r="J663" i="3"/>
  <c r="J662" i="3"/>
  <c r="J661" i="3"/>
  <c r="J660" i="3"/>
  <c r="J659" i="3"/>
  <c r="J658" i="3"/>
  <c r="J657" i="3"/>
  <c r="J656" i="3"/>
  <c r="J655" i="3"/>
  <c r="J654" i="3"/>
  <c r="J653" i="3"/>
  <c r="J652" i="3"/>
  <c r="J651" i="3"/>
  <c r="J650" i="3"/>
  <c r="J649" i="3"/>
  <c r="J648" i="3"/>
  <c r="J647" i="3"/>
  <c r="J646" i="3"/>
  <c r="J645" i="3"/>
  <c r="J644" i="3"/>
  <c r="J642" i="3"/>
  <c r="J641" i="3"/>
  <c r="J640" i="3"/>
  <c r="J639" i="3"/>
  <c r="J637" i="3"/>
  <c r="J636" i="3"/>
  <c r="J635" i="3"/>
  <c r="J634" i="3"/>
  <c r="J633" i="3"/>
  <c r="J632" i="3"/>
  <c r="J631" i="3"/>
  <c r="J630" i="3"/>
  <c r="J629" i="3"/>
  <c r="J628" i="3"/>
  <c r="J627" i="3"/>
  <c r="J626" i="3"/>
  <c r="J623" i="3"/>
  <c r="J622" i="3"/>
  <c r="J621" i="3"/>
  <c r="J620" i="3"/>
  <c r="J619" i="3"/>
  <c r="J618" i="3"/>
  <c r="J617" i="3"/>
  <c r="J616" i="3"/>
  <c r="J615" i="3"/>
  <c r="J614" i="3"/>
  <c r="J613" i="3"/>
  <c r="J612" i="3"/>
  <c r="J611" i="3"/>
  <c r="J610" i="3"/>
  <c r="J609" i="3"/>
  <c r="J608" i="3"/>
  <c r="J607" i="3"/>
  <c r="J606" i="3"/>
  <c r="J604" i="3"/>
  <c r="J603" i="3"/>
  <c r="J602" i="3"/>
  <c r="J601" i="3"/>
  <c r="J600" i="3"/>
  <c r="J599" i="3"/>
  <c r="J598" i="3"/>
  <c r="J597" i="3"/>
  <c r="J596" i="3"/>
  <c r="J595" i="3"/>
  <c r="J594" i="3"/>
  <c r="J593" i="3"/>
  <c r="J592" i="3"/>
  <c r="J591" i="3"/>
  <c r="J590" i="3"/>
  <c r="J589" i="3"/>
  <c r="J588" i="3"/>
  <c r="J587" i="3"/>
  <c r="J586" i="3"/>
  <c r="J585" i="3"/>
  <c r="J584" i="3"/>
  <c r="J583" i="3"/>
  <c r="J582" i="3"/>
  <c r="J580" i="3"/>
  <c r="J579" i="3"/>
  <c r="J578" i="3"/>
  <c r="J577" i="3"/>
  <c r="J576" i="3"/>
  <c r="J575" i="3"/>
  <c r="J574" i="3"/>
  <c r="J573" i="3"/>
  <c r="J572" i="3"/>
  <c r="J571" i="3"/>
  <c r="J570" i="3"/>
  <c r="J569" i="3"/>
  <c r="J568" i="3"/>
  <c r="J567" i="3"/>
  <c r="J566" i="3"/>
  <c r="J565" i="3"/>
  <c r="J564" i="3"/>
  <c r="J563" i="3"/>
  <c r="J562" i="3"/>
  <c r="J561" i="3"/>
  <c r="J560" i="3"/>
  <c r="J559" i="3"/>
  <c r="J558" i="3"/>
  <c r="J557" i="3"/>
  <c r="J556" i="3"/>
  <c r="J555" i="3"/>
  <c r="J554" i="3"/>
  <c r="J553" i="3"/>
  <c r="J552" i="3"/>
  <c r="J551" i="3"/>
  <c r="J550" i="3"/>
  <c r="J549" i="3"/>
  <c r="J548" i="3"/>
  <c r="J547" i="3"/>
  <c r="J546" i="3"/>
  <c r="J545" i="3"/>
  <c r="J544" i="3"/>
  <c r="J543" i="3"/>
  <c r="J542" i="3"/>
  <c r="J541" i="3"/>
  <c r="J539" i="3"/>
  <c r="J538" i="3"/>
  <c r="J537" i="3"/>
  <c r="J536" i="3"/>
  <c r="J535" i="3"/>
  <c r="J534" i="3"/>
  <c r="J533" i="3"/>
  <c r="J532" i="3"/>
  <c r="J531" i="3"/>
  <c r="J530" i="3"/>
  <c r="J529" i="3"/>
  <c r="J528" i="3"/>
  <c r="J527" i="3"/>
  <c r="J526" i="3"/>
  <c r="J525" i="3"/>
  <c r="J524" i="3"/>
  <c r="J523" i="3"/>
  <c r="J522" i="3"/>
  <c r="J521" i="3"/>
  <c r="J520" i="3"/>
  <c r="J519" i="3"/>
  <c r="J518" i="3"/>
  <c r="J517" i="3"/>
  <c r="J516" i="3"/>
  <c r="J515" i="3"/>
  <c r="J514" i="3"/>
  <c r="J513" i="3"/>
  <c r="J512" i="3"/>
  <c r="J511" i="3"/>
  <c r="J510" i="3"/>
  <c r="J509" i="3"/>
  <c r="J508" i="3"/>
  <c r="J507" i="3"/>
  <c r="J506" i="3"/>
  <c r="J505" i="3"/>
  <c r="J504" i="3"/>
  <c r="J503" i="3"/>
  <c r="J502" i="3"/>
  <c r="J501" i="3"/>
  <c r="J500" i="3"/>
  <c r="J499" i="3"/>
  <c r="J498" i="3"/>
  <c r="J497" i="3"/>
  <c r="J496" i="3"/>
  <c r="J494" i="3"/>
  <c r="J493" i="3"/>
  <c r="J492" i="3"/>
  <c r="J491" i="3"/>
  <c r="J490" i="3"/>
  <c r="J489" i="3"/>
  <c r="J488" i="3"/>
  <c r="J487" i="3"/>
  <c r="J486" i="3"/>
  <c r="J485" i="3"/>
  <c r="J484" i="3"/>
  <c r="J483" i="3"/>
  <c r="J482" i="3"/>
  <c r="J481" i="3"/>
  <c r="J480" i="3"/>
  <c r="J479" i="3"/>
  <c r="J478" i="3"/>
  <c r="J476" i="3"/>
  <c r="J475" i="3"/>
  <c r="J474" i="3"/>
  <c r="J473" i="3"/>
  <c r="J472" i="3"/>
  <c r="J471" i="3"/>
  <c r="J470" i="3"/>
  <c r="J469" i="3"/>
  <c r="J468" i="3"/>
  <c r="J467" i="3"/>
  <c r="J466" i="3"/>
  <c r="J465" i="3"/>
  <c r="J464" i="3"/>
  <c r="J463" i="3"/>
  <c r="J462" i="3"/>
  <c r="J461" i="3"/>
  <c r="J460" i="3"/>
  <c r="J459" i="3"/>
  <c r="J458" i="3"/>
  <c r="J457" i="3"/>
  <c r="J456" i="3"/>
  <c r="J455" i="3"/>
  <c r="J454" i="3"/>
  <c r="J453" i="3"/>
  <c r="J452" i="3"/>
  <c r="J451" i="3"/>
  <c r="J450" i="3"/>
  <c r="J449" i="3"/>
  <c r="J448" i="3"/>
  <c r="J447" i="3"/>
  <c r="J446" i="3"/>
  <c r="J445" i="3"/>
  <c r="J444" i="3"/>
  <c r="J443" i="3"/>
  <c r="J442" i="3"/>
  <c r="J441" i="3"/>
  <c r="J439" i="3"/>
  <c r="J438" i="3"/>
  <c r="J437" i="3"/>
  <c r="J436" i="3"/>
  <c r="J435" i="3"/>
  <c r="J434" i="3"/>
  <c r="J433" i="3"/>
  <c r="J432" i="3"/>
  <c r="J431" i="3"/>
  <c r="J430" i="3"/>
  <c r="J429" i="3"/>
  <c r="J428" i="3"/>
  <c r="J427" i="3"/>
  <c r="J426" i="3"/>
  <c r="J425" i="3"/>
  <c r="J424" i="3"/>
  <c r="J423" i="3"/>
  <c r="J422" i="3"/>
  <c r="J421" i="3"/>
  <c r="J420" i="3"/>
  <c r="J419" i="3"/>
  <c r="J418" i="3"/>
  <c r="J417" i="3"/>
  <c r="J416" i="3"/>
  <c r="J415" i="3"/>
  <c r="J414" i="3"/>
  <c r="J413" i="3"/>
  <c r="J412" i="3"/>
  <c r="J411" i="3"/>
  <c r="J410" i="3"/>
  <c r="J409" i="3"/>
  <c r="J408" i="3"/>
  <c r="J407" i="3"/>
  <c r="J405" i="3"/>
  <c r="J404" i="3"/>
  <c r="J403" i="3"/>
  <c r="J402" i="3"/>
  <c r="J401" i="3"/>
  <c r="J400" i="3"/>
  <c r="J399" i="3"/>
  <c r="J398" i="3"/>
  <c r="J397" i="3"/>
  <c r="J396" i="3"/>
  <c r="J395" i="3"/>
  <c r="J393" i="3"/>
  <c r="J392" i="3"/>
  <c r="J391" i="3"/>
  <c r="J390" i="3"/>
  <c r="J389" i="3"/>
  <c r="J388" i="3"/>
  <c r="J387" i="3"/>
  <c r="J386" i="3"/>
  <c r="J385" i="3"/>
  <c r="J384" i="3"/>
  <c r="J383" i="3"/>
  <c r="J382" i="3"/>
  <c r="J381" i="3"/>
  <c r="J380" i="3"/>
  <c r="J379" i="3"/>
  <c r="J378" i="3"/>
  <c r="J377" i="3"/>
  <c r="J376"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2" i="3"/>
  <c r="J331" i="3"/>
  <c r="J330" i="3"/>
  <c r="J329" i="3"/>
  <c r="J328" i="3"/>
  <c r="J327" i="3"/>
  <c r="J326" i="3"/>
  <c r="J325" i="3"/>
  <c r="J324" i="3"/>
  <c r="J323" i="3"/>
  <c r="J322" i="3"/>
  <c r="J321" i="3"/>
  <c r="J320" i="3"/>
  <c r="J319" i="3"/>
  <c r="J318" i="3"/>
  <c r="J317" i="3"/>
  <c r="J316" i="3"/>
  <c r="J315" i="3"/>
  <c r="J314" i="3"/>
  <c r="J313" i="3"/>
  <c r="J312" i="3"/>
  <c r="J310" i="3"/>
  <c r="J309" i="3"/>
  <c r="J308" i="3"/>
  <c r="J307" i="3"/>
  <c r="J306" i="3"/>
  <c r="J305" i="3"/>
  <c r="J304" i="3"/>
  <c r="J303" i="3"/>
  <c r="J302" i="3"/>
  <c r="J301" i="3"/>
  <c r="J300" i="3"/>
  <c r="J299" i="3"/>
  <c r="J298" i="3"/>
  <c r="J297" i="3"/>
  <c r="J296" i="3"/>
  <c r="J295" i="3"/>
  <c r="J294" i="3"/>
  <c r="J293" i="3"/>
  <c r="J292" i="3"/>
  <c r="J291" i="3"/>
  <c r="J290" i="3"/>
  <c r="J289" i="3"/>
  <c r="J288" i="3"/>
  <c r="J287"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2" i="3"/>
  <c r="J251" i="3"/>
  <c r="J250" i="3"/>
  <c r="J249" i="3"/>
  <c r="J248" i="3"/>
  <c r="J247" i="3"/>
  <c r="J246" i="3"/>
  <c r="J245" i="3"/>
  <c r="J244" i="3"/>
  <c r="J243"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6" i="3"/>
  <c r="J205" i="3"/>
  <c r="J204" i="3"/>
  <c r="J203" i="3"/>
  <c r="J202" i="3"/>
  <c r="J201" i="3"/>
  <c r="J200" i="3"/>
  <c r="J199" i="3"/>
  <c r="J198" i="3"/>
  <c r="J196" i="3"/>
  <c r="J195" i="3"/>
  <c r="J194" i="3"/>
  <c r="J193" i="3"/>
  <c r="J192" i="3"/>
  <c r="J191" i="3"/>
  <c r="J190" i="3"/>
  <c r="J189" i="3"/>
  <c r="J187" i="3"/>
  <c r="J186" i="3"/>
  <c r="J185" i="3"/>
  <c r="J184" i="3"/>
  <c r="J183" i="3"/>
  <c r="J182" i="3"/>
  <c r="J181" i="3"/>
  <c r="J180" i="3"/>
  <c r="J176" i="3"/>
  <c r="J175" i="3"/>
  <c r="J174" i="3"/>
  <c r="J173" i="3"/>
  <c r="J172" i="3"/>
  <c r="J171" i="3"/>
  <c r="J169" i="3"/>
  <c r="J168" i="3"/>
  <c r="J167" i="3"/>
  <c r="J166" i="3"/>
  <c r="J165" i="3"/>
  <c r="J164" i="3"/>
  <c r="J163" i="3"/>
  <c r="J162" i="3"/>
  <c r="J161" i="3"/>
  <c r="J160" i="3"/>
  <c r="J159" i="3"/>
  <c r="J158" i="3"/>
  <c r="J157" i="3"/>
  <c r="J156" i="3"/>
  <c r="J155" i="3"/>
  <c r="J154" i="3"/>
  <c r="J153" i="3"/>
  <c r="J152" i="3"/>
  <c r="J151" i="3"/>
  <c r="J149" i="3"/>
  <c r="J148" i="3"/>
  <c r="J147" i="3"/>
  <c r="J146" i="3"/>
  <c r="J145" i="3"/>
  <c r="J144" i="3"/>
  <c r="J143" i="3"/>
  <c r="J142" i="3"/>
  <c r="J141" i="3"/>
  <c r="J140" i="3"/>
  <c r="J139" i="3"/>
  <c r="J138" i="3"/>
  <c r="J137" i="3"/>
  <c r="J136" i="3"/>
  <c r="J135" i="3"/>
  <c r="J133" i="3"/>
  <c r="J132" i="3"/>
  <c r="J131" i="3"/>
  <c r="J130" i="3"/>
  <c r="J129" i="3"/>
  <c r="J128" i="3"/>
  <c r="J127" i="3"/>
  <c r="J126" i="3"/>
  <c r="J125" i="3"/>
  <c r="J123" i="3"/>
  <c r="J122" i="3"/>
  <c r="J121" i="3"/>
  <c r="J120" i="3"/>
  <c r="J119" i="3"/>
  <c r="J118" i="3"/>
  <c r="J117" i="3"/>
  <c r="J116" i="3"/>
  <c r="J115"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39" i="3"/>
  <c r="J38" i="3"/>
  <c r="J37" i="3"/>
  <c r="J36" i="3"/>
  <c r="J35" i="3"/>
  <c r="J34" i="3"/>
  <c r="J32" i="3"/>
  <c r="J31" i="3"/>
  <c r="J30" i="3"/>
  <c r="J29" i="3"/>
  <c r="J28" i="3"/>
  <c r="J27" i="3"/>
  <c r="J26" i="3"/>
  <c r="J25" i="3"/>
  <c r="J24" i="3"/>
  <c r="J23" i="3"/>
  <c r="J22" i="3"/>
  <c r="J21" i="3"/>
  <c r="J20" i="3"/>
  <c r="J19" i="3"/>
  <c r="J18" i="3"/>
  <c r="J17" i="3"/>
  <c r="J16" i="3"/>
  <c r="K16" i="6" l="1"/>
  <c r="M16" i="6" s="1"/>
  <c r="L37" i="6"/>
  <c r="N37" i="6" s="1"/>
  <c r="O47" i="6"/>
  <c r="O51" i="6"/>
  <c r="O59" i="6"/>
  <c r="O63" i="6"/>
  <c r="O71" i="6"/>
  <c r="O83" i="6"/>
  <c r="O87" i="6"/>
  <c r="O95" i="6"/>
  <c r="O99" i="6"/>
  <c r="O107" i="6"/>
  <c r="O111" i="6"/>
  <c r="O116" i="6"/>
  <c r="O125" i="6"/>
  <c r="O129" i="6"/>
  <c r="O133" i="6"/>
  <c r="O138" i="6"/>
  <c r="O142" i="6"/>
  <c r="L146" i="6"/>
  <c r="N146" i="6" s="1"/>
  <c r="L160" i="6"/>
  <c r="N160" i="6" s="1"/>
  <c r="L201" i="6"/>
  <c r="N201" i="6" s="1"/>
  <c r="L215" i="6"/>
  <c r="N215" i="6" s="1"/>
  <c r="O215" i="6" s="1"/>
  <c r="L251" i="6"/>
  <c r="N251" i="6" s="1"/>
  <c r="O251" i="6" s="1"/>
  <c r="L265" i="6"/>
  <c r="N265" i="6" s="1"/>
  <c r="L301" i="6"/>
  <c r="N301" i="6" s="1"/>
  <c r="L315" i="6"/>
  <c r="N315" i="6" s="1"/>
  <c r="L340" i="6"/>
  <c r="N340" i="6" s="1"/>
  <c r="K345" i="6"/>
  <c r="M345" i="6" s="1"/>
  <c r="L364" i="6"/>
  <c r="N364" i="6" s="1"/>
  <c r="K369" i="6"/>
  <c r="M369" i="6" s="1"/>
  <c r="K399" i="6"/>
  <c r="M399" i="6" s="1"/>
  <c r="K450" i="6"/>
  <c r="M450" i="6" s="1"/>
  <c r="L450" i="6"/>
  <c r="N450" i="6" s="1"/>
  <c r="K492" i="6"/>
  <c r="M492" i="6" s="1"/>
  <c r="O492" i="6" s="1"/>
  <c r="L516" i="6"/>
  <c r="N516" i="6" s="1"/>
  <c r="K516" i="6"/>
  <c r="M516" i="6" s="1"/>
  <c r="L386" i="6"/>
  <c r="N386" i="6" s="1"/>
  <c r="K386" i="6"/>
  <c r="M386" i="6" s="1"/>
  <c r="K474" i="6"/>
  <c r="M474" i="6" s="1"/>
  <c r="L474" i="6"/>
  <c r="N474" i="6" s="1"/>
  <c r="K573" i="6"/>
  <c r="M573" i="6" s="1"/>
  <c r="L573" i="6"/>
  <c r="N573" i="6" s="1"/>
  <c r="O146" i="6"/>
  <c r="K17" i="6"/>
  <c r="M17" i="6" s="1"/>
  <c r="L24" i="6"/>
  <c r="N24" i="6" s="1"/>
  <c r="K147" i="6"/>
  <c r="M147" i="6" s="1"/>
  <c r="O147" i="6" s="1"/>
  <c r="L192" i="6"/>
  <c r="N192" i="6" s="1"/>
  <c r="O192" i="6" s="1"/>
  <c r="K202" i="6"/>
  <c r="M202" i="6" s="1"/>
  <c r="L243" i="6"/>
  <c r="N243" i="6" s="1"/>
  <c r="K252" i="6"/>
  <c r="M252" i="6" s="1"/>
  <c r="L293" i="6"/>
  <c r="N293" i="6" s="1"/>
  <c r="K302" i="6"/>
  <c r="M302" i="6" s="1"/>
  <c r="L336" i="6"/>
  <c r="N336" i="6" s="1"/>
  <c r="K341" i="6"/>
  <c r="M341" i="6" s="1"/>
  <c r="L360" i="6"/>
  <c r="N360" i="6" s="1"/>
  <c r="K365" i="6"/>
  <c r="M365" i="6" s="1"/>
  <c r="K400" i="6"/>
  <c r="M400" i="6" s="1"/>
  <c r="L400" i="6"/>
  <c r="N400" i="6" s="1"/>
  <c r="O400" i="6" s="1"/>
  <c r="K408" i="6"/>
  <c r="M408" i="6" s="1"/>
  <c r="O408" i="6" s="1"/>
  <c r="K414" i="6"/>
  <c r="M414" i="6" s="1"/>
  <c r="K438" i="6"/>
  <c r="M438" i="6" s="1"/>
  <c r="K500" i="6"/>
  <c r="M500" i="6" s="1"/>
  <c r="L500" i="6"/>
  <c r="N500" i="6" s="1"/>
  <c r="L542" i="6"/>
  <c r="N542" i="6" s="1"/>
  <c r="K542" i="6"/>
  <c r="M542" i="6" s="1"/>
  <c r="K549" i="6"/>
  <c r="M549" i="6" s="1"/>
  <c r="L549" i="6"/>
  <c r="N549" i="6" s="1"/>
  <c r="L31" i="6"/>
  <c r="N31" i="6" s="1"/>
  <c r="L187" i="6"/>
  <c r="N187" i="6" s="1"/>
  <c r="L238" i="6"/>
  <c r="N238" i="6" s="1"/>
  <c r="O238" i="6" s="1"/>
  <c r="L289" i="6"/>
  <c r="N289" i="6" s="1"/>
  <c r="O289" i="6" s="1"/>
  <c r="K393" i="6"/>
  <c r="M393" i="6" s="1"/>
  <c r="L401" i="6"/>
  <c r="N401" i="6" s="1"/>
  <c r="K401" i="6"/>
  <c r="M401" i="6" s="1"/>
  <c r="L433" i="6"/>
  <c r="N433" i="6" s="1"/>
  <c r="K524" i="6"/>
  <c r="M524" i="6" s="1"/>
  <c r="L524" i="6"/>
  <c r="N524" i="6" s="1"/>
  <c r="L381" i="6"/>
  <c r="N381" i="6" s="1"/>
  <c r="K381" i="6"/>
  <c r="M381" i="6" s="1"/>
  <c r="L32" i="6"/>
  <c r="N32" i="6" s="1"/>
  <c r="L176" i="6"/>
  <c r="N176" i="6" s="1"/>
  <c r="K189" i="6"/>
  <c r="M189" i="6" s="1"/>
  <c r="O189" i="6" s="1"/>
  <c r="L230" i="6"/>
  <c r="N230" i="6" s="1"/>
  <c r="O230" i="6" s="1"/>
  <c r="K239" i="6"/>
  <c r="M239" i="6" s="1"/>
  <c r="L280" i="6"/>
  <c r="N280" i="6" s="1"/>
  <c r="K290" i="6"/>
  <c r="M290" i="6" s="1"/>
  <c r="K382" i="6"/>
  <c r="M382" i="6" s="1"/>
  <c r="K388" i="6"/>
  <c r="M388" i="6" s="1"/>
  <c r="L422" i="6"/>
  <c r="N422" i="6" s="1"/>
  <c r="L26" i="6"/>
  <c r="N26" i="6" s="1"/>
  <c r="L172" i="6"/>
  <c r="N172" i="6" s="1"/>
  <c r="L226" i="6"/>
  <c r="N226" i="6" s="1"/>
  <c r="L276" i="6"/>
  <c r="N276" i="6" s="1"/>
  <c r="L326" i="6"/>
  <c r="N326" i="6" s="1"/>
  <c r="O326" i="6" s="1"/>
  <c r="K331" i="6"/>
  <c r="M331" i="6" s="1"/>
  <c r="O331" i="6" s="1"/>
  <c r="L352" i="6"/>
  <c r="N352" i="6" s="1"/>
  <c r="K357" i="6"/>
  <c r="M357" i="6" s="1"/>
  <c r="L377" i="6"/>
  <c r="N377" i="6" s="1"/>
  <c r="L403" i="6"/>
  <c r="N403" i="6" s="1"/>
  <c r="K403" i="6"/>
  <c r="M403" i="6" s="1"/>
  <c r="L447" i="6"/>
  <c r="N447" i="6" s="1"/>
  <c r="K180" i="6"/>
  <c r="M180" i="6" s="1"/>
  <c r="L27" i="6"/>
  <c r="N27" i="6" s="1"/>
  <c r="L163" i="6"/>
  <c r="N163" i="6" s="1"/>
  <c r="L218" i="6"/>
  <c r="N218" i="6" s="1"/>
  <c r="L268" i="6"/>
  <c r="N268" i="6" s="1"/>
  <c r="O268" i="6" s="1"/>
  <c r="L318" i="6"/>
  <c r="N318" i="6" s="1"/>
  <c r="O318" i="6" s="1"/>
  <c r="K327" i="6"/>
  <c r="M327" i="6" s="1"/>
  <c r="L348" i="6"/>
  <c r="N348" i="6" s="1"/>
  <c r="K353" i="6"/>
  <c r="M353" i="6" s="1"/>
  <c r="L372" i="6"/>
  <c r="N372" i="6" s="1"/>
  <c r="K378" i="6"/>
  <c r="M378" i="6" s="1"/>
  <c r="L417" i="6"/>
  <c r="N417" i="6" s="1"/>
  <c r="K417" i="6"/>
  <c r="M417" i="6" s="1"/>
  <c r="L497" i="6"/>
  <c r="N497" i="6" s="1"/>
  <c r="K35" i="6"/>
  <c r="M35" i="6" s="1"/>
  <c r="L35" i="6"/>
  <c r="N35" i="6" s="1"/>
  <c r="L442" i="6"/>
  <c r="N442" i="6" s="1"/>
  <c r="K442" i="6"/>
  <c r="M442" i="6" s="1"/>
  <c r="K28" i="6"/>
  <c r="M28" i="6" s="1"/>
  <c r="L28" i="6"/>
  <c r="N28" i="6" s="1"/>
  <c r="O159" i="6"/>
  <c r="L466" i="6"/>
  <c r="N466" i="6" s="1"/>
  <c r="K466" i="6"/>
  <c r="M466" i="6" s="1"/>
  <c r="K22" i="6"/>
  <c r="M22" i="6" s="1"/>
  <c r="L22" i="6"/>
  <c r="N22" i="6" s="1"/>
  <c r="L151" i="6"/>
  <c r="N151" i="6" s="1"/>
  <c r="O155" i="6"/>
  <c r="L205" i="6"/>
  <c r="N205" i="6" s="1"/>
  <c r="L256" i="6"/>
  <c r="N256" i="6" s="1"/>
  <c r="O256" i="6" s="1"/>
  <c r="L305" i="6"/>
  <c r="N305" i="6" s="1"/>
  <c r="O305" i="6" s="1"/>
  <c r="L391" i="6"/>
  <c r="N391" i="6" s="1"/>
  <c r="L398" i="6"/>
  <c r="N398" i="6" s="1"/>
  <c r="K398" i="6"/>
  <c r="M398" i="6" s="1"/>
  <c r="K425" i="6"/>
  <c r="M425" i="6" s="1"/>
  <c r="L425" i="6"/>
  <c r="N425" i="6" s="1"/>
  <c r="K467" i="6"/>
  <c r="M467" i="6" s="1"/>
  <c r="L491" i="6"/>
  <c r="N491" i="6" s="1"/>
  <c r="K491" i="6"/>
  <c r="M491" i="6" s="1"/>
  <c r="L598" i="6"/>
  <c r="N598" i="6" s="1"/>
  <c r="L623" i="6"/>
  <c r="N623" i="6" s="1"/>
  <c r="L651" i="6"/>
  <c r="N651" i="6" s="1"/>
  <c r="O651" i="6" s="1"/>
  <c r="L677" i="6"/>
  <c r="N677" i="6" s="1"/>
  <c r="O677" i="6" s="1"/>
  <c r="L703" i="6"/>
  <c r="N703" i="6" s="1"/>
  <c r="K426" i="6"/>
  <c r="M426" i="6" s="1"/>
  <c r="K451" i="6"/>
  <c r="M451" i="6" s="1"/>
  <c r="K475" i="6"/>
  <c r="M475" i="6" s="1"/>
  <c r="K501" i="6"/>
  <c r="M501" i="6" s="1"/>
  <c r="K525" i="6"/>
  <c r="M525" i="6" s="1"/>
  <c r="K550" i="6"/>
  <c r="M550" i="6" s="1"/>
  <c r="K574" i="6"/>
  <c r="M574" i="6" s="1"/>
  <c r="K599" i="6"/>
  <c r="M599" i="6" s="1"/>
  <c r="K626" i="6"/>
  <c r="M626" i="6" s="1"/>
  <c r="K652" i="6"/>
  <c r="M652" i="6" s="1"/>
  <c r="K678" i="6"/>
  <c r="M678" i="6" s="1"/>
  <c r="O678" i="6" s="1"/>
  <c r="K704" i="6"/>
  <c r="M704" i="6" s="1"/>
  <c r="K729" i="6"/>
  <c r="M729" i="6" s="1"/>
  <c r="K407" i="6"/>
  <c r="M407" i="6" s="1"/>
  <c r="K412" i="6"/>
  <c r="M412" i="6" s="1"/>
  <c r="K541" i="6"/>
  <c r="M541" i="6" s="1"/>
  <c r="K565" i="6"/>
  <c r="M565" i="6" s="1"/>
  <c r="K590" i="6"/>
  <c r="M590" i="6" s="1"/>
  <c r="K615" i="6"/>
  <c r="M615" i="6" s="1"/>
  <c r="K642" i="6"/>
  <c r="M642" i="6" s="1"/>
  <c r="K668" i="6"/>
  <c r="M668" i="6" s="1"/>
  <c r="K695" i="6"/>
  <c r="M695" i="6" s="1"/>
  <c r="O695" i="6" s="1"/>
  <c r="K546" i="6"/>
  <c r="M546" i="6" s="1"/>
  <c r="O546" i="6" s="1"/>
  <c r="K570" i="6"/>
  <c r="M570" i="6" s="1"/>
  <c r="K595" i="6"/>
  <c r="M595" i="6" s="1"/>
  <c r="K620" i="6"/>
  <c r="M620" i="6" s="1"/>
  <c r="K648" i="6"/>
  <c r="M648" i="6" s="1"/>
  <c r="K673" i="6"/>
  <c r="M673" i="6" s="1"/>
  <c r="K700" i="6"/>
  <c r="M700" i="6" s="1"/>
  <c r="K566" i="6"/>
  <c r="M566" i="6" s="1"/>
  <c r="K591" i="6"/>
  <c r="M591" i="6" s="1"/>
  <c r="K616" i="6"/>
  <c r="M616" i="6" s="1"/>
  <c r="K644" i="6"/>
  <c r="M644" i="6" s="1"/>
  <c r="K669" i="6"/>
  <c r="M669" i="6" s="1"/>
  <c r="O669" i="6" s="1"/>
  <c r="K389" i="6"/>
  <c r="M389" i="6" s="1"/>
  <c r="O389" i="6" s="1"/>
  <c r="K395" i="6"/>
  <c r="M395" i="6" s="1"/>
  <c r="K415" i="6"/>
  <c r="M415" i="6" s="1"/>
  <c r="K733" i="6"/>
  <c r="M733" i="6" s="1"/>
  <c r="L322" i="8"/>
  <c r="N322" i="8" s="1"/>
  <c r="K322" i="8"/>
  <c r="M322" i="8" s="1"/>
  <c r="L383" i="8"/>
  <c r="N383" i="8" s="1"/>
  <c r="K383" i="8"/>
  <c r="M383" i="8" s="1"/>
  <c r="L483" i="8"/>
  <c r="N483" i="8" s="1"/>
  <c r="K483" i="8"/>
  <c r="M483" i="8" s="1"/>
  <c r="K300" i="8"/>
  <c r="M300" i="8" s="1"/>
  <c r="K324" i="8"/>
  <c r="M324" i="8" s="1"/>
  <c r="K350" i="8"/>
  <c r="M350" i="8" s="1"/>
  <c r="O350" i="8" s="1"/>
  <c r="L356" i="8"/>
  <c r="N356" i="8" s="1"/>
  <c r="L372" i="8"/>
  <c r="N372" i="8" s="1"/>
  <c r="L391" i="8"/>
  <c r="N391" i="8" s="1"/>
  <c r="O391" i="8" s="1"/>
  <c r="K404" i="8"/>
  <c r="M404" i="8" s="1"/>
  <c r="L412" i="8"/>
  <c r="N412" i="8" s="1"/>
  <c r="K412" i="8"/>
  <c r="M412" i="8" s="1"/>
  <c r="L419" i="8"/>
  <c r="N419" i="8" s="1"/>
  <c r="K419" i="8"/>
  <c r="M419" i="8" s="1"/>
  <c r="K457" i="8"/>
  <c r="M457" i="8" s="1"/>
  <c r="K504" i="8"/>
  <c r="M504" i="8" s="1"/>
  <c r="L511" i="8"/>
  <c r="N511" i="8" s="1"/>
  <c r="K511" i="8"/>
  <c r="M511" i="8" s="1"/>
  <c r="O511" i="8" s="1"/>
  <c r="L518" i="8"/>
  <c r="N518" i="8" s="1"/>
  <c r="K518" i="8"/>
  <c r="M518" i="8" s="1"/>
  <c r="L584" i="8"/>
  <c r="N584" i="8" s="1"/>
  <c r="K584" i="8"/>
  <c r="M584" i="8" s="1"/>
  <c r="K23" i="8"/>
  <c r="M23" i="8" s="1"/>
  <c r="K38" i="8"/>
  <c r="M38" i="8" s="1"/>
  <c r="K49" i="8"/>
  <c r="M49" i="8" s="1"/>
  <c r="K54" i="8"/>
  <c r="M54" i="8" s="1"/>
  <c r="K69" i="8"/>
  <c r="M69" i="8" s="1"/>
  <c r="K74" i="8"/>
  <c r="M74" i="8" s="1"/>
  <c r="K94" i="8"/>
  <c r="M94" i="8" s="1"/>
  <c r="L99" i="8"/>
  <c r="N99" i="8" s="1"/>
  <c r="O99" i="8" s="1"/>
  <c r="K127" i="8"/>
  <c r="M127" i="8" s="1"/>
  <c r="K148" i="8"/>
  <c r="M148" i="8" s="1"/>
  <c r="K154" i="8"/>
  <c r="M154" i="8" s="1"/>
  <c r="O154" i="8" s="1"/>
  <c r="K169" i="8"/>
  <c r="M169" i="8" s="1"/>
  <c r="K175" i="8"/>
  <c r="M175" i="8" s="1"/>
  <c r="K200" i="8"/>
  <c r="M200" i="8" s="1"/>
  <c r="L205" i="8"/>
  <c r="N205" i="8" s="1"/>
  <c r="K232" i="8"/>
  <c r="M232" i="8" s="1"/>
  <c r="K301" i="8"/>
  <c r="M301" i="8" s="1"/>
  <c r="K307" i="8"/>
  <c r="M307" i="8" s="1"/>
  <c r="L313" i="8"/>
  <c r="N313" i="8" s="1"/>
  <c r="K325" i="8"/>
  <c r="M325" i="8" s="1"/>
  <c r="O325" i="8" s="1"/>
  <c r="K351" i="8"/>
  <c r="M351" i="8" s="1"/>
  <c r="K362" i="8"/>
  <c r="M362" i="8" s="1"/>
  <c r="K439" i="8"/>
  <c r="M439" i="8" s="1"/>
  <c r="O439" i="8" s="1"/>
  <c r="L458" i="8"/>
  <c r="N458" i="8" s="1"/>
  <c r="K458" i="8"/>
  <c r="M458" i="8" s="1"/>
  <c r="K538" i="8"/>
  <c r="M538" i="8" s="1"/>
  <c r="L557" i="8"/>
  <c r="N557" i="8" s="1"/>
  <c r="K557" i="8"/>
  <c r="M557" i="8" s="1"/>
  <c r="K16" i="8"/>
  <c r="M16" i="8" s="1"/>
  <c r="L255" i="8"/>
  <c r="N255" i="8" s="1"/>
  <c r="L368" i="8"/>
  <c r="N368" i="8" s="1"/>
  <c r="L386" i="8"/>
  <c r="N386" i="8" s="1"/>
  <c r="O386" i="8" s="1"/>
  <c r="K386" i="8"/>
  <c r="M386" i="8" s="1"/>
  <c r="L393" i="8"/>
  <c r="N393" i="8" s="1"/>
  <c r="K393" i="8"/>
  <c r="M393" i="8" s="1"/>
  <c r="K432" i="8"/>
  <c r="M432" i="8" s="1"/>
  <c r="K479" i="8"/>
  <c r="M479" i="8" s="1"/>
  <c r="L486" i="8"/>
  <c r="N486" i="8" s="1"/>
  <c r="K486" i="8"/>
  <c r="M486" i="8" s="1"/>
  <c r="L493" i="8"/>
  <c r="N493" i="8" s="1"/>
  <c r="K493" i="8"/>
  <c r="M493" i="8" s="1"/>
  <c r="L332" i="8"/>
  <c r="N332" i="8" s="1"/>
  <c r="K332" i="8"/>
  <c r="M332" i="8" s="1"/>
  <c r="L17" i="8"/>
  <c r="N17" i="8" s="1"/>
  <c r="O17" i="8" s="1"/>
  <c r="K70" i="8"/>
  <c r="M70" i="8" s="1"/>
  <c r="L75" i="8"/>
  <c r="N75" i="8" s="1"/>
  <c r="K171" i="8"/>
  <c r="M171" i="8" s="1"/>
  <c r="O171" i="8" s="1"/>
  <c r="L176" i="8"/>
  <c r="N176" i="8" s="1"/>
  <c r="L256" i="8"/>
  <c r="N256" i="8" s="1"/>
  <c r="K340" i="8"/>
  <c r="M340" i="8" s="1"/>
  <c r="K358" i="8"/>
  <c r="M358" i="8" s="1"/>
  <c r="K374" i="8"/>
  <c r="M374" i="8" s="1"/>
  <c r="K415" i="8"/>
  <c r="M415" i="8" s="1"/>
  <c r="L433" i="8"/>
  <c r="N433" i="8" s="1"/>
  <c r="K433" i="8"/>
  <c r="M433" i="8" s="1"/>
  <c r="K514" i="8"/>
  <c r="M514" i="8" s="1"/>
  <c r="O514" i="8" s="1"/>
  <c r="L532" i="8"/>
  <c r="N532" i="8" s="1"/>
  <c r="K532" i="8"/>
  <c r="M532" i="8" s="1"/>
  <c r="L680" i="8"/>
  <c r="N680" i="8" s="1"/>
  <c r="K680" i="8"/>
  <c r="M680" i="8" s="1"/>
  <c r="K303" i="8"/>
  <c r="M303" i="8" s="1"/>
  <c r="L461" i="8"/>
  <c r="N461" i="8" s="1"/>
  <c r="K461" i="8"/>
  <c r="M461" i="8" s="1"/>
  <c r="L468" i="8"/>
  <c r="N468" i="8" s="1"/>
  <c r="K468" i="8"/>
  <c r="M468" i="8" s="1"/>
  <c r="L560" i="8"/>
  <c r="N560" i="8" s="1"/>
  <c r="K560" i="8"/>
  <c r="M560" i="8" s="1"/>
  <c r="L567" i="8"/>
  <c r="N567" i="8" s="1"/>
  <c r="O567" i="8" s="1"/>
  <c r="K567" i="8"/>
  <c r="M567" i="8" s="1"/>
  <c r="K18" i="8"/>
  <c r="M18" i="8" s="1"/>
  <c r="K46" i="8"/>
  <c r="M46" i="8" s="1"/>
  <c r="O46" i="8" s="1"/>
  <c r="L61" i="8"/>
  <c r="N61" i="8" s="1"/>
  <c r="K66" i="8"/>
  <c r="M66" i="8" s="1"/>
  <c r="K71" i="8"/>
  <c r="M71" i="8" s="1"/>
  <c r="K91" i="8"/>
  <c r="M91" i="8" s="1"/>
  <c r="L161" i="8"/>
  <c r="N161" i="8" s="1"/>
  <c r="K166" i="8"/>
  <c r="M166" i="8" s="1"/>
  <c r="K172" i="8"/>
  <c r="M172" i="8" s="1"/>
  <c r="K196" i="8"/>
  <c r="M196" i="8" s="1"/>
  <c r="K274" i="8"/>
  <c r="M274" i="8" s="1"/>
  <c r="O274" i="8" s="1"/>
  <c r="K297" i="8"/>
  <c r="M297" i="8" s="1"/>
  <c r="L316" i="8"/>
  <c r="N316" i="8" s="1"/>
  <c r="K321" i="8"/>
  <c r="M321" i="8" s="1"/>
  <c r="O321" i="8" s="1"/>
  <c r="K347" i="8"/>
  <c r="M347" i="8" s="1"/>
  <c r="L359" i="8"/>
  <c r="N359" i="8" s="1"/>
  <c r="L376" i="8"/>
  <c r="N376" i="8" s="1"/>
  <c r="K376" i="8"/>
  <c r="M376" i="8" s="1"/>
  <c r="K435" i="8"/>
  <c r="M435" i="8" s="1"/>
  <c r="K25" i="8"/>
  <c r="M25" i="8" s="1"/>
  <c r="K36" i="8"/>
  <c r="M36" i="8" s="1"/>
  <c r="L51" i="8"/>
  <c r="N51" i="8" s="1"/>
  <c r="K77" i="8"/>
  <c r="M77" i="8" s="1"/>
  <c r="O77" i="8" s="1"/>
  <c r="K97" i="8"/>
  <c r="M97" i="8" s="1"/>
  <c r="K102" i="8"/>
  <c r="M102" i="8" s="1"/>
  <c r="K118" i="8"/>
  <c r="M118" i="8" s="1"/>
  <c r="O118" i="8" s="1"/>
  <c r="K123" i="8"/>
  <c r="M123" i="8" s="1"/>
  <c r="K145" i="8"/>
  <c r="M145" i="8" s="1"/>
  <c r="L151" i="8"/>
  <c r="N151" i="8" s="1"/>
  <c r="K181" i="8"/>
  <c r="M181" i="8" s="1"/>
  <c r="K203" i="8"/>
  <c r="M203" i="8" s="1"/>
  <c r="K209" i="8"/>
  <c r="M209" i="8" s="1"/>
  <c r="K224" i="8"/>
  <c r="M224" i="8" s="1"/>
  <c r="K229" i="8"/>
  <c r="M229" i="8" s="1"/>
  <c r="K251" i="8"/>
  <c r="M251" i="8" s="1"/>
  <c r="O251" i="8" s="1"/>
  <c r="K258" i="8"/>
  <c r="M258" i="8" s="1"/>
  <c r="L263" i="8"/>
  <c r="N263" i="8" s="1"/>
  <c r="L280" i="8"/>
  <c r="N280" i="8" s="1"/>
  <c r="O280" i="8" s="1"/>
  <c r="K287" i="8"/>
  <c r="M287" i="8" s="1"/>
  <c r="K328" i="8"/>
  <c r="M328" i="8" s="1"/>
  <c r="L342" i="8"/>
  <c r="N342" i="8" s="1"/>
  <c r="K354" i="8"/>
  <c r="M354" i="8" s="1"/>
  <c r="K370" i="8"/>
  <c r="M370" i="8" s="1"/>
  <c r="K377" i="8"/>
  <c r="M377" i="8" s="1"/>
  <c r="K382" i="8"/>
  <c r="M382" i="8" s="1"/>
  <c r="K389" i="8"/>
  <c r="M389" i="8" s="1"/>
  <c r="L409" i="8"/>
  <c r="N409" i="8" s="1"/>
  <c r="O409" i="8" s="1"/>
  <c r="K409" i="8"/>
  <c r="M409" i="8" s="1"/>
  <c r="K489" i="8"/>
  <c r="M489" i="8" s="1"/>
  <c r="L508" i="8"/>
  <c r="N508" i="8" s="1"/>
  <c r="O508" i="8" s="1"/>
  <c r="K508" i="8"/>
  <c r="M508" i="8" s="1"/>
  <c r="L589" i="8"/>
  <c r="N589" i="8" s="1"/>
  <c r="K589" i="8"/>
  <c r="M589" i="8" s="1"/>
  <c r="L348" i="8"/>
  <c r="N348" i="8" s="1"/>
  <c r="K348" i="8"/>
  <c r="M348" i="8" s="1"/>
  <c r="K275" i="8"/>
  <c r="M275" i="8" s="1"/>
  <c r="L304" i="8"/>
  <c r="N304" i="8" s="1"/>
  <c r="L360" i="8"/>
  <c r="N360" i="8" s="1"/>
  <c r="K429" i="8"/>
  <c r="M429" i="8" s="1"/>
  <c r="O429" i="8" s="1"/>
  <c r="L436" i="8"/>
  <c r="N436" i="8" s="1"/>
  <c r="K436" i="8"/>
  <c r="M436" i="8" s="1"/>
  <c r="L444" i="8"/>
  <c r="N444" i="8" s="1"/>
  <c r="O444" i="8" s="1"/>
  <c r="K444" i="8"/>
  <c r="M444" i="8" s="1"/>
  <c r="K528" i="8"/>
  <c r="M528" i="8" s="1"/>
  <c r="L535" i="8"/>
  <c r="N535" i="8" s="1"/>
  <c r="K535" i="8"/>
  <c r="M535" i="8" s="1"/>
  <c r="L543" i="8"/>
  <c r="N543" i="8" s="1"/>
  <c r="K543" i="8"/>
  <c r="M543" i="8" s="1"/>
  <c r="L718" i="8"/>
  <c r="N718" i="8" s="1"/>
  <c r="K718" i="8"/>
  <c r="M718" i="8" s="1"/>
  <c r="L590" i="8"/>
  <c r="N590" i="8" s="1"/>
  <c r="O590" i="8" s="1"/>
  <c r="K719" i="8"/>
  <c r="M719" i="8" s="1"/>
  <c r="K732" i="8"/>
  <c r="M732" i="8" s="1"/>
  <c r="K705" i="8"/>
  <c r="M705" i="8" s="1"/>
  <c r="O705" i="8" s="1"/>
  <c r="K597" i="8"/>
  <c r="M597" i="8" s="1"/>
  <c r="K610" i="8"/>
  <c r="M610" i="8" s="1"/>
  <c r="K622" i="8"/>
  <c r="M622" i="8" s="1"/>
  <c r="K636" i="8"/>
  <c r="M636" i="8" s="1"/>
  <c r="K650" i="8"/>
  <c r="M650" i="8" s="1"/>
  <c r="K662" i="8"/>
  <c r="M662" i="8" s="1"/>
  <c r="K676" i="8"/>
  <c r="M676" i="8" s="1"/>
  <c r="L586" i="8"/>
  <c r="N586" i="8" s="1"/>
  <c r="K713" i="8"/>
  <c r="M713" i="8" s="1"/>
  <c r="O713" i="8" s="1"/>
  <c r="L733" i="8"/>
  <c r="N733" i="8" s="1"/>
  <c r="K722" i="8"/>
  <c r="M722" i="8" s="1"/>
  <c r="K600" i="8"/>
  <c r="M600" i="8" s="1"/>
  <c r="O600" i="8" s="1"/>
  <c r="K613" i="8"/>
  <c r="M613" i="8" s="1"/>
  <c r="K627" i="8"/>
  <c r="M627" i="8" s="1"/>
  <c r="K640" i="8"/>
  <c r="M640" i="8" s="1"/>
  <c r="K653" i="8"/>
  <c r="M653" i="8" s="1"/>
  <c r="K666" i="8"/>
  <c r="M666" i="8" s="1"/>
  <c r="K679" i="8"/>
  <c r="M679" i="8" s="1"/>
  <c r="K723" i="8"/>
  <c r="M723" i="8" s="1"/>
  <c r="K736" i="8"/>
  <c r="M736" i="8" s="1"/>
  <c r="K709" i="8"/>
  <c r="M709" i="8" s="1"/>
  <c r="O709" i="8" s="1"/>
  <c r="L729" i="8"/>
  <c r="N729" i="8" s="1"/>
  <c r="K24" i="12"/>
  <c r="M24" i="12" s="1"/>
  <c r="L24" i="12"/>
  <c r="N24" i="12" s="1"/>
  <c r="K37" i="12"/>
  <c r="M37" i="12" s="1"/>
  <c r="L37" i="12"/>
  <c r="N37" i="12" s="1"/>
  <c r="K50" i="12"/>
  <c r="M50" i="12" s="1"/>
  <c r="L50" i="12"/>
  <c r="N50" i="12" s="1"/>
  <c r="K62" i="12"/>
  <c r="M62" i="12" s="1"/>
  <c r="L62" i="12"/>
  <c r="N62" i="12" s="1"/>
  <c r="K74" i="12"/>
  <c r="M74" i="12" s="1"/>
  <c r="L74" i="12"/>
  <c r="N74" i="12" s="1"/>
  <c r="K86" i="12"/>
  <c r="M86" i="12" s="1"/>
  <c r="L86" i="12"/>
  <c r="N86" i="12" s="1"/>
  <c r="K98" i="12"/>
  <c r="M98" i="12" s="1"/>
  <c r="L98" i="12"/>
  <c r="N98" i="12" s="1"/>
  <c r="K110" i="12"/>
  <c r="M110" i="12" s="1"/>
  <c r="L110" i="12"/>
  <c r="N110" i="12" s="1"/>
  <c r="L123" i="12"/>
  <c r="N123" i="12" s="1"/>
  <c r="K123" i="12"/>
  <c r="M123" i="12" s="1"/>
  <c r="L137" i="12"/>
  <c r="N137" i="12" s="1"/>
  <c r="K137" i="12"/>
  <c r="M137" i="12" s="1"/>
  <c r="L149" i="12"/>
  <c r="N149" i="12" s="1"/>
  <c r="K149" i="12"/>
  <c r="M149" i="12" s="1"/>
  <c r="O149" i="12" s="1"/>
  <c r="L162" i="12"/>
  <c r="N162" i="12" s="1"/>
  <c r="K162" i="12"/>
  <c r="M162" i="12" s="1"/>
  <c r="K175" i="12"/>
  <c r="M175" i="12" s="1"/>
  <c r="L175" i="12"/>
  <c r="N175" i="12" s="1"/>
  <c r="L217" i="12"/>
  <c r="N217" i="12" s="1"/>
  <c r="K217" i="12"/>
  <c r="M217" i="12" s="1"/>
  <c r="L241" i="12"/>
  <c r="N241" i="12" s="1"/>
  <c r="K241" i="12"/>
  <c r="M241" i="12" s="1"/>
  <c r="K279" i="12"/>
  <c r="M279" i="12" s="1"/>
  <c r="L279" i="12"/>
  <c r="N279" i="12" s="1"/>
  <c r="K529" i="12"/>
  <c r="M529" i="12" s="1"/>
  <c r="L529" i="12"/>
  <c r="N529" i="12" s="1"/>
  <c r="K554" i="12"/>
  <c r="M554" i="12" s="1"/>
  <c r="L554" i="12"/>
  <c r="N554" i="12" s="1"/>
  <c r="K578" i="12"/>
  <c r="M578" i="12" s="1"/>
  <c r="L578" i="12"/>
  <c r="N578" i="12" s="1"/>
  <c r="K644" i="12"/>
  <c r="M644" i="12" s="1"/>
  <c r="L644" i="12"/>
  <c r="N644" i="12" s="1"/>
  <c r="K392" i="12"/>
  <c r="M392" i="12" s="1"/>
  <c r="L392" i="12"/>
  <c r="N392" i="12" s="1"/>
  <c r="K669" i="12"/>
  <c r="M669" i="12" s="1"/>
  <c r="L669" i="12"/>
  <c r="N669" i="12" s="1"/>
  <c r="K25" i="12"/>
  <c r="M25" i="12" s="1"/>
  <c r="L25" i="12"/>
  <c r="N25" i="12" s="1"/>
  <c r="L38" i="12"/>
  <c r="N38" i="12" s="1"/>
  <c r="K38" i="12"/>
  <c r="M38" i="12" s="1"/>
  <c r="K51" i="12"/>
  <c r="M51" i="12" s="1"/>
  <c r="L51" i="12"/>
  <c r="N51" i="12" s="1"/>
  <c r="K63" i="12"/>
  <c r="M63" i="12" s="1"/>
  <c r="L63" i="12"/>
  <c r="N63" i="12" s="1"/>
  <c r="K75" i="12"/>
  <c r="M75" i="12" s="1"/>
  <c r="L75" i="12"/>
  <c r="N75" i="12" s="1"/>
  <c r="K87" i="12"/>
  <c r="M87" i="12" s="1"/>
  <c r="L87" i="12"/>
  <c r="N87" i="12" s="1"/>
  <c r="K99" i="12"/>
  <c r="M99" i="12" s="1"/>
  <c r="L99" i="12"/>
  <c r="N99" i="12" s="1"/>
  <c r="K111" i="12"/>
  <c r="M111" i="12" s="1"/>
  <c r="L111" i="12"/>
  <c r="N111" i="12" s="1"/>
  <c r="K125" i="12"/>
  <c r="M125" i="12" s="1"/>
  <c r="L125" i="12"/>
  <c r="N125" i="12" s="1"/>
  <c r="K138" i="12"/>
  <c r="M138" i="12" s="1"/>
  <c r="O138" i="12" s="1"/>
  <c r="L138" i="12"/>
  <c r="N138" i="12" s="1"/>
  <c r="K151" i="12"/>
  <c r="M151" i="12" s="1"/>
  <c r="L151" i="12"/>
  <c r="N151" i="12" s="1"/>
  <c r="K163" i="12"/>
  <c r="M163" i="12" s="1"/>
  <c r="L163" i="12"/>
  <c r="N163" i="12" s="1"/>
  <c r="L176" i="12"/>
  <c r="N176" i="12" s="1"/>
  <c r="K176" i="12"/>
  <c r="M176" i="12" s="1"/>
  <c r="L192" i="12"/>
  <c r="N192" i="12" s="1"/>
  <c r="K192" i="12"/>
  <c r="M192" i="12" s="1"/>
  <c r="L205" i="12"/>
  <c r="N205" i="12" s="1"/>
  <c r="K205" i="12"/>
  <c r="M205" i="12" s="1"/>
  <c r="K218" i="12"/>
  <c r="M218" i="12" s="1"/>
  <c r="L218" i="12"/>
  <c r="N218" i="12" s="1"/>
  <c r="K230" i="12"/>
  <c r="M230" i="12" s="1"/>
  <c r="L230" i="12"/>
  <c r="N230" i="12" s="1"/>
  <c r="K243" i="12"/>
  <c r="M243" i="12" s="1"/>
  <c r="L243" i="12"/>
  <c r="N243" i="12" s="1"/>
  <c r="K256" i="12"/>
  <c r="M256" i="12" s="1"/>
  <c r="L256" i="12"/>
  <c r="N256" i="12" s="1"/>
  <c r="K268" i="12"/>
  <c r="M268" i="12" s="1"/>
  <c r="L268" i="12"/>
  <c r="N268" i="12" s="1"/>
  <c r="K280" i="12"/>
  <c r="M280" i="12" s="1"/>
  <c r="L280" i="12"/>
  <c r="N280" i="12" s="1"/>
  <c r="K293" i="12"/>
  <c r="M293" i="12" s="1"/>
  <c r="L293" i="12"/>
  <c r="N293" i="12" s="1"/>
  <c r="K305" i="12"/>
  <c r="M305" i="12" s="1"/>
  <c r="L305" i="12"/>
  <c r="N305" i="12" s="1"/>
  <c r="L318" i="12"/>
  <c r="N318" i="12" s="1"/>
  <c r="K318" i="12"/>
  <c r="M318" i="12" s="1"/>
  <c r="K330" i="12"/>
  <c r="M330" i="12" s="1"/>
  <c r="L330" i="12"/>
  <c r="N330" i="12" s="1"/>
  <c r="K344" i="12"/>
  <c r="M344" i="12" s="1"/>
  <c r="L344" i="12"/>
  <c r="N344" i="12" s="1"/>
  <c r="K356" i="12"/>
  <c r="M356" i="12" s="1"/>
  <c r="L356" i="12"/>
  <c r="N356" i="12" s="1"/>
  <c r="K368" i="12"/>
  <c r="M368" i="12" s="1"/>
  <c r="L368" i="12"/>
  <c r="N368" i="12" s="1"/>
  <c r="K381" i="12"/>
  <c r="M381" i="12" s="1"/>
  <c r="L381" i="12"/>
  <c r="N381" i="12" s="1"/>
  <c r="K393" i="12"/>
  <c r="M393" i="12" s="1"/>
  <c r="L393" i="12"/>
  <c r="N393" i="12" s="1"/>
  <c r="K407" i="12"/>
  <c r="M407" i="12" s="1"/>
  <c r="L407" i="12"/>
  <c r="N407" i="12" s="1"/>
  <c r="K419" i="12"/>
  <c r="M419" i="12" s="1"/>
  <c r="L419" i="12"/>
  <c r="N419" i="12" s="1"/>
  <c r="K431" i="12"/>
  <c r="M431" i="12" s="1"/>
  <c r="L431" i="12"/>
  <c r="N431" i="12" s="1"/>
  <c r="K444" i="12"/>
  <c r="M444" i="12" s="1"/>
  <c r="L444" i="12"/>
  <c r="N444" i="12" s="1"/>
  <c r="K456" i="12"/>
  <c r="M456" i="12" s="1"/>
  <c r="L456" i="12"/>
  <c r="N456" i="12" s="1"/>
  <c r="K468" i="12"/>
  <c r="M468" i="12" s="1"/>
  <c r="L468" i="12"/>
  <c r="N468" i="12" s="1"/>
  <c r="K481" i="12"/>
  <c r="M481" i="12" s="1"/>
  <c r="L481" i="12"/>
  <c r="N481" i="12" s="1"/>
  <c r="L493" i="12"/>
  <c r="N493" i="12" s="1"/>
  <c r="K493" i="12"/>
  <c r="M493" i="12" s="1"/>
  <c r="L506" i="12"/>
  <c r="N506" i="12" s="1"/>
  <c r="K506" i="12"/>
  <c r="M506" i="12" s="1"/>
  <c r="L518" i="12"/>
  <c r="N518" i="12" s="1"/>
  <c r="K518" i="12"/>
  <c r="M518" i="12" s="1"/>
  <c r="L530" i="12"/>
  <c r="N530" i="12" s="1"/>
  <c r="K530" i="12"/>
  <c r="M530" i="12" s="1"/>
  <c r="L543" i="12"/>
  <c r="N543" i="12" s="1"/>
  <c r="K543" i="12"/>
  <c r="M543" i="12" s="1"/>
  <c r="L555" i="12"/>
  <c r="N555" i="12" s="1"/>
  <c r="K555" i="12"/>
  <c r="M555" i="12" s="1"/>
  <c r="K567" i="12"/>
  <c r="M567" i="12" s="1"/>
  <c r="L567" i="12"/>
  <c r="N567" i="12" s="1"/>
  <c r="K579" i="12"/>
  <c r="M579" i="12" s="1"/>
  <c r="L579" i="12"/>
  <c r="N579" i="12" s="1"/>
  <c r="L592" i="12"/>
  <c r="N592" i="12" s="1"/>
  <c r="K592" i="12"/>
  <c r="M592" i="12" s="1"/>
  <c r="K604" i="12"/>
  <c r="M604" i="12" s="1"/>
  <c r="L604" i="12"/>
  <c r="N604" i="12" s="1"/>
  <c r="K617" i="12"/>
  <c r="M617" i="12" s="1"/>
  <c r="L617" i="12"/>
  <c r="N617" i="12" s="1"/>
  <c r="L631" i="12"/>
  <c r="N631" i="12" s="1"/>
  <c r="K631" i="12"/>
  <c r="M631" i="12" s="1"/>
  <c r="K645" i="12"/>
  <c r="M645" i="12" s="1"/>
  <c r="L645" i="12"/>
  <c r="N645" i="12" s="1"/>
  <c r="L657" i="12"/>
  <c r="N657" i="12" s="1"/>
  <c r="K657" i="12"/>
  <c r="M657" i="12" s="1"/>
  <c r="K670" i="12"/>
  <c r="M670" i="12" s="1"/>
  <c r="L670" i="12"/>
  <c r="N670" i="12" s="1"/>
  <c r="L683" i="12"/>
  <c r="N683" i="12" s="1"/>
  <c r="K683" i="12"/>
  <c r="M683" i="12" s="1"/>
  <c r="L697" i="12"/>
  <c r="N697" i="12" s="1"/>
  <c r="K697" i="12"/>
  <c r="M697" i="12" s="1"/>
  <c r="K709" i="12"/>
  <c r="M709" i="12" s="1"/>
  <c r="L709" i="12"/>
  <c r="N709" i="12" s="1"/>
  <c r="K722" i="12"/>
  <c r="M722" i="12" s="1"/>
  <c r="L722" i="12"/>
  <c r="N722" i="12" s="1"/>
  <c r="L734" i="12"/>
  <c r="N734" i="12" s="1"/>
  <c r="K734" i="12"/>
  <c r="M734" i="12" s="1"/>
  <c r="L229" i="12"/>
  <c r="N229" i="12" s="1"/>
  <c r="K229" i="12"/>
  <c r="M229" i="12" s="1"/>
  <c r="L292" i="12"/>
  <c r="N292" i="12" s="1"/>
  <c r="K292" i="12"/>
  <c r="M292" i="12" s="1"/>
  <c r="L329" i="12"/>
  <c r="N329" i="12" s="1"/>
  <c r="K329" i="12"/>
  <c r="M329" i="12" s="1"/>
  <c r="K367" i="12"/>
  <c r="M367" i="12" s="1"/>
  <c r="L367" i="12"/>
  <c r="N367" i="12" s="1"/>
  <c r="K443" i="12"/>
  <c r="M443" i="12" s="1"/>
  <c r="L443" i="12"/>
  <c r="N443" i="12" s="1"/>
  <c r="L480" i="12"/>
  <c r="N480" i="12" s="1"/>
  <c r="K480" i="12"/>
  <c r="M480" i="12" s="1"/>
  <c r="K517" i="12"/>
  <c r="M517" i="12" s="1"/>
  <c r="L517" i="12"/>
  <c r="N517" i="12" s="1"/>
  <c r="K591" i="12"/>
  <c r="M591" i="12" s="1"/>
  <c r="L591" i="12"/>
  <c r="N591" i="12" s="1"/>
  <c r="K630" i="12"/>
  <c r="M630" i="12" s="1"/>
  <c r="L630" i="12"/>
  <c r="N630" i="12" s="1"/>
  <c r="K682" i="12"/>
  <c r="M682" i="12" s="1"/>
  <c r="L682" i="12"/>
  <c r="N682" i="12" s="1"/>
  <c r="K708" i="12"/>
  <c r="M708" i="12" s="1"/>
  <c r="L708" i="12"/>
  <c r="N708" i="12" s="1"/>
  <c r="K26" i="12"/>
  <c r="M26" i="12" s="1"/>
  <c r="L26" i="12"/>
  <c r="N26" i="12" s="1"/>
  <c r="K39" i="12"/>
  <c r="M39" i="12" s="1"/>
  <c r="L39" i="12"/>
  <c r="N39" i="12" s="1"/>
  <c r="L52" i="12"/>
  <c r="N52" i="12" s="1"/>
  <c r="K52" i="12"/>
  <c r="M52" i="12" s="1"/>
  <c r="L64" i="12"/>
  <c r="N64" i="12" s="1"/>
  <c r="K64" i="12"/>
  <c r="M64" i="12" s="1"/>
  <c r="L76" i="12"/>
  <c r="N76" i="12" s="1"/>
  <c r="K76" i="12"/>
  <c r="M76" i="12" s="1"/>
  <c r="L88" i="12"/>
  <c r="N88" i="12" s="1"/>
  <c r="K88" i="12"/>
  <c r="M88" i="12" s="1"/>
  <c r="L100" i="12"/>
  <c r="N100" i="12" s="1"/>
  <c r="K100" i="12"/>
  <c r="M100" i="12" s="1"/>
  <c r="K112" i="12"/>
  <c r="M112" i="12" s="1"/>
  <c r="L112" i="12"/>
  <c r="N112" i="12" s="1"/>
  <c r="K126" i="12"/>
  <c r="M126" i="12" s="1"/>
  <c r="L126" i="12"/>
  <c r="N126" i="12" s="1"/>
  <c r="L139" i="12"/>
  <c r="N139" i="12" s="1"/>
  <c r="K139" i="12"/>
  <c r="M139" i="12" s="1"/>
  <c r="L152" i="12"/>
  <c r="N152" i="12" s="1"/>
  <c r="K152" i="12"/>
  <c r="M152" i="12" s="1"/>
  <c r="L164" i="12"/>
  <c r="N164" i="12" s="1"/>
  <c r="K164" i="12"/>
  <c r="M164" i="12" s="1"/>
  <c r="K180" i="12"/>
  <c r="M180" i="12" s="1"/>
  <c r="L180" i="12"/>
  <c r="N180" i="12" s="1"/>
  <c r="K193" i="12"/>
  <c r="M193" i="12" s="1"/>
  <c r="L193" i="12"/>
  <c r="N193" i="12" s="1"/>
  <c r="K206" i="12"/>
  <c r="M206" i="12" s="1"/>
  <c r="L206" i="12"/>
  <c r="N206" i="12" s="1"/>
  <c r="K219" i="12"/>
  <c r="M219" i="12" s="1"/>
  <c r="L219" i="12"/>
  <c r="N219" i="12" s="1"/>
  <c r="L231" i="12"/>
  <c r="N231" i="12" s="1"/>
  <c r="K231" i="12"/>
  <c r="M231" i="12" s="1"/>
  <c r="L244" i="12"/>
  <c r="N244" i="12" s="1"/>
  <c r="K244" i="12"/>
  <c r="M244" i="12" s="1"/>
  <c r="L257" i="12"/>
  <c r="N257" i="12" s="1"/>
  <c r="K257" i="12"/>
  <c r="M257" i="12" s="1"/>
  <c r="L269" i="12"/>
  <c r="N269" i="12" s="1"/>
  <c r="K269" i="12"/>
  <c r="M269" i="12" s="1"/>
  <c r="L281" i="12"/>
  <c r="N281" i="12" s="1"/>
  <c r="K281" i="12"/>
  <c r="M281" i="12" s="1"/>
  <c r="K294" i="12"/>
  <c r="M294" i="12" s="1"/>
  <c r="L294" i="12"/>
  <c r="N294" i="12" s="1"/>
  <c r="K306" i="12"/>
  <c r="M306" i="12" s="1"/>
  <c r="L306" i="12"/>
  <c r="N306" i="12" s="1"/>
  <c r="L319" i="12"/>
  <c r="N319" i="12" s="1"/>
  <c r="K319" i="12"/>
  <c r="M319" i="12" s="1"/>
  <c r="L331" i="12"/>
  <c r="N331" i="12" s="1"/>
  <c r="K331" i="12"/>
  <c r="M331" i="12" s="1"/>
  <c r="L345" i="12"/>
  <c r="N345" i="12" s="1"/>
  <c r="K345" i="12"/>
  <c r="M345" i="12" s="1"/>
  <c r="L357" i="12"/>
  <c r="N357" i="12" s="1"/>
  <c r="K357" i="12"/>
  <c r="M357" i="12" s="1"/>
  <c r="K369" i="12"/>
  <c r="M369" i="12" s="1"/>
  <c r="L369" i="12"/>
  <c r="N369" i="12" s="1"/>
  <c r="L382" i="12"/>
  <c r="N382" i="12" s="1"/>
  <c r="K382" i="12"/>
  <c r="M382" i="12" s="1"/>
  <c r="K395" i="12"/>
  <c r="M395" i="12" s="1"/>
  <c r="L395" i="12"/>
  <c r="N395" i="12" s="1"/>
  <c r="L408" i="12"/>
  <c r="N408" i="12" s="1"/>
  <c r="K408" i="12"/>
  <c r="M408" i="12" s="1"/>
  <c r="K420" i="12"/>
  <c r="M420" i="12" s="1"/>
  <c r="L420" i="12"/>
  <c r="N420" i="12" s="1"/>
  <c r="L432" i="12"/>
  <c r="N432" i="12" s="1"/>
  <c r="K432" i="12"/>
  <c r="M432" i="12" s="1"/>
  <c r="L445" i="12"/>
  <c r="N445" i="12" s="1"/>
  <c r="K445" i="12"/>
  <c r="M445" i="12" s="1"/>
  <c r="L457" i="12"/>
  <c r="N457" i="12" s="1"/>
  <c r="K457" i="12"/>
  <c r="M457" i="12" s="1"/>
  <c r="K469" i="12"/>
  <c r="M469" i="12" s="1"/>
  <c r="L469" i="12"/>
  <c r="N469" i="12" s="1"/>
  <c r="L482" i="12"/>
  <c r="N482" i="12" s="1"/>
  <c r="K482" i="12"/>
  <c r="M482" i="12" s="1"/>
  <c r="L494" i="12"/>
  <c r="N494" i="12" s="1"/>
  <c r="K494" i="12"/>
  <c r="M494" i="12" s="1"/>
  <c r="L507" i="12"/>
  <c r="N507" i="12" s="1"/>
  <c r="K507" i="12"/>
  <c r="M507" i="12" s="1"/>
  <c r="L519" i="12"/>
  <c r="N519" i="12" s="1"/>
  <c r="K519" i="12"/>
  <c r="M519" i="12" s="1"/>
  <c r="L531" i="12"/>
  <c r="N531" i="12" s="1"/>
  <c r="K531" i="12"/>
  <c r="M531" i="12" s="1"/>
  <c r="L544" i="12"/>
  <c r="N544" i="12" s="1"/>
  <c r="K544" i="12"/>
  <c r="M544" i="12" s="1"/>
  <c r="L556" i="12"/>
  <c r="N556" i="12" s="1"/>
  <c r="K556" i="12"/>
  <c r="M556" i="12" s="1"/>
  <c r="L568" i="12"/>
  <c r="N568" i="12" s="1"/>
  <c r="K568" i="12"/>
  <c r="M568" i="12" s="1"/>
  <c r="L580" i="12"/>
  <c r="N580" i="12" s="1"/>
  <c r="K580" i="12"/>
  <c r="M580" i="12" s="1"/>
  <c r="L593" i="12"/>
  <c r="N593" i="12" s="1"/>
  <c r="K593" i="12"/>
  <c r="M593" i="12" s="1"/>
  <c r="K606" i="12"/>
  <c r="M606" i="12" s="1"/>
  <c r="L606" i="12"/>
  <c r="N606" i="12" s="1"/>
  <c r="K618" i="12"/>
  <c r="M618" i="12" s="1"/>
  <c r="L618" i="12"/>
  <c r="N618" i="12" s="1"/>
  <c r="L632" i="12"/>
  <c r="N632" i="12" s="1"/>
  <c r="K632" i="12"/>
  <c r="M632" i="12" s="1"/>
  <c r="L646" i="12"/>
  <c r="N646" i="12" s="1"/>
  <c r="K646" i="12"/>
  <c r="M646" i="12" s="1"/>
  <c r="L658" i="12"/>
  <c r="N658" i="12" s="1"/>
  <c r="K658" i="12"/>
  <c r="M658" i="12" s="1"/>
  <c r="L671" i="12"/>
  <c r="N671" i="12" s="1"/>
  <c r="K671" i="12"/>
  <c r="M671" i="12" s="1"/>
  <c r="K685" i="12"/>
  <c r="M685" i="12" s="1"/>
  <c r="L685" i="12"/>
  <c r="N685" i="12" s="1"/>
  <c r="K698" i="12"/>
  <c r="M698" i="12" s="1"/>
  <c r="L698" i="12"/>
  <c r="N698" i="12" s="1"/>
  <c r="L710" i="12"/>
  <c r="N710" i="12" s="1"/>
  <c r="K710" i="12"/>
  <c r="M710" i="12" s="1"/>
  <c r="L723" i="12"/>
  <c r="N723" i="12" s="1"/>
  <c r="K723" i="12"/>
  <c r="M723" i="12" s="1"/>
  <c r="L735" i="12"/>
  <c r="N735" i="12" s="1"/>
  <c r="K735" i="12"/>
  <c r="M735" i="12" s="1"/>
  <c r="K455" i="12"/>
  <c r="M455" i="12" s="1"/>
  <c r="L455" i="12"/>
  <c r="N455" i="12" s="1"/>
  <c r="K721" i="12"/>
  <c r="M721" i="12" s="1"/>
  <c r="L721" i="12"/>
  <c r="N721" i="12" s="1"/>
  <c r="L27" i="12"/>
  <c r="N27" i="12" s="1"/>
  <c r="K27" i="12"/>
  <c r="M27" i="12" s="1"/>
  <c r="L41" i="12"/>
  <c r="N41" i="12" s="1"/>
  <c r="K41" i="12"/>
  <c r="M41" i="12" s="1"/>
  <c r="L53" i="12"/>
  <c r="N53" i="12" s="1"/>
  <c r="K53" i="12"/>
  <c r="M53" i="12" s="1"/>
  <c r="K65" i="12"/>
  <c r="M65" i="12" s="1"/>
  <c r="L65" i="12"/>
  <c r="N65" i="12" s="1"/>
  <c r="L77" i="12"/>
  <c r="N77" i="12" s="1"/>
  <c r="K77" i="12"/>
  <c r="M77" i="12" s="1"/>
  <c r="K89" i="12"/>
  <c r="M89" i="12" s="1"/>
  <c r="L89" i="12"/>
  <c r="N89" i="12" s="1"/>
  <c r="K101" i="12"/>
  <c r="M101" i="12" s="1"/>
  <c r="L101" i="12"/>
  <c r="N101" i="12" s="1"/>
  <c r="L113" i="12"/>
  <c r="N113" i="12" s="1"/>
  <c r="K113" i="12"/>
  <c r="M113" i="12" s="1"/>
  <c r="L127" i="12"/>
  <c r="N127" i="12" s="1"/>
  <c r="K127" i="12"/>
  <c r="M127" i="12" s="1"/>
  <c r="L140" i="12"/>
  <c r="N140" i="12" s="1"/>
  <c r="K140" i="12"/>
  <c r="M140" i="12" s="1"/>
  <c r="L153" i="12"/>
  <c r="N153" i="12" s="1"/>
  <c r="K153" i="12"/>
  <c r="M153" i="12" s="1"/>
  <c r="L165" i="12"/>
  <c r="N165" i="12" s="1"/>
  <c r="K165" i="12"/>
  <c r="M165" i="12" s="1"/>
  <c r="L181" i="12"/>
  <c r="N181" i="12" s="1"/>
  <c r="K181" i="12"/>
  <c r="M181" i="12" s="1"/>
  <c r="K194" i="12"/>
  <c r="M194" i="12" s="1"/>
  <c r="L194" i="12"/>
  <c r="N194" i="12" s="1"/>
  <c r="L208" i="12"/>
  <c r="N208" i="12" s="1"/>
  <c r="K208" i="12"/>
  <c r="M208" i="12" s="1"/>
  <c r="K220" i="12"/>
  <c r="M220" i="12" s="1"/>
  <c r="L220" i="12"/>
  <c r="N220" i="12" s="1"/>
  <c r="K232" i="12"/>
  <c r="M232" i="12" s="1"/>
  <c r="L232" i="12"/>
  <c r="N232" i="12" s="1"/>
  <c r="K245" i="12"/>
  <c r="M245" i="12" s="1"/>
  <c r="L245" i="12"/>
  <c r="N245" i="12" s="1"/>
  <c r="L258" i="12"/>
  <c r="N258" i="12" s="1"/>
  <c r="K258" i="12"/>
  <c r="M258" i="12" s="1"/>
  <c r="L270" i="12"/>
  <c r="N270" i="12" s="1"/>
  <c r="K270" i="12"/>
  <c r="M270" i="12" s="1"/>
  <c r="L282" i="12"/>
  <c r="N282" i="12" s="1"/>
  <c r="K282" i="12"/>
  <c r="M282" i="12" s="1"/>
  <c r="K295" i="12"/>
  <c r="M295" i="12" s="1"/>
  <c r="L295" i="12"/>
  <c r="N295" i="12" s="1"/>
  <c r="K307" i="12"/>
  <c r="M307" i="12" s="1"/>
  <c r="L307" i="12"/>
  <c r="N307" i="12" s="1"/>
  <c r="K320" i="12"/>
  <c r="M320" i="12" s="1"/>
  <c r="L320" i="12"/>
  <c r="N320" i="12" s="1"/>
  <c r="O320" i="12" s="1"/>
  <c r="K332" i="12"/>
  <c r="M332" i="12" s="1"/>
  <c r="L332" i="12"/>
  <c r="N332" i="12" s="1"/>
  <c r="L346" i="12"/>
  <c r="N346" i="12" s="1"/>
  <c r="K346" i="12"/>
  <c r="M346" i="12" s="1"/>
  <c r="K358" i="12"/>
  <c r="M358" i="12" s="1"/>
  <c r="L358" i="12"/>
  <c r="N358" i="12" s="1"/>
  <c r="L370" i="12"/>
  <c r="N370" i="12" s="1"/>
  <c r="K370" i="12"/>
  <c r="M370" i="12" s="1"/>
  <c r="L383" i="12"/>
  <c r="N383" i="12" s="1"/>
  <c r="K383" i="12"/>
  <c r="M383" i="12" s="1"/>
  <c r="L396" i="12"/>
  <c r="N396" i="12" s="1"/>
  <c r="K396" i="12"/>
  <c r="M396" i="12" s="1"/>
  <c r="K409" i="12"/>
  <c r="M409" i="12" s="1"/>
  <c r="L409" i="12"/>
  <c r="N409" i="12" s="1"/>
  <c r="L421" i="12"/>
  <c r="N421" i="12" s="1"/>
  <c r="K421" i="12"/>
  <c r="M421" i="12" s="1"/>
  <c r="L433" i="12"/>
  <c r="N433" i="12" s="1"/>
  <c r="K433" i="12"/>
  <c r="M433" i="12" s="1"/>
  <c r="L446" i="12"/>
  <c r="N446" i="12" s="1"/>
  <c r="K446" i="12"/>
  <c r="M446" i="12" s="1"/>
  <c r="L458" i="12"/>
  <c r="N458" i="12" s="1"/>
  <c r="K458" i="12"/>
  <c r="M458" i="12" s="1"/>
  <c r="L470" i="12"/>
  <c r="N470" i="12" s="1"/>
  <c r="K470" i="12"/>
  <c r="M470" i="12" s="1"/>
  <c r="L483" i="12"/>
  <c r="N483" i="12" s="1"/>
  <c r="K483" i="12"/>
  <c r="M483" i="12" s="1"/>
  <c r="L496" i="12"/>
  <c r="N496" i="12" s="1"/>
  <c r="K496" i="12"/>
  <c r="M496" i="12" s="1"/>
  <c r="L508" i="12"/>
  <c r="N508" i="12" s="1"/>
  <c r="K508" i="12"/>
  <c r="M508" i="12" s="1"/>
  <c r="K520" i="12"/>
  <c r="M520" i="12" s="1"/>
  <c r="L520" i="12"/>
  <c r="N520" i="12" s="1"/>
  <c r="K532" i="12"/>
  <c r="M532" i="12" s="1"/>
  <c r="L532" i="12"/>
  <c r="N532" i="12" s="1"/>
  <c r="K545" i="12"/>
  <c r="M545" i="12" s="1"/>
  <c r="L545" i="12"/>
  <c r="N545" i="12" s="1"/>
  <c r="K557" i="12"/>
  <c r="M557" i="12" s="1"/>
  <c r="L557" i="12"/>
  <c r="N557" i="12" s="1"/>
  <c r="L569" i="12"/>
  <c r="N569" i="12" s="1"/>
  <c r="K569" i="12"/>
  <c r="M569" i="12" s="1"/>
  <c r="K582" i="12"/>
  <c r="M582" i="12" s="1"/>
  <c r="L582" i="12"/>
  <c r="N582" i="12" s="1"/>
  <c r="K594" i="12"/>
  <c r="M594" i="12" s="1"/>
  <c r="L594" i="12"/>
  <c r="N594" i="12" s="1"/>
  <c r="L607" i="12"/>
  <c r="N607" i="12" s="1"/>
  <c r="K607" i="12"/>
  <c r="M607" i="12" s="1"/>
  <c r="K619" i="12"/>
  <c r="M619" i="12" s="1"/>
  <c r="L619" i="12"/>
  <c r="N619" i="12" s="1"/>
  <c r="L633" i="12"/>
  <c r="N633" i="12" s="1"/>
  <c r="K633" i="12"/>
  <c r="M633" i="12" s="1"/>
  <c r="L647" i="12"/>
  <c r="N647" i="12" s="1"/>
  <c r="K647" i="12"/>
  <c r="M647" i="12" s="1"/>
  <c r="L659" i="12"/>
  <c r="N659" i="12" s="1"/>
  <c r="K659" i="12"/>
  <c r="M659" i="12" s="1"/>
  <c r="K672" i="12"/>
  <c r="M672" i="12" s="1"/>
  <c r="L672" i="12"/>
  <c r="N672" i="12" s="1"/>
  <c r="K686" i="12"/>
  <c r="M686" i="12" s="1"/>
  <c r="L686" i="12"/>
  <c r="N686" i="12" s="1"/>
  <c r="L699" i="12"/>
  <c r="N699" i="12" s="1"/>
  <c r="K699" i="12"/>
  <c r="M699" i="12" s="1"/>
  <c r="L711" i="12"/>
  <c r="N711" i="12" s="1"/>
  <c r="K711" i="12"/>
  <c r="M711" i="12" s="1"/>
  <c r="L724" i="12"/>
  <c r="N724" i="12" s="1"/>
  <c r="K724" i="12"/>
  <c r="M724" i="12" s="1"/>
  <c r="L736" i="12"/>
  <c r="N736" i="12" s="1"/>
  <c r="K736" i="12"/>
  <c r="M736" i="12" s="1"/>
  <c r="L191" i="12"/>
  <c r="N191" i="12" s="1"/>
  <c r="K191" i="12"/>
  <c r="M191" i="12" s="1"/>
  <c r="L255" i="12"/>
  <c r="N255" i="12" s="1"/>
  <c r="K255" i="12"/>
  <c r="M255" i="12" s="1"/>
  <c r="L304" i="12"/>
  <c r="N304" i="12" s="1"/>
  <c r="K304" i="12"/>
  <c r="M304" i="12" s="1"/>
  <c r="K343" i="12"/>
  <c r="M343" i="12" s="1"/>
  <c r="L343" i="12"/>
  <c r="N343" i="12" s="1"/>
  <c r="L405" i="12"/>
  <c r="N405" i="12" s="1"/>
  <c r="K405" i="12"/>
  <c r="M405" i="12" s="1"/>
  <c r="K542" i="12"/>
  <c r="M542" i="12" s="1"/>
  <c r="L542" i="12"/>
  <c r="N542" i="12" s="1"/>
  <c r="L16" i="12"/>
  <c r="N16" i="12" s="1"/>
  <c r="K16" i="12"/>
  <c r="M16" i="12" s="1"/>
  <c r="K28" i="12"/>
  <c r="M28" i="12" s="1"/>
  <c r="L28" i="12"/>
  <c r="N28" i="12" s="1"/>
  <c r="K42" i="12"/>
  <c r="M42" i="12" s="1"/>
  <c r="L42" i="12"/>
  <c r="N42" i="12" s="1"/>
  <c r="K54" i="12"/>
  <c r="M54" i="12" s="1"/>
  <c r="L54" i="12"/>
  <c r="N54" i="12" s="1"/>
  <c r="K66" i="12"/>
  <c r="M66" i="12" s="1"/>
  <c r="L66" i="12"/>
  <c r="N66" i="12" s="1"/>
  <c r="K78" i="12"/>
  <c r="M78" i="12" s="1"/>
  <c r="L78" i="12"/>
  <c r="N78" i="12" s="1"/>
  <c r="K90" i="12"/>
  <c r="M90" i="12" s="1"/>
  <c r="L90" i="12"/>
  <c r="N90" i="12" s="1"/>
  <c r="K102" i="12"/>
  <c r="M102" i="12" s="1"/>
  <c r="L102" i="12"/>
  <c r="N102" i="12" s="1"/>
  <c r="K115" i="12"/>
  <c r="M115" i="12" s="1"/>
  <c r="L115" i="12"/>
  <c r="N115" i="12" s="1"/>
  <c r="K128" i="12"/>
  <c r="M128" i="12" s="1"/>
  <c r="L128" i="12"/>
  <c r="N128" i="12" s="1"/>
  <c r="K141" i="12"/>
  <c r="M141" i="12" s="1"/>
  <c r="L141" i="12"/>
  <c r="N141" i="12" s="1"/>
  <c r="L154" i="12"/>
  <c r="N154" i="12" s="1"/>
  <c r="K154" i="12"/>
  <c r="M154" i="12" s="1"/>
  <c r="K166" i="12"/>
  <c r="M166" i="12" s="1"/>
  <c r="L166" i="12"/>
  <c r="N166" i="12" s="1"/>
  <c r="L182" i="12"/>
  <c r="N182" i="12" s="1"/>
  <c r="K182" i="12"/>
  <c r="M182" i="12" s="1"/>
  <c r="L195" i="12"/>
  <c r="N195" i="12" s="1"/>
  <c r="K195" i="12"/>
  <c r="M195" i="12" s="1"/>
  <c r="L209" i="12"/>
  <c r="N209" i="12" s="1"/>
  <c r="K209" i="12"/>
  <c r="M209" i="12" s="1"/>
  <c r="L221" i="12"/>
  <c r="N221" i="12" s="1"/>
  <c r="K221" i="12"/>
  <c r="M221" i="12" s="1"/>
  <c r="L233" i="12"/>
  <c r="N233" i="12" s="1"/>
  <c r="K233" i="12"/>
  <c r="M233" i="12" s="1"/>
  <c r="L246" i="12"/>
  <c r="N246" i="12" s="1"/>
  <c r="K246" i="12"/>
  <c r="M246" i="12" s="1"/>
  <c r="K259" i="12"/>
  <c r="M259" i="12" s="1"/>
  <c r="L259" i="12"/>
  <c r="N259" i="12" s="1"/>
  <c r="K271" i="12"/>
  <c r="M271" i="12" s="1"/>
  <c r="L271" i="12"/>
  <c r="N271" i="12" s="1"/>
  <c r="K283" i="12"/>
  <c r="M283" i="12" s="1"/>
  <c r="L283" i="12"/>
  <c r="N283" i="12" s="1"/>
  <c r="K296" i="12"/>
  <c r="M296" i="12" s="1"/>
  <c r="L296" i="12"/>
  <c r="N296" i="12" s="1"/>
  <c r="K308" i="12"/>
  <c r="M308" i="12" s="1"/>
  <c r="L308" i="12"/>
  <c r="N308" i="12" s="1"/>
  <c r="K321" i="12"/>
  <c r="M321" i="12" s="1"/>
  <c r="L321" i="12"/>
  <c r="N321" i="12" s="1"/>
  <c r="K335" i="12"/>
  <c r="M335" i="12" s="1"/>
  <c r="L335" i="12"/>
  <c r="N335" i="12" s="1"/>
  <c r="L347" i="12"/>
  <c r="N347" i="12" s="1"/>
  <c r="K347" i="12"/>
  <c r="M347" i="12" s="1"/>
  <c r="L359" i="12"/>
  <c r="N359" i="12" s="1"/>
  <c r="K359" i="12"/>
  <c r="M359" i="12" s="1"/>
  <c r="L371" i="12"/>
  <c r="N371" i="12" s="1"/>
  <c r="K371" i="12"/>
  <c r="M371" i="12" s="1"/>
  <c r="L384" i="12"/>
  <c r="N384" i="12" s="1"/>
  <c r="K384" i="12"/>
  <c r="M384" i="12" s="1"/>
  <c r="L397" i="12"/>
  <c r="N397" i="12" s="1"/>
  <c r="K397" i="12"/>
  <c r="M397" i="12" s="1"/>
  <c r="K410" i="12"/>
  <c r="M410" i="12" s="1"/>
  <c r="L410" i="12"/>
  <c r="N410" i="12" s="1"/>
  <c r="L422" i="12"/>
  <c r="N422" i="12" s="1"/>
  <c r="K422" i="12"/>
  <c r="M422" i="12" s="1"/>
  <c r="K434" i="12"/>
  <c r="M434" i="12" s="1"/>
  <c r="L434" i="12"/>
  <c r="N434" i="12" s="1"/>
  <c r="L447" i="12"/>
  <c r="N447" i="12" s="1"/>
  <c r="K447" i="12"/>
  <c r="M447" i="12" s="1"/>
  <c r="K459" i="12"/>
  <c r="M459" i="12" s="1"/>
  <c r="L459" i="12"/>
  <c r="N459" i="12" s="1"/>
  <c r="L471" i="12"/>
  <c r="N471" i="12" s="1"/>
  <c r="K471" i="12"/>
  <c r="M471" i="12" s="1"/>
  <c r="L484" i="12"/>
  <c r="N484" i="12" s="1"/>
  <c r="K484" i="12"/>
  <c r="M484" i="12" s="1"/>
  <c r="K497" i="12"/>
  <c r="M497" i="12" s="1"/>
  <c r="L497" i="12"/>
  <c r="N497" i="12" s="1"/>
  <c r="K509" i="12"/>
  <c r="M509" i="12" s="1"/>
  <c r="L509" i="12"/>
  <c r="N509" i="12" s="1"/>
  <c r="K521" i="12"/>
  <c r="M521" i="12" s="1"/>
  <c r="L521" i="12"/>
  <c r="N521" i="12" s="1"/>
  <c r="K533" i="12"/>
  <c r="M533" i="12" s="1"/>
  <c r="L533" i="12"/>
  <c r="N533" i="12" s="1"/>
  <c r="K546" i="12"/>
  <c r="M546" i="12" s="1"/>
  <c r="L546" i="12"/>
  <c r="N546" i="12" s="1"/>
  <c r="K558" i="12"/>
  <c r="M558" i="12" s="1"/>
  <c r="L558" i="12"/>
  <c r="N558" i="12" s="1"/>
  <c r="K570" i="12"/>
  <c r="M570" i="12" s="1"/>
  <c r="L570" i="12"/>
  <c r="N570" i="12" s="1"/>
  <c r="K583" i="12"/>
  <c r="M583" i="12" s="1"/>
  <c r="L583" i="12"/>
  <c r="N583" i="12" s="1"/>
  <c r="L595" i="12"/>
  <c r="N595" i="12" s="1"/>
  <c r="K595" i="12"/>
  <c r="M595" i="12" s="1"/>
  <c r="K608" i="12"/>
  <c r="M608" i="12" s="1"/>
  <c r="L608" i="12"/>
  <c r="N608" i="12" s="1"/>
  <c r="K620" i="12"/>
  <c r="M620" i="12" s="1"/>
  <c r="L620" i="12"/>
  <c r="N620" i="12" s="1"/>
  <c r="K634" i="12"/>
  <c r="M634" i="12" s="1"/>
  <c r="L634" i="12"/>
  <c r="N634" i="12" s="1"/>
  <c r="K648" i="12"/>
  <c r="M648" i="12" s="1"/>
  <c r="L648" i="12"/>
  <c r="N648" i="12" s="1"/>
  <c r="K660" i="12"/>
  <c r="M660" i="12" s="1"/>
  <c r="L660" i="12"/>
  <c r="N660" i="12" s="1"/>
  <c r="K673" i="12"/>
  <c r="M673" i="12" s="1"/>
  <c r="L673" i="12"/>
  <c r="N673" i="12" s="1"/>
  <c r="K687" i="12"/>
  <c r="M687" i="12" s="1"/>
  <c r="L687" i="12"/>
  <c r="N687" i="12" s="1"/>
  <c r="K700" i="12"/>
  <c r="M700" i="12" s="1"/>
  <c r="L700" i="12"/>
  <c r="N700" i="12" s="1"/>
  <c r="K712" i="12"/>
  <c r="M712" i="12" s="1"/>
  <c r="L712" i="12"/>
  <c r="N712" i="12" s="1"/>
  <c r="L725" i="12"/>
  <c r="N725" i="12" s="1"/>
  <c r="K725" i="12"/>
  <c r="M725" i="12" s="1"/>
  <c r="K737" i="12"/>
  <c r="M737" i="12" s="1"/>
  <c r="L737" i="12"/>
  <c r="N737" i="12" s="1"/>
  <c r="K204" i="12"/>
  <c r="M204" i="12" s="1"/>
  <c r="L204" i="12"/>
  <c r="N204" i="12" s="1"/>
  <c r="L267" i="12"/>
  <c r="N267" i="12" s="1"/>
  <c r="K267" i="12"/>
  <c r="M267" i="12" s="1"/>
  <c r="L317" i="12"/>
  <c r="N317" i="12" s="1"/>
  <c r="K317" i="12"/>
  <c r="M317" i="12" s="1"/>
  <c r="K355" i="12"/>
  <c r="M355" i="12" s="1"/>
  <c r="L355" i="12"/>
  <c r="N355" i="12" s="1"/>
  <c r="K380" i="12"/>
  <c r="M380" i="12" s="1"/>
  <c r="L380" i="12"/>
  <c r="N380" i="12" s="1"/>
  <c r="K430" i="12"/>
  <c r="M430" i="12" s="1"/>
  <c r="L430" i="12"/>
  <c r="N430" i="12" s="1"/>
  <c r="K467" i="12"/>
  <c r="M467" i="12" s="1"/>
  <c r="L467" i="12"/>
  <c r="N467" i="12" s="1"/>
  <c r="K505" i="12"/>
  <c r="M505" i="12" s="1"/>
  <c r="L505" i="12"/>
  <c r="N505" i="12" s="1"/>
  <c r="K566" i="12"/>
  <c r="M566" i="12" s="1"/>
  <c r="L566" i="12"/>
  <c r="N566" i="12" s="1"/>
  <c r="K603" i="12"/>
  <c r="M603" i="12" s="1"/>
  <c r="L603" i="12"/>
  <c r="N603" i="12" s="1"/>
  <c r="K656" i="12"/>
  <c r="M656" i="12" s="1"/>
  <c r="L656" i="12"/>
  <c r="N656" i="12" s="1"/>
  <c r="K696" i="12"/>
  <c r="M696" i="12" s="1"/>
  <c r="L696" i="12"/>
  <c r="N696" i="12" s="1"/>
  <c r="K733" i="12"/>
  <c r="M733" i="12" s="1"/>
  <c r="L733" i="12"/>
  <c r="N733" i="12" s="1"/>
  <c r="K17" i="12"/>
  <c r="M17" i="12" s="1"/>
  <c r="L17" i="12"/>
  <c r="N17" i="12" s="1"/>
  <c r="K29" i="12"/>
  <c r="M29" i="12" s="1"/>
  <c r="L29" i="12"/>
  <c r="N29" i="12" s="1"/>
  <c r="K43" i="12"/>
  <c r="M43" i="12" s="1"/>
  <c r="L43" i="12"/>
  <c r="N43" i="12" s="1"/>
  <c r="K55" i="12"/>
  <c r="M55" i="12" s="1"/>
  <c r="L55" i="12"/>
  <c r="N55" i="12" s="1"/>
  <c r="K67" i="12"/>
  <c r="M67" i="12" s="1"/>
  <c r="L67" i="12"/>
  <c r="N67" i="12" s="1"/>
  <c r="K79" i="12"/>
  <c r="M79" i="12" s="1"/>
  <c r="L79" i="12"/>
  <c r="N79" i="12" s="1"/>
  <c r="L91" i="12"/>
  <c r="N91" i="12" s="1"/>
  <c r="K91" i="12"/>
  <c r="M91" i="12" s="1"/>
  <c r="L103" i="12"/>
  <c r="N103" i="12" s="1"/>
  <c r="K103" i="12"/>
  <c r="M103" i="12" s="1"/>
  <c r="K116" i="12"/>
  <c r="M116" i="12" s="1"/>
  <c r="L116" i="12"/>
  <c r="N116" i="12" s="1"/>
  <c r="K129" i="12"/>
  <c r="M129" i="12" s="1"/>
  <c r="L129" i="12"/>
  <c r="N129" i="12" s="1"/>
  <c r="O129" i="12" s="1"/>
  <c r="L142" i="12"/>
  <c r="N142" i="12" s="1"/>
  <c r="K142" i="12"/>
  <c r="M142" i="12" s="1"/>
  <c r="K155" i="12"/>
  <c r="M155" i="12" s="1"/>
  <c r="L155" i="12"/>
  <c r="N155" i="12" s="1"/>
  <c r="K167" i="12"/>
  <c r="M167" i="12" s="1"/>
  <c r="L167" i="12"/>
  <c r="N167" i="12" s="1"/>
  <c r="L183" i="12"/>
  <c r="N183" i="12" s="1"/>
  <c r="K183" i="12"/>
  <c r="M183" i="12" s="1"/>
  <c r="K196" i="12"/>
  <c r="M196" i="12" s="1"/>
  <c r="L196" i="12"/>
  <c r="N196" i="12" s="1"/>
  <c r="K210" i="12"/>
  <c r="M210" i="12" s="1"/>
  <c r="L210" i="12"/>
  <c r="N210" i="12" s="1"/>
  <c r="K222" i="12"/>
  <c r="M222" i="12" s="1"/>
  <c r="L222" i="12"/>
  <c r="N222" i="12" s="1"/>
  <c r="K234" i="12"/>
  <c r="M234" i="12" s="1"/>
  <c r="L234" i="12"/>
  <c r="N234" i="12" s="1"/>
  <c r="K247" i="12"/>
  <c r="M247" i="12" s="1"/>
  <c r="L247" i="12"/>
  <c r="N247" i="12" s="1"/>
  <c r="L260" i="12"/>
  <c r="N260" i="12" s="1"/>
  <c r="K260" i="12"/>
  <c r="M260" i="12" s="1"/>
  <c r="L272" i="12"/>
  <c r="N272" i="12" s="1"/>
  <c r="K272" i="12"/>
  <c r="M272" i="12" s="1"/>
  <c r="K284" i="12"/>
  <c r="M284" i="12" s="1"/>
  <c r="L284" i="12"/>
  <c r="N284" i="12" s="1"/>
  <c r="K297" i="12"/>
  <c r="M297" i="12" s="1"/>
  <c r="L297" i="12"/>
  <c r="N297" i="12" s="1"/>
  <c r="K309" i="12"/>
  <c r="M309" i="12" s="1"/>
  <c r="L309" i="12"/>
  <c r="N309" i="12" s="1"/>
  <c r="K322" i="12"/>
  <c r="M322" i="12" s="1"/>
  <c r="L322" i="12"/>
  <c r="N322" i="12" s="1"/>
  <c r="L336" i="12"/>
  <c r="N336" i="12" s="1"/>
  <c r="K336" i="12"/>
  <c r="M336" i="12" s="1"/>
  <c r="K348" i="12"/>
  <c r="M348" i="12" s="1"/>
  <c r="L348" i="12"/>
  <c r="N348" i="12" s="1"/>
  <c r="L360" i="12"/>
  <c r="N360" i="12" s="1"/>
  <c r="K360" i="12"/>
  <c r="M360" i="12" s="1"/>
  <c r="K372" i="12"/>
  <c r="M372" i="12" s="1"/>
  <c r="L372" i="12"/>
  <c r="N372" i="12" s="1"/>
  <c r="K385" i="12"/>
  <c r="M385" i="12" s="1"/>
  <c r="L385" i="12"/>
  <c r="N385" i="12" s="1"/>
  <c r="K398" i="12"/>
  <c r="M398" i="12" s="1"/>
  <c r="L398" i="12"/>
  <c r="N398" i="12" s="1"/>
  <c r="K411" i="12"/>
  <c r="M411" i="12" s="1"/>
  <c r="L411" i="12"/>
  <c r="N411" i="12" s="1"/>
  <c r="L423" i="12"/>
  <c r="N423" i="12" s="1"/>
  <c r="K423" i="12"/>
  <c r="M423" i="12" s="1"/>
  <c r="K435" i="12"/>
  <c r="M435" i="12" s="1"/>
  <c r="L435" i="12"/>
  <c r="N435" i="12" s="1"/>
  <c r="K448" i="12"/>
  <c r="M448" i="12" s="1"/>
  <c r="L448" i="12"/>
  <c r="N448" i="12" s="1"/>
  <c r="K460" i="12"/>
  <c r="M460" i="12" s="1"/>
  <c r="L460" i="12"/>
  <c r="N460" i="12" s="1"/>
  <c r="K472" i="12"/>
  <c r="M472" i="12" s="1"/>
  <c r="L472" i="12"/>
  <c r="N472" i="12" s="1"/>
  <c r="K485" i="12"/>
  <c r="M485" i="12" s="1"/>
  <c r="L485" i="12"/>
  <c r="N485" i="12" s="1"/>
  <c r="K498" i="12"/>
  <c r="M498" i="12" s="1"/>
  <c r="L498" i="12"/>
  <c r="N498" i="12" s="1"/>
  <c r="K510" i="12"/>
  <c r="M510" i="12" s="1"/>
  <c r="L510" i="12"/>
  <c r="N510" i="12" s="1"/>
  <c r="K522" i="12"/>
  <c r="M522" i="12" s="1"/>
  <c r="L522" i="12"/>
  <c r="N522" i="12" s="1"/>
  <c r="K534" i="12"/>
  <c r="M534" i="12" s="1"/>
  <c r="L534" i="12"/>
  <c r="N534" i="12" s="1"/>
  <c r="K547" i="12"/>
  <c r="M547" i="12" s="1"/>
  <c r="L547" i="12"/>
  <c r="N547" i="12" s="1"/>
  <c r="K559" i="12"/>
  <c r="M559" i="12" s="1"/>
  <c r="L559" i="12"/>
  <c r="N559" i="12" s="1"/>
  <c r="K571" i="12"/>
  <c r="M571" i="12" s="1"/>
  <c r="L571" i="12"/>
  <c r="N571" i="12" s="1"/>
  <c r="K584" i="12"/>
  <c r="M584" i="12" s="1"/>
  <c r="L584" i="12"/>
  <c r="N584" i="12" s="1"/>
  <c r="K596" i="12"/>
  <c r="M596" i="12" s="1"/>
  <c r="L596" i="12"/>
  <c r="N596" i="12" s="1"/>
  <c r="K609" i="12"/>
  <c r="M609" i="12" s="1"/>
  <c r="L609" i="12"/>
  <c r="N609" i="12" s="1"/>
  <c r="K621" i="12"/>
  <c r="M621" i="12" s="1"/>
  <c r="L621" i="12"/>
  <c r="N621" i="12" s="1"/>
  <c r="K635" i="12"/>
  <c r="M635" i="12" s="1"/>
  <c r="L635" i="12"/>
  <c r="N635" i="12" s="1"/>
  <c r="K649" i="12"/>
  <c r="M649" i="12" s="1"/>
  <c r="L649" i="12"/>
  <c r="N649" i="12" s="1"/>
  <c r="K661" i="12"/>
  <c r="M661" i="12" s="1"/>
  <c r="L661" i="12"/>
  <c r="N661" i="12" s="1"/>
  <c r="K675" i="12"/>
  <c r="M675" i="12" s="1"/>
  <c r="L675" i="12"/>
  <c r="N675" i="12" s="1"/>
  <c r="K688" i="12"/>
  <c r="M688" i="12" s="1"/>
  <c r="L688" i="12"/>
  <c r="N688" i="12" s="1"/>
  <c r="K701" i="12"/>
  <c r="M701" i="12" s="1"/>
  <c r="L701" i="12"/>
  <c r="N701" i="12" s="1"/>
  <c r="K713" i="12"/>
  <c r="M713" i="12" s="1"/>
  <c r="L713" i="12"/>
  <c r="N713" i="12" s="1"/>
  <c r="K726" i="12"/>
  <c r="M726" i="12" s="1"/>
  <c r="L726" i="12"/>
  <c r="N726" i="12" s="1"/>
  <c r="L492" i="12"/>
  <c r="N492" i="12" s="1"/>
  <c r="K492" i="12"/>
  <c r="M492" i="12" s="1"/>
  <c r="K18" i="12"/>
  <c r="M18" i="12" s="1"/>
  <c r="L18" i="12"/>
  <c r="N18" i="12" s="1"/>
  <c r="K30" i="12"/>
  <c r="M30" i="12" s="1"/>
  <c r="L30" i="12"/>
  <c r="N30" i="12" s="1"/>
  <c r="K44" i="12"/>
  <c r="M44" i="12" s="1"/>
  <c r="L44" i="12"/>
  <c r="N44" i="12" s="1"/>
  <c r="K56" i="12"/>
  <c r="M56" i="12" s="1"/>
  <c r="L56" i="12"/>
  <c r="N56" i="12" s="1"/>
  <c r="K68" i="12"/>
  <c r="M68" i="12" s="1"/>
  <c r="L68" i="12"/>
  <c r="N68" i="12" s="1"/>
  <c r="K80" i="12"/>
  <c r="M80" i="12" s="1"/>
  <c r="L80" i="12"/>
  <c r="N80" i="12" s="1"/>
  <c r="K92" i="12"/>
  <c r="M92" i="12" s="1"/>
  <c r="L92" i="12"/>
  <c r="N92" i="12" s="1"/>
  <c r="K104" i="12"/>
  <c r="M104" i="12" s="1"/>
  <c r="L104" i="12"/>
  <c r="N104" i="12" s="1"/>
  <c r="K117" i="12"/>
  <c r="M117" i="12" s="1"/>
  <c r="L117" i="12"/>
  <c r="N117" i="12" s="1"/>
  <c r="L130" i="12"/>
  <c r="N130" i="12" s="1"/>
  <c r="K130" i="12"/>
  <c r="M130" i="12" s="1"/>
  <c r="L143" i="12"/>
  <c r="N143" i="12" s="1"/>
  <c r="K143" i="12"/>
  <c r="M143" i="12" s="1"/>
  <c r="K156" i="12"/>
  <c r="M156" i="12" s="1"/>
  <c r="L156" i="12"/>
  <c r="N156" i="12" s="1"/>
  <c r="L168" i="12"/>
  <c r="N168" i="12" s="1"/>
  <c r="K168" i="12"/>
  <c r="M168" i="12" s="1"/>
  <c r="L184" i="12"/>
  <c r="N184" i="12" s="1"/>
  <c r="K184" i="12"/>
  <c r="M184" i="12" s="1"/>
  <c r="K198" i="12"/>
  <c r="M198" i="12" s="1"/>
  <c r="L198" i="12"/>
  <c r="N198" i="12" s="1"/>
  <c r="L211" i="12"/>
  <c r="N211" i="12" s="1"/>
  <c r="K211" i="12"/>
  <c r="M211" i="12" s="1"/>
  <c r="L223" i="12"/>
  <c r="N223" i="12" s="1"/>
  <c r="K223" i="12"/>
  <c r="M223" i="12" s="1"/>
  <c r="L235" i="12"/>
  <c r="N235" i="12" s="1"/>
  <c r="K235" i="12"/>
  <c r="M235" i="12" s="1"/>
  <c r="L248" i="12"/>
  <c r="N248" i="12" s="1"/>
  <c r="K248" i="12"/>
  <c r="M248" i="12" s="1"/>
  <c r="K261" i="12"/>
  <c r="M261" i="12" s="1"/>
  <c r="L261" i="12"/>
  <c r="N261" i="12" s="1"/>
  <c r="L273" i="12"/>
  <c r="N273" i="12" s="1"/>
  <c r="K273" i="12"/>
  <c r="M273" i="12" s="1"/>
  <c r="K285" i="12"/>
  <c r="M285" i="12" s="1"/>
  <c r="L285" i="12"/>
  <c r="N285" i="12" s="1"/>
  <c r="L298" i="12"/>
  <c r="N298" i="12" s="1"/>
  <c r="K298" i="12"/>
  <c r="M298" i="12" s="1"/>
  <c r="L310" i="12"/>
  <c r="N310" i="12" s="1"/>
  <c r="K310" i="12"/>
  <c r="M310" i="12" s="1"/>
  <c r="L323" i="12"/>
  <c r="N323" i="12" s="1"/>
  <c r="K323" i="12"/>
  <c r="M323" i="12" s="1"/>
  <c r="K337" i="12"/>
  <c r="M337" i="12" s="1"/>
  <c r="L337" i="12"/>
  <c r="N337" i="12" s="1"/>
  <c r="K349" i="12"/>
  <c r="M349" i="12" s="1"/>
  <c r="L349" i="12"/>
  <c r="N349" i="12" s="1"/>
  <c r="K361" i="12"/>
  <c r="M361" i="12" s="1"/>
  <c r="L361" i="12"/>
  <c r="N361" i="12" s="1"/>
  <c r="K373" i="12"/>
  <c r="M373" i="12" s="1"/>
  <c r="L373" i="12"/>
  <c r="N373" i="12" s="1"/>
  <c r="K386" i="12"/>
  <c r="M386" i="12" s="1"/>
  <c r="L386" i="12"/>
  <c r="N386" i="12" s="1"/>
  <c r="K399" i="12"/>
  <c r="M399" i="12" s="1"/>
  <c r="L399" i="12"/>
  <c r="N399" i="12" s="1"/>
  <c r="K412" i="12"/>
  <c r="M412" i="12" s="1"/>
  <c r="L412" i="12"/>
  <c r="N412" i="12" s="1"/>
  <c r="K424" i="12"/>
  <c r="M424" i="12" s="1"/>
  <c r="L424" i="12"/>
  <c r="N424" i="12" s="1"/>
  <c r="K436" i="12"/>
  <c r="M436" i="12" s="1"/>
  <c r="L436" i="12"/>
  <c r="N436" i="12" s="1"/>
  <c r="K449" i="12"/>
  <c r="M449" i="12" s="1"/>
  <c r="L449" i="12"/>
  <c r="N449" i="12" s="1"/>
  <c r="K461" i="12"/>
  <c r="M461" i="12" s="1"/>
  <c r="L461" i="12"/>
  <c r="N461" i="12" s="1"/>
  <c r="K473" i="12"/>
  <c r="M473" i="12" s="1"/>
  <c r="L473" i="12"/>
  <c r="N473" i="12" s="1"/>
  <c r="L486" i="12"/>
  <c r="N486" i="12" s="1"/>
  <c r="K486" i="12"/>
  <c r="M486" i="12" s="1"/>
  <c r="K499" i="12"/>
  <c r="M499" i="12" s="1"/>
  <c r="L499" i="12"/>
  <c r="N499" i="12" s="1"/>
  <c r="K511" i="12"/>
  <c r="M511" i="12" s="1"/>
  <c r="L511" i="12"/>
  <c r="N511" i="12" s="1"/>
  <c r="K523" i="12"/>
  <c r="M523" i="12" s="1"/>
  <c r="L523" i="12"/>
  <c r="N523" i="12" s="1"/>
  <c r="K535" i="12"/>
  <c r="M535" i="12" s="1"/>
  <c r="L535" i="12"/>
  <c r="N535" i="12" s="1"/>
  <c r="K548" i="12"/>
  <c r="M548" i="12" s="1"/>
  <c r="L548" i="12"/>
  <c r="N548" i="12" s="1"/>
  <c r="K560" i="12"/>
  <c r="M560" i="12" s="1"/>
  <c r="L560" i="12"/>
  <c r="N560" i="12" s="1"/>
  <c r="K572" i="12"/>
  <c r="M572" i="12" s="1"/>
  <c r="L572" i="12"/>
  <c r="N572" i="12" s="1"/>
  <c r="K585" i="12"/>
  <c r="M585" i="12" s="1"/>
  <c r="L585" i="12"/>
  <c r="N585" i="12" s="1"/>
  <c r="K597" i="12"/>
  <c r="M597" i="12" s="1"/>
  <c r="L597" i="12"/>
  <c r="N597" i="12" s="1"/>
  <c r="K610" i="12"/>
  <c r="M610" i="12" s="1"/>
  <c r="L610" i="12"/>
  <c r="N610" i="12" s="1"/>
  <c r="K622" i="12"/>
  <c r="M622" i="12" s="1"/>
  <c r="L622" i="12"/>
  <c r="N622" i="12" s="1"/>
  <c r="K636" i="12"/>
  <c r="M636" i="12" s="1"/>
  <c r="L636" i="12"/>
  <c r="N636" i="12" s="1"/>
  <c r="K650" i="12"/>
  <c r="M650" i="12" s="1"/>
  <c r="L650" i="12"/>
  <c r="N650" i="12" s="1"/>
  <c r="K662" i="12"/>
  <c r="M662" i="12" s="1"/>
  <c r="L662" i="12"/>
  <c r="N662" i="12" s="1"/>
  <c r="K676" i="12"/>
  <c r="M676" i="12" s="1"/>
  <c r="L676" i="12"/>
  <c r="N676" i="12" s="1"/>
  <c r="K689" i="12"/>
  <c r="M689" i="12" s="1"/>
  <c r="L689" i="12"/>
  <c r="N689" i="12" s="1"/>
  <c r="K702" i="12"/>
  <c r="M702" i="12" s="1"/>
  <c r="L702" i="12"/>
  <c r="N702" i="12" s="1"/>
  <c r="K714" i="12"/>
  <c r="M714" i="12" s="1"/>
  <c r="L714" i="12"/>
  <c r="N714" i="12" s="1"/>
  <c r="K727" i="12"/>
  <c r="M727" i="12" s="1"/>
  <c r="L727" i="12"/>
  <c r="N727" i="12" s="1"/>
  <c r="L19" i="12"/>
  <c r="N19" i="12" s="1"/>
  <c r="K19" i="12"/>
  <c r="M19" i="12" s="1"/>
  <c r="K31" i="12"/>
  <c r="M31" i="12" s="1"/>
  <c r="L31" i="12"/>
  <c r="N31" i="12" s="1"/>
  <c r="K45" i="12"/>
  <c r="M45" i="12" s="1"/>
  <c r="L45" i="12"/>
  <c r="N45" i="12" s="1"/>
  <c r="K57" i="12"/>
  <c r="M57" i="12" s="1"/>
  <c r="L57" i="12"/>
  <c r="N57" i="12" s="1"/>
  <c r="K69" i="12"/>
  <c r="M69" i="12" s="1"/>
  <c r="L69" i="12"/>
  <c r="N69" i="12" s="1"/>
  <c r="K81" i="12"/>
  <c r="M81" i="12" s="1"/>
  <c r="L81" i="12"/>
  <c r="N81" i="12" s="1"/>
  <c r="K93" i="12"/>
  <c r="M93" i="12" s="1"/>
  <c r="L93" i="12"/>
  <c r="N93" i="12" s="1"/>
  <c r="K105" i="12"/>
  <c r="M105" i="12" s="1"/>
  <c r="L105" i="12"/>
  <c r="N105" i="12" s="1"/>
  <c r="K118" i="12"/>
  <c r="M118" i="12" s="1"/>
  <c r="L118" i="12"/>
  <c r="N118" i="12" s="1"/>
  <c r="L131" i="12"/>
  <c r="N131" i="12" s="1"/>
  <c r="K131" i="12"/>
  <c r="M131" i="12" s="1"/>
  <c r="L144" i="12"/>
  <c r="N144" i="12" s="1"/>
  <c r="K144" i="12"/>
  <c r="M144" i="12" s="1"/>
  <c r="L157" i="12"/>
  <c r="N157" i="12" s="1"/>
  <c r="K157" i="12"/>
  <c r="M157" i="12" s="1"/>
  <c r="L169" i="12"/>
  <c r="N169" i="12" s="1"/>
  <c r="K169" i="12"/>
  <c r="M169" i="12" s="1"/>
  <c r="L185" i="12"/>
  <c r="N185" i="12" s="1"/>
  <c r="K185" i="12"/>
  <c r="M185" i="12" s="1"/>
  <c r="L199" i="12"/>
  <c r="N199" i="12" s="1"/>
  <c r="K199" i="12"/>
  <c r="M199" i="12" s="1"/>
  <c r="K212" i="12"/>
  <c r="M212" i="12" s="1"/>
  <c r="L212" i="12"/>
  <c r="N212" i="12" s="1"/>
  <c r="K224" i="12"/>
  <c r="M224" i="12" s="1"/>
  <c r="L224" i="12"/>
  <c r="N224" i="12" s="1"/>
  <c r="K236" i="12"/>
  <c r="M236" i="12" s="1"/>
  <c r="L236" i="12"/>
  <c r="N236" i="12" s="1"/>
  <c r="K249" i="12"/>
  <c r="M249" i="12" s="1"/>
  <c r="L249" i="12"/>
  <c r="N249" i="12" s="1"/>
  <c r="K262" i="12"/>
  <c r="M262" i="12" s="1"/>
  <c r="L262" i="12"/>
  <c r="N262" i="12" s="1"/>
  <c r="K274" i="12"/>
  <c r="M274" i="12" s="1"/>
  <c r="L274" i="12"/>
  <c r="N274" i="12" s="1"/>
  <c r="K287" i="12"/>
  <c r="M287" i="12" s="1"/>
  <c r="L287" i="12"/>
  <c r="N287" i="12" s="1"/>
  <c r="K299" i="12"/>
  <c r="M299" i="12" s="1"/>
  <c r="L299" i="12"/>
  <c r="N299" i="12" s="1"/>
  <c r="K312" i="12"/>
  <c r="M312" i="12" s="1"/>
  <c r="L312" i="12"/>
  <c r="N312" i="12" s="1"/>
  <c r="K324" i="12"/>
  <c r="M324" i="12" s="1"/>
  <c r="L324" i="12"/>
  <c r="N324" i="12" s="1"/>
  <c r="K338" i="12"/>
  <c r="M338" i="12" s="1"/>
  <c r="L338" i="12"/>
  <c r="N338" i="12" s="1"/>
  <c r="K350" i="12"/>
  <c r="M350" i="12" s="1"/>
  <c r="L350" i="12"/>
  <c r="N350" i="12" s="1"/>
  <c r="K362" i="12"/>
  <c r="M362" i="12" s="1"/>
  <c r="L362" i="12"/>
  <c r="N362" i="12" s="1"/>
  <c r="K374" i="12"/>
  <c r="M374" i="12" s="1"/>
  <c r="L374" i="12"/>
  <c r="N374" i="12" s="1"/>
  <c r="K387" i="12"/>
  <c r="M387" i="12" s="1"/>
  <c r="L387" i="12"/>
  <c r="N387" i="12" s="1"/>
  <c r="K400" i="12"/>
  <c r="M400" i="12" s="1"/>
  <c r="L400" i="12"/>
  <c r="N400" i="12" s="1"/>
  <c r="K413" i="12"/>
  <c r="M413" i="12" s="1"/>
  <c r="L413" i="12"/>
  <c r="N413" i="12" s="1"/>
  <c r="K425" i="12"/>
  <c r="M425" i="12" s="1"/>
  <c r="L425" i="12"/>
  <c r="N425" i="12" s="1"/>
  <c r="K437" i="12"/>
  <c r="M437" i="12" s="1"/>
  <c r="L437" i="12"/>
  <c r="N437" i="12" s="1"/>
  <c r="K450" i="12"/>
  <c r="M450" i="12" s="1"/>
  <c r="L450" i="12"/>
  <c r="N450" i="12" s="1"/>
  <c r="K462" i="12"/>
  <c r="M462" i="12" s="1"/>
  <c r="L462" i="12"/>
  <c r="N462" i="12" s="1"/>
  <c r="K474" i="12"/>
  <c r="M474" i="12" s="1"/>
  <c r="L474" i="12"/>
  <c r="N474" i="12" s="1"/>
  <c r="K487" i="12"/>
  <c r="M487" i="12" s="1"/>
  <c r="L487" i="12"/>
  <c r="N487" i="12" s="1"/>
  <c r="L500" i="12"/>
  <c r="N500" i="12" s="1"/>
  <c r="K500" i="12"/>
  <c r="M500" i="12" s="1"/>
  <c r="K512" i="12"/>
  <c r="M512" i="12" s="1"/>
  <c r="L512" i="12"/>
  <c r="N512" i="12" s="1"/>
  <c r="K524" i="12"/>
  <c r="M524" i="12" s="1"/>
  <c r="L524" i="12"/>
  <c r="N524" i="12" s="1"/>
  <c r="L536" i="12"/>
  <c r="N536" i="12" s="1"/>
  <c r="K536" i="12"/>
  <c r="M536" i="12" s="1"/>
  <c r="L549" i="12"/>
  <c r="N549" i="12" s="1"/>
  <c r="K549" i="12"/>
  <c r="M549" i="12" s="1"/>
  <c r="L561" i="12"/>
  <c r="N561" i="12" s="1"/>
  <c r="K561" i="12"/>
  <c r="M561" i="12" s="1"/>
  <c r="K573" i="12"/>
  <c r="M573" i="12" s="1"/>
  <c r="L573" i="12"/>
  <c r="N573" i="12" s="1"/>
  <c r="L586" i="12"/>
  <c r="N586" i="12" s="1"/>
  <c r="K586" i="12"/>
  <c r="M586" i="12" s="1"/>
  <c r="L598" i="12"/>
  <c r="N598" i="12" s="1"/>
  <c r="K598" i="12"/>
  <c r="M598" i="12" s="1"/>
  <c r="L611" i="12"/>
  <c r="N611" i="12" s="1"/>
  <c r="K611" i="12"/>
  <c r="M611" i="12" s="1"/>
  <c r="L623" i="12"/>
  <c r="N623" i="12" s="1"/>
  <c r="K623" i="12"/>
  <c r="M623" i="12" s="1"/>
  <c r="L637" i="12"/>
  <c r="N637" i="12" s="1"/>
  <c r="K637" i="12"/>
  <c r="M637" i="12" s="1"/>
  <c r="K651" i="12"/>
  <c r="M651" i="12" s="1"/>
  <c r="L651" i="12"/>
  <c r="N651" i="12" s="1"/>
  <c r="L663" i="12"/>
  <c r="N663" i="12" s="1"/>
  <c r="K663" i="12"/>
  <c r="M663" i="12" s="1"/>
  <c r="L677" i="12"/>
  <c r="N677" i="12" s="1"/>
  <c r="K677" i="12"/>
  <c r="M677" i="12" s="1"/>
  <c r="L690" i="12"/>
  <c r="N690" i="12" s="1"/>
  <c r="K690" i="12"/>
  <c r="M690" i="12" s="1"/>
  <c r="L703" i="12"/>
  <c r="N703" i="12" s="1"/>
  <c r="K703" i="12"/>
  <c r="M703" i="12" s="1"/>
  <c r="L716" i="12"/>
  <c r="N716" i="12" s="1"/>
  <c r="K716" i="12"/>
  <c r="M716" i="12" s="1"/>
  <c r="K728" i="12"/>
  <c r="M728" i="12" s="1"/>
  <c r="L728" i="12"/>
  <c r="N728" i="12" s="1"/>
  <c r="K20" i="12"/>
  <c r="M20" i="12" s="1"/>
  <c r="L20" i="12"/>
  <c r="N20" i="12" s="1"/>
  <c r="K32" i="12"/>
  <c r="M32" i="12" s="1"/>
  <c r="L32" i="12"/>
  <c r="N32" i="12" s="1"/>
  <c r="L46" i="12"/>
  <c r="N46" i="12" s="1"/>
  <c r="K46" i="12"/>
  <c r="M46" i="12" s="1"/>
  <c r="L58" i="12"/>
  <c r="N58" i="12" s="1"/>
  <c r="K58" i="12"/>
  <c r="M58" i="12" s="1"/>
  <c r="L70" i="12"/>
  <c r="N70" i="12" s="1"/>
  <c r="K70" i="12"/>
  <c r="M70" i="12" s="1"/>
  <c r="L82" i="12"/>
  <c r="N82" i="12" s="1"/>
  <c r="K82" i="12"/>
  <c r="M82" i="12" s="1"/>
  <c r="L94" i="12"/>
  <c r="N94" i="12" s="1"/>
  <c r="K94" i="12"/>
  <c r="M94" i="12" s="1"/>
  <c r="L106" i="12"/>
  <c r="N106" i="12" s="1"/>
  <c r="K106" i="12"/>
  <c r="M106" i="12" s="1"/>
  <c r="L119" i="12"/>
  <c r="N119" i="12" s="1"/>
  <c r="K119" i="12"/>
  <c r="M119" i="12" s="1"/>
  <c r="K132" i="12"/>
  <c r="M132" i="12" s="1"/>
  <c r="L132" i="12"/>
  <c r="N132" i="12" s="1"/>
  <c r="K145" i="12"/>
  <c r="M145" i="12" s="1"/>
  <c r="L145" i="12"/>
  <c r="N145" i="12" s="1"/>
  <c r="K158" i="12"/>
  <c r="M158" i="12" s="1"/>
  <c r="L158" i="12"/>
  <c r="N158" i="12" s="1"/>
  <c r="K171" i="12"/>
  <c r="M171" i="12" s="1"/>
  <c r="O171" i="12" s="1"/>
  <c r="L171" i="12"/>
  <c r="N171" i="12" s="1"/>
  <c r="K186" i="12"/>
  <c r="M186" i="12" s="1"/>
  <c r="L186" i="12"/>
  <c r="N186" i="12" s="1"/>
  <c r="K200" i="12"/>
  <c r="M200" i="12" s="1"/>
  <c r="L200" i="12"/>
  <c r="N200" i="12" s="1"/>
  <c r="K213" i="12"/>
  <c r="M213" i="12" s="1"/>
  <c r="L213" i="12"/>
  <c r="N213" i="12" s="1"/>
  <c r="K225" i="12"/>
  <c r="M225" i="12" s="1"/>
  <c r="L225" i="12"/>
  <c r="N225" i="12" s="1"/>
  <c r="K237" i="12"/>
  <c r="M237" i="12" s="1"/>
  <c r="L237" i="12"/>
  <c r="N237" i="12" s="1"/>
  <c r="L250" i="12"/>
  <c r="N250" i="12" s="1"/>
  <c r="K250" i="12"/>
  <c r="M250" i="12" s="1"/>
  <c r="L263" i="12"/>
  <c r="N263" i="12" s="1"/>
  <c r="K263" i="12"/>
  <c r="M263" i="12" s="1"/>
  <c r="K275" i="12"/>
  <c r="M275" i="12" s="1"/>
  <c r="L275" i="12"/>
  <c r="N275" i="12" s="1"/>
  <c r="L288" i="12"/>
  <c r="N288" i="12" s="1"/>
  <c r="K288" i="12"/>
  <c r="M288" i="12" s="1"/>
  <c r="L300" i="12"/>
  <c r="N300" i="12" s="1"/>
  <c r="K300" i="12"/>
  <c r="M300" i="12" s="1"/>
  <c r="K313" i="12"/>
  <c r="M313" i="12" s="1"/>
  <c r="L313" i="12"/>
  <c r="N313" i="12" s="1"/>
  <c r="L325" i="12"/>
  <c r="N325" i="12" s="1"/>
  <c r="K325" i="12"/>
  <c r="M325" i="12" s="1"/>
  <c r="K339" i="12"/>
  <c r="M339" i="12" s="1"/>
  <c r="L339" i="12"/>
  <c r="N339" i="12" s="1"/>
  <c r="K351" i="12"/>
  <c r="M351" i="12" s="1"/>
  <c r="L351" i="12"/>
  <c r="N351" i="12" s="1"/>
  <c r="K363" i="12"/>
  <c r="M363" i="12" s="1"/>
  <c r="L363" i="12"/>
  <c r="N363" i="12" s="1"/>
  <c r="K376" i="12"/>
  <c r="M376" i="12" s="1"/>
  <c r="L376" i="12"/>
  <c r="N376" i="12" s="1"/>
  <c r="L388" i="12"/>
  <c r="N388" i="12" s="1"/>
  <c r="K388" i="12"/>
  <c r="M388" i="12" s="1"/>
  <c r="L401" i="12"/>
  <c r="N401" i="12" s="1"/>
  <c r="K401" i="12"/>
  <c r="M401" i="12" s="1"/>
  <c r="L414" i="12"/>
  <c r="N414" i="12" s="1"/>
  <c r="K414" i="12"/>
  <c r="M414" i="12" s="1"/>
  <c r="L426" i="12"/>
  <c r="N426" i="12" s="1"/>
  <c r="K426" i="12"/>
  <c r="M426" i="12" s="1"/>
  <c r="K438" i="12"/>
  <c r="M438" i="12" s="1"/>
  <c r="L438" i="12"/>
  <c r="N438" i="12" s="1"/>
  <c r="K451" i="12"/>
  <c r="M451" i="12" s="1"/>
  <c r="L451" i="12"/>
  <c r="N451" i="12" s="1"/>
  <c r="L463" i="12"/>
  <c r="N463" i="12" s="1"/>
  <c r="K463" i="12"/>
  <c r="M463" i="12" s="1"/>
  <c r="L475" i="12"/>
  <c r="N475" i="12" s="1"/>
  <c r="K475" i="12"/>
  <c r="M475" i="12" s="1"/>
  <c r="L488" i="12"/>
  <c r="N488" i="12" s="1"/>
  <c r="K488" i="12"/>
  <c r="M488" i="12" s="1"/>
  <c r="L501" i="12"/>
  <c r="N501" i="12" s="1"/>
  <c r="K501" i="12"/>
  <c r="M501" i="12" s="1"/>
  <c r="L513" i="12"/>
  <c r="N513" i="12" s="1"/>
  <c r="K513" i="12"/>
  <c r="M513" i="12" s="1"/>
  <c r="L525" i="12"/>
  <c r="N525" i="12" s="1"/>
  <c r="K525" i="12"/>
  <c r="M525" i="12" s="1"/>
  <c r="L537" i="12"/>
  <c r="N537" i="12" s="1"/>
  <c r="K537" i="12"/>
  <c r="M537" i="12" s="1"/>
  <c r="K550" i="12"/>
  <c r="M550" i="12" s="1"/>
  <c r="L550" i="12"/>
  <c r="N550" i="12" s="1"/>
  <c r="K562" i="12"/>
  <c r="M562" i="12" s="1"/>
  <c r="L562" i="12"/>
  <c r="N562" i="12" s="1"/>
  <c r="K574" i="12"/>
  <c r="M574" i="12" s="1"/>
  <c r="L574" i="12"/>
  <c r="N574" i="12" s="1"/>
  <c r="K587" i="12"/>
  <c r="M587" i="12" s="1"/>
  <c r="L587" i="12"/>
  <c r="N587" i="12" s="1"/>
  <c r="L599" i="12"/>
  <c r="N599" i="12" s="1"/>
  <c r="K599" i="12"/>
  <c r="M599" i="12" s="1"/>
  <c r="L612" i="12"/>
  <c r="N612" i="12" s="1"/>
  <c r="K612" i="12"/>
  <c r="M612" i="12" s="1"/>
  <c r="K626" i="12"/>
  <c r="M626" i="12" s="1"/>
  <c r="L626" i="12"/>
  <c r="N626" i="12" s="1"/>
  <c r="K639" i="12"/>
  <c r="M639" i="12" s="1"/>
  <c r="L639" i="12"/>
  <c r="N639" i="12" s="1"/>
  <c r="K652" i="12"/>
  <c r="M652" i="12" s="1"/>
  <c r="L652" i="12"/>
  <c r="N652" i="12" s="1"/>
  <c r="K665" i="12"/>
  <c r="M665" i="12" s="1"/>
  <c r="L665" i="12"/>
  <c r="N665" i="12" s="1"/>
  <c r="L678" i="12"/>
  <c r="N678" i="12" s="1"/>
  <c r="K678" i="12"/>
  <c r="M678" i="12" s="1"/>
  <c r="L691" i="12"/>
  <c r="N691" i="12" s="1"/>
  <c r="K691" i="12"/>
  <c r="M691" i="12" s="1"/>
  <c r="K704" i="12"/>
  <c r="M704" i="12" s="1"/>
  <c r="L704" i="12"/>
  <c r="N704" i="12" s="1"/>
  <c r="K717" i="12"/>
  <c r="M717" i="12" s="1"/>
  <c r="L717" i="12"/>
  <c r="N717" i="12" s="1"/>
  <c r="K729" i="12"/>
  <c r="M729" i="12" s="1"/>
  <c r="L729" i="12"/>
  <c r="N729" i="12" s="1"/>
  <c r="K418" i="12"/>
  <c r="M418" i="12" s="1"/>
  <c r="L418" i="12"/>
  <c r="N418" i="12" s="1"/>
  <c r="K616" i="12"/>
  <c r="M616" i="12" s="1"/>
  <c r="L616" i="12"/>
  <c r="N616" i="12" s="1"/>
  <c r="K21" i="12"/>
  <c r="M21" i="12" s="1"/>
  <c r="L21" i="12"/>
  <c r="N21" i="12" s="1"/>
  <c r="K34" i="12"/>
  <c r="M34" i="12" s="1"/>
  <c r="L34" i="12"/>
  <c r="N34" i="12" s="1"/>
  <c r="L47" i="12"/>
  <c r="N47" i="12" s="1"/>
  <c r="K47" i="12"/>
  <c r="M47" i="12" s="1"/>
  <c r="L59" i="12"/>
  <c r="N59" i="12" s="1"/>
  <c r="K59" i="12"/>
  <c r="M59" i="12" s="1"/>
  <c r="L71" i="12"/>
  <c r="N71" i="12" s="1"/>
  <c r="K71" i="12"/>
  <c r="M71" i="12" s="1"/>
  <c r="L83" i="12"/>
  <c r="N83" i="12" s="1"/>
  <c r="K83" i="12"/>
  <c r="M83" i="12" s="1"/>
  <c r="L95" i="12"/>
  <c r="N95" i="12" s="1"/>
  <c r="K95" i="12"/>
  <c r="M95" i="12" s="1"/>
  <c r="K107" i="12"/>
  <c r="M107" i="12" s="1"/>
  <c r="L107" i="12"/>
  <c r="N107" i="12" s="1"/>
  <c r="K120" i="12"/>
  <c r="M120" i="12" s="1"/>
  <c r="L120" i="12"/>
  <c r="N120" i="12" s="1"/>
  <c r="L133" i="12"/>
  <c r="N133" i="12" s="1"/>
  <c r="K133" i="12"/>
  <c r="M133" i="12" s="1"/>
  <c r="L146" i="12"/>
  <c r="N146" i="12" s="1"/>
  <c r="K146" i="12"/>
  <c r="M146" i="12" s="1"/>
  <c r="L159" i="12"/>
  <c r="N159" i="12" s="1"/>
  <c r="K159" i="12"/>
  <c r="M159" i="12" s="1"/>
  <c r="L172" i="12"/>
  <c r="N172" i="12" s="1"/>
  <c r="K172" i="12"/>
  <c r="M172" i="12" s="1"/>
  <c r="L187" i="12"/>
  <c r="N187" i="12" s="1"/>
  <c r="K187" i="12"/>
  <c r="M187" i="12" s="1"/>
  <c r="L201" i="12"/>
  <c r="N201" i="12" s="1"/>
  <c r="K201" i="12"/>
  <c r="M201" i="12" s="1"/>
  <c r="L214" i="12"/>
  <c r="N214" i="12" s="1"/>
  <c r="K214" i="12"/>
  <c r="M214" i="12" s="1"/>
  <c r="L226" i="12"/>
  <c r="N226" i="12" s="1"/>
  <c r="K226" i="12"/>
  <c r="M226" i="12" s="1"/>
  <c r="K238" i="12"/>
  <c r="M238" i="12" s="1"/>
  <c r="L238" i="12"/>
  <c r="N238" i="12" s="1"/>
  <c r="K251" i="12"/>
  <c r="M251" i="12" s="1"/>
  <c r="L251" i="12"/>
  <c r="N251" i="12" s="1"/>
  <c r="L264" i="12"/>
  <c r="N264" i="12" s="1"/>
  <c r="K264" i="12"/>
  <c r="M264" i="12" s="1"/>
  <c r="L276" i="12"/>
  <c r="N276" i="12" s="1"/>
  <c r="K276" i="12"/>
  <c r="M276" i="12" s="1"/>
  <c r="L289" i="12"/>
  <c r="N289" i="12" s="1"/>
  <c r="K289" i="12"/>
  <c r="M289" i="12" s="1"/>
  <c r="L301" i="12"/>
  <c r="N301" i="12" s="1"/>
  <c r="K301" i="12"/>
  <c r="M301" i="12" s="1"/>
  <c r="L314" i="12"/>
  <c r="N314" i="12" s="1"/>
  <c r="K314" i="12"/>
  <c r="M314" i="12" s="1"/>
  <c r="K326" i="12"/>
  <c r="M326" i="12" s="1"/>
  <c r="L326" i="12"/>
  <c r="N326" i="12" s="1"/>
  <c r="L340" i="12"/>
  <c r="N340" i="12" s="1"/>
  <c r="K340" i="12"/>
  <c r="M340" i="12" s="1"/>
  <c r="L352" i="12"/>
  <c r="N352" i="12" s="1"/>
  <c r="K352" i="12"/>
  <c r="M352" i="12" s="1"/>
  <c r="K364" i="12"/>
  <c r="M364" i="12" s="1"/>
  <c r="L364" i="12"/>
  <c r="N364" i="12" s="1"/>
  <c r="K377" i="12"/>
  <c r="M377" i="12" s="1"/>
  <c r="L377" i="12"/>
  <c r="N377" i="12" s="1"/>
  <c r="K389" i="12"/>
  <c r="M389" i="12" s="1"/>
  <c r="L389" i="12"/>
  <c r="N389" i="12" s="1"/>
  <c r="L402" i="12"/>
  <c r="N402" i="12" s="1"/>
  <c r="K402" i="12"/>
  <c r="M402" i="12" s="1"/>
  <c r="L415" i="12"/>
  <c r="N415" i="12" s="1"/>
  <c r="K415" i="12"/>
  <c r="M415" i="12" s="1"/>
  <c r="L427" i="12"/>
  <c r="N427" i="12" s="1"/>
  <c r="K427" i="12"/>
  <c r="M427" i="12" s="1"/>
  <c r="K439" i="12"/>
  <c r="M439" i="12" s="1"/>
  <c r="L439" i="12"/>
  <c r="N439" i="12" s="1"/>
  <c r="K452" i="12"/>
  <c r="M452" i="12" s="1"/>
  <c r="L452" i="12"/>
  <c r="N452" i="12" s="1"/>
  <c r="K464" i="12"/>
  <c r="M464" i="12" s="1"/>
  <c r="L464" i="12"/>
  <c r="N464" i="12" s="1"/>
  <c r="L476" i="12"/>
  <c r="N476" i="12" s="1"/>
  <c r="K476" i="12"/>
  <c r="M476" i="12" s="1"/>
  <c r="L489" i="12"/>
  <c r="N489" i="12" s="1"/>
  <c r="K489" i="12"/>
  <c r="M489" i="12" s="1"/>
  <c r="L502" i="12"/>
  <c r="N502" i="12" s="1"/>
  <c r="K502" i="12"/>
  <c r="M502" i="12" s="1"/>
  <c r="K514" i="12"/>
  <c r="M514" i="12" s="1"/>
  <c r="L514" i="12"/>
  <c r="N514" i="12" s="1"/>
  <c r="L526" i="12"/>
  <c r="N526" i="12" s="1"/>
  <c r="K526" i="12"/>
  <c r="M526" i="12" s="1"/>
  <c r="L538" i="12"/>
  <c r="N538" i="12" s="1"/>
  <c r="K538" i="12"/>
  <c r="M538" i="12" s="1"/>
  <c r="K551" i="12"/>
  <c r="M551" i="12" s="1"/>
  <c r="L551" i="12"/>
  <c r="N551" i="12" s="1"/>
  <c r="K563" i="12"/>
  <c r="M563" i="12" s="1"/>
  <c r="L563" i="12"/>
  <c r="N563" i="12" s="1"/>
  <c r="K575" i="12"/>
  <c r="M575" i="12" s="1"/>
  <c r="L575" i="12"/>
  <c r="N575" i="12" s="1"/>
  <c r="L588" i="12"/>
  <c r="N588" i="12" s="1"/>
  <c r="K588" i="12"/>
  <c r="M588" i="12" s="1"/>
  <c r="L600" i="12"/>
  <c r="N600" i="12" s="1"/>
  <c r="K600" i="12"/>
  <c r="M600" i="12" s="1"/>
  <c r="L613" i="12"/>
  <c r="N613" i="12" s="1"/>
  <c r="K613" i="12"/>
  <c r="M613" i="12" s="1"/>
  <c r="L627" i="12"/>
  <c r="N627" i="12" s="1"/>
  <c r="K627" i="12"/>
  <c r="M627" i="12" s="1"/>
  <c r="L640" i="12"/>
  <c r="N640" i="12" s="1"/>
  <c r="K640" i="12"/>
  <c r="M640" i="12" s="1"/>
  <c r="L653" i="12"/>
  <c r="N653" i="12" s="1"/>
  <c r="K653" i="12"/>
  <c r="M653" i="12" s="1"/>
  <c r="K666" i="12"/>
  <c r="M666" i="12" s="1"/>
  <c r="L666" i="12"/>
  <c r="N666" i="12" s="1"/>
  <c r="L679" i="12"/>
  <c r="N679" i="12" s="1"/>
  <c r="K679" i="12"/>
  <c r="M679" i="12" s="1"/>
  <c r="L693" i="12"/>
  <c r="N693" i="12" s="1"/>
  <c r="K693" i="12"/>
  <c r="M693" i="12" s="1"/>
  <c r="L705" i="12"/>
  <c r="N705" i="12" s="1"/>
  <c r="K705" i="12"/>
  <c r="M705" i="12" s="1"/>
  <c r="L718" i="12"/>
  <c r="N718" i="12" s="1"/>
  <c r="K718" i="12"/>
  <c r="M718" i="12" s="1"/>
  <c r="L730" i="12"/>
  <c r="N730" i="12" s="1"/>
  <c r="K730" i="12"/>
  <c r="M730" i="12" s="1"/>
  <c r="L22" i="12"/>
  <c r="N22" i="12" s="1"/>
  <c r="K22" i="12"/>
  <c r="M22" i="12" s="1"/>
  <c r="K35" i="12"/>
  <c r="M35" i="12" s="1"/>
  <c r="L35" i="12"/>
  <c r="N35" i="12" s="1"/>
  <c r="K48" i="12"/>
  <c r="M48" i="12" s="1"/>
  <c r="L48" i="12"/>
  <c r="N48" i="12" s="1"/>
  <c r="L60" i="12"/>
  <c r="N60" i="12" s="1"/>
  <c r="K60" i="12"/>
  <c r="M60" i="12" s="1"/>
  <c r="K72" i="12"/>
  <c r="M72" i="12" s="1"/>
  <c r="L72" i="12"/>
  <c r="N72" i="12" s="1"/>
  <c r="K84" i="12"/>
  <c r="M84" i="12" s="1"/>
  <c r="L84" i="12"/>
  <c r="N84" i="12" s="1"/>
  <c r="K96" i="12"/>
  <c r="M96" i="12" s="1"/>
  <c r="L96" i="12"/>
  <c r="N96" i="12" s="1"/>
  <c r="K108" i="12"/>
  <c r="M108" i="12" s="1"/>
  <c r="L108" i="12"/>
  <c r="N108" i="12" s="1"/>
  <c r="K121" i="12"/>
  <c r="M121" i="12" s="1"/>
  <c r="L121" i="12"/>
  <c r="N121" i="12" s="1"/>
  <c r="L135" i="12"/>
  <c r="N135" i="12" s="1"/>
  <c r="K135" i="12"/>
  <c r="M135" i="12" s="1"/>
  <c r="O135" i="12" s="1"/>
  <c r="K147" i="12"/>
  <c r="M147" i="12" s="1"/>
  <c r="L147" i="12"/>
  <c r="N147" i="12" s="1"/>
  <c r="K160" i="12"/>
  <c r="M160" i="12" s="1"/>
  <c r="L160" i="12"/>
  <c r="N160" i="12" s="1"/>
  <c r="K173" i="12"/>
  <c r="M173" i="12" s="1"/>
  <c r="L173" i="12"/>
  <c r="N173" i="12" s="1"/>
  <c r="K189" i="12"/>
  <c r="M189" i="12" s="1"/>
  <c r="L189" i="12"/>
  <c r="N189" i="12" s="1"/>
  <c r="K202" i="12"/>
  <c r="M202" i="12" s="1"/>
  <c r="L202" i="12"/>
  <c r="N202" i="12" s="1"/>
  <c r="K215" i="12"/>
  <c r="M215" i="12" s="1"/>
  <c r="L215" i="12"/>
  <c r="N215" i="12" s="1"/>
  <c r="K227" i="12"/>
  <c r="M227" i="12" s="1"/>
  <c r="L227" i="12"/>
  <c r="N227" i="12" s="1"/>
  <c r="K239" i="12"/>
  <c r="M239" i="12" s="1"/>
  <c r="L239" i="12"/>
  <c r="N239" i="12" s="1"/>
  <c r="L252" i="12"/>
  <c r="N252" i="12" s="1"/>
  <c r="K252" i="12"/>
  <c r="M252" i="12" s="1"/>
  <c r="K265" i="12"/>
  <c r="M265" i="12" s="1"/>
  <c r="L265" i="12"/>
  <c r="N265" i="12" s="1"/>
  <c r="L277" i="12"/>
  <c r="N277" i="12" s="1"/>
  <c r="K277" i="12"/>
  <c r="M277" i="12" s="1"/>
  <c r="K290" i="12"/>
  <c r="M290" i="12" s="1"/>
  <c r="L290" i="12"/>
  <c r="N290" i="12" s="1"/>
  <c r="K302" i="12"/>
  <c r="M302" i="12" s="1"/>
  <c r="L302" i="12"/>
  <c r="N302" i="12" s="1"/>
  <c r="L315" i="12"/>
  <c r="N315" i="12" s="1"/>
  <c r="K315" i="12"/>
  <c r="M315" i="12" s="1"/>
  <c r="L327" i="12"/>
  <c r="N327" i="12" s="1"/>
  <c r="K327" i="12"/>
  <c r="M327" i="12" s="1"/>
  <c r="L341" i="12"/>
  <c r="N341" i="12" s="1"/>
  <c r="K341" i="12"/>
  <c r="M341" i="12" s="1"/>
  <c r="L353" i="12"/>
  <c r="N353" i="12" s="1"/>
  <c r="K353" i="12"/>
  <c r="M353" i="12" s="1"/>
  <c r="K365" i="12"/>
  <c r="M365" i="12" s="1"/>
  <c r="L365" i="12"/>
  <c r="N365" i="12" s="1"/>
  <c r="L378" i="12"/>
  <c r="N378" i="12" s="1"/>
  <c r="K378" i="12"/>
  <c r="M378" i="12" s="1"/>
  <c r="K390" i="12"/>
  <c r="M390" i="12" s="1"/>
  <c r="L390" i="12"/>
  <c r="N390" i="12" s="1"/>
  <c r="K403" i="12"/>
  <c r="M403" i="12" s="1"/>
  <c r="L403" i="12"/>
  <c r="N403" i="12" s="1"/>
  <c r="K416" i="12"/>
  <c r="M416" i="12" s="1"/>
  <c r="L416" i="12"/>
  <c r="N416" i="12" s="1"/>
  <c r="K428" i="12"/>
  <c r="M428" i="12" s="1"/>
  <c r="L428" i="12"/>
  <c r="N428" i="12" s="1"/>
  <c r="K441" i="12"/>
  <c r="M441" i="12" s="1"/>
  <c r="L441" i="12"/>
  <c r="N441" i="12" s="1"/>
  <c r="K453" i="12"/>
  <c r="M453" i="12" s="1"/>
  <c r="L453" i="12"/>
  <c r="N453" i="12" s="1"/>
  <c r="L465" i="12"/>
  <c r="N465" i="12" s="1"/>
  <c r="K465" i="12"/>
  <c r="M465" i="12" s="1"/>
  <c r="L478" i="12"/>
  <c r="N478" i="12" s="1"/>
  <c r="K478" i="12"/>
  <c r="M478" i="12" s="1"/>
  <c r="L490" i="12"/>
  <c r="N490" i="12" s="1"/>
  <c r="K490" i="12"/>
  <c r="M490" i="12" s="1"/>
  <c r="K503" i="12"/>
  <c r="M503" i="12" s="1"/>
  <c r="L503" i="12"/>
  <c r="N503" i="12" s="1"/>
  <c r="K515" i="12"/>
  <c r="M515" i="12" s="1"/>
  <c r="L515" i="12"/>
  <c r="N515" i="12" s="1"/>
  <c r="K527" i="12"/>
  <c r="M527" i="12" s="1"/>
  <c r="L527" i="12"/>
  <c r="N527" i="12" s="1"/>
  <c r="K539" i="12"/>
  <c r="M539" i="12" s="1"/>
  <c r="L539" i="12"/>
  <c r="N539" i="12" s="1"/>
  <c r="K552" i="12"/>
  <c r="M552" i="12" s="1"/>
  <c r="L552" i="12"/>
  <c r="N552" i="12" s="1"/>
  <c r="K564" i="12"/>
  <c r="M564" i="12" s="1"/>
  <c r="L564" i="12"/>
  <c r="N564" i="12" s="1"/>
  <c r="K576" i="12"/>
  <c r="M576" i="12" s="1"/>
  <c r="L576" i="12"/>
  <c r="N576" i="12" s="1"/>
  <c r="K589" i="12"/>
  <c r="M589" i="12" s="1"/>
  <c r="L589" i="12"/>
  <c r="N589" i="12" s="1"/>
  <c r="K601" i="12"/>
  <c r="M601" i="12" s="1"/>
  <c r="L601" i="12"/>
  <c r="N601" i="12" s="1"/>
  <c r="K614" i="12"/>
  <c r="M614" i="12" s="1"/>
  <c r="L614" i="12"/>
  <c r="N614" i="12" s="1"/>
  <c r="K628" i="12"/>
  <c r="M628" i="12" s="1"/>
  <c r="L628" i="12"/>
  <c r="N628" i="12" s="1"/>
  <c r="L641" i="12"/>
  <c r="N641" i="12" s="1"/>
  <c r="K641" i="12"/>
  <c r="M641" i="12" s="1"/>
  <c r="K654" i="12"/>
  <c r="M654" i="12" s="1"/>
  <c r="L654" i="12"/>
  <c r="N654" i="12" s="1"/>
  <c r="K667" i="12"/>
  <c r="M667" i="12" s="1"/>
  <c r="L667" i="12"/>
  <c r="N667" i="12" s="1"/>
  <c r="K680" i="12"/>
  <c r="M680" i="12" s="1"/>
  <c r="L680" i="12"/>
  <c r="N680" i="12" s="1"/>
  <c r="K694" i="12"/>
  <c r="M694" i="12" s="1"/>
  <c r="L694" i="12"/>
  <c r="N694" i="12" s="1"/>
  <c r="L706" i="12"/>
  <c r="N706" i="12" s="1"/>
  <c r="K706" i="12"/>
  <c r="M706" i="12" s="1"/>
  <c r="K719" i="12"/>
  <c r="M719" i="12" s="1"/>
  <c r="L719" i="12"/>
  <c r="N719" i="12" s="1"/>
  <c r="K731" i="12"/>
  <c r="M731" i="12" s="1"/>
  <c r="L731" i="12"/>
  <c r="N731" i="12" s="1"/>
  <c r="K23" i="12"/>
  <c r="M23" i="12" s="1"/>
  <c r="L23" i="12"/>
  <c r="N23" i="12" s="1"/>
  <c r="K36" i="12"/>
  <c r="M36" i="12" s="1"/>
  <c r="L36" i="12"/>
  <c r="N36" i="12" s="1"/>
  <c r="L49" i="12"/>
  <c r="N49" i="12" s="1"/>
  <c r="K49" i="12"/>
  <c r="M49" i="12" s="1"/>
  <c r="K61" i="12"/>
  <c r="M61" i="12" s="1"/>
  <c r="L61" i="12"/>
  <c r="N61" i="12" s="1"/>
  <c r="K73" i="12"/>
  <c r="M73" i="12" s="1"/>
  <c r="L73" i="12"/>
  <c r="N73" i="12" s="1"/>
  <c r="K85" i="12"/>
  <c r="M85" i="12" s="1"/>
  <c r="L85" i="12"/>
  <c r="N85" i="12" s="1"/>
  <c r="K97" i="12"/>
  <c r="M97" i="12" s="1"/>
  <c r="L97" i="12"/>
  <c r="N97" i="12" s="1"/>
  <c r="K109" i="12"/>
  <c r="M109" i="12" s="1"/>
  <c r="L109" i="12"/>
  <c r="N109" i="12" s="1"/>
  <c r="K122" i="12"/>
  <c r="M122" i="12" s="1"/>
  <c r="L122" i="12"/>
  <c r="N122" i="12" s="1"/>
  <c r="K136" i="12"/>
  <c r="M136" i="12" s="1"/>
  <c r="L136" i="12"/>
  <c r="N136" i="12" s="1"/>
  <c r="K148" i="12"/>
  <c r="M148" i="12" s="1"/>
  <c r="L148" i="12"/>
  <c r="N148" i="12" s="1"/>
  <c r="K161" i="12"/>
  <c r="M161" i="12" s="1"/>
  <c r="L161" i="12"/>
  <c r="N161" i="12" s="1"/>
  <c r="L174" i="12"/>
  <c r="N174" i="12" s="1"/>
  <c r="K174" i="12"/>
  <c r="M174" i="12" s="1"/>
  <c r="K190" i="12"/>
  <c r="M190" i="12" s="1"/>
  <c r="L190" i="12"/>
  <c r="N190" i="12" s="1"/>
  <c r="K203" i="12"/>
  <c r="M203" i="12" s="1"/>
  <c r="L203" i="12"/>
  <c r="N203" i="12" s="1"/>
  <c r="L216" i="12"/>
  <c r="N216" i="12" s="1"/>
  <c r="K216" i="12"/>
  <c r="M216" i="12" s="1"/>
  <c r="L228" i="12"/>
  <c r="N228" i="12" s="1"/>
  <c r="K228" i="12"/>
  <c r="M228" i="12" s="1"/>
  <c r="L240" i="12"/>
  <c r="N240" i="12" s="1"/>
  <c r="K240" i="12"/>
  <c r="M240" i="12" s="1"/>
  <c r="K254" i="12"/>
  <c r="M254" i="12" s="1"/>
  <c r="L254" i="12"/>
  <c r="N254" i="12" s="1"/>
  <c r="L266" i="12"/>
  <c r="N266" i="12" s="1"/>
  <c r="K266" i="12"/>
  <c r="M266" i="12" s="1"/>
  <c r="K278" i="12"/>
  <c r="M278" i="12" s="1"/>
  <c r="L278" i="12"/>
  <c r="N278" i="12" s="1"/>
  <c r="L291" i="12"/>
  <c r="N291" i="12" s="1"/>
  <c r="K291" i="12"/>
  <c r="M291" i="12" s="1"/>
  <c r="L303" i="12"/>
  <c r="N303" i="12" s="1"/>
  <c r="K303" i="12"/>
  <c r="M303" i="12" s="1"/>
  <c r="L316" i="12"/>
  <c r="N316" i="12" s="1"/>
  <c r="K316" i="12"/>
  <c r="M316" i="12" s="1"/>
  <c r="K328" i="12"/>
  <c r="M328" i="12" s="1"/>
  <c r="L328" i="12"/>
  <c r="N328" i="12" s="1"/>
  <c r="K342" i="12"/>
  <c r="M342" i="12" s="1"/>
  <c r="L342" i="12"/>
  <c r="N342" i="12" s="1"/>
  <c r="L354" i="12"/>
  <c r="N354" i="12" s="1"/>
  <c r="K354" i="12"/>
  <c r="M354" i="12" s="1"/>
  <c r="L366" i="12"/>
  <c r="N366" i="12" s="1"/>
  <c r="K366" i="12"/>
  <c r="M366" i="12" s="1"/>
  <c r="K379" i="12"/>
  <c r="M379" i="12" s="1"/>
  <c r="L379" i="12"/>
  <c r="N379" i="12" s="1"/>
  <c r="K391" i="12"/>
  <c r="M391" i="12" s="1"/>
  <c r="L391" i="12"/>
  <c r="N391" i="12" s="1"/>
  <c r="K404" i="12"/>
  <c r="M404" i="12" s="1"/>
  <c r="L404" i="12"/>
  <c r="N404" i="12" s="1"/>
  <c r="L417" i="12"/>
  <c r="N417" i="12" s="1"/>
  <c r="K417" i="12"/>
  <c r="M417" i="12" s="1"/>
  <c r="L429" i="12"/>
  <c r="N429" i="12" s="1"/>
  <c r="K429" i="12"/>
  <c r="M429" i="12" s="1"/>
  <c r="K442" i="12"/>
  <c r="M442" i="12" s="1"/>
  <c r="L442" i="12"/>
  <c r="N442" i="12" s="1"/>
  <c r="K454" i="12"/>
  <c r="M454" i="12" s="1"/>
  <c r="L454" i="12"/>
  <c r="N454" i="12" s="1"/>
  <c r="L466" i="12"/>
  <c r="N466" i="12" s="1"/>
  <c r="K466" i="12"/>
  <c r="M466" i="12" s="1"/>
  <c r="L479" i="12"/>
  <c r="N479" i="12" s="1"/>
  <c r="K479" i="12"/>
  <c r="M479" i="12" s="1"/>
  <c r="K491" i="12"/>
  <c r="M491" i="12" s="1"/>
  <c r="L491" i="12"/>
  <c r="N491" i="12" s="1"/>
  <c r="K504" i="12"/>
  <c r="M504" i="12" s="1"/>
  <c r="L504" i="12"/>
  <c r="N504" i="12" s="1"/>
  <c r="K516" i="12"/>
  <c r="M516" i="12" s="1"/>
  <c r="L516" i="12"/>
  <c r="N516" i="12" s="1"/>
  <c r="K528" i="12"/>
  <c r="M528" i="12" s="1"/>
  <c r="L528" i="12"/>
  <c r="N528" i="12" s="1"/>
  <c r="K541" i="12"/>
  <c r="M541" i="12" s="1"/>
  <c r="L541" i="12"/>
  <c r="N541" i="12" s="1"/>
  <c r="K553" i="12"/>
  <c r="M553" i="12" s="1"/>
  <c r="L553" i="12"/>
  <c r="N553" i="12" s="1"/>
  <c r="K565" i="12"/>
  <c r="M565" i="12" s="1"/>
  <c r="L565" i="12"/>
  <c r="N565" i="12" s="1"/>
  <c r="K577" i="12"/>
  <c r="M577" i="12" s="1"/>
  <c r="L577" i="12"/>
  <c r="N577" i="12" s="1"/>
  <c r="K590" i="12"/>
  <c r="M590" i="12" s="1"/>
  <c r="L590" i="12"/>
  <c r="N590" i="12" s="1"/>
  <c r="K602" i="12"/>
  <c r="M602" i="12" s="1"/>
  <c r="L602" i="12"/>
  <c r="N602" i="12" s="1"/>
  <c r="K615" i="12"/>
  <c r="M615" i="12" s="1"/>
  <c r="L615" i="12"/>
  <c r="N615" i="12" s="1"/>
  <c r="K629" i="12"/>
  <c r="M629" i="12" s="1"/>
  <c r="L629" i="12"/>
  <c r="N629" i="12" s="1"/>
  <c r="K642" i="12"/>
  <c r="M642" i="12" s="1"/>
  <c r="L642" i="12"/>
  <c r="N642" i="12" s="1"/>
  <c r="K655" i="12"/>
  <c r="M655" i="12" s="1"/>
  <c r="L655" i="12"/>
  <c r="N655" i="12" s="1"/>
  <c r="K668" i="12"/>
  <c r="M668" i="12" s="1"/>
  <c r="L668" i="12"/>
  <c r="N668" i="12" s="1"/>
  <c r="K681" i="12"/>
  <c r="M681" i="12" s="1"/>
  <c r="L681" i="12"/>
  <c r="N681" i="12" s="1"/>
  <c r="K695" i="12"/>
  <c r="M695" i="12" s="1"/>
  <c r="L695" i="12"/>
  <c r="N695" i="12" s="1"/>
  <c r="K707" i="12"/>
  <c r="M707" i="12" s="1"/>
  <c r="L707" i="12"/>
  <c r="N707" i="12" s="1"/>
  <c r="K720" i="12"/>
  <c r="M720" i="12" s="1"/>
  <c r="L720" i="12"/>
  <c r="N720" i="12" s="1"/>
  <c r="K732" i="12"/>
  <c r="M732" i="12" s="1"/>
  <c r="L732" i="12"/>
  <c r="N732" i="12" s="1"/>
  <c r="K66" i="7"/>
  <c r="M66" i="7" s="1"/>
  <c r="L66" i="7"/>
  <c r="N66" i="7" s="1"/>
  <c r="K166" i="7"/>
  <c r="M166" i="7" s="1"/>
  <c r="L166" i="7"/>
  <c r="N166" i="7" s="1"/>
  <c r="K259" i="7"/>
  <c r="M259" i="7" s="1"/>
  <c r="L259" i="7"/>
  <c r="N259" i="7" s="1"/>
  <c r="K347" i="7"/>
  <c r="M347" i="7" s="1"/>
  <c r="L347" i="7"/>
  <c r="N347" i="7" s="1"/>
  <c r="L434" i="7"/>
  <c r="N434" i="7" s="1"/>
  <c r="K434" i="7"/>
  <c r="M434" i="7" s="1"/>
  <c r="K509" i="7"/>
  <c r="M509" i="7" s="1"/>
  <c r="L509" i="7"/>
  <c r="N509" i="7" s="1"/>
  <c r="L608" i="7"/>
  <c r="N608" i="7" s="1"/>
  <c r="K608" i="7"/>
  <c r="M608" i="7" s="1"/>
  <c r="K725" i="7"/>
  <c r="M725" i="7" s="1"/>
  <c r="L725" i="7"/>
  <c r="N725" i="7" s="1"/>
  <c r="L16" i="7"/>
  <c r="N16" i="7" s="1"/>
  <c r="K16" i="7"/>
  <c r="M16" i="7" s="1"/>
  <c r="L28" i="7"/>
  <c r="N28" i="7" s="1"/>
  <c r="K28" i="7"/>
  <c r="M28" i="7" s="1"/>
  <c r="L42" i="7"/>
  <c r="N42" i="7" s="1"/>
  <c r="K42" i="7"/>
  <c r="M42" i="7" s="1"/>
  <c r="K54" i="7"/>
  <c r="M54" i="7" s="1"/>
  <c r="L54" i="7"/>
  <c r="N54" i="7" s="1"/>
  <c r="L78" i="7"/>
  <c r="N78" i="7" s="1"/>
  <c r="K78" i="7"/>
  <c r="M78" i="7" s="1"/>
  <c r="L90" i="7"/>
  <c r="N90" i="7" s="1"/>
  <c r="K90" i="7"/>
  <c r="M90" i="7" s="1"/>
  <c r="K102" i="7"/>
  <c r="M102" i="7" s="1"/>
  <c r="L102" i="7"/>
  <c r="N102" i="7" s="1"/>
  <c r="K115" i="7"/>
  <c r="M115" i="7" s="1"/>
  <c r="L115" i="7"/>
  <c r="N115" i="7" s="1"/>
  <c r="O115" i="7" s="1"/>
  <c r="K128" i="7"/>
  <c r="M128" i="7" s="1"/>
  <c r="L128" i="7"/>
  <c r="N128" i="7" s="1"/>
  <c r="L141" i="7"/>
  <c r="N141" i="7" s="1"/>
  <c r="K141" i="7"/>
  <c r="M141" i="7" s="1"/>
  <c r="K154" i="7"/>
  <c r="M154" i="7" s="1"/>
  <c r="L154" i="7"/>
  <c r="N154" i="7" s="1"/>
  <c r="L182" i="7"/>
  <c r="N182" i="7" s="1"/>
  <c r="K182" i="7"/>
  <c r="M182" i="7" s="1"/>
  <c r="K195" i="7"/>
  <c r="M195" i="7" s="1"/>
  <c r="L195" i="7"/>
  <c r="N195" i="7" s="1"/>
  <c r="L209" i="7"/>
  <c r="N209" i="7" s="1"/>
  <c r="K209" i="7"/>
  <c r="M209" i="7" s="1"/>
  <c r="K221" i="7"/>
  <c r="M221" i="7" s="1"/>
  <c r="L221" i="7"/>
  <c r="N221" i="7" s="1"/>
  <c r="K233" i="7"/>
  <c r="M233" i="7" s="1"/>
  <c r="L233" i="7"/>
  <c r="N233" i="7" s="1"/>
  <c r="K246" i="7"/>
  <c r="M246" i="7" s="1"/>
  <c r="L246" i="7"/>
  <c r="N246" i="7" s="1"/>
  <c r="K271" i="7"/>
  <c r="M271" i="7" s="1"/>
  <c r="L271" i="7"/>
  <c r="N271" i="7" s="1"/>
  <c r="L283" i="7"/>
  <c r="N283" i="7" s="1"/>
  <c r="K283" i="7"/>
  <c r="M283" i="7" s="1"/>
  <c r="L308" i="7"/>
  <c r="N308" i="7" s="1"/>
  <c r="K308" i="7"/>
  <c r="M308" i="7" s="1"/>
  <c r="L321" i="7"/>
  <c r="N321" i="7" s="1"/>
  <c r="K321" i="7"/>
  <c r="M321" i="7" s="1"/>
  <c r="L335" i="7"/>
  <c r="N335" i="7" s="1"/>
  <c r="K335" i="7"/>
  <c r="M335" i="7" s="1"/>
  <c r="L359" i="7"/>
  <c r="N359" i="7" s="1"/>
  <c r="K359" i="7"/>
  <c r="M359" i="7" s="1"/>
  <c r="L371" i="7"/>
  <c r="N371" i="7" s="1"/>
  <c r="K371" i="7"/>
  <c r="M371" i="7" s="1"/>
  <c r="L384" i="7"/>
  <c r="N384" i="7" s="1"/>
  <c r="K384" i="7"/>
  <c r="M384" i="7" s="1"/>
  <c r="K397" i="7"/>
  <c r="M397" i="7" s="1"/>
  <c r="L397" i="7"/>
  <c r="N397" i="7" s="1"/>
  <c r="L410" i="7"/>
  <c r="N410" i="7" s="1"/>
  <c r="K410" i="7"/>
  <c r="M410" i="7" s="1"/>
  <c r="L422" i="7"/>
  <c r="N422" i="7" s="1"/>
  <c r="K422" i="7"/>
  <c r="M422" i="7" s="1"/>
  <c r="K447" i="7"/>
  <c r="M447" i="7" s="1"/>
  <c r="L447" i="7"/>
  <c r="N447" i="7" s="1"/>
  <c r="K459" i="7"/>
  <c r="M459" i="7" s="1"/>
  <c r="L459" i="7"/>
  <c r="N459" i="7" s="1"/>
  <c r="K471" i="7"/>
  <c r="M471" i="7" s="1"/>
  <c r="L471" i="7"/>
  <c r="N471" i="7" s="1"/>
  <c r="K484" i="7"/>
  <c r="M484" i="7" s="1"/>
  <c r="L484" i="7"/>
  <c r="N484" i="7" s="1"/>
  <c r="K497" i="7"/>
  <c r="M497" i="7" s="1"/>
  <c r="L497" i="7"/>
  <c r="N497" i="7" s="1"/>
  <c r="K521" i="7"/>
  <c r="M521" i="7" s="1"/>
  <c r="L521" i="7"/>
  <c r="N521" i="7" s="1"/>
  <c r="K533" i="7"/>
  <c r="M533" i="7" s="1"/>
  <c r="L533" i="7"/>
  <c r="N533" i="7" s="1"/>
  <c r="K546" i="7"/>
  <c r="M546" i="7" s="1"/>
  <c r="L546" i="7"/>
  <c r="N546" i="7" s="1"/>
  <c r="K558" i="7"/>
  <c r="M558" i="7" s="1"/>
  <c r="L558" i="7"/>
  <c r="N558" i="7" s="1"/>
  <c r="K570" i="7"/>
  <c r="M570" i="7" s="1"/>
  <c r="L570" i="7"/>
  <c r="N570" i="7" s="1"/>
  <c r="K583" i="7"/>
  <c r="M583" i="7" s="1"/>
  <c r="L583" i="7"/>
  <c r="N583" i="7" s="1"/>
  <c r="K595" i="7"/>
  <c r="M595" i="7" s="1"/>
  <c r="L595" i="7"/>
  <c r="N595" i="7" s="1"/>
  <c r="L620" i="7"/>
  <c r="N620" i="7" s="1"/>
  <c r="K620" i="7"/>
  <c r="M620" i="7" s="1"/>
  <c r="L634" i="7"/>
  <c r="N634" i="7" s="1"/>
  <c r="K634" i="7"/>
  <c r="M634" i="7" s="1"/>
  <c r="L648" i="7"/>
  <c r="N648" i="7" s="1"/>
  <c r="K648" i="7"/>
  <c r="M648" i="7" s="1"/>
  <c r="L660" i="7"/>
  <c r="N660" i="7" s="1"/>
  <c r="K660" i="7"/>
  <c r="M660" i="7" s="1"/>
  <c r="K673" i="7"/>
  <c r="M673" i="7" s="1"/>
  <c r="L673" i="7"/>
  <c r="N673" i="7" s="1"/>
  <c r="K687" i="7"/>
  <c r="M687" i="7" s="1"/>
  <c r="L687" i="7"/>
  <c r="N687" i="7" s="1"/>
  <c r="L700" i="7"/>
  <c r="N700" i="7" s="1"/>
  <c r="K700" i="7"/>
  <c r="M700" i="7" s="1"/>
  <c r="L712" i="7"/>
  <c r="N712" i="7" s="1"/>
  <c r="K712" i="7"/>
  <c r="M712" i="7" s="1"/>
  <c r="L737" i="7"/>
  <c r="N737" i="7" s="1"/>
  <c r="K737" i="7"/>
  <c r="M737" i="7" s="1"/>
  <c r="L296" i="7"/>
  <c r="N296" i="7" s="1"/>
  <c r="K296" i="7"/>
  <c r="M296" i="7" s="1"/>
  <c r="K17" i="7"/>
  <c r="M17" i="7" s="1"/>
  <c r="L17" i="7"/>
  <c r="N17" i="7" s="1"/>
  <c r="K29" i="7"/>
  <c r="M29" i="7" s="1"/>
  <c r="L29" i="7"/>
  <c r="N29" i="7" s="1"/>
  <c r="K43" i="7"/>
  <c r="M43" i="7" s="1"/>
  <c r="L43" i="7"/>
  <c r="N43" i="7" s="1"/>
  <c r="L55" i="7"/>
  <c r="N55" i="7" s="1"/>
  <c r="K55" i="7"/>
  <c r="M55" i="7" s="1"/>
  <c r="K67" i="7"/>
  <c r="M67" i="7" s="1"/>
  <c r="L67" i="7"/>
  <c r="N67" i="7" s="1"/>
  <c r="K79" i="7"/>
  <c r="M79" i="7" s="1"/>
  <c r="L79" i="7"/>
  <c r="N79" i="7" s="1"/>
  <c r="K91" i="7"/>
  <c r="M91" i="7" s="1"/>
  <c r="L91" i="7"/>
  <c r="N91" i="7" s="1"/>
  <c r="K103" i="7"/>
  <c r="M103" i="7" s="1"/>
  <c r="L103" i="7"/>
  <c r="N103" i="7" s="1"/>
  <c r="K116" i="7"/>
  <c r="M116" i="7" s="1"/>
  <c r="L116" i="7"/>
  <c r="N116" i="7" s="1"/>
  <c r="L129" i="7"/>
  <c r="N129" i="7" s="1"/>
  <c r="K129" i="7"/>
  <c r="M129" i="7" s="1"/>
  <c r="K142" i="7"/>
  <c r="M142" i="7" s="1"/>
  <c r="L142" i="7"/>
  <c r="N142" i="7" s="1"/>
  <c r="K155" i="7"/>
  <c r="M155" i="7" s="1"/>
  <c r="L155" i="7"/>
  <c r="N155" i="7" s="1"/>
  <c r="K167" i="7"/>
  <c r="M167" i="7" s="1"/>
  <c r="L167" i="7"/>
  <c r="N167" i="7" s="1"/>
  <c r="K183" i="7"/>
  <c r="M183" i="7" s="1"/>
  <c r="L183" i="7"/>
  <c r="N183" i="7" s="1"/>
  <c r="L196" i="7"/>
  <c r="N196" i="7" s="1"/>
  <c r="K196" i="7"/>
  <c r="M196" i="7" s="1"/>
  <c r="L210" i="7"/>
  <c r="N210" i="7" s="1"/>
  <c r="K210" i="7"/>
  <c r="M210" i="7" s="1"/>
  <c r="K222" i="7"/>
  <c r="M222" i="7" s="1"/>
  <c r="L222" i="7"/>
  <c r="N222" i="7" s="1"/>
  <c r="L234" i="7"/>
  <c r="N234" i="7" s="1"/>
  <c r="K234" i="7"/>
  <c r="M234" i="7" s="1"/>
  <c r="L247" i="7"/>
  <c r="N247" i="7" s="1"/>
  <c r="K247" i="7"/>
  <c r="M247" i="7" s="1"/>
  <c r="L260" i="7"/>
  <c r="N260" i="7" s="1"/>
  <c r="K260" i="7"/>
  <c r="M260" i="7" s="1"/>
  <c r="L272" i="7"/>
  <c r="N272" i="7" s="1"/>
  <c r="K272" i="7"/>
  <c r="M272" i="7" s="1"/>
  <c r="L284" i="7"/>
  <c r="N284" i="7" s="1"/>
  <c r="K284" i="7"/>
  <c r="M284" i="7" s="1"/>
  <c r="K297" i="7"/>
  <c r="M297" i="7" s="1"/>
  <c r="L297" i="7"/>
  <c r="N297" i="7" s="1"/>
  <c r="K309" i="7"/>
  <c r="M309" i="7" s="1"/>
  <c r="L309" i="7"/>
  <c r="N309" i="7" s="1"/>
  <c r="L322" i="7"/>
  <c r="N322" i="7" s="1"/>
  <c r="K322" i="7"/>
  <c r="M322" i="7" s="1"/>
  <c r="K336" i="7"/>
  <c r="M336" i="7" s="1"/>
  <c r="L336" i="7"/>
  <c r="N336" i="7" s="1"/>
  <c r="K348" i="7"/>
  <c r="M348" i="7" s="1"/>
  <c r="L348" i="7"/>
  <c r="N348" i="7" s="1"/>
  <c r="K360" i="7"/>
  <c r="M360" i="7" s="1"/>
  <c r="L360" i="7"/>
  <c r="N360" i="7" s="1"/>
  <c r="K448" i="7"/>
  <c r="M448" i="7" s="1"/>
  <c r="L448" i="7"/>
  <c r="N448" i="7" s="1"/>
  <c r="K510" i="7"/>
  <c r="M510" i="7" s="1"/>
  <c r="L510" i="7"/>
  <c r="N510" i="7" s="1"/>
  <c r="L522" i="7"/>
  <c r="N522" i="7" s="1"/>
  <c r="K522" i="7"/>
  <c r="M522" i="7" s="1"/>
  <c r="K534" i="7"/>
  <c r="M534" i="7" s="1"/>
  <c r="L534" i="7"/>
  <c r="N534" i="7" s="1"/>
  <c r="K547" i="7"/>
  <c r="M547" i="7" s="1"/>
  <c r="L547" i="7"/>
  <c r="N547" i="7" s="1"/>
  <c r="K559" i="7"/>
  <c r="M559" i="7" s="1"/>
  <c r="L559" i="7"/>
  <c r="N559" i="7" s="1"/>
  <c r="L571" i="7"/>
  <c r="N571" i="7" s="1"/>
  <c r="K571" i="7"/>
  <c r="M571" i="7" s="1"/>
  <c r="L584" i="7"/>
  <c r="N584" i="7" s="1"/>
  <c r="K584" i="7"/>
  <c r="M584" i="7" s="1"/>
  <c r="L596" i="7"/>
  <c r="N596" i="7" s="1"/>
  <c r="K596" i="7"/>
  <c r="M596" i="7" s="1"/>
  <c r="L609" i="7"/>
  <c r="N609" i="7" s="1"/>
  <c r="K609" i="7"/>
  <c r="M609" i="7" s="1"/>
  <c r="L621" i="7"/>
  <c r="N621" i="7" s="1"/>
  <c r="K621" i="7"/>
  <c r="M621" i="7" s="1"/>
  <c r="L635" i="7"/>
  <c r="N635" i="7" s="1"/>
  <c r="K635" i="7"/>
  <c r="M635" i="7" s="1"/>
  <c r="L649" i="7"/>
  <c r="N649" i="7" s="1"/>
  <c r="K649" i="7"/>
  <c r="M649" i="7" s="1"/>
  <c r="K661" i="7"/>
  <c r="M661" i="7" s="1"/>
  <c r="L661" i="7"/>
  <c r="N661" i="7" s="1"/>
  <c r="K675" i="7"/>
  <c r="M675" i="7" s="1"/>
  <c r="L675" i="7"/>
  <c r="N675" i="7" s="1"/>
  <c r="L688" i="7"/>
  <c r="N688" i="7" s="1"/>
  <c r="K688" i="7"/>
  <c r="M688" i="7" s="1"/>
  <c r="K701" i="7"/>
  <c r="M701" i="7" s="1"/>
  <c r="L701" i="7"/>
  <c r="N701" i="7" s="1"/>
  <c r="L713" i="7"/>
  <c r="N713" i="7" s="1"/>
  <c r="K713" i="7"/>
  <c r="M713" i="7" s="1"/>
  <c r="L726" i="7"/>
  <c r="N726" i="7" s="1"/>
  <c r="K726" i="7"/>
  <c r="M726" i="7" s="1"/>
  <c r="L498" i="7"/>
  <c r="N498" i="7" s="1"/>
  <c r="K498" i="7"/>
  <c r="M498" i="7" s="1"/>
  <c r="K18" i="7"/>
  <c r="M18" i="7" s="1"/>
  <c r="L18" i="7"/>
  <c r="N18" i="7" s="1"/>
  <c r="K30" i="7"/>
  <c r="M30" i="7" s="1"/>
  <c r="L30" i="7"/>
  <c r="N30" i="7" s="1"/>
  <c r="K44" i="7"/>
  <c r="M44" i="7" s="1"/>
  <c r="L44" i="7"/>
  <c r="N44" i="7" s="1"/>
  <c r="K56" i="7"/>
  <c r="M56" i="7" s="1"/>
  <c r="L56" i="7"/>
  <c r="N56" i="7" s="1"/>
  <c r="K68" i="7"/>
  <c r="M68" i="7" s="1"/>
  <c r="L68" i="7"/>
  <c r="N68" i="7" s="1"/>
  <c r="K80" i="7"/>
  <c r="M80" i="7" s="1"/>
  <c r="L80" i="7"/>
  <c r="N80" i="7" s="1"/>
  <c r="K92" i="7"/>
  <c r="M92" i="7" s="1"/>
  <c r="L92" i="7"/>
  <c r="N92" i="7" s="1"/>
  <c r="K104" i="7"/>
  <c r="M104" i="7" s="1"/>
  <c r="L104" i="7"/>
  <c r="N104" i="7" s="1"/>
  <c r="L117" i="7"/>
  <c r="N117" i="7" s="1"/>
  <c r="K117" i="7"/>
  <c r="M117" i="7" s="1"/>
  <c r="K130" i="7"/>
  <c r="M130" i="7" s="1"/>
  <c r="L130" i="7"/>
  <c r="N130" i="7" s="1"/>
  <c r="L143" i="7"/>
  <c r="N143" i="7" s="1"/>
  <c r="K143" i="7"/>
  <c r="M143" i="7" s="1"/>
  <c r="K156" i="7"/>
  <c r="M156" i="7" s="1"/>
  <c r="L156" i="7"/>
  <c r="N156" i="7" s="1"/>
  <c r="K168" i="7"/>
  <c r="M168" i="7" s="1"/>
  <c r="L168" i="7"/>
  <c r="N168" i="7" s="1"/>
  <c r="K184" i="7"/>
  <c r="M184" i="7" s="1"/>
  <c r="L184" i="7"/>
  <c r="N184" i="7" s="1"/>
  <c r="L198" i="7"/>
  <c r="N198" i="7" s="1"/>
  <c r="K198" i="7"/>
  <c r="M198" i="7" s="1"/>
  <c r="K211" i="7"/>
  <c r="M211" i="7" s="1"/>
  <c r="L211" i="7"/>
  <c r="N211" i="7" s="1"/>
  <c r="L223" i="7"/>
  <c r="N223" i="7" s="1"/>
  <c r="K223" i="7"/>
  <c r="M223" i="7" s="1"/>
  <c r="K235" i="7"/>
  <c r="M235" i="7" s="1"/>
  <c r="L235" i="7"/>
  <c r="N235" i="7" s="1"/>
  <c r="L248" i="7"/>
  <c r="N248" i="7" s="1"/>
  <c r="K248" i="7"/>
  <c r="M248" i="7" s="1"/>
  <c r="K261" i="7"/>
  <c r="M261" i="7" s="1"/>
  <c r="L261" i="7"/>
  <c r="N261" i="7" s="1"/>
  <c r="K273" i="7"/>
  <c r="M273" i="7" s="1"/>
  <c r="L273" i="7"/>
  <c r="N273" i="7" s="1"/>
  <c r="K285" i="7"/>
  <c r="M285" i="7" s="1"/>
  <c r="L285" i="7"/>
  <c r="N285" i="7" s="1"/>
  <c r="L298" i="7"/>
  <c r="N298" i="7" s="1"/>
  <c r="K298" i="7"/>
  <c r="M298" i="7" s="1"/>
  <c r="K310" i="7"/>
  <c r="M310" i="7" s="1"/>
  <c r="L310" i="7"/>
  <c r="N310" i="7" s="1"/>
  <c r="K323" i="7"/>
  <c r="M323" i="7" s="1"/>
  <c r="L323" i="7"/>
  <c r="N323" i="7" s="1"/>
  <c r="K337" i="7"/>
  <c r="M337" i="7" s="1"/>
  <c r="L337" i="7"/>
  <c r="N337" i="7" s="1"/>
  <c r="K349" i="7"/>
  <c r="M349" i="7" s="1"/>
  <c r="L349" i="7"/>
  <c r="N349" i="7" s="1"/>
  <c r="K361" i="7"/>
  <c r="M361" i="7" s="1"/>
  <c r="L361" i="7"/>
  <c r="N361" i="7" s="1"/>
  <c r="K373" i="7"/>
  <c r="M373" i="7" s="1"/>
  <c r="L373" i="7"/>
  <c r="N373" i="7" s="1"/>
  <c r="K386" i="7"/>
  <c r="M386" i="7" s="1"/>
  <c r="L386" i="7"/>
  <c r="N386" i="7" s="1"/>
  <c r="L399" i="7"/>
  <c r="N399" i="7" s="1"/>
  <c r="K399" i="7"/>
  <c r="M399" i="7" s="1"/>
  <c r="L412" i="7"/>
  <c r="N412" i="7" s="1"/>
  <c r="K412" i="7"/>
  <c r="M412" i="7" s="1"/>
  <c r="L424" i="7"/>
  <c r="N424" i="7" s="1"/>
  <c r="K424" i="7"/>
  <c r="M424" i="7" s="1"/>
  <c r="L436" i="7"/>
  <c r="N436" i="7" s="1"/>
  <c r="K436" i="7"/>
  <c r="M436" i="7" s="1"/>
  <c r="K449" i="7"/>
  <c r="M449" i="7" s="1"/>
  <c r="L449" i="7"/>
  <c r="N449" i="7" s="1"/>
  <c r="K461" i="7"/>
  <c r="M461" i="7" s="1"/>
  <c r="L461" i="7"/>
  <c r="N461" i="7" s="1"/>
  <c r="K473" i="7"/>
  <c r="M473" i="7" s="1"/>
  <c r="L473" i="7"/>
  <c r="N473" i="7" s="1"/>
  <c r="L486" i="7"/>
  <c r="N486" i="7" s="1"/>
  <c r="K486" i="7"/>
  <c r="M486" i="7" s="1"/>
  <c r="K499" i="7"/>
  <c r="M499" i="7" s="1"/>
  <c r="L499" i="7"/>
  <c r="N499" i="7" s="1"/>
  <c r="K511" i="7"/>
  <c r="M511" i="7" s="1"/>
  <c r="L511" i="7"/>
  <c r="N511" i="7" s="1"/>
  <c r="K523" i="7"/>
  <c r="M523" i="7" s="1"/>
  <c r="L523" i="7"/>
  <c r="N523" i="7" s="1"/>
  <c r="K535" i="7"/>
  <c r="M535" i="7" s="1"/>
  <c r="L535" i="7"/>
  <c r="N535" i="7" s="1"/>
  <c r="L548" i="7"/>
  <c r="N548" i="7" s="1"/>
  <c r="K548" i="7"/>
  <c r="M548" i="7" s="1"/>
  <c r="L560" i="7"/>
  <c r="N560" i="7" s="1"/>
  <c r="K560" i="7"/>
  <c r="M560" i="7" s="1"/>
  <c r="L572" i="7"/>
  <c r="N572" i="7" s="1"/>
  <c r="K572" i="7"/>
  <c r="M572" i="7" s="1"/>
  <c r="K585" i="7"/>
  <c r="M585" i="7" s="1"/>
  <c r="L585" i="7"/>
  <c r="N585" i="7" s="1"/>
  <c r="K597" i="7"/>
  <c r="M597" i="7" s="1"/>
  <c r="L597" i="7"/>
  <c r="N597" i="7" s="1"/>
  <c r="L610" i="7"/>
  <c r="N610" i="7" s="1"/>
  <c r="K610" i="7"/>
  <c r="M610" i="7" s="1"/>
  <c r="K622" i="7"/>
  <c r="M622" i="7" s="1"/>
  <c r="L622" i="7"/>
  <c r="N622" i="7" s="1"/>
  <c r="K636" i="7"/>
  <c r="M636" i="7" s="1"/>
  <c r="L636" i="7"/>
  <c r="N636" i="7" s="1"/>
  <c r="K650" i="7"/>
  <c r="M650" i="7" s="1"/>
  <c r="L650" i="7"/>
  <c r="N650" i="7" s="1"/>
  <c r="L662" i="7"/>
  <c r="N662" i="7" s="1"/>
  <c r="K662" i="7"/>
  <c r="M662" i="7" s="1"/>
  <c r="K676" i="7"/>
  <c r="M676" i="7" s="1"/>
  <c r="L676" i="7"/>
  <c r="N676" i="7" s="1"/>
  <c r="L689" i="7"/>
  <c r="N689" i="7" s="1"/>
  <c r="K689" i="7"/>
  <c r="M689" i="7" s="1"/>
  <c r="K702" i="7"/>
  <c r="M702" i="7" s="1"/>
  <c r="L702" i="7"/>
  <c r="N702" i="7" s="1"/>
  <c r="L714" i="7"/>
  <c r="N714" i="7" s="1"/>
  <c r="K714" i="7"/>
  <c r="M714" i="7" s="1"/>
  <c r="K727" i="7"/>
  <c r="M727" i="7" s="1"/>
  <c r="L727" i="7"/>
  <c r="N727" i="7" s="1"/>
  <c r="K472" i="7"/>
  <c r="M472" i="7" s="1"/>
  <c r="L472" i="7"/>
  <c r="N472" i="7" s="1"/>
  <c r="K19" i="7"/>
  <c r="M19" i="7" s="1"/>
  <c r="L19" i="7"/>
  <c r="N19" i="7" s="1"/>
  <c r="K31" i="7"/>
  <c r="M31" i="7" s="1"/>
  <c r="L31" i="7"/>
  <c r="N31" i="7" s="1"/>
  <c r="L45" i="7"/>
  <c r="N45" i="7" s="1"/>
  <c r="K45" i="7"/>
  <c r="M45" i="7" s="1"/>
  <c r="L57" i="7"/>
  <c r="N57" i="7" s="1"/>
  <c r="K57" i="7"/>
  <c r="M57" i="7" s="1"/>
  <c r="K69" i="7"/>
  <c r="M69" i="7" s="1"/>
  <c r="L69" i="7"/>
  <c r="N69" i="7" s="1"/>
  <c r="L81" i="7"/>
  <c r="N81" i="7" s="1"/>
  <c r="K81" i="7"/>
  <c r="M81" i="7" s="1"/>
  <c r="K93" i="7"/>
  <c r="M93" i="7" s="1"/>
  <c r="L93" i="7"/>
  <c r="N93" i="7" s="1"/>
  <c r="L105" i="7"/>
  <c r="N105" i="7" s="1"/>
  <c r="K105" i="7"/>
  <c r="M105" i="7" s="1"/>
  <c r="K118" i="7"/>
  <c r="M118" i="7" s="1"/>
  <c r="L118" i="7"/>
  <c r="N118" i="7" s="1"/>
  <c r="L131" i="7"/>
  <c r="N131" i="7" s="1"/>
  <c r="K131" i="7"/>
  <c r="M131" i="7" s="1"/>
  <c r="K144" i="7"/>
  <c r="M144" i="7" s="1"/>
  <c r="L144" i="7"/>
  <c r="N144" i="7" s="1"/>
  <c r="K157" i="7"/>
  <c r="M157" i="7" s="1"/>
  <c r="L157" i="7"/>
  <c r="N157" i="7" s="1"/>
  <c r="L169" i="7"/>
  <c r="N169" i="7" s="1"/>
  <c r="K169" i="7"/>
  <c r="M169" i="7" s="1"/>
  <c r="L185" i="7"/>
  <c r="N185" i="7" s="1"/>
  <c r="K185" i="7"/>
  <c r="M185" i="7" s="1"/>
  <c r="K199" i="7"/>
  <c r="M199" i="7" s="1"/>
  <c r="L199" i="7"/>
  <c r="N199" i="7" s="1"/>
  <c r="L212" i="7"/>
  <c r="N212" i="7" s="1"/>
  <c r="K212" i="7"/>
  <c r="M212" i="7" s="1"/>
  <c r="L224" i="7"/>
  <c r="N224" i="7" s="1"/>
  <c r="K224" i="7"/>
  <c r="M224" i="7" s="1"/>
  <c r="L236" i="7"/>
  <c r="N236" i="7" s="1"/>
  <c r="K236" i="7"/>
  <c r="M236" i="7" s="1"/>
  <c r="K249" i="7"/>
  <c r="M249" i="7" s="1"/>
  <c r="L249" i="7"/>
  <c r="N249" i="7" s="1"/>
  <c r="K262" i="7"/>
  <c r="M262" i="7" s="1"/>
  <c r="L262" i="7"/>
  <c r="N262" i="7" s="1"/>
  <c r="K274" i="7"/>
  <c r="M274" i="7" s="1"/>
  <c r="L274" i="7"/>
  <c r="N274" i="7" s="1"/>
  <c r="L287" i="7"/>
  <c r="N287" i="7" s="1"/>
  <c r="K287" i="7"/>
  <c r="M287" i="7" s="1"/>
  <c r="L299" i="7"/>
  <c r="N299" i="7" s="1"/>
  <c r="K299" i="7"/>
  <c r="M299" i="7" s="1"/>
  <c r="L312" i="7"/>
  <c r="N312" i="7" s="1"/>
  <c r="K312" i="7"/>
  <c r="M312" i="7" s="1"/>
  <c r="L324" i="7"/>
  <c r="N324" i="7" s="1"/>
  <c r="K324" i="7"/>
  <c r="M324" i="7" s="1"/>
  <c r="L338" i="7"/>
  <c r="N338" i="7" s="1"/>
  <c r="K338" i="7"/>
  <c r="M338" i="7" s="1"/>
  <c r="L350" i="7"/>
  <c r="N350" i="7" s="1"/>
  <c r="K350" i="7"/>
  <c r="M350" i="7" s="1"/>
  <c r="L362" i="7"/>
  <c r="N362" i="7" s="1"/>
  <c r="K362" i="7"/>
  <c r="M362" i="7" s="1"/>
  <c r="L374" i="7"/>
  <c r="N374" i="7" s="1"/>
  <c r="K374" i="7"/>
  <c r="M374" i="7" s="1"/>
  <c r="K387" i="7"/>
  <c r="M387" i="7" s="1"/>
  <c r="L387" i="7"/>
  <c r="N387" i="7" s="1"/>
  <c r="L400" i="7"/>
  <c r="N400" i="7" s="1"/>
  <c r="K400" i="7"/>
  <c r="M400" i="7" s="1"/>
  <c r="L413" i="7"/>
  <c r="N413" i="7" s="1"/>
  <c r="K413" i="7"/>
  <c r="M413" i="7" s="1"/>
  <c r="K425" i="7"/>
  <c r="M425" i="7" s="1"/>
  <c r="L425" i="7"/>
  <c r="N425" i="7" s="1"/>
  <c r="L437" i="7"/>
  <c r="N437" i="7" s="1"/>
  <c r="K437" i="7"/>
  <c r="M437" i="7" s="1"/>
  <c r="K450" i="7"/>
  <c r="M450" i="7" s="1"/>
  <c r="L450" i="7"/>
  <c r="N450" i="7" s="1"/>
  <c r="L462" i="7"/>
  <c r="N462" i="7" s="1"/>
  <c r="K462" i="7"/>
  <c r="M462" i="7" s="1"/>
  <c r="L474" i="7"/>
  <c r="N474" i="7" s="1"/>
  <c r="K474" i="7"/>
  <c r="M474" i="7" s="1"/>
  <c r="L487" i="7"/>
  <c r="N487" i="7" s="1"/>
  <c r="K487" i="7"/>
  <c r="M487" i="7" s="1"/>
  <c r="L500" i="7"/>
  <c r="N500" i="7" s="1"/>
  <c r="K500" i="7"/>
  <c r="M500" i="7" s="1"/>
  <c r="K512" i="7"/>
  <c r="M512" i="7" s="1"/>
  <c r="L512" i="7"/>
  <c r="N512" i="7" s="1"/>
  <c r="K524" i="7"/>
  <c r="M524" i="7" s="1"/>
  <c r="L524" i="7"/>
  <c r="N524" i="7" s="1"/>
  <c r="L536" i="7"/>
  <c r="N536" i="7" s="1"/>
  <c r="K536" i="7"/>
  <c r="M536" i="7" s="1"/>
  <c r="L549" i="7"/>
  <c r="N549" i="7" s="1"/>
  <c r="K549" i="7"/>
  <c r="M549" i="7" s="1"/>
  <c r="L561" i="7"/>
  <c r="N561" i="7" s="1"/>
  <c r="K561" i="7"/>
  <c r="M561" i="7" s="1"/>
  <c r="K573" i="7"/>
  <c r="M573" i="7" s="1"/>
  <c r="L573" i="7"/>
  <c r="N573" i="7" s="1"/>
  <c r="L586" i="7"/>
  <c r="N586" i="7" s="1"/>
  <c r="K586" i="7"/>
  <c r="M586" i="7" s="1"/>
  <c r="L598" i="7"/>
  <c r="N598" i="7" s="1"/>
  <c r="K598" i="7"/>
  <c r="M598" i="7" s="1"/>
  <c r="K611" i="7"/>
  <c r="M611" i="7" s="1"/>
  <c r="L611" i="7"/>
  <c r="N611" i="7" s="1"/>
  <c r="K623" i="7"/>
  <c r="M623" i="7" s="1"/>
  <c r="L623" i="7"/>
  <c r="N623" i="7" s="1"/>
  <c r="L637" i="7"/>
  <c r="N637" i="7" s="1"/>
  <c r="K637" i="7"/>
  <c r="M637" i="7" s="1"/>
  <c r="K651" i="7"/>
  <c r="M651" i="7" s="1"/>
  <c r="L651" i="7"/>
  <c r="N651" i="7" s="1"/>
  <c r="L663" i="7"/>
  <c r="N663" i="7" s="1"/>
  <c r="K663" i="7"/>
  <c r="M663" i="7" s="1"/>
  <c r="L677" i="7"/>
  <c r="N677" i="7" s="1"/>
  <c r="K677" i="7"/>
  <c r="M677" i="7" s="1"/>
  <c r="L690" i="7"/>
  <c r="N690" i="7" s="1"/>
  <c r="K690" i="7"/>
  <c r="M690" i="7" s="1"/>
  <c r="K703" i="7"/>
  <c r="M703" i="7" s="1"/>
  <c r="L703" i="7"/>
  <c r="N703" i="7" s="1"/>
  <c r="L716" i="7"/>
  <c r="N716" i="7" s="1"/>
  <c r="K716" i="7"/>
  <c r="M716" i="7" s="1"/>
  <c r="L728" i="7"/>
  <c r="N728" i="7" s="1"/>
  <c r="K728" i="7"/>
  <c r="M728" i="7" s="1"/>
  <c r="L485" i="7"/>
  <c r="N485" i="7" s="1"/>
  <c r="K485" i="7"/>
  <c r="M485" i="7" s="1"/>
  <c r="K20" i="7"/>
  <c r="M20" i="7" s="1"/>
  <c r="L20" i="7"/>
  <c r="N20" i="7" s="1"/>
  <c r="K32" i="7"/>
  <c r="M32" i="7" s="1"/>
  <c r="L32" i="7"/>
  <c r="N32" i="7" s="1"/>
  <c r="K46" i="7"/>
  <c r="M46" i="7" s="1"/>
  <c r="L46" i="7"/>
  <c r="N46" i="7" s="1"/>
  <c r="L58" i="7"/>
  <c r="N58" i="7" s="1"/>
  <c r="K58" i="7"/>
  <c r="M58" i="7" s="1"/>
  <c r="K70" i="7"/>
  <c r="M70" i="7" s="1"/>
  <c r="L70" i="7"/>
  <c r="N70" i="7" s="1"/>
  <c r="L82" i="7"/>
  <c r="N82" i="7" s="1"/>
  <c r="K82" i="7"/>
  <c r="M82" i="7" s="1"/>
  <c r="L94" i="7"/>
  <c r="N94" i="7" s="1"/>
  <c r="K94" i="7"/>
  <c r="M94" i="7" s="1"/>
  <c r="K106" i="7"/>
  <c r="M106" i="7" s="1"/>
  <c r="L106" i="7"/>
  <c r="N106" i="7" s="1"/>
  <c r="K119" i="7"/>
  <c r="M119" i="7" s="1"/>
  <c r="L119" i="7"/>
  <c r="N119" i="7" s="1"/>
  <c r="L132" i="7"/>
  <c r="N132" i="7" s="1"/>
  <c r="K132" i="7"/>
  <c r="M132" i="7" s="1"/>
  <c r="L145" i="7"/>
  <c r="N145" i="7" s="1"/>
  <c r="K145" i="7"/>
  <c r="M145" i="7" s="1"/>
  <c r="K158" i="7"/>
  <c r="M158" i="7" s="1"/>
  <c r="L158" i="7"/>
  <c r="N158" i="7" s="1"/>
  <c r="L171" i="7"/>
  <c r="N171" i="7" s="1"/>
  <c r="K171" i="7"/>
  <c r="M171" i="7" s="1"/>
  <c r="K186" i="7"/>
  <c r="M186" i="7" s="1"/>
  <c r="L186" i="7"/>
  <c r="N186" i="7" s="1"/>
  <c r="L200" i="7"/>
  <c r="N200" i="7" s="1"/>
  <c r="K200" i="7"/>
  <c r="M200" i="7" s="1"/>
  <c r="K213" i="7"/>
  <c r="M213" i="7" s="1"/>
  <c r="L213" i="7"/>
  <c r="N213" i="7" s="1"/>
  <c r="K225" i="7"/>
  <c r="M225" i="7" s="1"/>
  <c r="L225" i="7"/>
  <c r="N225" i="7" s="1"/>
  <c r="L237" i="7"/>
  <c r="N237" i="7" s="1"/>
  <c r="K237" i="7"/>
  <c r="M237" i="7" s="1"/>
  <c r="K250" i="7"/>
  <c r="M250" i="7" s="1"/>
  <c r="L250" i="7"/>
  <c r="N250" i="7" s="1"/>
  <c r="L263" i="7"/>
  <c r="N263" i="7" s="1"/>
  <c r="K263" i="7"/>
  <c r="M263" i="7" s="1"/>
  <c r="K275" i="7"/>
  <c r="M275" i="7" s="1"/>
  <c r="L275" i="7"/>
  <c r="N275" i="7" s="1"/>
  <c r="K288" i="7"/>
  <c r="M288" i="7" s="1"/>
  <c r="L288" i="7"/>
  <c r="N288" i="7" s="1"/>
  <c r="K300" i="7"/>
  <c r="M300" i="7" s="1"/>
  <c r="L300" i="7"/>
  <c r="N300" i="7" s="1"/>
  <c r="L313" i="7"/>
  <c r="N313" i="7" s="1"/>
  <c r="K313" i="7"/>
  <c r="M313" i="7" s="1"/>
  <c r="L325" i="7"/>
  <c r="N325" i="7" s="1"/>
  <c r="K325" i="7"/>
  <c r="M325" i="7" s="1"/>
  <c r="K339" i="7"/>
  <c r="M339" i="7" s="1"/>
  <c r="L339" i="7"/>
  <c r="N339" i="7" s="1"/>
  <c r="L351" i="7"/>
  <c r="N351" i="7" s="1"/>
  <c r="K351" i="7"/>
  <c r="M351" i="7" s="1"/>
  <c r="L363" i="7"/>
  <c r="N363" i="7" s="1"/>
  <c r="K363" i="7"/>
  <c r="M363" i="7" s="1"/>
  <c r="K376" i="7"/>
  <c r="M376" i="7" s="1"/>
  <c r="L376" i="7"/>
  <c r="N376" i="7" s="1"/>
  <c r="L388" i="7"/>
  <c r="N388" i="7" s="1"/>
  <c r="K388" i="7"/>
  <c r="M388" i="7" s="1"/>
  <c r="L401" i="7"/>
  <c r="N401" i="7" s="1"/>
  <c r="K401" i="7"/>
  <c r="M401" i="7" s="1"/>
  <c r="L414" i="7"/>
  <c r="N414" i="7" s="1"/>
  <c r="K414" i="7"/>
  <c r="M414" i="7" s="1"/>
  <c r="L426" i="7"/>
  <c r="N426" i="7" s="1"/>
  <c r="K426" i="7"/>
  <c r="M426" i="7" s="1"/>
  <c r="K438" i="7"/>
  <c r="M438" i="7" s="1"/>
  <c r="L438" i="7"/>
  <c r="N438" i="7" s="1"/>
  <c r="K451" i="7"/>
  <c r="M451" i="7" s="1"/>
  <c r="L451" i="7"/>
  <c r="N451" i="7" s="1"/>
  <c r="L463" i="7"/>
  <c r="N463" i="7" s="1"/>
  <c r="K463" i="7"/>
  <c r="M463" i="7" s="1"/>
  <c r="K475" i="7"/>
  <c r="M475" i="7" s="1"/>
  <c r="L475" i="7"/>
  <c r="N475" i="7" s="1"/>
  <c r="K488" i="7"/>
  <c r="M488" i="7" s="1"/>
  <c r="L488" i="7"/>
  <c r="N488" i="7" s="1"/>
  <c r="K501" i="7"/>
  <c r="M501" i="7" s="1"/>
  <c r="L501" i="7"/>
  <c r="N501" i="7" s="1"/>
  <c r="K513" i="7"/>
  <c r="M513" i="7" s="1"/>
  <c r="L513" i="7"/>
  <c r="N513" i="7" s="1"/>
  <c r="K525" i="7"/>
  <c r="M525" i="7" s="1"/>
  <c r="L525" i="7"/>
  <c r="N525" i="7" s="1"/>
  <c r="K537" i="7"/>
  <c r="M537" i="7" s="1"/>
  <c r="L537" i="7"/>
  <c r="N537" i="7" s="1"/>
  <c r="K550" i="7"/>
  <c r="M550" i="7" s="1"/>
  <c r="L550" i="7"/>
  <c r="N550" i="7" s="1"/>
  <c r="K562" i="7"/>
  <c r="M562" i="7" s="1"/>
  <c r="L562" i="7"/>
  <c r="N562" i="7" s="1"/>
  <c r="K574" i="7"/>
  <c r="M574" i="7" s="1"/>
  <c r="L574" i="7"/>
  <c r="N574" i="7" s="1"/>
  <c r="L587" i="7"/>
  <c r="N587" i="7" s="1"/>
  <c r="K587" i="7"/>
  <c r="M587" i="7" s="1"/>
  <c r="L599" i="7"/>
  <c r="N599" i="7" s="1"/>
  <c r="K599" i="7"/>
  <c r="M599" i="7" s="1"/>
  <c r="L612" i="7"/>
  <c r="N612" i="7" s="1"/>
  <c r="K612" i="7"/>
  <c r="M612" i="7" s="1"/>
  <c r="L626" i="7"/>
  <c r="N626" i="7" s="1"/>
  <c r="K626" i="7"/>
  <c r="M626" i="7" s="1"/>
  <c r="K639" i="7"/>
  <c r="M639" i="7" s="1"/>
  <c r="L639" i="7"/>
  <c r="N639" i="7" s="1"/>
  <c r="K652" i="7"/>
  <c r="M652" i="7" s="1"/>
  <c r="L652" i="7"/>
  <c r="N652" i="7" s="1"/>
  <c r="K665" i="7"/>
  <c r="M665" i="7" s="1"/>
  <c r="L665" i="7"/>
  <c r="N665" i="7" s="1"/>
  <c r="K678" i="7"/>
  <c r="M678" i="7" s="1"/>
  <c r="L678" i="7"/>
  <c r="N678" i="7" s="1"/>
  <c r="K691" i="7"/>
  <c r="M691" i="7" s="1"/>
  <c r="L691" i="7"/>
  <c r="N691" i="7" s="1"/>
  <c r="K704" i="7"/>
  <c r="M704" i="7" s="1"/>
  <c r="L704" i="7"/>
  <c r="N704" i="7" s="1"/>
  <c r="L717" i="7"/>
  <c r="N717" i="7" s="1"/>
  <c r="K717" i="7"/>
  <c r="M717" i="7" s="1"/>
  <c r="L729" i="7"/>
  <c r="N729" i="7" s="1"/>
  <c r="K729" i="7"/>
  <c r="M729" i="7" s="1"/>
  <c r="K460" i="7"/>
  <c r="M460" i="7" s="1"/>
  <c r="L460" i="7"/>
  <c r="N460" i="7" s="1"/>
  <c r="L21" i="7"/>
  <c r="N21" i="7" s="1"/>
  <c r="K21" i="7"/>
  <c r="M21" i="7" s="1"/>
  <c r="L34" i="7"/>
  <c r="N34" i="7" s="1"/>
  <c r="K34" i="7"/>
  <c r="M34" i="7" s="1"/>
  <c r="K47" i="7"/>
  <c r="M47" i="7" s="1"/>
  <c r="L47" i="7"/>
  <c r="N47" i="7" s="1"/>
  <c r="K59" i="7"/>
  <c r="M59" i="7" s="1"/>
  <c r="L59" i="7"/>
  <c r="N59" i="7" s="1"/>
  <c r="L71" i="7"/>
  <c r="N71" i="7" s="1"/>
  <c r="K71" i="7"/>
  <c r="M71" i="7" s="1"/>
  <c r="K83" i="7"/>
  <c r="M83" i="7" s="1"/>
  <c r="L83" i="7"/>
  <c r="N83" i="7" s="1"/>
  <c r="L95" i="7"/>
  <c r="N95" i="7" s="1"/>
  <c r="K95" i="7"/>
  <c r="M95" i="7" s="1"/>
  <c r="K107" i="7"/>
  <c r="M107" i="7" s="1"/>
  <c r="L107" i="7"/>
  <c r="N107" i="7" s="1"/>
  <c r="L120" i="7"/>
  <c r="N120" i="7" s="1"/>
  <c r="K120" i="7"/>
  <c r="M120" i="7" s="1"/>
  <c r="K133" i="7"/>
  <c r="M133" i="7" s="1"/>
  <c r="L133" i="7"/>
  <c r="N133" i="7" s="1"/>
  <c r="L146" i="7"/>
  <c r="N146" i="7" s="1"/>
  <c r="K146" i="7"/>
  <c r="M146" i="7" s="1"/>
  <c r="L159" i="7"/>
  <c r="N159" i="7" s="1"/>
  <c r="K159" i="7"/>
  <c r="M159" i="7" s="1"/>
  <c r="L172" i="7"/>
  <c r="N172" i="7" s="1"/>
  <c r="K172" i="7"/>
  <c r="M172" i="7" s="1"/>
  <c r="K187" i="7"/>
  <c r="M187" i="7" s="1"/>
  <c r="L187" i="7"/>
  <c r="N187" i="7" s="1"/>
  <c r="L201" i="7"/>
  <c r="N201" i="7" s="1"/>
  <c r="K201" i="7"/>
  <c r="M201" i="7" s="1"/>
  <c r="K214" i="7"/>
  <c r="M214" i="7" s="1"/>
  <c r="L214" i="7"/>
  <c r="N214" i="7" s="1"/>
  <c r="K226" i="7"/>
  <c r="M226" i="7" s="1"/>
  <c r="L226" i="7"/>
  <c r="N226" i="7" s="1"/>
  <c r="K238" i="7"/>
  <c r="M238" i="7" s="1"/>
  <c r="L238" i="7"/>
  <c r="N238" i="7" s="1"/>
  <c r="L251" i="7"/>
  <c r="N251" i="7" s="1"/>
  <c r="K251" i="7"/>
  <c r="M251" i="7" s="1"/>
  <c r="L264" i="7"/>
  <c r="N264" i="7" s="1"/>
  <c r="K264" i="7"/>
  <c r="M264" i="7" s="1"/>
  <c r="L276" i="7"/>
  <c r="N276" i="7" s="1"/>
  <c r="K276" i="7"/>
  <c r="M276" i="7" s="1"/>
  <c r="L289" i="7"/>
  <c r="N289" i="7" s="1"/>
  <c r="K289" i="7"/>
  <c r="M289" i="7" s="1"/>
  <c r="L301" i="7"/>
  <c r="N301" i="7" s="1"/>
  <c r="K301" i="7"/>
  <c r="M301" i="7" s="1"/>
  <c r="L314" i="7"/>
  <c r="N314" i="7" s="1"/>
  <c r="K314" i="7"/>
  <c r="M314" i="7" s="1"/>
  <c r="K326" i="7"/>
  <c r="M326" i="7" s="1"/>
  <c r="L326" i="7"/>
  <c r="N326" i="7" s="1"/>
  <c r="L340" i="7"/>
  <c r="N340" i="7" s="1"/>
  <c r="K340" i="7"/>
  <c r="M340" i="7" s="1"/>
  <c r="L352" i="7"/>
  <c r="N352" i="7" s="1"/>
  <c r="K352" i="7"/>
  <c r="M352" i="7" s="1"/>
  <c r="K364" i="7"/>
  <c r="M364" i="7" s="1"/>
  <c r="L364" i="7"/>
  <c r="N364" i="7" s="1"/>
  <c r="L377" i="7"/>
  <c r="N377" i="7" s="1"/>
  <c r="K377" i="7"/>
  <c r="M377" i="7" s="1"/>
  <c r="K389" i="7"/>
  <c r="M389" i="7" s="1"/>
  <c r="L389" i="7"/>
  <c r="N389" i="7" s="1"/>
  <c r="L402" i="7"/>
  <c r="N402" i="7" s="1"/>
  <c r="K402" i="7"/>
  <c r="M402" i="7" s="1"/>
  <c r="L415" i="7"/>
  <c r="N415" i="7" s="1"/>
  <c r="K415" i="7"/>
  <c r="M415" i="7" s="1"/>
  <c r="K427" i="7"/>
  <c r="M427" i="7" s="1"/>
  <c r="L427" i="7"/>
  <c r="N427" i="7" s="1"/>
  <c r="L439" i="7"/>
  <c r="N439" i="7" s="1"/>
  <c r="K439" i="7"/>
  <c r="M439" i="7" s="1"/>
  <c r="K452" i="7"/>
  <c r="M452" i="7" s="1"/>
  <c r="L452" i="7"/>
  <c r="N452" i="7" s="1"/>
  <c r="L464" i="7"/>
  <c r="N464" i="7" s="1"/>
  <c r="K464" i="7"/>
  <c r="M464" i="7" s="1"/>
  <c r="K476" i="7"/>
  <c r="M476" i="7" s="1"/>
  <c r="L476" i="7"/>
  <c r="N476" i="7" s="1"/>
  <c r="K489" i="7"/>
  <c r="M489" i="7" s="1"/>
  <c r="L489" i="7"/>
  <c r="N489" i="7" s="1"/>
  <c r="K502" i="7"/>
  <c r="M502" i="7" s="1"/>
  <c r="L502" i="7"/>
  <c r="N502" i="7" s="1"/>
  <c r="L514" i="7"/>
  <c r="N514" i="7" s="1"/>
  <c r="K514" i="7"/>
  <c r="M514" i="7" s="1"/>
  <c r="K526" i="7"/>
  <c r="M526" i="7" s="1"/>
  <c r="L526" i="7"/>
  <c r="N526" i="7" s="1"/>
  <c r="K538" i="7"/>
  <c r="M538" i="7" s="1"/>
  <c r="L538" i="7"/>
  <c r="N538" i="7" s="1"/>
  <c r="K551" i="7"/>
  <c r="M551" i="7" s="1"/>
  <c r="L551" i="7"/>
  <c r="N551" i="7" s="1"/>
  <c r="L563" i="7"/>
  <c r="N563" i="7" s="1"/>
  <c r="K563" i="7"/>
  <c r="M563" i="7" s="1"/>
  <c r="K575" i="7"/>
  <c r="M575" i="7" s="1"/>
  <c r="L575" i="7"/>
  <c r="N575" i="7" s="1"/>
  <c r="K588" i="7"/>
  <c r="M588" i="7" s="1"/>
  <c r="L588" i="7"/>
  <c r="N588" i="7" s="1"/>
  <c r="K600" i="7"/>
  <c r="M600" i="7" s="1"/>
  <c r="L600" i="7"/>
  <c r="N600" i="7" s="1"/>
  <c r="K613" i="7"/>
  <c r="M613" i="7" s="1"/>
  <c r="L613" i="7"/>
  <c r="N613" i="7" s="1"/>
  <c r="K627" i="7"/>
  <c r="M627" i="7" s="1"/>
  <c r="L627" i="7"/>
  <c r="N627" i="7" s="1"/>
  <c r="K640" i="7"/>
  <c r="M640" i="7" s="1"/>
  <c r="L640" i="7"/>
  <c r="N640" i="7" s="1"/>
  <c r="K653" i="7"/>
  <c r="M653" i="7" s="1"/>
  <c r="L653" i="7"/>
  <c r="N653" i="7" s="1"/>
  <c r="K666" i="7"/>
  <c r="M666" i="7" s="1"/>
  <c r="L666" i="7"/>
  <c r="N666" i="7" s="1"/>
  <c r="L679" i="7"/>
  <c r="N679" i="7" s="1"/>
  <c r="K679" i="7"/>
  <c r="M679" i="7" s="1"/>
  <c r="K693" i="7"/>
  <c r="M693" i="7" s="1"/>
  <c r="L693" i="7"/>
  <c r="N693" i="7" s="1"/>
  <c r="K705" i="7"/>
  <c r="M705" i="7" s="1"/>
  <c r="L705" i="7"/>
  <c r="N705" i="7" s="1"/>
  <c r="L718" i="7"/>
  <c r="N718" i="7" s="1"/>
  <c r="K718" i="7"/>
  <c r="M718" i="7" s="1"/>
  <c r="K730" i="7"/>
  <c r="M730" i="7" s="1"/>
  <c r="L730" i="7"/>
  <c r="N730" i="7" s="1"/>
  <c r="K435" i="7"/>
  <c r="M435" i="7" s="1"/>
  <c r="L435" i="7"/>
  <c r="N435" i="7" s="1"/>
  <c r="L22" i="7"/>
  <c r="N22" i="7" s="1"/>
  <c r="K22" i="7"/>
  <c r="M22" i="7" s="1"/>
  <c r="K35" i="7"/>
  <c r="M35" i="7" s="1"/>
  <c r="L35" i="7"/>
  <c r="N35" i="7" s="1"/>
  <c r="L48" i="7"/>
  <c r="N48" i="7" s="1"/>
  <c r="K48" i="7"/>
  <c r="M48" i="7" s="1"/>
  <c r="K60" i="7"/>
  <c r="M60" i="7" s="1"/>
  <c r="L60" i="7"/>
  <c r="N60" i="7" s="1"/>
  <c r="L72" i="7"/>
  <c r="N72" i="7" s="1"/>
  <c r="K72" i="7"/>
  <c r="M72" i="7" s="1"/>
  <c r="L84" i="7"/>
  <c r="N84" i="7" s="1"/>
  <c r="K84" i="7"/>
  <c r="M84" i="7" s="1"/>
  <c r="L96" i="7"/>
  <c r="N96" i="7" s="1"/>
  <c r="K96" i="7"/>
  <c r="M96" i="7" s="1"/>
  <c r="K108" i="7"/>
  <c r="M108" i="7" s="1"/>
  <c r="L108" i="7"/>
  <c r="N108" i="7" s="1"/>
  <c r="K121" i="7"/>
  <c r="M121" i="7" s="1"/>
  <c r="L121" i="7"/>
  <c r="N121" i="7" s="1"/>
  <c r="L135" i="7"/>
  <c r="N135" i="7" s="1"/>
  <c r="K135" i="7"/>
  <c r="M135" i="7" s="1"/>
  <c r="L147" i="7"/>
  <c r="N147" i="7" s="1"/>
  <c r="K147" i="7"/>
  <c r="M147" i="7" s="1"/>
  <c r="K160" i="7"/>
  <c r="M160" i="7" s="1"/>
  <c r="L160" i="7"/>
  <c r="N160" i="7" s="1"/>
  <c r="K173" i="7"/>
  <c r="M173" i="7" s="1"/>
  <c r="L173" i="7"/>
  <c r="N173" i="7" s="1"/>
  <c r="K189" i="7"/>
  <c r="M189" i="7" s="1"/>
  <c r="L189" i="7"/>
  <c r="N189" i="7" s="1"/>
  <c r="L202" i="7"/>
  <c r="N202" i="7" s="1"/>
  <c r="K202" i="7"/>
  <c r="M202" i="7" s="1"/>
  <c r="L215" i="7"/>
  <c r="N215" i="7" s="1"/>
  <c r="K215" i="7"/>
  <c r="M215" i="7" s="1"/>
  <c r="L227" i="7"/>
  <c r="N227" i="7" s="1"/>
  <c r="K227" i="7"/>
  <c r="M227" i="7" s="1"/>
  <c r="L239" i="7"/>
  <c r="N239" i="7" s="1"/>
  <c r="K239" i="7"/>
  <c r="M239" i="7" s="1"/>
  <c r="L252" i="7"/>
  <c r="N252" i="7" s="1"/>
  <c r="K252" i="7"/>
  <c r="M252" i="7" s="1"/>
  <c r="L265" i="7"/>
  <c r="N265" i="7" s="1"/>
  <c r="K265" i="7"/>
  <c r="M265" i="7" s="1"/>
  <c r="K277" i="7"/>
  <c r="M277" i="7" s="1"/>
  <c r="L277" i="7"/>
  <c r="N277" i="7" s="1"/>
  <c r="L290" i="7"/>
  <c r="N290" i="7" s="1"/>
  <c r="K290" i="7"/>
  <c r="M290" i="7" s="1"/>
  <c r="K302" i="7"/>
  <c r="M302" i="7" s="1"/>
  <c r="L302" i="7"/>
  <c r="N302" i="7" s="1"/>
  <c r="L315" i="7"/>
  <c r="N315" i="7" s="1"/>
  <c r="K315" i="7"/>
  <c r="M315" i="7" s="1"/>
  <c r="K327" i="7"/>
  <c r="M327" i="7" s="1"/>
  <c r="L327" i="7"/>
  <c r="N327" i="7" s="1"/>
  <c r="L341" i="7"/>
  <c r="N341" i="7" s="1"/>
  <c r="K341" i="7"/>
  <c r="M341" i="7" s="1"/>
  <c r="L353" i="7"/>
  <c r="N353" i="7" s="1"/>
  <c r="K353" i="7"/>
  <c r="M353" i="7" s="1"/>
  <c r="L365" i="7"/>
  <c r="N365" i="7" s="1"/>
  <c r="K365" i="7"/>
  <c r="M365" i="7" s="1"/>
  <c r="L378" i="7"/>
  <c r="N378" i="7" s="1"/>
  <c r="K378" i="7"/>
  <c r="M378" i="7" s="1"/>
  <c r="L390" i="7"/>
  <c r="N390" i="7" s="1"/>
  <c r="K390" i="7"/>
  <c r="M390" i="7" s="1"/>
  <c r="K403" i="7"/>
  <c r="M403" i="7" s="1"/>
  <c r="L403" i="7"/>
  <c r="N403" i="7" s="1"/>
  <c r="L416" i="7"/>
  <c r="N416" i="7" s="1"/>
  <c r="K416" i="7"/>
  <c r="M416" i="7" s="1"/>
  <c r="L428" i="7"/>
  <c r="N428" i="7" s="1"/>
  <c r="K428" i="7"/>
  <c r="M428" i="7" s="1"/>
  <c r="K441" i="7"/>
  <c r="M441" i="7" s="1"/>
  <c r="L441" i="7"/>
  <c r="N441" i="7" s="1"/>
  <c r="K453" i="7"/>
  <c r="M453" i="7" s="1"/>
  <c r="L453" i="7"/>
  <c r="N453" i="7" s="1"/>
  <c r="K465" i="7"/>
  <c r="M465" i="7" s="1"/>
  <c r="L465" i="7"/>
  <c r="N465" i="7" s="1"/>
  <c r="L478" i="7"/>
  <c r="N478" i="7" s="1"/>
  <c r="K478" i="7"/>
  <c r="M478" i="7" s="1"/>
  <c r="K490" i="7"/>
  <c r="M490" i="7" s="1"/>
  <c r="L490" i="7"/>
  <c r="N490" i="7" s="1"/>
  <c r="K503" i="7"/>
  <c r="M503" i="7" s="1"/>
  <c r="L503" i="7"/>
  <c r="N503" i="7" s="1"/>
  <c r="K515" i="7"/>
  <c r="M515" i="7" s="1"/>
  <c r="L515" i="7"/>
  <c r="N515" i="7" s="1"/>
  <c r="K527" i="7"/>
  <c r="M527" i="7" s="1"/>
  <c r="L527" i="7"/>
  <c r="N527" i="7" s="1"/>
  <c r="K539" i="7"/>
  <c r="M539" i="7" s="1"/>
  <c r="L539" i="7"/>
  <c r="N539" i="7" s="1"/>
  <c r="K552" i="7"/>
  <c r="M552" i="7" s="1"/>
  <c r="L552" i="7"/>
  <c r="N552" i="7" s="1"/>
  <c r="K564" i="7"/>
  <c r="M564" i="7" s="1"/>
  <c r="L564" i="7"/>
  <c r="N564" i="7" s="1"/>
  <c r="K576" i="7"/>
  <c r="M576" i="7" s="1"/>
  <c r="L576" i="7"/>
  <c r="N576" i="7" s="1"/>
  <c r="K589" i="7"/>
  <c r="M589" i="7" s="1"/>
  <c r="L589" i="7"/>
  <c r="N589" i="7" s="1"/>
  <c r="K601" i="7"/>
  <c r="M601" i="7" s="1"/>
  <c r="L601" i="7"/>
  <c r="N601" i="7" s="1"/>
  <c r="L614" i="7"/>
  <c r="N614" i="7" s="1"/>
  <c r="K614" i="7"/>
  <c r="M614" i="7" s="1"/>
  <c r="L628" i="7"/>
  <c r="N628" i="7" s="1"/>
  <c r="K628" i="7"/>
  <c r="M628" i="7" s="1"/>
  <c r="K641" i="7"/>
  <c r="M641" i="7" s="1"/>
  <c r="L641" i="7"/>
  <c r="N641" i="7" s="1"/>
  <c r="L654" i="7"/>
  <c r="N654" i="7" s="1"/>
  <c r="K654" i="7"/>
  <c r="M654" i="7" s="1"/>
  <c r="K667" i="7"/>
  <c r="M667" i="7" s="1"/>
  <c r="L667" i="7"/>
  <c r="N667" i="7" s="1"/>
  <c r="L680" i="7"/>
  <c r="N680" i="7" s="1"/>
  <c r="K680" i="7"/>
  <c r="M680" i="7" s="1"/>
  <c r="L694" i="7"/>
  <c r="N694" i="7" s="1"/>
  <c r="K694" i="7"/>
  <c r="M694" i="7" s="1"/>
  <c r="K706" i="7"/>
  <c r="M706" i="7" s="1"/>
  <c r="L706" i="7"/>
  <c r="N706" i="7" s="1"/>
  <c r="L719" i="7"/>
  <c r="N719" i="7" s="1"/>
  <c r="K719" i="7"/>
  <c r="M719" i="7" s="1"/>
  <c r="K731" i="7"/>
  <c r="M731" i="7" s="1"/>
  <c r="L731" i="7"/>
  <c r="N731" i="7" s="1"/>
  <c r="K423" i="7"/>
  <c r="M423" i="7" s="1"/>
  <c r="L423" i="7"/>
  <c r="N423" i="7" s="1"/>
  <c r="L23" i="7"/>
  <c r="N23" i="7" s="1"/>
  <c r="K23" i="7"/>
  <c r="M23" i="7" s="1"/>
  <c r="L36" i="7"/>
  <c r="N36" i="7" s="1"/>
  <c r="K36" i="7"/>
  <c r="M36" i="7" s="1"/>
  <c r="K49" i="7"/>
  <c r="M49" i="7" s="1"/>
  <c r="L49" i="7"/>
  <c r="N49" i="7" s="1"/>
  <c r="K61" i="7"/>
  <c r="M61" i="7" s="1"/>
  <c r="L61" i="7"/>
  <c r="N61" i="7" s="1"/>
  <c r="K73" i="7"/>
  <c r="M73" i="7" s="1"/>
  <c r="L73" i="7"/>
  <c r="N73" i="7" s="1"/>
  <c r="K85" i="7"/>
  <c r="M85" i="7" s="1"/>
  <c r="L85" i="7"/>
  <c r="N85" i="7" s="1"/>
  <c r="K97" i="7"/>
  <c r="M97" i="7" s="1"/>
  <c r="L97" i="7"/>
  <c r="N97" i="7" s="1"/>
  <c r="K109" i="7"/>
  <c r="M109" i="7" s="1"/>
  <c r="L109" i="7"/>
  <c r="N109" i="7" s="1"/>
  <c r="K122" i="7"/>
  <c r="M122" i="7" s="1"/>
  <c r="L122" i="7"/>
  <c r="N122" i="7" s="1"/>
  <c r="K136" i="7"/>
  <c r="M136" i="7" s="1"/>
  <c r="L136" i="7"/>
  <c r="N136" i="7" s="1"/>
  <c r="K148" i="7"/>
  <c r="M148" i="7" s="1"/>
  <c r="L148" i="7"/>
  <c r="N148" i="7" s="1"/>
  <c r="K161" i="7"/>
  <c r="M161" i="7" s="1"/>
  <c r="L161" i="7"/>
  <c r="N161" i="7" s="1"/>
  <c r="K174" i="7"/>
  <c r="M174" i="7" s="1"/>
  <c r="L174" i="7"/>
  <c r="N174" i="7" s="1"/>
  <c r="L190" i="7"/>
  <c r="N190" i="7" s="1"/>
  <c r="K190" i="7"/>
  <c r="M190" i="7" s="1"/>
  <c r="K203" i="7"/>
  <c r="M203" i="7" s="1"/>
  <c r="L203" i="7"/>
  <c r="N203" i="7" s="1"/>
  <c r="L216" i="7"/>
  <c r="N216" i="7" s="1"/>
  <c r="K216" i="7"/>
  <c r="M216" i="7" s="1"/>
  <c r="L228" i="7"/>
  <c r="N228" i="7" s="1"/>
  <c r="K228" i="7"/>
  <c r="M228" i="7" s="1"/>
  <c r="L240" i="7"/>
  <c r="N240" i="7" s="1"/>
  <c r="K240" i="7"/>
  <c r="M240" i="7" s="1"/>
  <c r="L254" i="7"/>
  <c r="N254" i="7" s="1"/>
  <c r="K254" i="7"/>
  <c r="M254" i="7" s="1"/>
  <c r="L266" i="7"/>
  <c r="N266" i="7" s="1"/>
  <c r="K266" i="7"/>
  <c r="M266" i="7" s="1"/>
  <c r="L278" i="7"/>
  <c r="N278" i="7" s="1"/>
  <c r="K278" i="7"/>
  <c r="M278" i="7" s="1"/>
  <c r="K291" i="7"/>
  <c r="M291" i="7" s="1"/>
  <c r="L291" i="7"/>
  <c r="N291" i="7" s="1"/>
  <c r="K303" i="7"/>
  <c r="M303" i="7" s="1"/>
  <c r="L303" i="7"/>
  <c r="N303" i="7" s="1"/>
  <c r="L316" i="7"/>
  <c r="N316" i="7" s="1"/>
  <c r="K316" i="7"/>
  <c r="M316" i="7" s="1"/>
  <c r="L328" i="7"/>
  <c r="N328" i="7" s="1"/>
  <c r="K328" i="7"/>
  <c r="M328" i="7" s="1"/>
  <c r="K342" i="7"/>
  <c r="M342" i="7" s="1"/>
  <c r="L342" i="7"/>
  <c r="N342" i="7" s="1"/>
  <c r="K354" i="7"/>
  <c r="M354" i="7" s="1"/>
  <c r="L354" i="7"/>
  <c r="N354" i="7" s="1"/>
  <c r="K366" i="7"/>
  <c r="M366" i="7" s="1"/>
  <c r="L366" i="7"/>
  <c r="N366" i="7" s="1"/>
  <c r="K379" i="7"/>
  <c r="M379" i="7" s="1"/>
  <c r="L379" i="7"/>
  <c r="N379" i="7" s="1"/>
  <c r="K391" i="7"/>
  <c r="M391" i="7" s="1"/>
  <c r="L391" i="7"/>
  <c r="N391" i="7" s="1"/>
  <c r="L404" i="7"/>
  <c r="N404" i="7" s="1"/>
  <c r="K404" i="7"/>
  <c r="M404" i="7" s="1"/>
  <c r="K417" i="7"/>
  <c r="M417" i="7" s="1"/>
  <c r="L417" i="7"/>
  <c r="N417" i="7" s="1"/>
  <c r="K429" i="7"/>
  <c r="M429" i="7" s="1"/>
  <c r="L429" i="7"/>
  <c r="N429" i="7" s="1"/>
  <c r="K442" i="7"/>
  <c r="M442" i="7" s="1"/>
  <c r="L442" i="7"/>
  <c r="N442" i="7" s="1"/>
  <c r="K454" i="7"/>
  <c r="M454" i="7" s="1"/>
  <c r="L454" i="7"/>
  <c r="N454" i="7" s="1"/>
  <c r="K466" i="7"/>
  <c r="M466" i="7" s="1"/>
  <c r="L466" i="7"/>
  <c r="N466" i="7" s="1"/>
  <c r="L479" i="7"/>
  <c r="N479" i="7" s="1"/>
  <c r="K479" i="7"/>
  <c r="M479" i="7" s="1"/>
  <c r="L491" i="7"/>
  <c r="N491" i="7" s="1"/>
  <c r="K491" i="7"/>
  <c r="M491" i="7" s="1"/>
  <c r="K504" i="7"/>
  <c r="M504" i="7" s="1"/>
  <c r="L504" i="7"/>
  <c r="N504" i="7" s="1"/>
  <c r="K516" i="7"/>
  <c r="M516" i="7" s="1"/>
  <c r="L516" i="7"/>
  <c r="N516" i="7" s="1"/>
  <c r="L528" i="7"/>
  <c r="N528" i="7" s="1"/>
  <c r="K528" i="7"/>
  <c r="M528" i="7" s="1"/>
  <c r="K541" i="7"/>
  <c r="M541" i="7" s="1"/>
  <c r="L541" i="7"/>
  <c r="N541" i="7" s="1"/>
  <c r="K553" i="7"/>
  <c r="M553" i="7" s="1"/>
  <c r="L553" i="7"/>
  <c r="N553" i="7" s="1"/>
  <c r="K565" i="7"/>
  <c r="M565" i="7" s="1"/>
  <c r="L565" i="7"/>
  <c r="N565" i="7" s="1"/>
  <c r="K577" i="7"/>
  <c r="M577" i="7" s="1"/>
  <c r="L577" i="7"/>
  <c r="N577" i="7" s="1"/>
  <c r="K590" i="7"/>
  <c r="M590" i="7" s="1"/>
  <c r="L590" i="7"/>
  <c r="N590" i="7" s="1"/>
  <c r="K602" i="7"/>
  <c r="M602" i="7" s="1"/>
  <c r="L602" i="7"/>
  <c r="N602" i="7" s="1"/>
  <c r="L615" i="7"/>
  <c r="N615" i="7" s="1"/>
  <c r="K615" i="7"/>
  <c r="M615" i="7" s="1"/>
  <c r="L629" i="7"/>
  <c r="N629" i="7" s="1"/>
  <c r="K629" i="7"/>
  <c r="M629" i="7" s="1"/>
  <c r="K642" i="7"/>
  <c r="M642" i="7" s="1"/>
  <c r="L642" i="7"/>
  <c r="N642" i="7" s="1"/>
  <c r="K655" i="7"/>
  <c r="M655" i="7" s="1"/>
  <c r="L655" i="7"/>
  <c r="N655" i="7" s="1"/>
  <c r="K668" i="7"/>
  <c r="M668" i="7" s="1"/>
  <c r="L668" i="7"/>
  <c r="N668" i="7" s="1"/>
  <c r="K681" i="7"/>
  <c r="M681" i="7" s="1"/>
  <c r="L681" i="7"/>
  <c r="N681" i="7" s="1"/>
  <c r="K695" i="7"/>
  <c r="M695" i="7" s="1"/>
  <c r="L695" i="7"/>
  <c r="N695" i="7" s="1"/>
  <c r="L707" i="7"/>
  <c r="N707" i="7" s="1"/>
  <c r="K707" i="7"/>
  <c r="M707" i="7" s="1"/>
  <c r="L720" i="7"/>
  <c r="N720" i="7" s="1"/>
  <c r="K720" i="7"/>
  <c r="M720" i="7" s="1"/>
  <c r="K732" i="7"/>
  <c r="M732" i="7" s="1"/>
  <c r="L732" i="7"/>
  <c r="N732" i="7" s="1"/>
  <c r="K411" i="7"/>
  <c r="M411" i="7" s="1"/>
  <c r="L411" i="7"/>
  <c r="N411" i="7" s="1"/>
  <c r="K24" i="7"/>
  <c r="M24" i="7" s="1"/>
  <c r="L24" i="7"/>
  <c r="N24" i="7" s="1"/>
  <c r="L37" i="7"/>
  <c r="N37" i="7" s="1"/>
  <c r="K37" i="7"/>
  <c r="M37" i="7" s="1"/>
  <c r="K50" i="7"/>
  <c r="M50" i="7" s="1"/>
  <c r="L50" i="7"/>
  <c r="N50" i="7" s="1"/>
  <c r="K62" i="7"/>
  <c r="M62" i="7" s="1"/>
  <c r="L62" i="7"/>
  <c r="N62" i="7" s="1"/>
  <c r="K74" i="7"/>
  <c r="M74" i="7" s="1"/>
  <c r="L74" i="7"/>
  <c r="N74" i="7" s="1"/>
  <c r="K86" i="7"/>
  <c r="M86" i="7" s="1"/>
  <c r="L86" i="7"/>
  <c r="N86" i="7" s="1"/>
  <c r="K98" i="7"/>
  <c r="M98" i="7" s="1"/>
  <c r="L98" i="7"/>
  <c r="N98" i="7" s="1"/>
  <c r="K110" i="7"/>
  <c r="M110" i="7" s="1"/>
  <c r="L110" i="7"/>
  <c r="N110" i="7" s="1"/>
  <c r="L123" i="7"/>
  <c r="N123" i="7" s="1"/>
  <c r="K123" i="7"/>
  <c r="M123" i="7" s="1"/>
  <c r="K137" i="7"/>
  <c r="M137" i="7" s="1"/>
  <c r="L137" i="7"/>
  <c r="N137" i="7" s="1"/>
  <c r="K149" i="7"/>
  <c r="M149" i="7" s="1"/>
  <c r="L149" i="7"/>
  <c r="N149" i="7" s="1"/>
  <c r="K162" i="7"/>
  <c r="M162" i="7" s="1"/>
  <c r="L162" i="7"/>
  <c r="N162" i="7" s="1"/>
  <c r="L175" i="7"/>
  <c r="N175" i="7" s="1"/>
  <c r="K175" i="7"/>
  <c r="M175" i="7" s="1"/>
  <c r="K191" i="7"/>
  <c r="M191" i="7" s="1"/>
  <c r="L191" i="7"/>
  <c r="N191" i="7" s="1"/>
  <c r="K204" i="7"/>
  <c r="M204" i="7" s="1"/>
  <c r="L204" i="7"/>
  <c r="N204" i="7" s="1"/>
  <c r="K217" i="7"/>
  <c r="M217" i="7" s="1"/>
  <c r="L217" i="7"/>
  <c r="N217" i="7" s="1"/>
  <c r="K229" i="7"/>
  <c r="M229" i="7" s="1"/>
  <c r="L229" i="7"/>
  <c r="N229" i="7" s="1"/>
  <c r="K241" i="7"/>
  <c r="M241" i="7" s="1"/>
  <c r="L241" i="7"/>
  <c r="N241" i="7" s="1"/>
  <c r="K255" i="7"/>
  <c r="M255" i="7" s="1"/>
  <c r="L255" i="7"/>
  <c r="N255" i="7" s="1"/>
  <c r="K267" i="7"/>
  <c r="M267" i="7" s="1"/>
  <c r="L267" i="7"/>
  <c r="N267" i="7" s="1"/>
  <c r="K279" i="7"/>
  <c r="M279" i="7" s="1"/>
  <c r="L279" i="7"/>
  <c r="N279" i="7" s="1"/>
  <c r="K292" i="7"/>
  <c r="M292" i="7" s="1"/>
  <c r="L292" i="7"/>
  <c r="N292" i="7" s="1"/>
  <c r="K304" i="7"/>
  <c r="M304" i="7" s="1"/>
  <c r="L304" i="7"/>
  <c r="N304" i="7" s="1"/>
  <c r="K317" i="7"/>
  <c r="M317" i="7" s="1"/>
  <c r="L317" i="7"/>
  <c r="N317" i="7" s="1"/>
  <c r="K329" i="7"/>
  <c r="M329" i="7" s="1"/>
  <c r="L329" i="7"/>
  <c r="N329" i="7" s="1"/>
  <c r="K343" i="7"/>
  <c r="M343" i="7" s="1"/>
  <c r="L343" i="7"/>
  <c r="N343" i="7" s="1"/>
  <c r="K355" i="7"/>
  <c r="M355" i="7" s="1"/>
  <c r="L355" i="7"/>
  <c r="N355" i="7" s="1"/>
  <c r="K367" i="7"/>
  <c r="M367" i="7" s="1"/>
  <c r="L367" i="7"/>
  <c r="N367" i="7" s="1"/>
  <c r="K380" i="7"/>
  <c r="M380" i="7" s="1"/>
  <c r="L380" i="7"/>
  <c r="N380" i="7" s="1"/>
  <c r="L392" i="7"/>
  <c r="N392" i="7" s="1"/>
  <c r="K392" i="7"/>
  <c r="M392" i="7" s="1"/>
  <c r="L405" i="7"/>
  <c r="N405" i="7" s="1"/>
  <c r="K405" i="7"/>
  <c r="M405" i="7" s="1"/>
  <c r="L418" i="7"/>
  <c r="N418" i="7" s="1"/>
  <c r="K418" i="7"/>
  <c r="M418" i="7" s="1"/>
  <c r="K430" i="7"/>
  <c r="M430" i="7" s="1"/>
  <c r="L430" i="7"/>
  <c r="N430" i="7" s="1"/>
  <c r="L443" i="7"/>
  <c r="N443" i="7" s="1"/>
  <c r="K443" i="7"/>
  <c r="M443" i="7" s="1"/>
  <c r="L455" i="7"/>
  <c r="N455" i="7" s="1"/>
  <c r="K455" i="7"/>
  <c r="M455" i="7" s="1"/>
  <c r="K467" i="7"/>
  <c r="M467" i="7" s="1"/>
  <c r="L467" i="7"/>
  <c r="N467" i="7" s="1"/>
  <c r="L480" i="7"/>
  <c r="N480" i="7" s="1"/>
  <c r="K480" i="7"/>
  <c r="M480" i="7" s="1"/>
  <c r="L492" i="7"/>
  <c r="N492" i="7" s="1"/>
  <c r="K492" i="7"/>
  <c r="M492" i="7" s="1"/>
  <c r="L505" i="7"/>
  <c r="N505" i="7" s="1"/>
  <c r="K505" i="7"/>
  <c r="M505" i="7" s="1"/>
  <c r="L517" i="7"/>
  <c r="N517" i="7" s="1"/>
  <c r="K517" i="7"/>
  <c r="M517" i="7" s="1"/>
  <c r="K529" i="7"/>
  <c r="M529" i="7" s="1"/>
  <c r="L529" i="7"/>
  <c r="N529" i="7" s="1"/>
  <c r="K542" i="7"/>
  <c r="M542" i="7" s="1"/>
  <c r="L542" i="7"/>
  <c r="N542" i="7" s="1"/>
  <c r="K554" i="7"/>
  <c r="M554" i="7" s="1"/>
  <c r="L554" i="7"/>
  <c r="N554" i="7" s="1"/>
  <c r="L566" i="7"/>
  <c r="N566" i="7" s="1"/>
  <c r="K566" i="7"/>
  <c r="M566" i="7" s="1"/>
  <c r="L578" i="7"/>
  <c r="N578" i="7" s="1"/>
  <c r="K578" i="7"/>
  <c r="M578" i="7" s="1"/>
  <c r="L591" i="7"/>
  <c r="N591" i="7" s="1"/>
  <c r="K591" i="7"/>
  <c r="M591" i="7" s="1"/>
  <c r="L603" i="7"/>
  <c r="N603" i="7" s="1"/>
  <c r="K603" i="7"/>
  <c r="M603" i="7" s="1"/>
  <c r="K616" i="7"/>
  <c r="M616" i="7" s="1"/>
  <c r="L616" i="7"/>
  <c r="N616" i="7" s="1"/>
  <c r="K630" i="7"/>
  <c r="M630" i="7" s="1"/>
  <c r="L630" i="7"/>
  <c r="N630" i="7" s="1"/>
  <c r="K644" i="7"/>
  <c r="M644" i="7" s="1"/>
  <c r="L644" i="7"/>
  <c r="N644" i="7" s="1"/>
  <c r="K656" i="7"/>
  <c r="M656" i="7" s="1"/>
  <c r="L656" i="7"/>
  <c r="N656" i="7" s="1"/>
  <c r="K669" i="7"/>
  <c r="M669" i="7" s="1"/>
  <c r="L669" i="7"/>
  <c r="N669" i="7" s="1"/>
  <c r="L682" i="7"/>
  <c r="N682" i="7" s="1"/>
  <c r="K682" i="7"/>
  <c r="M682" i="7" s="1"/>
  <c r="L696" i="7"/>
  <c r="N696" i="7" s="1"/>
  <c r="K696" i="7"/>
  <c r="M696" i="7" s="1"/>
  <c r="K708" i="7"/>
  <c r="M708" i="7" s="1"/>
  <c r="L708" i="7"/>
  <c r="N708" i="7" s="1"/>
  <c r="L721" i="7"/>
  <c r="N721" i="7" s="1"/>
  <c r="K721" i="7"/>
  <c r="M721" i="7" s="1"/>
  <c r="K733" i="7"/>
  <c r="M733" i="7" s="1"/>
  <c r="L733" i="7"/>
  <c r="N733" i="7" s="1"/>
  <c r="L398" i="7"/>
  <c r="N398" i="7" s="1"/>
  <c r="K398" i="7"/>
  <c r="M398" i="7" s="1"/>
  <c r="K25" i="7"/>
  <c r="M25" i="7" s="1"/>
  <c r="L25" i="7"/>
  <c r="N25" i="7" s="1"/>
  <c r="K38" i="7"/>
  <c r="M38" i="7" s="1"/>
  <c r="L38" i="7"/>
  <c r="N38" i="7" s="1"/>
  <c r="L51" i="7"/>
  <c r="N51" i="7" s="1"/>
  <c r="K51" i="7"/>
  <c r="M51" i="7" s="1"/>
  <c r="L63" i="7"/>
  <c r="N63" i="7" s="1"/>
  <c r="K63" i="7"/>
  <c r="M63" i="7" s="1"/>
  <c r="L75" i="7"/>
  <c r="N75" i="7" s="1"/>
  <c r="K75" i="7"/>
  <c r="M75" i="7" s="1"/>
  <c r="K87" i="7"/>
  <c r="M87" i="7" s="1"/>
  <c r="L87" i="7"/>
  <c r="N87" i="7" s="1"/>
  <c r="L99" i="7"/>
  <c r="N99" i="7" s="1"/>
  <c r="K99" i="7"/>
  <c r="M99" i="7" s="1"/>
  <c r="L111" i="7"/>
  <c r="N111" i="7" s="1"/>
  <c r="K111" i="7"/>
  <c r="M111" i="7" s="1"/>
  <c r="K125" i="7"/>
  <c r="M125" i="7" s="1"/>
  <c r="L125" i="7"/>
  <c r="N125" i="7" s="1"/>
  <c r="L138" i="7"/>
  <c r="N138" i="7" s="1"/>
  <c r="K138" i="7"/>
  <c r="M138" i="7" s="1"/>
  <c r="L151" i="7"/>
  <c r="N151" i="7" s="1"/>
  <c r="K151" i="7"/>
  <c r="M151" i="7" s="1"/>
  <c r="L163" i="7"/>
  <c r="N163" i="7" s="1"/>
  <c r="K163" i="7"/>
  <c r="M163" i="7" s="1"/>
  <c r="L176" i="7"/>
  <c r="N176" i="7" s="1"/>
  <c r="K176" i="7"/>
  <c r="M176" i="7" s="1"/>
  <c r="K192" i="7"/>
  <c r="M192" i="7" s="1"/>
  <c r="L192" i="7"/>
  <c r="N192" i="7" s="1"/>
  <c r="K205" i="7"/>
  <c r="M205" i="7" s="1"/>
  <c r="L205" i="7"/>
  <c r="N205" i="7" s="1"/>
  <c r="L218" i="7"/>
  <c r="N218" i="7" s="1"/>
  <c r="K218" i="7"/>
  <c r="M218" i="7" s="1"/>
  <c r="L230" i="7"/>
  <c r="N230" i="7" s="1"/>
  <c r="K230" i="7"/>
  <c r="M230" i="7" s="1"/>
  <c r="K243" i="7"/>
  <c r="M243" i="7" s="1"/>
  <c r="L243" i="7"/>
  <c r="N243" i="7" s="1"/>
  <c r="K256" i="7"/>
  <c r="M256" i="7" s="1"/>
  <c r="L256" i="7"/>
  <c r="N256" i="7" s="1"/>
  <c r="L268" i="7"/>
  <c r="N268" i="7" s="1"/>
  <c r="K268" i="7"/>
  <c r="M268" i="7" s="1"/>
  <c r="K280" i="7"/>
  <c r="M280" i="7" s="1"/>
  <c r="L280" i="7"/>
  <c r="N280" i="7" s="1"/>
  <c r="K293" i="7"/>
  <c r="M293" i="7" s="1"/>
  <c r="L293" i="7"/>
  <c r="N293" i="7" s="1"/>
  <c r="L305" i="7"/>
  <c r="N305" i="7" s="1"/>
  <c r="K305" i="7"/>
  <c r="M305" i="7" s="1"/>
  <c r="L318" i="7"/>
  <c r="N318" i="7" s="1"/>
  <c r="K318" i="7"/>
  <c r="M318" i="7" s="1"/>
  <c r="L330" i="7"/>
  <c r="N330" i="7" s="1"/>
  <c r="K330" i="7"/>
  <c r="M330" i="7" s="1"/>
  <c r="K344" i="7"/>
  <c r="M344" i="7" s="1"/>
  <c r="L344" i="7"/>
  <c r="N344" i="7" s="1"/>
  <c r="K356" i="7"/>
  <c r="M356" i="7" s="1"/>
  <c r="L356" i="7"/>
  <c r="N356" i="7" s="1"/>
  <c r="L368" i="7"/>
  <c r="N368" i="7" s="1"/>
  <c r="K368" i="7"/>
  <c r="M368" i="7" s="1"/>
  <c r="K381" i="7"/>
  <c r="M381" i="7" s="1"/>
  <c r="L381" i="7"/>
  <c r="N381" i="7" s="1"/>
  <c r="L393" i="7"/>
  <c r="N393" i="7" s="1"/>
  <c r="K393" i="7"/>
  <c r="M393" i="7" s="1"/>
  <c r="L407" i="7"/>
  <c r="N407" i="7" s="1"/>
  <c r="K407" i="7"/>
  <c r="M407" i="7" s="1"/>
  <c r="L419" i="7"/>
  <c r="N419" i="7" s="1"/>
  <c r="K419" i="7"/>
  <c r="M419" i="7" s="1"/>
  <c r="K431" i="7"/>
  <c r="M431" i="7" s="1"/>
  <c r="L431" i="7"/>
  <c r="N431" i="7" s="1"/>
  <c r="L444" i="7"/>
  <c r="N444" i="7" s="1"/>
  <c r="K444" i="7"/>
  <c r="M444" i="7" s="1"/>
  <c r="L456" i="7"/>
  <c r="N456" i="7" s="1"/>
  <c r="K456" i="7"/>
  <c r="M456" i="7" s="1"/>
  <c r="L468" i="7"/>
  <c r="N468" i="7" s="1"/>
  <c r="K468" i="7"/>
  <c r="M468" i="7" s="1"/>
  <c r="L481" i="7"/>
  <c r="N481" i="7" s="1"/>
  <c r="K481" i="7"/>
  <c r="M481" i="7" s="1"/>
  <c r="L493" i="7"/>
  <c r="N493" i="7" s="1"/>
  <c r="K493" i="7"/>
  <c r="M493" i="7" s="1"/>
  <c r="K506" i="7"/>
  <c r="M506" i="7" s="1"/>
  <c r="L506" i="7"/>
  <c r="N506" i="7" s="1"/>
  <c r="K518" i="7"/>
  <c r="M518" i="7" s="1"/>
  <c r="L518" i="7"/>
  <c r="N518" i="7" s="1"/>
  <c r="K530" i="7"/>
  <c r="M530" i="7" s="1"/>
  <c r="L530" i="7"/>
  <c r="N530" i="7" s="1"/>
  <c r="L543" i="7"/>
  <c r="N543" i="7" s="1"/>
  <c r="K543" i="7"/>
  <c r="M543" i="7" s="1"/>
  <c r="K555" i="7"/>
  <c r="M555" i="7" s="1"/>
  <c r="L555" i="7"/>
  <c r="N555" i="7" s="1"/>
  <c r="K567" i="7"/>
  <c r="M567" i="7" s="1"/>
  <c r="L567" i="7"/>
  <c r="N567" i="7" s="1"/>
  <c r="K579" i="7"/>
  <c r="M579" i="7" s="1"/>
  <c r="L579" i="7"/>
  <c r="N579" i="7" s="1"/>
  <c r="L592" i="7"/>
  <c r="N592" i="7" s="1"/>
  <c r="K592" i="7"/>
  <c r="M592" i="7" s="1"/>
  <c r="L604" i="7"/>
  <c r="N604" i="7" s="1"/>
  <c r="K604" i="7"/>
  <c r="M604" i="7" s="1"/>
  <c r="L617" i="7"/>
  <c r="N617" i="7" s="1"/>
  <c r="K617" i="7"/>
  <c r="M617" i="7" s="1"/>
  <c r="L631" i="7"/>
  <c r="N631" i="7" s="1"/>
  <c r="K631" i="7"/>
  <c r="M631" i="7" s="1"/>
  <c r="L645" i="7"/>
  <c r="N645" i="7" s="1"/>
  <c r="K645" i="7"/>
  <c r="M645" i="7" s="1"/>
  <c r="K657" i="7"/>
  <c r="M657" i="7" s="1"/>
  <c r="L657" i="7"/>
  <c r="N657" i="7" s="1"/>
  <c r="K670" i="7"/>
  <c r="M670" i="7" s="1"/>
  <c r="L670" i="7"/>
  <c r="N670" i="7" s="1"/>
  <c r="L683" i="7"/>
  <c r="N683" i="7" s="1"/>
  <c r="K683" i="7"/>
  <c r="M683" i="7" s="1"/>
  <c r="K697" i="7"/>
  <c r="M697" i="7" s="1"/>
  <c r="L697" i="7"/>
  <c r="N697" i="7" s="1"/>
  <c r="K709" i="7"/>
  <c r="M709" i="7" s="1"/>
  <c r="L709" i="7"/>
  <c r="N709" i="7" s="1"/>
  <c r="L722" i="7"/>
  <c r="N722" i="7" s="1"/>
  <c r="K722" i="7"/>
  <c r="M722" i="7" s="1"/>
  <c r="L734" i="7"/>
  <c r="N734" i="7" s="1"/>
  <c r="K734" i="7"/>
  <c r="M734" i="7" s="1"/>
  <c r="K385" i="7"/>
  <c r="M385" i="7" s="1"/>
  <c r="L385" i="7"/>
  <c r="N385" i="7" s="1"/>
  <c r="K26" i="7"/>
  <c r="M26" i="7" s="1"/>
  <c r="L26" i="7"/>
  <c r="N26" i="7" s="1"/>
  <c r="L39" i="7"/>
  <c r="N39" i="7" s="1"/>
  <c r="K39" i="7"/>
  <c r="M39" i="7" s="1"/>
  <c r="K52" i="7"/>
  <c r="M52" i="7" s="1"/>
  <c r="L52" i="7"/>
  <c r="N52" i="7" s="1"/>
  <c r="L64" i="7"/>
  <c r="N64" i="7" s="1"/>
  <c r="K64" i="7"/>
  <c r="M64" i="7" s="1"/>
  <c r="L76" i="7"/>
  <c r="N76" i="7" s="1"/>
  <c r="K76" i="7"/>
  <c r="M76" i="7" s="1"/>
  <c r="K88" i="7"/>
  <c r="M88" i="7" s="1"/>
  <c r="L88" i="7"/>
  <c r="N88" i="7" s="1"/>
  <c r="L100" i="7"/>
  <c r="N100" i="7" s="1"/>
  <c r="K100" i="7"/>
  <c r="M100" i="7" s="1"/>
  <c r="K112" i="7"/>
  <c r="M112" i="7" s="1"/>
  <c r="L112" i="7"/>
  <c r="N112" i="7" s="1"/>
  <c r="L126" i="7"/>
  <c r="N126" i="7" s="1"/>
  <c r="K126" i="7"/>
  <c r="M126" i="7" s="1"/>
  <c r="L139" i="7"/>
  <c r="N139" i="7" s="1"/>
  <c r="K139" i="7"/>
  <c r="M139" i="7" s="1"/>
  <c r="L152" i="7"/>
  <c r="N152" i="7" s="1"/>
  <c r="K152" i="7"/>
  <c r="M152" i="7" s="1"/>
  <c r="L164" i="7"/>
  <c r="N164" i="7" s="1"/>
  <c r="K164" i="7"/>
  <c r="M164" i="7" s="1"/>
  <c r="K180" i="7"/>
  <c r="M180" i="7" s="1"/>
  <c r="L180" i="7"/>
  <c r="N180" i="7" s="1"/>
  <c r="K193" i="7"/>
  <c r="M193" i="7" s="1"/>
  <c r="L193" i="7"/>
  <c r="N193" i="7" s="1"/>
  <c r="L206" i="7"/>
  <c r="N206" i="7" s="1"/>
  <c r="K206" i="7"/>
  <c r="M206" i="7" s="1"/>
  <c r="K219" i="7"/>
  <c r="M219" i="7" s="1"/>
  <c r="L219" i="7"/>
  <c r="N219" i="7" s="1"/>
  <c r="L231" i="7"/>
  <c r="N231" i="7" s="1"/>
  <c r="K231" i="7"/>
  <c r="M231" i="7" s="1"/>
  <c r="L244" i="7"/>
  <c r="N244" i="7" s="1"/>
  <c r="K244" i="7"/>
  <c r="M244" i="7" s="1"/>
  <c r="L257" i="7"/>
  <c r="N257" i="7" s="1"/>
  <c r="K257" i="7"/>
  <c r="M257" i="7" s="1"/>
  <c r="L269" i="7"/>
  <c r="N269" i="7" s="1"/>
  <c r="K269" i="7"/>
  <c r="M269" i="7" s="1"/>
  <c r="K281" i="7"/>
  <c r="M281" i="7" s="1"/>
  <c r="L281" i="7"/>
  <c r="N281" i="7" s="1"/>
  <c r="L294" i="7"/>
  <c r="N294" i="7" s="1"/>
  <c r="K294" i="7"/>
  <c r="M294" i="7" s="1"/>
  <c r="K306" i="7"/>
  <c r="M306" i="7" s="1"/>
  <c r="L306" i="7"/>
  <c r="N306" i="7" s="1"/>
  <c r="L319" i="7"/>
  <c r="N319" i="7" s="1"/>
  <c r="K319" i="7"/>
  <c r="M319" i="7" s="1"/>
  <c r="L331" i="7"/>
  <c r="N331" i="7" s="1"/>
  <c r="K331" i="7"/>
  <c r="M331" i="7" s="1"/>
  <c r="K345" i="7"/>
  <c r="M345" i="7" s="1"/>
  <c r="L345" i="7"/>
  <c r="N345" i="7" s="1"/>
  <c r="L357" i="7"/>
  <c r="N357" i="7" s="1"/>
  <c r="K357" i="7"/>
  <c r="M357" i="7" s="1"/>
  <c r="K369" i="7"/>
  <c r="M369" i="7" s="1"/>
  <c r="L369" i="7"/>
  <c r="N369" i="7" s="1"/>
  <c r="K382" i="7"/>
  <c r="M382" i="7" s="1"/>
  <c r="L382" i="7"/>
  <c r="N382" i="7" s="1"/>
  <c r="L395" i="7"/>
  <c r="N395" i="7" s="1"/>
  <c r="K395" i="7"/>
  <c r="M395" i="7" s="1"/>
  <c r="L408" i="7"/>
  <c r="N408" i="7" s="1"/>
  <c r="K408" i="7"/>
  <c r="M408" i="7" s="1"/>
  <c r="L420" i="7"/>
  <c r="N420" i="7" s="1"/>
  <c r="K420" i="7"/>
  <c r="M420" i="7" s="1"/>
  <c r="K432" i="7"/>
  <c r="M432" i="7" s="1"/>
  <c r="L432" i="7"/>
  <c r="N432" i="7" s="1"/>
  <c r="K445" i="7"/>
  <c r="M445" i="7" s="1"/>
  <c r="L445" i="7"/>
  <c r="N445" i="7" s="1"/>
  <c r="K457" i="7"/>
  <c r="M457" i="7" s="1"/>
  <c r="L457" i="7"/>
  <c r="N457" i="7" s="1"/>
  <c r="K469" i="7"/>
  <c r="M469" i="7" s="1"/>
  <c r="L469" i="7"/>
  <c r="N469" i="7" s="1"/>
  <c r="K482" i="7"/>
  <c r="M482" i="7" s="1"/>
  <c r="L482" i="7"/>
  <c r="N482" i="7" s="1"/>
  <c r="L494" i="7"/>
  <c r="N494" i="7" s="1"/>
  <c r="K494" i="7"/>
  <c r="M494" i="7" s="1"/>
  <c r="K507" i="7"/>
  <c r="M507" i="7" s="1"/>
  <c r="L507" i="7"/>
  <c r="N507" i="7" s="1"/>
  <c r="L519" i="7"/>
  <c r="N519" i="7" s="1"/>
  <c r="K519" i="7"/>
  <c r="M519" i="7" s="1"/>
  <c r="K531" i="7"/>
  <c r="M531" i="7" s="1"/>
  <c r="L531" i="7"/>
  <c r="N531" i="7" s="1"/>
  <c r="K544" i="7"/>
  <c r="M544" i="7" s="1"/>
  <c r="L544" i="7"/>
  <c r="N544" i="7" s="1"/>
  <c r="L556" i="7"/>
  <c r="N556" i="7" s="1"/>
  <c r="K556" i="7"/>
  <c r="M556" i="7" s="1"/>
  <c r="K568" i="7"/>
  <c r="M568" i="7" s="1"/>
  <c r="L568" i="7"/>
  <c r="N568" i="7" s="1"/>
  <c r="K580" i="7"/>
  <c r="M580" i="7" s="1"/>
  <c r="L580" i="7"/>
  <c r="N580" i="7" s="1"/>
  <c r="K593" i="7"/>
  <c r="M593" i="7" s="1"/>
  <c r="L593" i="7"/>
  <c r="N593" i="7" s="1"/>
  <c r="L606" i="7"/>
  <c r="N606" i="7" s="1"/>
  <c r="K606" i="7"/>
  <c r="M606" i="7" s="1"/>
  <c r="K618" i="7"/>
  <c r="M618" i="7" s="1"/>
  <c r="L618" i="7"/>
  <c r="N618" i="7" s="1"/>
  <c r="L632" i="7"/>
  <c r="N632" i="7" s="1"/>
  <c r="K632" i="7"/>
  <c r="M632" i="7" s="1"/>
  <c r="L646" i="7"/>
  <c r="N646" i="7" s="1"/>
  <c r="K646" i="7"/>
  <c r="M646" i="7" s="1"/>
  <c r="K658" i="7"/>
  <c r="M658" i="7" s="1"/>
  <c r="L658" i="7"/>
  <c r="N658" i="7" s="1"/>
  <c r="K671" i="7"/>
  <c r="M671" i="7" s="1"/>
  <c r="L671" i="7"/>
  <c r="N671" i="7" s="1"/>
  <c r="K685" i="7"/>
  <c r="M685" i="7" s="1"/>
  <c r="L685" i="7"/>
  <c r="N685" i="7" s="1"/>
  <c r="L698" i="7"/>
  <c r="N698" i="7" s="1"/>
  <c r="K698" i="7"/>
  <c r="M698" i="7" s="1"/>
  <c r="L710" i="7"/>
  <c r="N710" i="7" s="1"/>
  <c r="K710" i="7"/>
  <c r="M710" i="7" s="1"/>
  <c r="L723" i="7"/>
  <c r="N723" i="7" s="1"/>
  <c r="K723" i="7"/>
  <c r="M723" i="7" s="1"/>
  <c r="K735" i="7"/>
  <c r="M735" i="7" s="1"/>
  <c r="L735" i="7"/>
  <c r="N735" i="7" s="1"/>
  <c r="L372" i="7"/>
  <c r="N372" i="7" s="1"/>
  <c r="K372" i="7"/>
  <c r="M372" i="7" s="1"/>
  <c r="L27" i="7"/>
  <c r="N27" i="7" s="1"/>
  <c r="K27" i="7"/>
  <c r="M27" i="7" s="1"/>
  <c r="L41" i="7"/>
  <c r="N41" i="7" s="1"/>
  <c r="K41" i="7"/>
  <c r="M41" i="7" s="1"/>
  <c r="K53" i="7"/>
  <c r="M53" i="7" s="1"/>
  <c r="L53" i="7"/>
  <c r="N53" i="7" s="1"/>
  <c r="L65" i="7"/>
  <c r="N65" i="7" s="1"/>
  <c r="K65" i="7"/>
  <c r="M65" i="7" s="1"/>
  <c r="L77" i="7"/>
  <c r="N77" i="7" s="1"/>
  <c r="K77" i="7"/>
  <c r="M77" i="7" s="1"/>
  <c r="L89" i="7"/>
  <c r="N89" i="7" s="1"/>
  <c r="K89" i="7"/>
  <c r="M89" i="7" s="1"/>
  <c r="L101" i="7"/>
  <c r="N101" i="7" s="1"/>
  <c r="K101" i="7"/>
  <c r="M101" i="7" s="1"/>
  <c r="L113" i="7"/>
  <c r="N113" i="7" s="1"/>
  <c r="K113" i="7"/>
  <c r="M113" i="7" s="1"/>
  <c r="L127" i="7"/>
  <c r="N127" i="7" s="1"/>
  <c r="K127" i="7"/>
  <c r="M127" i="7" s="1"/>
  <c r="L140" i="7"/>
  <c r="N140" i="7" s="1"/>
  <c r="K140" i="7"/>
  <c r="M140" i="7" s="1"/>
  <c r="L153" i="7"/>
  <c r="N153" i="7" s="1"/>
  <c r="K153" i="7"/>
  <c r="M153" i="7" s="1"/>
  <c r="K165" i="7"/>
  <c r="M165" i="7" s="1"/>
  <c r="L165" i="7"/>
  <c r="N165" i="7" s="1"/>
  <c r="L181" i="7"/>
  <c r="N181" i="7" s="1"/>
  <c r="K181" i="7"/>
  <c r="M181" i="7" s="1"/>
  <c r="L194" i="7"/>
  <c r="N194" i="7" s="1"/>
  <c r="K194" i="7"/>
  <c r="M194" i="7" s="1"/>
  <c r="L208" i="7"/>
  <c r="N208" i="7" s="1"/>
  <c r="K208" i="7"/>
  <c r="M208" i="7" s="1"/>
  <c r="L220" i="7"/>
  <c r="N220" i="7" s="1"/>
  <c r="K220" i="7"/>
  <c r="M220" i="7" s="1"/>
  <c r="K232" i="7"/>
  <c r="M232" i="7" s="1"/>
  <c r="L232" i="7"/>
  <c r="N232" i="7" s="1"/>
  <c r="L245" i="7"/>
  <c r="N245" i="7" s="1"/>
  <c r="K245" i="7"/>
  <c r="M245" i="7" s="1"/>
  <c r="K258" i="7"/>
  <c r="M258" i="7" s="1"/>
  <c r="L258" i="7"/>
  <c r="N258" i="7" s="1"/>
  <c r="L270" i="7"/>
  <c r="N270" i="7" s="1"/>
  <c r="K270" i="7"/>
  <c r="M270" i="7" s="1"/>
  <c r="L282" i="7"/>
  <c r="N282" i="7" s="1"/>
  <c r="K282" i="7"/>
  <c r="M282" i="7" s="1"/>
  <c r="L295" i="7"/>
  <c r="N295" i="7" s="1"/>
  <c r="K295" i="7"/>
  <c r="M295" i="7" s="1"/>
  <c r="L307" i="7"/>
  <c r="N307" i="7" s="1"/>
  <c r="K307" i="7"/>
  <c r="M307" i="7" s="1"/>
  <c r="L320" i="7"/>
  <c r="N320" i="7" s="1"/>
  <c r="K320" i="7"/>
  <c r="M320" i="7" s="1"/>
  <c r="K332" i="7"/>
  <c r="M332" i="7" s="1"/>
  <c r="L332" i="7"/>
  <c r="N332" i="7" s="1"/>
  <c r="K346" i="7"/>
  <c r="M346" i="7" s="1"/>
  <c r="L346" i="7"/>
  <c r="N346" i="7" s="1"/>
  <c r="K358" i="7"/>
  <c r="M358" i="7" s="1"/>
  <c r="L358" i="7"/>
  <c r="N358" i="7" s="1"/>
  <c r="K370" i="7"/>
  <c r="M370" i="7" s="1"/>
  <c r="L370" i="7"/>
  <c r="N370" i="7" s="1"/>
  <c r="K383" i="7"/>
  <c r="M383" i="7" s="1"/>
  <c r="L383" i="7"/>
  <c r="N383" i="7" s="1"/>
  <c r="L396" i="7"/>
  <c r="N396" i="7" s="1"/>
  <c r="K396" i="7"/>
  <c r="M396" i="7" s="1"/>
  <c r="L409" i="7"/>
  <c r="N409" i="7" s="1"/>
  <c r="K409" i="7"/>
  <c r="M409" i="7" s="1"/>
  <c r="L421" i="7"/>
  <c r="N421" i="7" s="1"/>
  <c r="K421" i="7"/>
  <c r="M421" i="7" s="1"/>
  <c r="L433" i="7"/>
  <c r="N433" i="7" s="1"/>
  <c r="K433" i="7"/>
  <c r="M433" i="7" s="1"/>
  <c r="L446" i="7"/>
  <c r="N446" i="7" s="1"/>
  <c r="K446" i="7"/>
  <c r="M446" i="7" s="1"/>
  <c r="L458" i="7"/>
  <c r="N458" i="7" s="1"/>
  <c r="K458" i="7"/>
  <c r="M458" i="7" s="1"/>
  <c r="L470" i="7"/>
  <c r="N470" i="7" s="1"/>
  <c r="K470" i="7"/>
  <c r="M470" i="7" s="1"/>
  <c r="K483" i="7"/>
  <c r="M483" i="7" s="1"/>
  <c r="L483" i="7"/>
  <c r="N483" i="7" s="1"/>
  <c r="L496" i="7"/>
  <c r="N496" i="7" s="1"/>
  <c r="K496" i="7"/>
  <c r="M496" i="7" s="1"/>
  <c r="K508" i="7"/>
  <c r="M508" i="7" s="1"/>
  <c r="L508" i="7"/>
  <c r="N508" i="7" s="1"/>
  <c r="K520" i="7"/>
  <c r="M520" i="7" s="1"/>
  <c r="L520" i="7"/>
  <c r="N520" i="7" s="1"/>
  <c r="L532" i="7"/>
  <c r="N532" i="7" s="1"/>
  <c r="K532" i="7"/>
  <c r="M532" i="7" s="1"/>
  <c r="K545" i="7"/>
  <c r="M545" i="7" s="1"/>
  <c r="L545" i="7"/>
  <c r="N545" i="7" s="1"/>
  <c r="K557" i="7"/>
  <c r="M557" i="7" s="1"/>
  <c r="L557" i="7"/>
  <c r="N557" i="7" s="1"/>
  <c r="K569" i="7"/>
  <c r="M569" i="7" s="1"/>
  <c r="L569" i="7"/>
  <c r="N569" i="7" s="1"/>
  <c r="K582" i="7"/>
  <c r="M582" i="7" s="1"/>
  <c r="L582" i="7"/>
  <c r="N582" i="7" s="1"/>
  <c r="L594" i="7"/>
  <c r="N594" i="7" s="1"/>
  <c r="K594" i="7"/>
  <c r="M594" i="7" s="1"/>
  <c r="K607" i="7"/>
  <c r="M607" i="7" s="1"/>
  <c r="L607" i="7"/>
  <c r="N607" i="7" s="1"/>
  <c r="K619" i="7"/>
  <c r="M619" i="7" s="1"/>
  <c r="L619" i="7"/>
  <c r="N619" i="7" s="1"/>
  <c r="K633" i="7"/>
  <c r="M633" i="7" s="1"/>
  <c r="L633" i="7"/>
  <c r="N633" i="7" s="1"/>
  <c r="K647" i="7"/>
  <c r="M647" i="7" s="1"/>
  <c r="L647" i="7"/>
  <c r="N647" i="7" s="1"/>
  <c r="K659" i="7"/>
  <c r="M659" i="7" s="1"/>
  <c r="L659" i="7"/>
  <c r="N659" i="7" s="1"/>
  <c r="K672" i="7"/>
  <c r="M672" i="7" s="1"/>
  <c r="L672" i="7"/>
  <c r="N672" i="7" s="1"/>
  <c r="L686" i="7"/>
  <c r="N686" i="7" s="1"/>
  <c r="K686" i="7"/>
  <c r="M686" i="7" s="1"/>
  <c r="L699" i="7"/>
  <c r="N699" i="7" s="1"/>
  <c r="K699" i="7"/>
  <c r="M699" i="7" s="1"/>
  <c r="K711" i="7"/>
  <c r="M711" i="7" s="1"/>
  <c r="L711" i="7"/>
  <c r="N711" i="7" s="1"/>
  <c r="K724" i="7"/>
  <c r="M724" i="7" s="1"/>
  <c r="L724" i="7"/>
  <c r="N724" i="7" s="1"/>
  <c r="K736" i="7"/>
  <c r="M736" i="7" s="1"/>
  <c r="L736" i="7"/>
  <c r="N736" i="7" s="1"/>
  <c r="K19" i="6"/>
  <c r="M19" i="6" s="1"/>
  <c r="L19" i="6"/>
  <c r="N19" i="6" s="1"/>
  <c r="K20" i="6"/>
  <c r="M20" i="6" s="1"/>
  <c r="L20" i="6"/>
  <c r="N20" i="6" s="1"/>
  <c r="K38" i="6"/>
  <c r="M38" i="6" s="1"/>
  <c r="L38" i="6"/>
  <c r="N38" i="6" s="1"/>
  <c r="K17" i="4"/>
  <c r="M17" i="4" s="1"/>
  <c r="O17" i="4" s="1"/>
  <c r="L17" i="4"/>
  <c r="N17" i="4" s="1"/>
  <c r="K29" i="4"/>
  <c r="M29" i="4" s="1"/>
  <c r="L29" i="4"/>
  <c r="N29" i="4" s="1"/>
  <c r="K43" i="4"/>
  <c r="M43" i="4" s="1"/>
  <c r="L43" i="4"/>
  <c r="N43" i="4" s="1"/>
  <c r="K55" i="4"/>
  <c r="M55" i="4" s="1"/>
  <c r="L55" i="4"/>
  <c r="N55" i="4" s="1"/>
  <c r="K67" i="4"/>
  <c r="M67" i="4" s="1"/>
  <c r="L67" i="4"/>
  <c r="N67" i="4" s="1"/>
  <c r="L79" i="4"/>
  <c r="N79" i="4" s="1"/>
  <c r="K79" i="4"/>
  <c r="M79" i="4" s="1"/>
  <c r="L91" i="4"/>
  <c r="N91" i="4" s="1"/>
  <c r="K91" i="4"/>
  <c r="M91" i="4" s="1"/>
  <c r="L103" i="4"/>
  <c r="N103" i="4" s="1"/>
  <c r="K103" i="4"/>
  <c r="M103" i="4" s="1"/>
  <c r="K116" i="4"/>
  <c r="M116" i="4" s="1"/>
  <c r="L116" i="4"/>
  <c r="N116" i="4" s="1"/>
  <c r="L129" i="4"/>
  <c r="N129" i="4" s="1"/>
  <c r="K129" i="4"/>
  <c r="M129" i="4" s="1"/>
  <c r="K142" i="4"/>
  <c r="M142" i="4" s="1"/>
  <c r="L142" i="4"/>
  <c r="N142" i="4" s="1"/>
  <c r="L155" i="4"/>
  <c r="N155" i="4" s="1"/>
  <c r="K155" i="4"/>
  <c r="M155" i="4" s="1"/>
  <c r="L167" i="4"/>
  <c r="N167" i="4" s="1"/>
  <c r="K167" i="4"/>
  <c r="M167" i="4" s="1"/>
  <c r="K183" i="4"/>
  <c r="M183" i="4" s="1"/>
  <c r="L183" i="4"/>
  <c r="N183" i="4" s="1"/>
  <c r="L196" i="4"/>
  <c r="N196" i="4" s="1"/>
  <c r="K196" i="4"/>
  <c r="M196" i="4" s="1"/>
  <c r="O196" i="4" s="1"/>
  <c r="K210" i="4"/>
  <c r="M210" i="4" s="1"/>
  <c r="L210" i="4"/>
  <c r="N210" i="4" s="1"/>
  <c r="K222" i="4"/>
  <c r="M222" i="4" s="1"/>
  <c r="L222" i="4"/>
  <c r="N222" i="4" s="1"/>
  <c r="K234" i="4"/>
  <c r="M234" i="4" s="1"/>
  <c r="L234" i="4"/>
  <c r="N234" i="4" s="1"/>
  <c r="K247" i="4"/>
  <c r="M247" i="4" s="1"/>
  <c r="O247" i="4" s="1"/>
  <c r="L247" i="4"/>
  <c r="N247" i="4" s="1"/>
  <c r="L260" i="4"/>
  <c r="N260" i="4" s="1"/>
  <c r="K260" i="4"/>
  <c r="M260" i="4" s="1"/>
  <c r="L272" i="4"/>
  <c r="N272" i="4" s="1"/>
  <c r="K272" i="4"/>
  <c r="M272" i="4" s="1"/>
  <c r="O272" i="4" s="1"/>
  <c r="K284" i="4"/>
  <c r="M284" i="4" s="1"/>
  <c r="L284" i="4"/>
  <c r="N284" i="4" s="1"/>
  <c r="K297" i="4"/>
  <c r="M297" i="4" s="1"/>
  <c r="L297" i="4"/>
  <c r="N297" i="4" s="1"/>
  <c r="K309" i="4"/>
  <c r="M309" i="4" s="1"/>
  <c r="L309" i="4"/>
  <c r="N309" i="4" s="1"/>
  <c r="K322" i="4"/>
  <c r="M322" i="4" s="1"/>
  <c r="O322" i="4" s="1"/>
  <c r="L322" i="4"/>
  <c r="N322" i="4" s="1"/>
  <c r="K336" i="4"/>
  <c r="M336" i="4" s="1"/>
  <c r="L336" i="4"/>
  <c r="N336" i="4" s="1"/>
  <c r="L348" i="4"/>
  <c r="N348" i="4" s="1"/>
  <c r="K348" i="4"/>
  <c r="M348" i="4" s="1"/>
  <c r="O348" i="4" s="1"/>
  <c r="L360" i="4"/>
  <c r="N360" i="4" s="1"/>
  <c r="K360" i="4"/>
  <c r="M360" i="4" s="1"/>
  <c r="K372" i="4"/>
  <c r="M372" i="4" s="1"/>
  <c r="L372" i="4"/>
  <c r="N372" i="4" s="1"/>
  <c r="L385" i="4"/>
  <c r="N385" i="4" s="1"/>
  <c r="K385" i="4"/>
  <c r="M385" i="4" s="1"/>
  <c r="L398" i="4"/>
  <c r="N398" i="4" s="1"/>
  <c r="K398" i="4"/>
  <c r="M398" i="4" s="1"/>
  <c r="L411" i="4"/>
  <c r="N411" i="4" s="1"/>
  <c r="K411" i="4"/>
  <c r="M411" i="4" s="1"/>
  <c r="L423" i="4"/>
  <c r="N423" i="4" s="1"/>
  <c r="K423" i="4"/>
  <c r="M423" i="4" s="1"/>
  <c r="O423" i="4" s="1"/>
  <c r="K435" i="4"/>
  <c r="M435" i="4" s="1"/>
  <c r="L435" i="4"/>
  <c r="N435" i="4" s="1"/>
  <c r="L448" i="4"/>
  <c r="N448" i="4" s="1"/>
  <c r="K448" i="4"/>
  <c r="M448" i="4" s="1"/>
  <c r="L460" i="4"/>
  <c r="N460" i="4" s="1"/>
  <c r="K460" i="4"/>
  <c r="M460" i="4" s="1"/>
  <c r="L472" i="4"/>
  <c r="N472" i="4" s="1"/>
  <c r="K472" i="4"/>
  <c r="M472" i="4" s="1"/>
  <c r="K485" i="4"/>
  <c r="M485" i="4" s="1"/>
  <c r="L485" i="4"/>
  <c r="N485" i="4" s="1"/>
  <c r="K498" i="4"/>
  <c r="M498" i="4" s="1"/>
  <c r="L498" i="4"/>
  <c r="N498" i="4" s="1"/>
  <c r="K510" i="4"/>
  <c r="M510" i="4" s="1"/>
  <c r="L510" i="4"/>
  <c r="N510" i="4" s="1"/>
  <c r="K522" i="4"/>
  <c r="M522" i="4" s="1"/>
  <c r="L522" i="4"/>
  <c r="N522" i="4" s="1"/>
  <c r="K534" i="4"/>
  <c r="M534" i="4" s="1"/>
  <c r="L534" i="4"/>
  <c r="N534" i="4" s="1"/>
  <c r="K547" i="4"/>
  <c r="M547" i="4" s="1"/>
  <c r="O547" i="4" s="1"/>
  <c r="L547" i="4"/>
  <c r="N547" i="4" s="1"/>
  <c r="K559" i="4"/>
  <c r="M559" i="4" s="1"/>
  <c r="L559" i="4"/>
  <c r="N559" i="4" s="1"/>
  <c r="K571" i="4"/>
  <c r="M571" i="4" s="1"/>
  <c r="L571" i="4"/>
  <c r="N571" i="4" s="1"/>
  <c r="L584" i="4"/>
  <c r="N584" i="4" s="1"/>
  <c r="K584" i="4"/>
  <c r="M584" i="4" s="1"/>
  <c r="L596" i="4"/>
  <c r="N596" i="4" s="1"/>
  <c r="K596" i="4"/>
  <c r="M596" i="4" s="1"/>
  <c r="K609" i="4"/>
  <c r="M609" i="4" s="1"/>
  <c r="L609" i="4"/>
  <c r="N609" i="4" s="1"/>
  <c r="K621" i="4"/>
  <c r="M621" i="4" s="1"/>
  <c r="O621" i="4" s="1"/>
  <c r="L621" i="4"/>
  <c r="N621" i="4" s="1"/>
  <c r="K635" i="4"/>
  <c r="M635" i="4" s="1"/>
  <c r="L635" i="4"/>
  <c r="N635" i="4" s="1"/>
  <c r="K649" i="4"/>
  <c r="M649" i="4" s="1"/>
  <c r="L649" i="4"/>
  <c r="N649" i="4" s="1"/>
  <c r="K661" i="4"/>
  <c r="M661" i="4" s="1"/>
  <c r="L661" i="4"/>
  <c r="N661" i="4" s="1"/>
  <c r="L675" i="4"/>
  <c r="N675" i="4" s="1"/>
  <c r="K675" i="4"/>
  <c r="M675" i="4" s="1"/>
  <c r="L688" i="4"/>
  <c r="N688" i="4" s="1"/>
  <c r="K688" i="4"/>
  <c r="M688" i="4" s="1"/>
  <c r="L701" i="4"/>
  <c r="N701" i="4" s="1"/>
  <c r="K701" i="4"/>
  <c r="M701" i="4" s="1"/>
  <c r="L713" i="4"/>
  <c r="N713" i="4" s="1"/>
  <c r="K713" i="4"/>
  <c r="M713" i="4" s="1"/>
  <c r="K726" i="4"/>
  <c r="M726" i="4" s="1"/>
  <c r="L726" i="4"/>
  <c r="N726" i="4" s="1"/>
  <c r="K156" i="4"/>
  <c r="M156" i="4" s="1"/>
  <c r="L156" i="4"/>
  <c r="N156" i="4" s="1"/>
  <c r="K19" i="4"/>
  <c r="M19" i="4" s="1"/>
  <c r="L19" i="4"/>
  <c r="N19" i="4" s="1"/>
  <c r="K31" i="4"/>
  <c r="M31" i="4" s="1"/>
  <c r="L31" i="4"/>
  <c r="N31" i="4" s="1"/>
  <c r="L45" i="4"/>
  <c r="N45" i="4" s="1"/>
  <c r="K45" i="4"/>
  <c r="M45" i="4" s="1"/>
  <c r="L57" i="4"/>
  <c r="N57" i="4" s="1"/>
  <c r="K57" i="4"/>
  <c r="M57" i="4" s="1"/>
  <c r="K69" i="4"/>
  <c r="M69" i="4" s="1"/>
  <c r="L69" i="4"/>
  <c r="N69" i="4" s="1"/>
  <c r="L81" i="4"/>
  <c r="N81" i="4" s="1"/>
  <c r="K81" i="4"/>
  <c r="M81" i="4" s="1"/>
  <c r="K93" i="4"/>
  <c r="M93" i="4" s="1"/>
  <c r="L93" i="4"/>
  <c r="N93" i="4" s="1"/>
  <c r="K105" i="4"/>
  <c r="M105" i="4" s="1"/>
  <c r="L105" i="4"/>
  <c r="N105" i="4" s="1"/>
  <c r="K118" i="4"/>
  <c r="M118" i="4" s="1"/>
  <c r="O118" i="4" s="1"/>
  <c r="L118" i="4"/>
  <c r="N118" i="4" s="1"/>
  <c r="L131" i="4"/>
  <c r="N131" i="4" s="1"/>
  <c r="K131" i="4"/>
  <c r="M131" i="4" s="1"/>
  <c r="L144" i="4"/>
  <c r="N144" i="4" s="1"/>
  <c r="K144" i="4"/>
  <c r="M144" i="4" s="1"/>
  <c r="L157" i="4"/>
  <c r="N157" i="4" s="1"/>
  <c r="K157" i="4"/>
  <c r="M157" i="4" s="1"/>
  <c r="K169" i="4"/>
  <c r="M169" i="4" s="1"/>
  <c r="L169" i="4"/>
  <c r="N169" i="4" s="1"/>
  <c r="L185" i="4"/>
  <c r="N185" i="4" s="1"/>
  <c r="K185" i="4"/>
  <c r="M185" i="4" s="1"/>
  <c r="L199" i="4"/>
  <c r="N199" i="4" s="1"/>
  <c r="K199" i="4"/>
  <c r="M199" i="4" s="1"/>
  <c r="L212" i="4"/>
  <c r="N212" i="4" s="1"/>
  <c r="K212" i="4"/>
  <c r="M212" i="4" s="1"/>
  <c r="K224" i="4"/>
  <c r="M224" i="4" s="1"/>
  <c r="L224" i="4"/>
  <c r="N224" i="4" s="1"/>
  <c r="L236" i="4"/>
  <c r="N236" i="4" s="1"/>
  <c r="K236" i="4"/>
  <c r="M236" i="4" s="1"/>
  <c r="K249" i="4"/>
  <c r="M249" i="4" s="1"/>
  <c r="L249" i="4"/>
  <c r="N249" i="4" s="1"/>
  <c r="K262" i="4"/>
  <c r="M262" i="4" s="1"/>
  <c r="L262" i="4"/>
  <c r="N262" i="4" s="1"/>
  <c r="K274" i="4"/>
  <c r="M274" i="4" s="1"/>
  <c r="L274" i="4"/>
  <c r="N274" i="4" s="1"/>
  <c r="K287" i="4"/>
  <c r="M287" i="4" s="1"/>
  <c r="L287" i="4"/>
  <c r="N287" i="4" s="1"/>
  <c r="K299" i="4"/>
  <c r="M299" i="4" s="1"/>
  <c r="L299" i="4"/>
  <c r="N299" i="4" s="1"/>
  <c r="K312" i="4"/>
  <c r="M312" i="4" s="1"/>
  <c r="L312" i="4"/>
  <c r="N312" i="4" s="1"/>
  <c r="K324" i="4"/>
  <c r="M324" i="4" s="1"/>
  <c r="L324" i="4"/>
  <c r="N324" i="4" s="1"/>
  <c r="L338" i="4"/>
  <c r="N338" i="4" s="1"/>
  <c r="K338" i="4"/>
  <c r="M338" i="4" s="1"/>
  <c r="K350" i="4"/>
  <c r="M350" i="4" s="1"/>
  <c r="L350" i="4"/>
  <c r="N350" i="4" s="1"/>
  <c r="K362" i="4"/>
  <c r="M362" i="4" s="1"/>
  <c r="L362" i="4"/>
  <c r="N362" i="4" s="1"/>
  <c r="K374" i="4"/>
  <c r="M374" i="4" s="1"/>
  <c r="L374" i="4"/>
  <c r="N374" i="4" s="1"/>
  <c r="L387" i="4"/>
  <c r="N387" i="4" s="1"/>
  <c r="K387" i="4"/>
  <c r="M387" i="4" s="1"/>
  <c r="K400" i="4"/>
  <c r="M400" i="4" s="1"/>
  <c r="L400" i="4"/>
  <c r="N400" i="4" s="1"/>
  <c r="K413" i="4"/>
  <c r="M413" i="4" s="1"/>
  <c r="L413" i="4"/>
  <c r="N413" i="4" s="1"/>
  <c r="K425" i="4"/>
  <c r="M425" i="4" s="1"/>
  <c r="L425" i="4"/>
  <c r="N425" i="4" s="1"/>
  <c r="L437" i="4"/>
  <c r="N437" i="4" s="1"/>
  <c r="K437" i="4"/>
  <c r="M437" i="4" s="1"/>
  <c r="L450" i="4"/>
  <c r="N450" i="4" s="1"/>
  <c r="K450" i="4"/>
  <c r="M450" i="4" s="1"/>
  <c r="O450" i="4" s="1"/>
  <c r="L462" i="4"/>
  <c r="N462" i="4" s="1"/>
  <c r="K462" i="4"/>
  <c r="M462" i="4" s="1"/>
  <c r="K474" i="4"/>
  <c r="M474" i="4" s="1"/>
  <c r="L474" i="4"/>
  <c r="N474" i="4" s="1"/>
  <c r="L487" i="4"/>
  <c r="N487" i="4" s="1"/>
  <c r="K487" i="4"/>
  <c r="M487" i="4" s="1"/>
  <c r="L500" i="4"/>
  <c r="N500" i="4" s="1"/>
  <c r="K500" i="4"/>
  <c r="M500" i="4" s="1"/>
  <c r="K512" i="4"/>
  <c r="M512" i="4" s="1"/>
  <c r="L512" i="4"/>
  <c r="N512" i="4" s="1"/>
  <c r="L524" i="4"/>
  <c r="N524" i="4" s="1"/>
  <c r="K524" i="4"/>
  <c r="M524" i="4" s="1"/>
  <c r="O524" i="4" s="1"/>
  <c r="L536" i="4"/>
  <c r="N536" i="4" s="1"/>
  <c r="K536" i="4"/>
  <c r="M536" i="4" s="1"/>
  <c r="K549" i="4"/>
  <c r="M549" i="4" s="1"/>
  <c r="L549" i="4"/>
  <c r="N549" i="4" s="1"/>
  <c r="K561" i="4"/>
  <c r="M561" i="4" s="1"/>
  <c r="L561" i="4"/>
  <c r="N561" i="4" s="1"/>
  <c r="K573" i="4"/>
  <c r="M573" i="4" s="1"/>
  <c r="L573" i="4"/>
  <c r="N573" i="4" s="1"/>
  <c r="K586" i="4"/>
  <c r="M586" i="4" s="1"/>
  <c r="L586" i="4"/>
  <c r="N586" i="4" s="1"/>
  <c r="K598" i="4"/>
  <c r="M598" i="4" s="1"/>
  <c r="L598" i="4"/>
  <c r="N598" i="4" s="1"/>
  <c r="K611" i="4"/>
  <c r="M611" i="4" s="1"/>
  <c r="L611" i="4"/>
  <c r="N611" i="4" s="1"/>
  <c r="K623" i="4"/>
  <c r="M623" i="4" s="1"/>
  <c r="L623" i="4"/>
  <c r="N623" i="4" s="1"/>
  <c r="K637" i="4"/>
  <c r="M637" i="4" s="1"/>
  <c r="L637" i="4"/>
  <c r="N637" i="4" s="1"/>
  <c r="K651" i="4"/>
  <c r="M651" i="4" s="1"/>
  <c r="L651" i="4"/>
  <c r="N651" i="4" s="1"/>
  <c r="K663" i="4"/>
  <c r="M663" i="4" s="1"/>
  <c r="L663" i="4"/>
  <c r="N663" i="4" s="1"/>
  <c r="L677" i="4"/>
  <c r="N677" i="4" s="1"/>
  <c r="K677" i="4"/>
  <c r="M677" i="4" s="1"/>
  <c r="O677" i="4" s="1"/>
  <c r="L690" i="4"/>
  <c r="N690" i="4" s="1"/>
  <c r="K690" i="4"/>
  <c r="M690" i="4" s="1"/>
  <c r="L703" i="4"/>
  <c r="N703" i="4" s="1"/>
  <c r="K703" i="4"/>
  <c r="M703" i="4" s="1"/>
  <c r="L716" i="4"/>
  <c r="N716" i="4" s="1"/>
  <c r="K716" i="4"/>
  <c r="M716" i="4" s="1"/>
  <c r="K728" i="4"/>
  <c r="M728" i="4" s="1"/>
  <c r="L728" i="4"/>
  <c r="N728" i="4" s="1"/>
  <c r="K92" i="4"/>
  <c r="M92" i="4" s="1"/>
  <c r="L92" i="4"/>
  <c r="N92" i="4" s="1"/>
  <c r="K20" i="4"/>
  <c r="M20" i="4" s="1"/>
  <c r="L20" i="4"/>
  <c r="N20" i="4" s="1"/>
  <c r="L32" i="4"/>
  <c r="N32" i="4" s="1"/>
  <c r="K32" i="4"/>
  <c r="M32" i="4" s="1"/>
  <c r="L46" i="4"/>
  <c r="N46" i="4" s="1"/>
  <c r="K46" i="4"/>
  <c r="M46" i="4" s="1"/>
  <c r="L58" i="4"/>
  <c r="N58" i="4" s="1"/>
  <c r="K58" i="4"/>
  <c r="M58" i="4" s="1"/>
  <c r="L70" i="4"/>
  <c r="N70" i="4" s="1"/>
  <c r="K70" i="4"/>
  <c r="M70" i="4" s="1"/>
  <c r="K82" i="4"/>
  <c r="M82" i="4" s="1"/>
  <c r="L82" i="4"/>
  <c r="N82" i="4" s="1"/>
  <c r="L94" i="4"/>
  <c r="N94" i="4" s="1"/>
  <c r="K94" i="4"/>
  <c r="M94" i="4" s="1"/>
  <c r="O94" i="4" s="1"/>
  <c r="L106" i="4"/>
  <c r="N106" i="4" s="1"/>
  <c r="K106" i="4"/>
  <c r="M106" i="4" s="1"/>
  <c r="L119" i="4"/>
  <c r="N119" i="4" s="1"/>
  <c r="K119" i="4"/>
  <c r="M119" i="4" s="1"/>
  <c r="K132" i="4"/>
  <c r="M132" i="4" s="1"/>
  <c r="L132" i="4"/>
  <c r="N132" i="4" s="1"/>
  <c r="K145" i="4"/>
  <c r="M145" i="4" s="1"/>
  <c r="O145" i="4" s="1"/>
  <c r="L145" i="4"/>
  <c r="N145" i="4" s="1"/>
  <c r="K158" i="4"/>
  <c r="M158" i="4" s="1"/>
  <c r="L158" i="4"/>
  <c r="N158" i="4" s="1"/>
  <c r="K171" i="4"/>
  <c r="M171" i="4" s="1"/>
  <c r="L171" i="4"/>
  <c r="N171" i="4" s="1"/>
  <c r="K186" i="4"/>
  <c r="M186" i="4" s="1"/>
  <c r="L186" i="4"/>
  <c r="N186" i="4" s="1"/>
  <c r="L200" i="4"/>
  <c r="N200" i="4" s="1"/>
  <c r="K200" i="4"/>
  <c r="M200" i="4" s="1"/>
  <c r="K213" i="4"/>
  <c r="M213" i="4" s="1"/>
  <c r="L213" i="4"/>
  <c r="N213" i="4" s="1"/>
  <c r="K225" i="4"/>
  <c r="M225" i="4" s="1"/>
  <c r="L225" i="4"/>
  <c r="N225" i="4" s="1"/>
  <c r="K237" i="4"/>
  <c r="M237" i="4" s="1"/>
  <c r="L237" i="4"/>
  <c r="N237" i="4" s="1"/>
  <c r="L250" i="4"/>
  <c r="N250" i="4" s="1"/>
  <c r="K250" i="4"/>
  <c r="M250" i="4" s="1"/>
  <c r="O250" i="4" s="1"/>
  <c r="K263" i="4"/>
  <c r="M263" i="4" s="1"/>
  <c r="L263" i="4"/>
  <c r="N263" i="4" s="1"/>
  <c r="K275" i="4"/>
  <c r="M275" i="4" s="1"/>
  <c r="L275" i="4"/>
  <c r="N275" i="4" s="1"/>
  <c r="L288" i="4"/>
  <c r="N288" i="4" s="1"/>
  <c r="K288" i="4"/>
  <c r="M288" i="4" s="1"/>
  <c r="L300" i="4"/>
  <c r="N300" i="4" s="1"/>
  <c r="K300" i="4"/>
  <c r="M300" i="4" s="1"/>
  <c r="L313" i="4"/>
  <c r="N313" i="4" s="1"/>
  <c r="K313" i="4"/>
  <c r="M313" i="4" s="1"/>
  <c r="K325" i="4"/>
  <c r="M325" i="4" s="1"/>
  <c r="L325" i="4"/>
  <c r="N325" i="4" s="1"/>
  <c r="K339" i="4"/>
  <c r="M339" i="4" s="1"/>
  <c r="L339" i="4"/>
  <c r="N339" i="4" s="1"/>
  <c r="K351" i="4"/>
  <c r="M351" i="4" s="1"/>
  <c r="L351" i="4"/>
  <c r="N351" i="4" s="1"/>
  <c r="L363" i="4"/>
  <c r="N363" i="4" s="1"/>
  <c r="K363" i="4"/>
  <c r="M363" i="4" s="1"/>
  <c r="K376" i="4"/>
  <c r="M376" i="4" s="1"/>
  <c r="L376" i="4"/>
  <c r="N376" i="4" s="1"/>
  <c r="K388" i="4"/>
  <c r="M388" i="4" s="1"/>
  <c r="L388" i="4"/>
  <c r="N388" i="4" s="1"/>
  <c r="K401" i="4"/>
  <c r="M401" i="4" s="1"/>
  <c r="L401" i="4"/>
  <c r="N401" i="4" s="1"/>
  <c r="K414" i="4"/>
  <c r="M414" i="4" s="1"/>
  <c r="L414" i="4"/>
  <c r="N414" i="4" s="1"/>
  <c r="K426" i="4"/>
  <c r="M426" i="4" s="1"/>
  <c r="L426" i="4"/>
  <c r="N426" i="4" s="1"/>
  <c r="K438" i="4"/>
  <c r="M438" i="4" s="1"/>
  <c r="L438" i="4"/>
  <c r="N438" i="4" s="1"/>
  <c r="K451" i="4"/>
  <c r="M451" i="4" s="1"/>
  <c r="L451" i="4"/>
  <c r="N451" i="4" s="1"/>
  <c r="K463" i="4"/>
  <c r="M463" i="4" s="1"/>
  <c r="L463" i="4"/>
  <c r="N463" i="4" s="1"/>
  <c r="K475" i="4"/>
  <c r="M475" i="4" s="1"/>
  <c r="L475" i="4"/>
  <c r="N475" i="4" s="1"/>
  <c r="L488" i="4"/>
  <c r="N488" i="4" s="1"/>
  <c r="K488" i="4"/>
  <c r="M488" i="4" s="1"/>
  <c r="K501" i="4"/>
  <c r="M501" i="4" s="1"/>
  <c r="L501" i="4"/>
  <c r="N501" i="4" s="1"/>
  <c r="L513" i="4"/>
  <c r="N513" i="4" s="1"/>
  <c r="K513" i="4"/>
  <c r="M513" i="4" s="1"/>
  <c r="K525" i="4"/>
  <c r="M525" i="4" s="1"/>
  <c r="L525" i="4"/>
  <c r="N525" i="4" s="1"/>
  <c r="L537" i="4"/>
  <c r="N537" i="4" s="1"/>
  <c r="K537" i="4"/>
  <c r="M537" i="4" s="1"/>
  <c r="L550" i="4"/>
  <c r="N550" i="4" s="1"/>
  <c r="K550" i="4"/>
  <c r="M550" i="4" s="1"/>
  <c r="O550" i="4" s="1"/>
  <c r="L562" i="4"/>
  <c r="N562" i="4" s="1"/>
  <c r="K562" i="4"/>
  <c r="M562" i="4" s="1"/>
  <c r="L574" i="4"/>
  <c r="N574" i="4" s="1"/>
  <c r="K574" i="4"/>
  <c r="M574" i="4" s="1"/>
  <c r="L587" i="4"/>
  <c r="N587" i="4" s="1"/>
  <c r="K587" i="4"/>
  <c r="M587" i="4" s="1"/>
  <c r="L599" i="4"/>
  <c r="N599" i="4" s="1"/>
  <c r="K599" i="4"/>
  <c r="M599" i="4" s="1"/>
  <c r="L612" i="4"/>
  <c r="N612" i="4" s="1"/>
  <c r="K612" i="4"/>
  <c r="M612" i="4" s="1"/>
  <c r="L626" i="4"/>
  <c r="N626" i="4" s="1"/>
  <c r="K626" i="4"/>
  <c r="M626" i="4" s="1"/>
  <c r="O626" i="4" s="1"/>
  <c r="K639" i="4"/>
  <c r="M639" i="4" s="1"/>
  <c r="L639" i="4"/>
  <c r="N639" i="4" s="1"/>
  <c r="K652" i="4"/>
  <c r="M652" i="4" s="1"/>
  <c r="L652" i="4"/>
  <c r="N652" i="4" s="1"/>
  <c r="K665" i="4"/>
  <c r="M665" i="4" s="1"/>
  <c r="L665" i="4"/>
  <c r="N665" i="4" s="1"/>
  <c r="K678" i="4"/>
  <c r="M678" i="4" s="1"/>
  <c r="L678" i="4"/>
  <c r="N678" i="4" s="1"/>
  <c r="K691" i="4"/>
  <c r="M691" i="4" s="1"/>
  <c r="L691" i="4"/>
  <c r="N691" i="4" s="1"/>
  <c r="K704" i="4"/>
  <c r="M704" i="4" s="1"/>
  <c r="L704" i="4"/>
  <c r="N704" i="4" s="1"/>
  <c r="K717" i="4"/>
  <c r="M717" i="4" s="1"/>
  <c r="L717" i="4"/>
  <c r="N717" i="4" s="1"/>
  <c r="L729" i="4"/>
  <c r="N729" i="4" s="1"/>
  <c r="K729" i="4"/>
  <c r="M729" i="4" s="1"/>
  <c r="K702" i="4"/>
  <c r="M702" i="4" s="1"/>
  <c r="L702" i="4"/>
  <c r="N702" i="4" s="1"/>
  <c r="L21" i="4"/>
  <c r="N21" i="4" s="1"/>
  <c r="K21" i="4"/>
  <c r="M21" i="4" s="1"/>
  <c r="K34" i="4"/>
  <c r="M34" i="4" s="1"/>
  <c r="L34" i="4"/>
  <c r="N34" i="4" s="1"/>
  <c r="L47" i="4"/>
  <c r="N47" i="4" s="1"/>
  <c r="K47" i="4"/>
  <c r="M47" i="4" s="1"/>
  <c r="O47" i="4" s="1"/>
  <c r="K59" i="4"/>
  <c r="M59" i="4" s="1"/>
  <c r="L59" i="4"/>
  <c r="N59" i="4" s="1"/>
  <c r="K71" i="4"/>
  <c r="M71" i="4" s="1"/>
  <c r="L71" i="4"/>
  <c r="N71" i="4" s="1"/>
  <c r="K83" i="4"/>
  <c r="M83" i="4" s="1"/>
  <c r="L83" i="4"/>
  <c r="N83" i="4" s="1"/>
  <c r="K95" i="4"/>
  <c r="M95" i="4" s="1"/>
  <c r="L95" i="4"/>
  <c r="N95" i="4" s="1"/>
  <c r="K107" i="4"/>
  <c r="M107" i="4" s="1"/>
  <c r="L107" i="4"/>
  <c r="N107" i="4" s="1"/>
  <c r="L120" i="4"/>
  <c r="N120" i="4" s="1"/>
  <c r="K120" i="4"/>
  <c r="M120" i="4" s="1"/>
  <c r="L133" i="4"/>
  <c r="N133" i="4" s="1"/>
  <c r="K133" i="4"/>
  <c r="M133" i="4" s="1"/>
  <c r="K146" i="4"/>
  <c r="M146" i="4" s="1"/>
  <c r="L146" i="4"/>
  <c r="N146" i="4" s="1"/>
  <c r="L159" i="4"/>
  <c r="N159" i="4" s="1"/>
  <c r="K159" i="4"/>
  <c r="M159" i="4" s="1"/>
  <c r="L172" i="4"/>
  <c r="N172" i="4" s="1"/>
  <c r="O172" i="4" s="1"/>
  <c r="K172" i="4"/>
  <c r="M172" i="4" s="1"/>
  <c r="K187" i="4"/>
  <c r="M187" i="4" s="1"/>
  <c r="L187" i="4"/>
  <c r="N187" i="4" s="1"/>
  <c r="K201" i="4"/>
  <c r="M201" i="4" s="1"/>
  <c r="L201" i="4"/>
  <c r="N201" i="4" s="1"/>
  <c r="L214" i="4"/>
  <c r="N214" i="4" s="1"/>
  <c r="K214" i="4"/>
  <c r="M214" i="4" s="1"/>
  <c r="L226" i="4"/>
  <c r="N226" i="4" s="1"/>
  <c r="K226" i="4"/>
  <c r="M226" i="4" s="1"/>
  <c r="L238" i="4"/>
  <c r="N238" i="4" s="1"/>
  <c r="K238" i="4"/>
  <c r="M238" i="4" s="1"/>
  <c r="K251" i="4"/>
  <c r="M251" i="4" s="1"/>
  <c r="L251" i="4"/>
  <c r="N251" i="4" s="1"/>
  <c r="K264" i="4"/>
  <c r="M264" i="4" s="1"/>
  <c r="L264" i="4"/>
  <c r="N264" i="4" s="1"/>
  <c r="K276" i="4"/>
  <c r="M276" i="4" s="1"/>
  <c r="L276" i="4"/>
  <c r="N276" i="4" s="1"/>
  <c r="K289" i="4"/>
  <c r="M289" i="4" s="1"/>
  <c r="L289" i="4"/>
  <c r="N289" i="4" s="1"/>
  <c r="K301" i="4"/>
  <c r="M301" i="4" s="1"/>
  <c r="L301" i="4"/>
  <c r="N301" i="4" s="1"/>
  <c r="L314" i="4"/>
  <c r="N314" i="4" s="1"/>
  <c r="K314" i="4"/>
  <c r="M314" i="4" s="1"/>
  <c r="L326" i="4"/>
  <c r="N326" i="4" s="1"/>
  <c r="K326" i="4"/>
  <c r="M326" i="4" s="1"/>
  <c r="L340" i="4"/>
  <c r="N340" i="4" s="1"/>
  <c r="K340" i="4"/>
  <c r="M340" i="4" s="1"/>
  <c r="L352" i="4"/>
  <c r="N352" i="4" s="1"/>
  <c r="K352" i="4"/>
  <c r="M352" i="4" s="1"/>
  <c r="O352" i="4" s="1"/>
  <c r="L364" i="4"/>
  <c r="N364" i="4" s="1"/>
  <c r="K364" i="4"/>
  <c r="M364" i="4" s="1"/>
  <c r="L377" i="4"/>
  <c r="N377" i="4" s="1"/>
  <c r="K377" i="4"/>
  <c r="M377" i="4" s="1"/>
  <c r="L389" i="4"/>
  <c r="N389" i="4" s="1"/>
  <c r="K389" i="4"/>
  <c r="M389" i="4" s="1"/>
  <c r="L402" i="4"/>
  <c r="N402" i="4" s="1"/>
  <c r="K402" i="4"/>
  <c r="M402" i="4" s="1"/>
  <c r="L415" i="4"/>
  <c r="N415" i="4" s="1"/>
  <c r="K415" i="4"/>
  <c r="M415" i="4" s="1"/>
  <c r="L427" i="4"/>
  <c r="N427" i="4" s="1"/>
  <c r="K427" i="4"/>
  <c r="M427" i="4" s="1"/>
  <c r="O427" i="4" s="1"/>
  <c r="L439" i="4"/>
  <c r="N439" i="4" s="1"/>
  <c r="K439" i="4"/>
  <c r="M439" i="4" s="1"/>
  <c r="L452" i="4"/>
  <c r="N452" i="4" s="1"/>
  <c r="K452" i="4"/>
  <c r="M452" i="4" s="1"/>
  <c r="L464" i="4"/>
  <c r="N464" i="4" s="1"/>
  <c r="K464" i="4"/>
  <c r="M464" i="4" s="1"/>
  <c r="L476" i="4"/>
  <c r="N476" i="4" s="1"/>
  <c r="K476" i="4"/>
  <c r="M476" i="4" s="1"/>
  <c r="K489" i="4"/>
  <c r="M489" i="4" s="1"/>
  <c r="L489" i="4"/>
  <c r="N489" i="4" s="1"/>
  <c r="K502" i="4"/>
  <c r="M502" i="4" s="1"/>
  <c r="L502" i="4"/>
  <c r="N502" i="4" s="1"/>
  <c r="K514" i="4"/>
  <c r="M514" i="4" s="1"/>
  <c r="L514" i="4"/>
  <c r="N514" i="4" s="1"/>
  <c r="K526" i="4"/>
  <c r="M526" i="4" s="1"/>
  <c r="L526" i="4"/>
  <c r="N526" i="4" s="1"/>
  <c r="K538" i="4"/>
  <c r="M538" i="4" s="1"/>
  <c r="L538" i="4"/>
  <c r="N538" i="4" s="1"/>
  <c r="K551" i="4"/>
  <c r="M551" i="4" s="1"/>
  <c r="L551" i="4"/>
  <c r="N551" i="4" s="1"/>
  <c r="K563" i="4"/>
  <c r="M563" i="4" s="1"/>
  <c r="L563" i="4"/>
  <c r="N563" i="4" s="1"/>
  <c r="K575" i="4"/>
  <c r="M575" i="4" s="1"/>
  <c r="L575" i="4"/>
  <c r="N575" i="4" s="1"/>
  <c r="K588" i="4"/>
  <c r="M588" i="4" s="1"/>
  <c r="L588" i="4"/>
  <c r="N588" i="4" s="1"/>
  <c r="K600" i="4"/>
  <c r="M600" i="4" s="1"/>
  <c r="L600" i="4"/>
  <c r="N600" i="4" s="1"/>
  <c r="K613" i="4"/>
  <c r="M613" i="4" s="1"/>
  <c r="L613" i="4"/>
  <c r="N613" i="4" s="1"/>
  <c r="K627" i="4"/>
  <c r="M627" i="4" s="1"/>
  <c r="L627" i="4"/>
  <c r="N627" i="4" s="1"/>
  <c r="K640" i="4"/>
  <c r="M640" i="4" s="1"/>
  <c r="L640" i="4"/>
  <c r="N640" i="4" s="1"/>
  <c r="L653" i="4"/>
  <c r="N653" i="4" s="1"/>
  <c r="K653" i="4"/>
  <c r="M653" i="4" s="1"/>
  <c r="O653" i="4" s="1"/>
  <c r="L666" i="4"/>
  <c r="N666" i="4" s="1"/>
  <c r="K666" i="4"/>
  <c r="M666" i="4" s="1"/>
  <c r="L679" i="4"/>
  <c r="N679" i="4" s="1"/>
  <c r="K679" i="4"/>
  <c r="M679" i="4" s="1"/>
  <c r="K693" i="4"/>
  <c r="M693" i="4" s="1"/>
  <c r="L693" i="4"/>
  <c r="N693" i="4" s="1"/>
  <c r="K705" i="4"/>
  <c r="M705" i="4" s="1"/>
  <c r="L705" i="4"/>
  <c r="N705" i="4" s="1"/>
  <c r="K718" i="4"/>
  <c r="M718" i="4" s="1"/>
  <c r="L718" i="4"/>
  <c r="N718" i="4" s="1"/>
  <c r="K730" i="4"/>
  <c r="M730" i="4" s="1"/>
  <c r="L730" i="4"/>
  <c r="N730" i="4" s="1"/>
  <c r="L18" i="4"/>
  <c r="N18" i="4" s="1"/>
  <c r="K18" i="4"/>
  <c r="M18" i="4" s="1"/>
  <c r="K30" i="4"/>
  <c r="M30" i="4" s="1"/>
  <c r="L30" i="4"/>
  <c r="N30" i="4" s="1"/>
  <c r="K44" i="4"/>
  <c r="M44" i="4" s="1"/>
  <c r="L44" i="4"/>
  <c r="N44" i="4" s="1"/>
  <c r="K56" i="4"/>
  <c r="M56" i="4" s="1"/>
  <c r="L56" i="4"/>
  <c r="N56" i="4" s="1"/>
  <c r="L68" i="4"/>
  <c r="N68" i="4" s="1"/>
  <c r="K68" i="4"/>
  <c r="M68" i="4" s="1"/>
  <c r="K80" i="4"/>
  <c r="M80" i="4" s="1"/>
  <c r="L80" i="4"/>
  <c r="N80" i="4" s="1"/>
  <c r="K104" i="4"/>
  <c r="M104" i="4" s="1"/>
  <c r="L104" i="4"/>
  <c r="N104" i="4" s="1"/>
  <c r="L117" i="4"/>
  <c r="N117" i="4" s="1"/>
  <c r="K117" i="4"/>
  <c r="M117" i="4" s="1"/>
  <c r="K130" i="4"/>
  <c r="M130" i="4" s="1"/>
  <c r="L130" i="4"/>
  <c r="N130" i="4" s="1"/>
  <c r="K143" i="4"/>
  <c r="M143" i="4" s="1"/>
  <c r="O143" i="4" s="1"/>
  <c r="L143" i="4"/>
  <c r="N143" i="4" s="1"/>
  <c r="L184" i="4"/>
  <c r="N184" i="4" s="1"/>
  <c r="K184" i="4"/>
  <c r="M184" i="4" s="1"/>
  <c r="L211" i="4"/>
  <c r="N211" i="4" s="1"/>
  <c r="K211" i="4"/>
  <c r="M211" i="4" s="1"/>
  <c r="O211" i="4" s="1"/>
  <c r="K235" i="4"/>
  <c r="M235" i="4" s="1"/>
  <c r="L235" i="4"/>
  <c r="N235" i="4" s="1"/>
  <c r="L248" i="4"/>
  <c r="N248" i="4" s="1"/>
  <c r="K248" i="4"/>
  <c r="M248" i="4" s="1"/>
  <c r="K261" i="4"/>
  <c r="M261" i="4" s="1"/>
  <c r="L261" i="4"/>
  <c r="N261" i="4" s="1"/>
  <c r="K273" i="4"/>
  <c r="M273" i="4" s="1"/>
  <c r="L273" i="4"/>
  <c r="N273" i="4" s="1"/>
  <c r="K285" i="4"/>
  <c r="M285" i="4" s="1"/>
  <c r="L285" i="4"/>
  <c r="N285" i="4" s="1"/>
  <c r="L298" i="4"/>
  <c r="N298" i="4" s="1"/>
  <c r="K298" i="4"/>
  <c r="M298" i="4" s="1"/>
  <c r="O298" i="4" s="1"/>
  <c r="L310" i="4"/>
  <c r="N310" i="4" s="1"/>
  <c r="K310" i="4"/>
  <c r="M310" i="4" s="1"/>
  <c r="L323" i="4"/>
  <c r="N323" i="4" s="1"/>
  <c r="K323" i="4"/>
  <c r="M323" i="4" s="1"/>
  <c r="K337" i="4"/>
  <c r="M337" i="4" s="1"/>
  <c r="L337" i="4"/>
  <c r="N337" i="4" s="1"/>
  <c r="K349" i="4"/>
  <c r="M349" i="4" s="1"/>
  <c r="L349" i="4"/>
  <c r="N349" i="4" s="1"/>
  <c r="K361" i="4"/>
  <c r="M361" i="4" s="1"/>
  <c r="L361" i="4"/>
  <c r="N361" i="4" s="1"/>
  <c r="K373" i="4"/>
  <c r="M373" i="4" s="1"/>
  <c r="L373" i="4"/>
  <c r="N373" i="4" s="1"/>
  <c r="L386" i="4"/>
  <c r="N386" i="4" s="1"/>
  <c r="K386" i="4"/>
  <c r="M386" i="4" s="1"/>
  <c r="K399" i="4"/>
  <c r="M399" i="4" s="1"/>
  <c r="L399" i="4"/>
  <c r="N399" i="4" s="1"/>
  <c r="K412" i="4"/>
  <c r="M412" i="4" s="1"/>
  <c r="L412" i="4"/>
  <c r="N412" i="4" s="1"/>
  <c r="K424" i="4"/>
  <c r="M424" i="4" s="1"/>
  <c r="L424" i="4"/>
  <c r="N424" i="4" s="1"/>
  <c r="K436" i="4"/>
  <c r="M436" i="4" s="1"/>
  <c r="L436" i="4"/>
  <c r="N436" i="4" s="1"/>
  <c r="K449" i="4"/>
  <c r="M449" i="4" s="1"/>
  <c r="L449" i="4"/>
  <c r="N449" i="4" s="1"/>
  <c r="K461" i="4"/>
  <c r="M461" i="4" s="1"/>
  <c r="L461" i="4"/>
  <c r="N461" i="4" s="1"/>
  <c r="L473" i="4"/>
  <c r="N473" i="4" s="1"/>
  <c r="K473" i="4"/>
  <c r="M473" i="4" s="1"/>
  <c r="K486" i="4"/>
  <c r="M486" i="4" s="1"/>
  <c r="L486" i="4"/>
  <c r="N486" i="4" s="1"/>
  <c r="K499" i="4"/>
  <c r="M499" i="4" s="1"/>
  <c r="L499" i="4"/>
  <c r="N499" i="4" s="1"/>
  <c r="K511" i="4"/>
  <c r="M511" i="4" s="1"/>
  <c r="L511" i="4"/>
  <c r="N511" i="4" s="1"/>
  <c r="K523" i="4"/>
  <c r="M523" i="4" s="1"/>
  <c r="L523" i="4"/>
  <c r="N523" i="4" s="1"/>
  <c r="L535" i="4"/>
  <c r="N535" i="4" s="1"/>
  <c r="K535" i="4"/>
  <c r="M535" i="4" s="1"/>
  <c r="L548" i="4"/>
  <c r="N548" i="4" s="1"/>
  <c r="K548" i="4"/>
  <c r="M548" i="4" s="1"/>
  <c r="K560" i="4"/>
  <c r="M560" i="4" s="1"/>
  <c r="L560" i="4"/>
  <c r="N560" i="4" s="1"/>
  <c r="K572" i="4"/>
  <c r="M572" i="4" s="1"/>
  <c r="L572" i="4"/>
  <c r="N572" i="4" s="1"/>
  <c r="L585" i="4"/>
  <c r="N585" i="4" s="1"/>
  <c r="K585" i="4"/>
  <c r="M585" i="4" s="1"/>
  <c r="L597" i="4"/>
  <c r="N597" i="4" s="1"/>
  <c r="K597" i="4"/>
  <c r="M597" i="4" s="1"/>
  <c r="O597" i="4" s="1"/>
  <c r="K610" i="4"/>
  <c r="M610" i="4" s="1"/>
  <c r="L610" i="4"/>
  <c r="N610" i="4" s="1"/>
  <c r="L622" i="4"/>
  <c r="N622" i="4" s="1"/>
  <c r="K622" i="4"/>
  <c r="M622" i="4" s="1"/>
  <c r="L650" i="4"/>
  <c r="N650" i="4" s="1"/>
  <c r="K650" i="4"/>
  <c r="M650" i="4" s="1"/>
  <c r="L662" i="4"/>
  <c r="N662" i="4" s="1"/>
  <c r="K662" i="4"/>
  <c r="M662" i="4" s="1"/>
  <c r="K676" i="4"/>
  <c r="M676" i="4" s="1"/>
  <c r="L676" i="4"/>
  <c r="N676" i="4" s="1"/>
  <c r="L714" i="4"/>
  <c r="N714" i="4" s="1"/>
  <c r="K714" i="4"/>
  <c r="M714" i="4" s="1"/>
  <c r="O714" i="4" s="1"/>
  <c r="K22" i="4"/>
  <c r="M22" i="4" s="1"/>
  <c r="L22" i="4"/>
  <c r="N22" i="4" s="1"/>
  <c r="L35" i="4"/>
  <c r="N35" i="4" s="1"/>
  <c r="K35" i="4"/>
  <c r="M35" i="4" s="1"/>
  <c r="K48" i="4"/>
  <c r="M48" i="4" s="1"/>
  <c r="L48" i="4"/>
  <c r="N48" i="4" s="1"/>
  <c r="K60" i="4"/>
  <c r="M60" i="4" s="1"/>
  <c r="L60" i="4"/>
  <c r="N60" i="4" s="1"/>
  <c r="K72" i="4"/>
  <c r="M72" i="4" s="1"/>
  <c r="L72" i="4"/>
  <c r="N72" i="4" s="1"/>
  <c r="L84" i="4"/>
  <c r="N84" i="4" s="1"/>
  <c r="K84" i="4"/>
  <c r="M84" i="4" s="1"/>
  <c r="O84" i="4" s="1"/>
  <c r="K96" i="4"/>
  <c r="M96" i="4" s="1"/>
  <c r="L96" i="4"/>
  <c r="N96" i="4" s="1"/>
  <c r="K108" i="4"/>
  <c r="M108" i="4" s="1"/>
  <c r="L108" i="4"/>
  <c r="N108" i="4" s="1"/>
  <c r="K121" i="4"/>
  <c r="M121" i="4" s="1"/>
  <c r="L121" i="4"/>
  <c r="N121" i="4" s="1"/>
  <c r="K135" i="4"/>
  <c r="M135" i="4" s="1"/>
  <c r="O135" i="4" s="1"/>
  <c r="L135" i="4"/>
  <c r="N135" i="4" s="1"/>
  <c r="L147" i="4"/>
  <c r="N147" i="4" s="1"/>
  <c r="K147" i="4"/>
  <c r="M147" i="4" s="1"/>
  <c r="K160" i="4"/>
  <c r="M160" i="4" s="1"/>
  <c r="L160" i="4"/>
  <c r="N160" i="4" s="1"/>
  <c r="K173" i="4"/>
  <c r="M173" i="4" s="1"/>
  <c r="L173" i="4"/>
  <c r="N173" i="4" s="1"/>
  <c r="K189" i="4"/>
  <c r="M189" i="4" s="1"/>
  <c r="L189" i="4"/>
  <c r="N189" i="4" s="1"/>
  <c r="K202" i="4"/>
  <c r="M202" i="4" s="1"/>
  <c r="L202" i="4"/>
  <c r="N202" i="4" s="1"/>
  <c r="L215" i="4"/>
  <c r="N215" i="4" s="1"/>
  <c r="K215" i="4"/>
  <c r="M215" i="4" s="1"/>
  <c r="K227" i="4"/>
  <c r="M227" i="4" s="1"/>
  <c r="L227" i="4"/>
  <c r="N227" i="4" s="1"/>
  <c r="K239" i="4"/>
  <c r="M239" i="4" s="1"/>
  <c r="L239" i="4"/>
  <c r="N239" i="4" s="1"/>
  <c r="L252" i="4"/>
  <c r="N252" i="4" s="1"/>
  <c r="K252" i="4"/>
  <c r="M252" i="4" s="1"/>
  <c r="L265" i="4"/>
  <c r="N265" i="4" s="1"/>
  <c r="K265" i="4"/>
  <c r="M265" i="4" s="1"/>
  <c r="K277" i="4"/>
  <c r="M277" i="4" s="1"/>
  <c r="L277" i="4"/>
  <c r="N277" i="4" s="1"/>
  <c r="L290" i="4"/>
  <c r="N290" i="4" s="1"/>
  <c r="K290" i="4"/>
  <c r="M290" i="4" s="1"/>
  <c r="L302" i="4"/>
  <c r="N302" i="4" s="1"/>
  <c r="K302" i="4"/>
  <c r="M302" i="4" s="1"/>
  <c r="L315" i="4"/>
  <c r="N315" i="4" s="1"/>
  <c r="K315" i="4"/>
  <c r="M315" i="4" s="1"/>
  <c r="O315" i="4" s="1"/>
  <c r="K327" i="4"/>
  <c r="M327" i="4" s="1"/>
  <c r="L327" i="4"/>
  <c r="N327" i="4" s="1"/>
  <c r="K341" i="4"/>
  <c r="M341" i="4" s="1"/>
  <c r="L341" i="4"/>
  <c r="N341" i="4" s="1"/>
  <c r="K353" i="4"/>
  <c r="M353" i="4" s="1"/>
  <c r="L353" i="4"/>
  <c r="N353" i="4" s="1"/>
  <c r="K365" i="4"/>
  <c r="M365" i="4" s="1"/>
  <c r="L365" i="4"/>
  <c r="N365" i="4" s="1"/>
  <c r="K378" i="4"/>
  <c r="M378" i="4" s="1"/>
  <c r="L378" i="4"/>
  <c r="N378" i="4" s="1"/>
  <c r="K390" i="4"/>
  <c r="M390" i="4" s="1"/>
  <c r="L390" i="4"/>
  <c r="N390" i="4" s="1"/>
  <c r="K403" i="4"/>
  <c r="M403" i="4" s="1"/>
  <c r="L403" i="4"/>
  <c r="N403" i="4" s="1"/>
  <c r="L416" i="4"/>
  <c r="N416" i="4" s="1"/>
  <c r="K416" i="4"/>
  <c r="M416" i="4" s="1"/>
  <c r="L428" i="4"/>
  <c r="N428" i="4" s="1"/>
  <c r="K428" i="4"/>
  <c r="M428" i="4" s="1"/>
  <c r="K441" i="4"/>
  <c r="M441" i="4" s="1"/>
  <c r="L441" i="4"/>
  <c r="N441" i="4" s="1"/>
  <c r="K453" i="4"/>
  <c r="M453" i="4" s="1"/>
  <c r="L453" i="4"/>
  <c r="N453" i="4" s="1"/>
  <c r="K465" i="4"/>
  <c r="M465" i="4" s="1"/>
  <c r="L465" i="4"/>
  <c r="N465" i="4" s="1"/>
  <c r="K478" i="4"/>
  <c r="M478" i="4" s="1"/>
  <c r="L478" i="4"/>
  <c r="N478" i="4" s="1"/>
  <c r="K490" i="4"/>
  <c r="M490" i="4" s="1"/>
  <c r="L490" i="4"/>
  <c r="N490" i="4" s="1"/>
  <c r="L503" i="4"/>
  <c r="N503" i="4" s="1"/>
  <c r="K503" i="4"/>
  <c r="M503" i="4" s="1"/>
  <c r="L515" i="4"/>
  <c r="N515" i="4" s="1"/>
  <c r="K515" i="4"/>
  <c r="M515" i="4" s="1"/>
  <c r="L527" i="4"/>
  <c r="N527" i="4" s="1"/>
  <c r="K527" i="4"/>
  <c r="M527" i="4" s="1"/>
  <c r="L539" i="4"/>
  <c r="N539" i="4" s="1"/>
  <c r="K539" i="4"/>
  <c r="M539" i="4" s="1"/>
  <c r="O539" i="4" s="1"/>
  <c r="L552" i="4"/>
  <c r="N552" i="4" s="1"/>
  <c r="K552" i="4"/>
  <c r="M552" i="4" s="1"/>
  <c r="L564" i="4"/>
  <c r="N564" i="4" s="1"/>
  <c r="K564" i="4"/>
  <c r="M564" i="4" s="1"/>
  <c r="L576" i="4"/>
  <c r="N576" i="4" s="1"/>
  <c r="K576" i="4"/>
  <c r="M576" i="4" s="1"/>
  <c r="L589" i="4"/>
  <c r="N589" i="4" s="1"/>
  <c r="K589" i="4"/>
  <c r="M589" i="4" s="1"/>
  <c r="L601" i="4"/>
  <c r="N601" i="4" s="1"/>
  <c r="K601" i="4"/>
  <c r="M601" i="4" s="1"/>
  <c r="L614" i="4"/>
  <c r="N614" i="4" s="1"/>
  <c r="K614" i="4"/>
  <c r="M614" i="4" s="1"/>
  <c r="O614" i="4" s="1"/>
  <c r="L628" i="4"/>
  <c r="N628" i="4" s="1"/>
  <c r="K628" i="4"/>
  <c r="M628" i="4" s="1"/>
  <c r="K641" i="4"/>
  <c r="M641" i="4" s="1"/>
  <c r="L641" i="4"/>
  <c r="N641" i="4" s="1"/>
  <c r="K654" i="4"/>
  <c r="M654" i="4" s="1"/>
  <c r="L654" i="4"/>
  <c r="N654" i="4" s="1"/>
  <c r="K667" i="4"/>
  <c r="M667" i="4" s="1"/>
  <c r="L667" i="4"/>
  <c r="N667" i="4" s="1"/>
  <c r="L680" i="4"/>
  <c r="N680" i="4" s="1"/>
  <c r="K680" i="4"/>
  <c r="M680" i="4" s="1"/>
  <c r="K694" i="4"/>
  <c r="M694" i="4" s="1"/>
  <c r="L694" i="4"/>
  <c r="N694" i="4" s="1"/>
  <c r="K706" i="4"/>
  <c r="M706" i="4" s="1"/>
  <c r="L706" i="4"/>
  <c r="N706" i="4" s="1"/>
  <c r="K719" i="4"/>
  <c r="M719" i="4" s="1"/>
  <c r="L719" i="4"/>
  <c r="N719" i="4" s="1"/>
  <c r="K731" i="4"/>
  <c r="M731" i="4" s="1"/>
  <c r="L731" i="4"/>
  <c r="N731" i="4" s="1"/>
  <c r="K168" i="4"/>
  <c r="M168" i="4" s="1"/>
  <c r="L168" i="4"/>
  <c r="N168" i="4" s="1"/>
  <c r="L23" i="4"/>
  <c r="N23" i="4" s="1"/>
  <c r="K23" i="4"/>
  <c r="M23" i="4" s="1"/>
  <c r="K36" i="4"/>
  <c r="M36" i="4" s="1"/>
  <c r="L36" i="4"/>
  <c r="N36" i="4" s="1"/>
  <c r="K49" i="4"/>
  <c r="M49" i="4" s="1"/>
  <c r="L49" i="4"/>
  <c r="N49" i="4" s="1"/>
  <c r="K61" i="4"/>
  <c r="M61" i="4" s="1"/>
  <c r="L61" i="4"/>
  <c r="N61" i="4" s="1"/>
  <c r="L73" i="4"/>
  <c r="N73" i="4" s="1"/>
  <c r="K73" i="4"/>
  <c r="M73" i="4" s="1"/>
  <c r="L85" i="4"/>
  <c r="N85" i="4" s="1"/>
  <c r="K85" i="4"/>
  <c r="M85" i="4" s="1"/>
  <c r="L97" i="4"/>
  <c r="N97" i="4" s="1"/>
  <c r="K97" i="4"/>
  <c r="M97" i="4" s="1"/>
  <c r="K109" i="4"/>
  <c r="M109" i="4" s="1"/>
  <c r="L109" i="4"/>
  <c r="N109" i="4" s="1"/>
  <c r="K122" i="4"/>
  <c r="M122" i="4" s="1"/>
  <c r="L122" i="4"/>
  <c r="N122" i="4" s="1"/>
  <c r="L136" i="4"/>
  <c r="N136" i="4" s="1"/>
  <c r="K136" i="4"/>
  <c r="M136" i="4" s="1"/>
  <c r="K148" i="4"/>
  <c r="M148" i="4" s="1"/>
  <c r="L148" i="4"/>
  <c r="N148" i="4" s="1"/>
  <c r="L161" i="4"/>
  <c r="N161" i="4" s="1"/>
  <c r="K161" i="4"/>
  <c r="M161" i="4" s="1"/>
  <c r="K174" i="4"/>
  <c r="M174" i="4" s="1"/>
  <c r="L174" i="4"/>
  <c r="N174" i="4" s="1"/>
  <c r="L190" i="4"/>
  <c r="N190" i="4" s="1"/>
  <c r="K190" i="4"/>
  <c r="M190" i="4" s="1"/>
  <c r="O190" i="4" s="1"/>
  <c r="L203" i="4"/>
  <c r="N203" i="4" s="1"/>
  <c r="K203" i="4"/>
  <c r="M203" i="4" s="1"/>
  <c r="K216" i="4"/>
  <c r="M216" i="4" s="1"/>
  <c r="L216" i="4"/>
  <c r="N216" i="4" s="1"/>
  <c r="K228" i="4"/>
  <c r="M228" i="4" s="1"/>
  <c r="L228" i="4"/>
  <c r="N228" i="4" s="1"/>
  <c r="K240" i="4"/>
  <c r="M240" i="4" s="1"/>
  <c r="L240" i="4"/>
  <c r="N240" i="4" s="1"/>
  <c r="L254" i="4"/>
  <c r="N254" i="4" s="1"/>
  <c r="K254" i="4"/>
  <c r="M254" i="4" s="1"/>
  <c r="K266" i="4"/>
  <c r="M266" i="4" s="1"/>
  <c r="L266" i="4"/>
  <c r="N266" i="4" s="1"/>
  <c r="L278" i="4"/>
  <c r="N278" i="4" s="1"/>
  <c r="K278" i="4"/>
  <c r="M278" i="4" s="1"/>
  <c r="K291" i="4"/>
  <c r="M291" i="4" s="1"/>
  <c r="L291" i="4"/>
  <c r="N291" i="4" s="1"/>
  <c r="K303" i="4"/>
  <c r="M303" i="4" s="1"/>
  <c r="L303" i="4"/>
  <c r="N303" i="4" s="1"/>
  <c r="K316" i="4"/>
  <c r="M316" i="4" s="1"/>
  <c r="O316" i="4" s="1"/>
  <c r="L316" i="4"/>
  <c r="N316" i="4" s="1"/>
  <c r="K328" i="4"/>
  <c r="M328" i="4" s="1"/>
  <c r="L328" i="4"/>
  <c r="N328" i="4" s="1"/>
  <c r="K342" i="4"/>
  <c r="M342" i="4" s="1"/>
  <c r="L342" i="4"/>
  <c r="N342" i="4" s="1"/>
  <c r="L354" i="4"/>
  <c r="N354" i="4" s="1"/>
  <c r="K354" i="4"/>
  <c r="M354" i="4" s="1"/>
  <c r="L366" i="4"/>
  <c r="N366" i="4" s="1"/>
  <c r="K366" i="4"/>
  <c r="M366" i="4" s="1"/>
  <c r="L379" i="4"/>
  <c r="N379" i="4" s="1"/>
  <c r="K379" i="4"/>
  <c r="M379" i="4" s="1"/>
  <c r="L391" i="4"/>
  <c r="N391" i="4" s="1"/>
  <c r="K391" i="4"/>
  <c r="M391" i="4" s="1"/>
  <c r="L404" i="4"/>
  <c r="N404" i="4" s="1"/>
  <c r="K404" i="4"/>
  <c r="M404" i="4" s="1"/>
  <c r="L417" i="4"/>
  <c r="N417" i="4" s="1"/>
  <c r="K417" i="4"/>
  <c r="M417" i="4" s="1"/>
  <c r="O417" i="4" s="1"/>
  <c r="L429" i="4"/>
  <c r="N429" i="4" s="1"/>
  <c r="K429" i="4"/>
  <c r="M429" i="4" s="1"/>
  <c r="L442" i="4"/>
  <c r="N442" i="4" s="1"/>
  <c r="K442" i="4"/>
  <c r="M442" i="4" s="1"/>
  <c r="L454" i="4"/>
  <c r="N454" i="4" s="1"/>
  <c r="K454" i="4"/>
  <c r="M454" i="4" s="1"/>
  <c r="L466" i="4"/>
  <c r="N466" i="4" s="1"/>
  <c r="K466" i="4"/>
  <c r="M466" i="4" s="1"/>
  <c r="K479" i="4"/>
  <c r="M479" i="4" s="1"/>
  <c r="L479" i="4"/>
  <c r="N479" i="4" s="1"/>
  <c r="K491" i="4"/>
  <c r="M491" i="4" s="1"/>
  <c r="L491" i="4"/>
  <c r="N491" i="4" s="1"/>
  <c r="K504" i="4"/>
  <c r="M504" i="4" s="1"/>
  <c r="L504" i="4"/>
  <c r="N504" i="4" s="1"/>
  <c r="L516" i="4"/>
  <c r="N516" i="4" s="1"/>
  <c r="K516" i="4"/>
  <c r="M516" i="4" s="1"/>
  <c r="K528" i="4"/>
  <c r="M528" i="4" s="1"/>
  <c r="L528" i="4"/>
  <c r="N528" i="4" s="1"/>
  <c r="K541" i="4"/>
  <c r="M541" i="4" s="1"/>
  <c r="L541" i="4"/>
  <c r="N541" i="4" s="1"/>
  <c r="K553" i="4"/>
  <c r="M553" i="4" s="1"/>
  <c r="L553" i="4"/>
  <c r="N553" i="4" s="1"/>
  <c r="K565" i="4"/>
  <c r="M565" i="4" s="1"/>
  <c r="L565" i="4"/>
  <c r="N565" i="4" s="1"/>
  <c r="K577" i="4"/>
  <c r="M577" i="4" s="1"/>
  <c r="L577" i="4"/>
  <c r="N577" i="4" s="1"/>
  <c r="L590" i="4"/>
  <c r="N590" i="4" s="1"/>
  <c r="K590" i="4"/>
  <c r="M590" i="4" s="1"/>
  <c r="L602" i="4"/>
  <c r="N602" i="4" s="1"/>
  <c r="K602" i="4"/>
  <c r="M602" i="4" s="1"/>
  <c r="K615" i="4"/>
  <c r="M615" i="4" s="1"/>
  <c r="L615" i="4"/>
  <c r="N615" i="4" s="1"/>
  <c r="K629" i="4"/>
  <c r="M629" i="4" s="1"/>
  <c r="L629" i="4"/>
  <c r="N629" i="4" s="1"/>
  <c r="K642" i="4"/>
  <c r="M642" i="4" s="1"/>
  <c r="L642" i="4"/>
  <c r="N642" i="4" s="1"/>
  <c r="K655" i="4"/>
  <c r="M655" i="4" s="1"/>
  <c r="L655" i="4"/>
  <c r="N655" i="4" s="1"/>
  <c r="K668" i="4"/>
  <c r="M668" i="4" s="1"/>
  <c r="L668" i="4"/>
  <c r="N668" i="4" s="1"/>
  <c r="L681" i="4"/>
  <c r="N681" i="4" s="1"/>
  <c r="K681" i="4"/>
  <c r="M681" i="4" s="1"/>
  <c r="L695" i="4"/>
  <c r="N695" i="4" s="1"/>
  <c r="K695" i="4"/>
  <c r="M695" i="4" s="1"/>
  <c r="L707" i="4"/>
  <c r="N707" i="4" s="1"/>
  <c r="K707" i="4"/>
  <c r="M707" i="4" s="1"/>
  <c r="K720" i="4"/>
  <c r="M720" i="4" s="1"/>
  <c r="L720" i="4"/>
  <c r="N720" i="4" s="1"/>
  <c r="K732" i="4"/>
  <c r="M732" i="4" s="1"/>
  <c r="L732" i="4"/>
  <c r="N732" i="4" s="1"/>
  <c r="K689" i="4"/>
  <c r="M689" i="4" s="1"/>
  <c r="L689" i="4"/>
  <c r="N689" i="4" s="1"/>
  <c r="K24" i="4"/>
  <c r="M24" i="4" s="1"/>
  <c r="L24" i="4"/>
  <c r="N24" i="4" s="1"/>
  <c r="L37" i="4"/>
  <c r="N37" i="4" s="1"/>
  <c r="K37" i="4"/>
  <c r="M37" i="4" s="1"/>
  <c r="K50" i="4"/>
  <c r="M50" i="4" s="1"/>
  <c r="L50" i="4"/>
  <c r="N50" i="4" s="1"/>
  <c r="K62" i="4"/>
  <c r="M62" i="4" s="1"/>
  <c r="L62" i="4"/>
  <c r="N62" i="4" s="1"/>
  <c r="K74" i="4"/>
  <c r="M74" i="4" s="1"/>
  <c r="L74" i="4"/>
  <c r="N74" i="4" s="1"/>
  <c r="K86" i="4"/>
  <c r="M86" i="4" s="1"/>
  <c r="L86" i="4"/>
  <c r="N86" i="4" s="1"/>
  <c r="K98" i="4"/>
  <c r="M98" i="4" s="1"/>
  <c r="L98" i="4"/>
  <c r="N98" i="4" s="1"/>
  <c r="K110" i="4"/>
  <c r="M110" i="4" s="1"/>
  <c r="L110" i="4"/>
  <c r="N110" i="4" s="1"/>
  <c r="L123" i="4"/>
  <c r="N123" i="4" s="1"/>
  <c r="K123" i="4"/>
  <c r="M123" i="4" s="1"/>
  <c r="K137" i="4"/>
  <c r="M137" i="4" s="1"/>
  <c r="L137" i="4"/>
  <c r="N137" i="4" s="1"/>
  <c r="K149" i="4"/>
  <c r="M149" i="4" s="1"/>
  <c r="L149" i="4"/>
  <c r="N149" i="4" s="1"/>
  <c r="K162" i="4"/>
  <c r="M162" i="4" s="1"/>
  <c r="L162" i="4"/>
  <c r="N162" i="4" s="1"/>
  <c r="K175" i="4"/>
  <c r="M175" i="4" s="1"/>
  <c r="L175" i="4"/>
  <c r="N175" i="4" s="1"/>
  <c r="K191" i="4"/>
  <c r="M191" i="4" s="1"/>
  <c r="L191" i="4"/>
  <c r="N191" i="4" s="1"/>
  <c r="K204" i="4"/>
  <c r="M204" i="4" s="1"/>
  <c r="L204" i="4"/>
  <c r="N204" i="4" s="1"/>
  <c r="L217" i="4"/>
  <c r="N217" i="4" s="1"/>
  <c r="K217" i="4"/>
  <c r="M217" i="4" s="1"/>
  <c r="O217" i="4" s="1"/>
  <c r="L229" i="4"/>
  <c r="N229" i="4" s="1"/>
  <c r="K229" i="4"/>
  <c r="M229" i="4" s="1"/>
  <c r="K241" i="4"/>
  <c r="M241" i="4" s="1"/>
  <c r="L241" i="4"/>
  <c r="N241" i="4" s="1"/>
  <c r="K255" i="4"/>
  <c r="M255" i="4" s="1"/>
  <c r="L255" i="4"/>
  <c r="N255" i="4" s="1"/>
  <c r="K267" i="4"/>
  <c r="M267" i="4" s="1"/>
  <c r="L267" i="4"/>
  <c r="N267" i="4" s="1"/>
  <c r="K279" i="4"/>
  <c r="M279" i="4" s="1"/>
  <c r="L279" i="4"/>
  <c r="N279" i="4" s="1"/>
  <c r="L292" i="4"/>
  <c r="N292" i="4" s="1"/>
  <c r="K292" i="4"/>
  <c r="M292" i="4" s="1"/>
  <c r="O292" i="4" s="1"/>
  <c r="L304" i="4"/>
  <c r="N304" i="4" s="1"/>
  <c r="K304" i="4"/>
  <c r="M304" i="4" s="1"/>
  <c r="L317" i="4"/>
  <c r="N317" i="4" s="1"/>
  <c r="K317" i="4"/>
  <c r="M317" i="4" s="1"/>
  <c r="L329" i="4"/>
  <c r="N329" i="4" s="1"/>
  <c r="K329" i="4"/>
  <c r="M329" i="4" s="1"/>
  <c r="K343" i="4"/>
  <c r="M343" i="4" s="1"/>
  <c r="L343" i="4"/>
  <c r="N343" i="4" s="1"/>
  <c r="K355" i="4"/>
  <c r="M355" i="4" s="1"/>
  <c r="L355" i="4"/>
  <c r="N355" i="4" s="1"/>
  <c r="K367" i="4"/>
  <c r="M367" i="4" s="1"/>
  <c r="L367" i="4"/>
  <c r="N367" i="4" s="1"/>
  <c r="L380" i="4"/>
  <c r="N380" i="4" s="1"/>
  <c r="K380" i="4"/>
  <c r="M380" i="4" s="1"/>
  <c r="L392" i="4"/>
  <c r="N392" i="4" s="1"/>
  <c r="K392" i="4"/>
  <c r="M392" i="4" s="1"/>
  <c r="K405" i="4"/>
  <c r="M405" i="4" s="1"/>
  <c r="L405" i="4"/>
  <c r="N405" i="4" s="1"/>
  <c r="K418" i="4"/>
  <c r="M418" i="4" s="1"/>
  <c r="L418" i="4"/>
  <c r="N418" i="4" s="1"/>
  <c r="K430" i="4"/>
  <c r="M430" i="4" s="1"/>
  <c r="L430" i="4"/>
  <c r="N430" i="4" s="1"/>
  <c r="K443" i="4"/>
  <c r="M443" i="4" s="1"/>
  <c r="L443" i="4"/>
  <c r="N443" i="4" s="1"/>
  <c r="K455" i="4"/>
  <c r="M455" i="4" s="1"/>
  <c r="L455" i="4"/>
  <c r="N455" i="4" s="1"/>
  <c r="K467" i="4"/>
  <c r="M467" i="4" s="1"/>
  <c r="L467" i="4"/>
  <c r="N467" i="4" s="1"/>
  <c r="K480" i="4"/>
  <c r="M480" i="4" s="1"/>
  <c r="L480" i="4"/>
  <c r="N480" i="4" s="1"/>
  <c r="K492" i="4"/>
  <c r="M492" i="4" s="1"/>
  <c r="L492" i="4"/>
  <c r="N492" i="4" s="1"/>
  <c r="K505" i="4"/>
  <c r="M505" i="4" s="1"/>
  <c r="L505" i="4"/>
  <c r="N505" i="4" s="1"/>
  <c r="K517" i="4"/>
  <c r="M517" i="4" s="1"/>
  <c r="L517" i="4"/>
  <c r="N517" i="4" s="1"/>
  <c r="L529" i="4"/>
  <c r="N529" i="4" s="1"/>
  <c r="K529" i="4"/>
  <c r="M529" i="4" s="1"/>
  <c r="L542" i="4"/>
  <c r="N542" i="4" s="1"/>
  <c r="K542" i="4"/>
  <c r="M542" i="4" s="1"/>
  <c r="L554" i="4"/>
  <c r="N554" i="4" s="1"/>
  <c r="K554" i="4"/>
  <c r="M554" i="4" s="1"/>
  <c r="K566" i="4"/>
  <c r="M566" i="4" s="1"/>
  <c r="L566" i="4"/>
  <c r="N566" i="4" s="1"/>
  <c r="L578" i="4"/>
  <c r="N578" i="4" s="1"/>
  <c r="K578" i="4"/>
  <c r="M578" i="4" s="1"/>
  <c r="L591" i="4"/>
  <c r="N591" i="4" s="1"/>
  <c r="K591" i="4"/>
  <c r="M591" i="4" s="1"/>
  <c r="O591" i="4" s="1"/>
  <c r="L603" i="4"/>
  <c r="N603" i="4" s="1"/>
  <c r="K603" i="4"/>
  <c r="M603" i="4" s="1"/>
  <c r="L616" i="4"/>
  <c r="N616" i="4" s="1"/>
  <c r="K616" i="4"/>
  <c r="M616" i="4" s="1"/>
  <c r="K630" i="4"/>
  <c r="M630" i="4" s="1"/>
  <c r="L630" i="4"/>
  <c r="N630" i="4" s="1"/>
  <c r="L644" i="4"/>
  <c r="N644" i="4" s="1"/>
  <c r="K644" i="4"/>
  <c r="M644" i="4" s="1"/>
  <c r="L656" i="4"/>
  <c r="N656" i="4" s="1"/>
  <c r="K656" i="4"/>
  <c r="M656" i="4" s="1"/>
  <c r="L669" i="4"/>
  <c r="N669" i="4" s="1"/>
  <c r="K669" i="4"/>
  <c r="M669" i="4" s="1"/>
  <c r="O669" i="4" s="1"/>
  <c r="K682" i="4"/>
  <c r="M682" i="4" s="1"/>
  <c r="L682" i="4"/>
  <c r="N682" i="4" s="1"/>
  <c r="L696" i="4"/>
  <c r="N696" i="4" s="1"/>
  <c r="K696" i="4"/>
  <c r="M696" i="4" s="1"/>
  <c r="K708" i="4"/>
  <c r="M708" i="4" s="1"/>
  <c r="L708" i="4"/>
  <c r="N708" i="4" s="1"/>
  <c r="L721" i="4"/>
  <c r="N721" i="4" s="1"/>
  <c r="K721" i="4"/>
  <c r="M721" i="4" s="1"/>
  <c r="L733" i="4"/>
  <c r="N733" i="4" s="1"/>
  <c r="K733" i="4"/>
  <c r="M733" i="4" s="1"/>
  <c r="K636" i="4"/>
  <c r="M636" i="4" s="1"/>
  <c r="L636" i="4"/>
  <c r="N636" i="4" s="1"/>
  <c r="K25" i="4"/>
  <c r="M25" i="4" s="1"/>
  <c r="L25" i="4"/>
  <c r="N25" i="4" s="1"/>
  <c r="K38" i="4"/>
  <c r="M38" i="4" s="1"/>
  <c r="L38" i="4"/>
  <c r="N38" i="4" s="1"/>
  <c r="K51" i="4"/>
  <c r="M51" i="4" s="1"/>
  <c r="L51" i="4"/>
  <c r="N51" i="4" s="1"/>
  <c r="L63" i="4"/>
  <c r="N63" i="4" s="1"/>
  <c r="K63" i="4"/>
  <c r="M63" i="4" s="1"/>
  <c r="L75" i="4"/>
  <c r="N75" i="4" s="1"/>
  <c r="K75" i="4"/>
  <c r="M75" i="4" s="1"/>
  <c r="L87" i="4"/>
  <c r="N87" i="4" s="1"/>
  <c r="K87" i="4"/>
  <c r="M87" i="4" s="1"/>
  <c r="O87" i="4" s="1"/>
  <c r="K99" i="4"/>
  <c r="M99" i="4" s="1"/>
  <c r="L99" i="4"/>
  <c r="N99" i="4" s="1"/>
  <c r="L111" i="4"/>
  <c r="N111" i="4" s="1"/>
  <c r="K111" i="4"/>
  <c r="M111" i="4" s="1"/>
  <c r="L125" i="4"/>
  <c r="N125" i="4" s="1"/>
  <c r="K125" i="4"/>
  <c r="M125" i="4" s="1"/>
  <c r="K138" i="4"/>
  <c r="M138" i="4" s="1"/>
  <c r="O138" i="4" s="1"/>
  <c r="L138" i="4"/>
  <c r="N138" i="4" s="1"/>
  <c r="L151" i="4"/>
  <c r="N151" i="4" s="1"/>
  <c r="K151" i="4"/>
  <c r="M151" i="4" s="1"/>
  <c r="K163" i="4"/>
  <c r="M163" i="4" s="1"/>
  <c r="L163" i="4"/>
  <c r="N163" i="4" s="1"/>
  <c r="K176" i="4"/>
  <c r="M176" i="4" s="1"/>
  <c r="L176" i="4"/>
  <c r="N176" i="4" s="1"/>
  <c r="L192" i="4"/>
  <c r="N192" i="4" s="1"/>
  <c r="K192" i="4"/>
  <c r="M192" i="4" s="1"/>
  <c r="L205" i="4"/>
  <c r="N205" i="4" s="1"/>
  <c r="K205" i="4"/>
  <c r="M205" i="4" s="1"/>
  <c r="L218" i="4"/>
  <c r="N218" i="4" s="1"/>
  <c r="K218" i="4"/>
  <c r="M218" i="4" s="1"/>
  <c r="L230" i="4"/>
  <c r="N230" i="4" s="1"/>
  <c r="K230" i="4"/>
  <c r="M230" i="4" s="1"/>
  <c r="K243" i="4"/>
  <c r="M243" i="4" s="1"/>
  <c r="L243" i="4"/>
  <c r="N243" i="4" s="1"/>
  <c r="K256" i="4"/>
  <c r="M256" i="4" s="1"/>
  <c r="L256" i="4"/>
  <c r="N256" i="4" s="1"/>
  <c r="K268" i="4"/>
  <c r="M268" i="4" s="1"/>
  <c r="L268" i="4"/>
  <c r="N268" i="4" s="1"/>
  <c r="K280" i="4"/>
  <c r="M280" i="4" s="1"/>
  <c r="L280" i="4"/>
  <c r="N280" i="4" s="1"/>
  <c r="K293" i="4"/>
  <c r="M293" i="4" s="1"/>
  <c r="L293" i="4"/>
  <c r="N293" i="4" s="1"/>
  <c r="K305" i="4"/>
  <c r="M305" i="4" s="1"/>
  <c r="L305" i="4"/>
  <c r="N305" i="4" s="1"/>
  <c r="K318" i="4"/>
  <c r="M318" i="4" s="1"/>
  <c r="L318" i="4"/>
  <c r="N318" i="4" s="1"/>
  <c r="K330" i="4"/>
  <c r="M330" i="4" s="1"/>
  <c r="L330" i="4"/>
  <c r="N330" i="4" s="1"/>
  <c r="L344" i="4"/>
  <c r="N344" i="4" s="1"/>
  <c r="K344" i="4"/>
  <c r="M344" i="4" s="1"/>
  <c r="K356" i="4"/>
  <c r="M356" i="4" s="1"/>
  <c r="L356" i="4"/>
  <c r="N356" i="4" s="1"/>
  <c r="K368" i="4"/>
  <c r="M368" i="4" s="1"/>
  <c r="L368" i="4"/>
  <c r="N368" i="4" s="1"/>
  <c r="L381" i="4"/>
  <c r="N381" i="4" s="1"/>
  <c r="K381" i="4"/>
  <c r="M381" i="4" s="1"/>
  <c r="K393" i="4"/>
  <c r="M393" i="4" s="1"/>
  <c r="L393" i="4"/>
  <c r="N393" i="4" s="1"/>
  <c r="K407" i="4"/>
  <c r="M407" i="4" s="1"/>
  <c r="L407" i="4"/>
  <c r="N407" i="4" s="1"/>
  <c r="K419" i="4"/>
  <c r="M419" i="4" s="1"/>
  <c r="L419" i="4"/>
  <c r="N419" i="4" s="1"/>
  <c r="L431" i="4"/>
  <c r="N431" i="4" s="1"/>
  <c r="K431" i="4"/>
  <c r="M431" i="4" s="1"/>
  <c r="L444" i="4"/>
  <c r="N444" i="4" s="1"/>
  <c r="K444" i="4"/>
  <c r="M444" i="4" s="1"/>
  <c r="L456" i="4"/>
  <c r="N456" i="4" s="1"/>
  <c r="K456" i="4"/>
  <c r="M456" i="4" s="1"/>
  <c r="L468" i="4"/>
  <c r="N468" i="4" s="1"/>
  <c r="K468" i="4"/>
  <c r="M468" i="4" s="1"/>
  <c r="O468" i="4" s="1"/>
  <c r="L481" i="4"/>
  <c r="N481" i="4" s="1"/>
  <c r="K481" i="4"/>
  <c r="M481" i="4" s="1"/>
  <c r="L493" i="4"/>
  <c r="N493" i="4" s="1"/>
  <c r="K493" i="4"/>
  <c r="M493" i="4" s="1"/>
  <c r="K506" i="4"/>
  <c r="M506" i="4" s="1"/>
  <c r="L506" i="4"/>
  <c r="N506" i="4" s="1"/>
  <c r="L518" i="4"/>
  <c r="N518" i="4" s="1"/>
  <c r="K518" i="4"/>
  <c r="M518" i="4" s="1"/>
  <c r="L530" i="4"/>
  <c r="N530" i="4" s="1"/>
  <c r="K530" i="4"/>
  <c r="M530" i="4" s="1"/>
  <c r="K543" i="4"/>
  <c r="M543" i="4" s="1"/>
  <c r="L543" i="4"/>
  <c r="N543" i="4" s="1"/>
  <c r="K555" i="4"/>
  <c r="M555" i="4" s="1"/>
  <c r="L555" i="4"/>
  <c r="N555" i="4" s="1"/>
  <c r="K567" i="4"/>
  <c r="M567" i="4" s="1"/>
  <c r="L567" i="4"/>
  <c r="N567" i="4" s="1"/>
  <c r="K579" i="4"/>
  <c r="M579" i="4" s="1"/>
  <c r="L579" i="4"/>
  <c r="N579" i="4" s="1"/>
  <c r="K592" i="4"/>
  <c r="M592" i="4" s="1"/>
  <c r="L592" i="4"/>
  <c r="N592" i="4" s="1"/>
  <c r="K604" i="4"/>
  <c r="M604" i="4" s="1"/>
  <c r="L604" i="4"/>
  <c r="N604" i="4" s="1"/>
  <c r="K617" i="4"/>
  <c r="M617" i="4" s="1"/>
  <c r="L617" i="4"/>
  <c r="N617" i="4" s="1"/>
  <c r="K631" i="4"/>
  <c r="M631" i="4" s="1"/>
  <c r="L631" i="4"/>
  <c r="N631" i="4" s="1"/>
  <c r="K645" i="4"/>
  <c r="M645" i="4" s="1"/>
  <c r="L645" i="4"/>
  <c r="N645" i="4" s="1"/>
  <c r="K657" i="4"/>
  <c r="M657" i="4" s="1"/>
  <c r="L657" i="4"/>
  <c r="N657" i="4" s="1"/>
  <c r="K670" i="4"/>
  <c r="M670" i="4" s="1"/>
  <c r="L670" i="4"/>
  <c r="N670" i="4" s="1"/>
  <c r="L683" i="4"/>
  <c r="N683" i="4" s="1"/>
  <c r="K683" i="4"/>
  <c r="M683" i="4" s="1"/>
  <c r="K697" i="4"/>
  <c r="M697" i="4" s="1"/>
  <c r="L697" i="4"/>
  <c r="N697" i="4" s="1"/>
  <c r="K709" i="4"/>
  <c r="M709" i="4" s="1"/>
  <c r="L709" i="4"/>
  <c r="N709" i="4" s="1"/>
  <c r="K722" i="4"/>
  <c r="M722" i="4" s="1"/>
  <c r="L722" i="4"/>
  <c r="N722" i="4" s="1"/>
  <c r="K734" i="4"/>
  <c r="M734" i="4" s="1"/>
  <c r="L734" i="4"/>
  <c r="N734" i="4" s="1"/>
  <c r="K198" i="4"/>
  <c r="M198" i="4" s="1"/>
  <c r="L198" i="4"/>
  <c r="N198" i="4" s="1"/>
  <c r="K26" i="4"/>
  <c r="M26" i="4" s="1"/>
  <c r="L26" i="4"/>
  <c r="N26" i="4" s="1"/>
  <c r="L39" i="4"/>
  <c r="N39" i="4" s="1"/>
  <c r="K39" i="4"/>
  <c r="M39" i="4" s="1"/>
  <c r="O39" i="4" s="1"/>
  <c r="K52" i="4"/>
  <c r="M52" i="4" s="1"/>
  <c r="L52" i="4"/>
  <c r="N52" i="4" s="1"/>
  <c r="L64" i="4"/>
  <c r="N64" i="4" s="1"/>
  <c r="K64" i="4"/>
  <c r="M64" i="4" s="1"/>
  <c r="K76" i="4"/>
  <c r="M76" i="4" s="1"/>
  <c r="L76" i="4"/>
  <c r="N76" i="4" s="1"/>
  <c r="L88" i="4"/>
  <c r="N88" i="4" s="1"/>
  <c r="K88" i="4"/>
  <c r="M88" i="4" s="1"/>
  <c r="K100" i="4"/>
  <c r="M100" i="4" s="1"/>
  <c r="L100" i="4"/>
  <c r="N100" i="4" s="1"/>
  <c r="K112" i="4"/>
  <c r="M112" i="4" s="1"/>
  <c r="L112" i="4"/>
  <c r="N112" i="4" s="1"/>
  <c r="K126" i="4"/>
  <c r="M126" i="4" s="1"/>
  <c r="L126" i="4"/>
  <c r="N126" i="4" s="1"/>
  <c r="K139" i="4"/>
  <c r="M139" i="4" s="1"/>
  <c r="L139" i="4"/>
  <c r="N139" i="4" s="1"/>
  <c r="K152" i="4"/>
  <c r="M152" i="4" s="1"/>
  <c r="L152" i="4"/>
  <c r="N152" i="4" s="1"/>
  <c r="K164" i="4"/>
  <c r="M164" i="4" s="1"/>
  <c r="L164" i="4"/>
  <c r="N164" i="4" s="1"/>
  <c r="K180" i="4"/>
  <c r="M180" i="4" s="1"/>
  <c r="L180" i="4"/>
  <c r="N180" i="4" s="1"/>
  <c r="K193" i="4"/>
  <c r="M193" i="4" s="1"/>
  <c r="L193" i="4"/>
  <c r="N193" i="4" s="1"/>
  <c r="L206" i="4"/>
  <c r="N206" i="4" s="1"/>
  <c r="K206" i="4"/>
  <c r="M206" i="4" s="1"/>
  <c r="K219" i="4"/>
  <c r="M219" i="4" s="1"/>
  <c r="L219" i="4"/>
  <c r="N219" i="4" s="1"/>
  <c r="K231" i="4"/>
  <c r="M231" i="4" s="1"/>
  <c r="L231" i="4"/>
  <c r="N231" i="4" s="1"/>
  <c r="L244" i="4"/>
  <c r="N244" i="4" s="1"/>
  <c r="K244" i="4"/>
  <c r="M244" i="4" s="1"/>
  <c r="K257" i="4"/>
  <c r="M257" i="4" s="1"/>
  <c r="L257" i="4"/>
  <c r="N257" i="4" s="1"/>
  <c r="K269" i="4"/>
  <c r="M269" i="4" s="1"/>
  <c r="L269" i="4"/>
  <c r="N269" i="4" s="1"/>
  <c r="L281" i="4"/>
  <c r="N281" i="4" s="1"/>
  <c r="K281" i="4"/>
  <c r="M281" i="4" s="1"/>
  <c r="K294" i="4"/>
  <c r="M294" i="4" s="1"/>
  <c r="L294" i="4"/>
  <c r="N294" i="4" s="1"/>
  <c r="L306" i="4"/>
  <c r="N306" i="4" s="1"/>
  <c r="K306" i="4"/>
  <c r="M306" i="4" s="1"/>
  <c r="L319" i="4"/>
  <c r="N319" i="4" s="1"/>
  <c r="O319" i="4" s="1"/>
  <c r="K319" i="4"/>
  <c r="M319" i="4" s="1"/>
  <c r="K331" i="4"/>
  <c r="M331" i="4" s="1"/>
  <c r="L331" i="4"/>
  <c r="N331" i="4" s="1"/>
  <c r="K345" i="4"/>
  <c r="M345" i="4" s="1"/>
  <c r="L345" i="4"/>
  <c r="N345" i="4" s="1"/>
  <c r="K357" i="4"/>
  <c r="M357" i="4" s="1"/>
  <c r="L357" i="4"/>
  <c r="N357" i="4" s="1"/>
  <c r="K369" i="4"/>
  <c r="M369" i="4" s="1"/>
  <c r="L369" i="4"/>
  <c r="N369" i="4" s="1"/>
  <c r="K382" i="4"/>
  <c r="M382" i="4" s="1"/>
  <c r="L382" i="4"/>
  <c r="N382" i="4" s="1"/>
  <c r="K395" i="4"/>
  <c r="M395" i="4" s="1"/>
  <c r="L395" i="4"/>
  <c r="N395" i="4" s="1"/>
  <c r="K408" i="4"/>
  <c r="M408" i="4" s="1"/>
  <c r="L408" i="4"/>
  <c r="N408" i="4" s="1"/>
  <c r="K420" i="4"/>
  <c r="M420" i="4" s="1"/>
  <c r="L420" i="4"/>
  <c r="N420" i="4" s="1"/>
  <c r="K432" i="4"/>
  <c r="M432" i="4" s="1"/>
  <c r="L432" i="4"/>
  <c r="N432" i="4" s="1"/>
  <c r="K445" i="4"/>
  <c r="M445" i="4" s="1"/>
  <c r="L445" i="4"/>
  <c r="N445" i="4" s="1"/>
  <c r="K457" i="4"/>
  <c r="M457" i="4" s="1"/>
  <c r="L457" i="4"/>
  <c r="N457" i="4" s="1"/>
  <c r="K469" i="4"/>
  <c r="M469" i="4" s="1"/>
  <c r="L469" i="4"/>
  <c r="N469" i="4" s="1"/>
  <c r="L482" i="4"/>
  <c r="N482" i="4" s="1"/>
  <c r="K482" i="4"/>
  <c r="M482" i="4" s="1"/>
  <c r="K494" i="4"/>
  <c r="M494" i="4" s="1"/>
  <c r="L494" i="4"/>
  <c r="N494" i="4" s="1"/>
  <c r="K507" i="4"/>
  <c r="M507" i="4" s="1"/>
  <c r="L507" i="4"/>
  <c r="N507" i="4" s="1"/>
  <c r="K519" i="4"/>
  <c r="M519" i="4" s="1"/>
  <c r="L519" i="4"/>
  <c r="N519" i="4" s="1"/>
  <c r="K531" i="4"/>
  <c r="M531" i="4" s="1"/>
  <c r="L531" i="4"/>
  <c r="N531" i="4" s="1"/>
  <c r="L544" i="4"/>
  <c r="N544" i="4" s="1"/>
  <c r="K544" i="4"/>
  <c r="M544" i="4" s="1"/>
  <c r="L556" i="4"/>
  <c r="N556" i="4" s="1"/>
  <c r="K556" i="4"/>
  <c r="M556" i="4" s="1"/>
  <c r="L568" i="4"/>
  <c r="N568" i="4" s="1"/>
  <c r="K568" i="4"/>
  <c r="M568" i="4" s="1"/>
  <c r="O568" i="4" s="1"/>
  <c r="L580" i="4"/>
  <c r="N580" i="4" s="1"/>
  <c r="K580" i="4"/>
  <c r="M580" i="4" s="1"/>
  <c r="L593" i="4"/>
  <c r="N593" i="4" s="1"/>
  <c r="K593" i="4"/>
  <c r="M593" i="4" s="1"/>
  <c r="L606" i="4"/>
  <c r="N606" i="4" s="1"/>
  <c r="K606" i="4"/>
  <c r="M606" i="4" s="1"/>
  <c r="L618" i="4"/>
  <c r="N618" i="4" s="1"/>
  <c r="K618" i="4"/>
  <c r="M618" i="4" s="1"/>
  <c r="L632" i="4"/>
  <c r="N632" i="4" s="1"/>
  <c r="K632" i="4"/>
  <c r="M632" i="4" s="1"/>
  <c r="K646" i="4"/>
  <c r="M646" i="4" s="1"/>
  <c r="L646" i="4"/>
  <c r="N646" i="4" s="1"/>
  <c r="O646" i="4" s="1"/>
  <c r="K658" i="4"/>
  <c r="M658" i="4" s="1"/>
  <c r="L658" i="4"/>
  <c r="N658" i="4" s="1"/>
  <c r="K671" i="4"/>
  <c r="M671" i="4" s="1"/>
  <c r="L671" i="4"/>
  <c r="N671" i="4" s="1"/>
  <c r="K685" i="4"/>
  <c r="M685" i="4" s="1"/>
  <c r="L685" i="4"/>
  <c r="N685" i="4" s="1"/>
  <c r="K698" i="4"/>
  <c r="M698" i="4" s="1"/>
  <c r="L698" i="4"/>
  <c r="N698" i="4" s="1"/>
  <c r="L710" i="4"/>
  <c r="N710" i="4" s="1"/>
  <c r="K710" i="4"/>
  <c r="M710" i="4" s="1"/>
  <c r="L723" i="4"/>
  <c r="N723" i="4" s="1"/>
  <c r="K723" i="4"/>
  <c r="M723" i="4" s="1"/>
  <c r="O723" i="4" s="1"/>
  <c r="L735" i="4"/>
  <c r="N735" i="4" s="1"/>
  <c r="K735" i="4"/>
  <c r="M735" i="4" s="1"/>
  <c r="L727" i="4"/>
  <c r="N727" i="4" s="1"/>
  <c r="K727" i="4"/>
  <c r="M727" i="4" s="1"/>
  <c r="L27" i="4"/>
  <c r="N27" i="4" s="1"/>
  <c r="K27" i="4"/>
  <c r="M27" i="4" s="1"/>
  <c r="K41" i="4"/>
  <c r="M41" i="4" s="1"/>
  <c r="L41" i="4"/>
  <c r="N41" i="4" s="1"/>
  <c r="K53" i="4"/>
  <c r="M53" i="4" s="1"/>
  <c r="L53" i="4"/>
  <c r="N53" i="4" s="1"/>
  <c r="L65" i="4"/>
  <c r="N65" i="4" s="1"/>
  <c r="K65" i="4"/>
  <c r="M65" i="4" s="1"/>
  <c r="O65" i="4" s="1"/>
  <c r="K77" i="4"/>
  <c r="M77" i="4" s="1"/>
  <c r="L77" i="4"/>
  <c r="N77" i="4" s="1"/>
  <c r="K89" i="4"/>
  <c r="M89" i="4" s="1"/>
  <c r="L89" i="4"/>
  <c r="N89" i="4" s="1"/>
  <c r="L101" i="4"/>
  <c r="N101" i="4" s="1"/>
  <c r="K101" i="4"/>
  <c r="M101" i="4" s="1"/>
  <c r="L113" i="4"/>
  <c r="N113" i="4" s="1"/>
  <c r="K113" i="4"/>
  <c r="M113" i="4" s="1"/>
  <c r="L127" i="4"/>
  <c r="N127" i="4" s="1"/>
  <c r="K127" i="4"/>
  <c r="M127" i="4" s="1"/>
  <c r="L140" i="4"/>
  <c r="N140" i="4" s="1"/>
  <c r="K140" i="4"/>
  <c r="M140" i="4" s="1"/>
  <c r="L153" i="4"/>
  <c r="N153" i="4" s="1"/>
  <c r="K153" i="4"/>
  <c r="M153" i="4" s="1"/>
  <c r="L165" i="4"/>
  <c r="N165" i="4" s="1"/>
  <c r="K165" i="4"/>
  <c r="M165" i="4" s="1"/>
  <c r="K181" i="4"/>
  <c r="M181" i="4" s="1"/>
  <c r="L181" i="4"/>
  <c r="N181" i="4" s="1"/>
  <c r="K194" i="4"/>
  <c r="M194" i="4" s="1"/>
  <c r="L194" i="4"/>
  <c r="N194" i="4" s="1"/>
  <c r="L208" i="4"/>
  <c r="N208" i="4" s="1"/>
  <c r="K208" i="4"/>
  <c r="M208" i="4" s="1"/>
  <c r="L220" i="4"/>
  <c r="N220" i="4" s="1"/>
  <c r="K220" i="4"/>
  <c r="M220" i="4" s="1"/>
  <c r="O220" i="4" s="1"/>
  <c r="L232" i="4"/>
  <c r="N232" i="4" s="1"/>
  <c r="K232" i="4"/>
  <c r="M232" i="4" s="1"/>
  <c r="K245" i="4"/>
  <c r="M245" i="4" s="1"/>
  <c r="L245" i="4"/>
  <c r="N245" i="4" s="1"/>
  <c r="K258" i="4"/>
  <c r="M258" i="4" s="1"/>
  <c r="L258" i="4"/>
  <c r="N258" i="4" s="1"/>
  <c r="K270" i="4"/>
  <c r="M270" i="4" s="1"/>
  <c r="L270" i="4"/>
  <c r="N270" i="4" s="1"/>
  <c r="K282" i="4"/>
  <c r="M282" i="4" s="1"/>
  <c r="L282" i="4"/>
  <c r="N282" i="4" s="1"/>
  <c r="K295" i="4"/>
  <c r="M295" i="4" s="1"/>
  <c r="L295" i="4"/>
  <c r="N295" i="4" s="1"/>
  <c r="K307" i="4"/>
  <c r="M307" i="4" s="1"/>
  <c r="L307" i="4"/>
  <c r="N307" i="4" s="1"/>
  <c r="K320" i="4"/>
  <c r="M320" i="4" s="1"/>
  <c r="L320" i="4"/>
  <c r="N320" i="4" s="1"/>
  <c r="L332" i="4"/>
  <c r="N332" i="4" s="1"/>
  <c r="K332" i="4"/>
  <c r="M332" i="4" s="1"/>
  <c r="L346" i="4"/>
  <c r="N346" i="4" s="1"/>
  <c r="K346" i="4"/>
  <c r="M346" i="4" s="1"/>
  <c r="K358" i="4"/>
  <c r="M358" i="4" s="1"/>
  <c r="L358" i="4"/>
  <c r="N358" i="4" s="1"/>
  <c r="L370" i="4"/>
  <c r="N370" i="4" s="1"/>
  <c r="K370" i="4"/>
  <c r="M370" i="4" s="1"/>
  <c r="O370" i="4" s="1"/>
  <c r="L383" i="4"/>
  <c r="N383" i="4" s="1"/>
  <c r="K383" i="4"/>
  <c r="M383" i="4" s="1"/>
  <c r="L396" i="4"/>
  <c r="N396" i="4" s="1"/>
  <c r="K396" i="4"/>
  <c r="M396" i="4" s="1"/>
  <c r="L409" i="4"/>
  <c r="N409" i="4" s="1"/>
  <c r="K409" i="4"/>
  <c r="M409" i="4" s="1"/>
  <c r="L421" i="4"/>
  <c r="N421" i="4" s="1"/>
  <c r="K421" i="4"/>
  <c r="M421" i="4" s="1"/>
  <c r="L433" i="4"/>
  <c r="N433" i="4" s="1"/>
  <c r="K433" i="4"/>
  <c r="M433" i="4" s="1"/>
  <c r="L446" i="4"/>
  <c r="N446" i="4" s="1"/>
  <c r="K446" i="4"/>
  <c r="M446" i="4" s="1"/>
  <c r="O446" i="4" s="1"/>
  <c r="L458" i="4"/>
  <c r="N458" i="4" s="1"/>
  <c r="K458" i="4"/>
  <c r="M458" i="4" s="1"/>
  <c r="L470" i="4"/>
  <c r="N470" i="4" s="1"/>
  <c r="K470" i="4"/>
  <c r="M470" i="4" s="1"/>
  <c r="K483" i="4"/>
  <c r="M483" i="4" s="1"/>
  <c r="L483" i="4"/>
  <c r="N483" i="4" s="1"/>
  <c r="K496" i="4"/>
  <c r="M496" i="4" s="1"/>
  <c r="L496" i="4"/>
  <c r="N496" i="4" s="1"/>
  <c r="K508" i="4"/>
  <c r="M508" i="4" s="1"/>
  <c r="L508" i="4"/>
  <c r="N508" i="4" s="1"/>
  <c r="K520" i="4"/>
  <c r="M520" i="4" s="1"/>
  <c r="L520" i="4"/>
  <c r="N520" i="4" s="1"/>
  <c r="K532" i="4"/>
  <c r="M532" i="4" s="1"/>
  <c r="L532" i="4"/>
  <c r="N532" i="4" s="1"/>
  <c r="K545" i="4"/>
  <c r="M545" i="4" s="1"/>
  <c r="L545" i="4"/>
  <c r="N545" i="4" s="1"/>
  <c r="K557" i="4"/>
  <c r="M557" i="4" s="1"/>
  <c r="L557" i="4"/>
  <c r="N557" i="4" s="1"/>
  <c r="K569" i="4"/>
  <c r="M569" i="4" s="1"/>
  <c r="L569" i="4"/>
  <c r="N569" i="4" s="1"/>
  <c r="K582" i="4"/>
  <c r="M582" i="4" s="1"/>
  <c r="L582" i="4"/>
  <c r="N582" i="4" s="1"/>
  <c r="K594" i="4"/>
  <c r="M594" i="4" s="1"/>
  <c r="L594" i="4"/>
  <c r="N594" i="4" s="1"/>
  <c r="K607" i="4"/>
  <c r="M607" i="4" s="1"/>
  <c r="L607" i="4"/>
  <c r="N607" i="4" s="1"/>
  <c r="K619" i="4"/>
  <c r="M619" i="4" s="1"/>
  <c r="L619" i="4"/>
  <c r="N619" i="4" s="1"/>
  <c r="K633" i="4"/>
  <c r="M633" i="4" s="1"/>
  <c r="L633" i="4"/>
  <c r="N633" i="4" s="1"/>
  <c r="L647" i="4"/>
  <c r="N647" i="4" s="1"/>
  <c r="K647" i="4"/>
  <c r="M647" i="4" s="1"/>
  <c r="L659" i="4"/>
  <c r="N659" i="4" s="1"/>
  <c r="K659" i="4"/>
  <c r="M659" i="4" s="1"/>
  <c r="L672" i="4"/>
  <c r="N672" i="4" s="1"/>
  <c r="K672" i="4"/>
  <c r="M672" i="4" s="1"/>
  <c r="O672" i="4" s="1"/>
  <c r="L686" i="4"/>
  <c r="N686" i="4" s="1"/>
  <c r="K686" i="4"/>
  <c r="M686" i="4" s="1"/>
  <c r="K699" i="4"/>
  <c r="M699" i="4" s="1"/>
  <c r="L699" i="4"/>
  <c r="N699" i="4" s="1"/>
  <c r="K711" i="4"/>
  <c r="M711" i="4" s="1"/>
  <c r="L711" i="4"/>
  <c r="N711" i="4" s="1"/>
  <c r="L724" i="4"/>
  <c r="N724" i="4" s="1"/>
  <c r="K724" i="4"/>
  <c r="M724" i="4" s="1"/>
  <c r="K736" i="4"/>
  <c r="M736" i="4" s="1"/>
  <c r="L736" i="4"/>
  <c r="N736" i="4" s="1"/>
  <c r="L223" i="4"/>
  <c r="N223" i="4" s="1"/>
  <c r="K223" i="4"/>
  <c r="M223" i="4" s="1"/>
  <c r="O223" i="4" s="1"/>
  <c r="L16" i="4"/>
  <c r="N16" i="4" s="1"/>
  <c r="K16" i="4"/>
  <c r="M16" i="4" s="1"/>
  <c r="L28" i="4"/>
  <c r="N28" i="4" s="1"/>
  <c r="K28" i="4"/>
  <c r="M28" i="4" s="1"/>
  <c r="K42" i="4"/>
  <c r="M42" i="4" s="1"/>
  <c r="L42" i="4"/>
  <c r="N42" i="4" s="1"/>
  <c r="K54" i="4"/>
  <c r="M54" i="4" s="1"/>
  <c r="L54" i="4"/>
  <c r="N54" i="4" s="1"/>
  <c r="K66" i="4"/>
  <c r="M66" i="4" s="1"/>
  <c r="L66" i="4"/>
  <c r="N66" i="4" s="1"/>
  <c r="K78" i="4"/>
  <c r="M78" i="4" s="1"/>
  <c r="L78" i="4"/>
  <c r="N78" i="4" s="1"/>
  <c r="K90" i="4"/>
  <c r="M90" i="4" s="1"/>
  <c r="L90" i="4"/>
  <c r="N90" i="4" s="1"/>
  <c r="K102" i="4"/>
  <c r="M102" i="4" s="1"/>
  <c r="L102" i="4"/>
  <c r="N102" i="4" s="1"/>
  <c r="K115" i="4"/>
  <c r="M115" i="4" s="1"/>
  <c r="L115" i="4"/>
  <c r="N115" i="4" s="1"/>
  <c r="K128" i="4"/>
  <c r="M128" i="4" s="1"/>
  <c r="L128" i="4"/>
  <c r="N128" i="4" s="1"/>
  <c r="L141" i="4"/>
  <c r="N141" i="4" s="1"/>
  <c r="K141" i="4"/>
  <c r="M141" i="4" s="1"/>
  <c r="K154" i="4"/>
  <c r="M154" i="4" s="1"/>
  <c r="L154" i="4"/>
  <c r="N154" i="4" s="1"/>
  <c r="K166" i="4"/>
  <c r="M166" i="4" s="1"/>
  <c r="L166" i="4"/>
  <c r="N166" i="4" s="1"/>
  <c r="L182" i="4"/>
  <c r="N182" i="4" s="1"/>
  <c r="K182" i="4"/>
  <c r="M182" i="4" s="1"/>
  <c r="K195" i="4"/>
  <c r="M195" i="4" s="1"/>
  <c r="L195" i="4"/>
  <c r="N195" i="4" s="1"/>
  <c r="K209" i="4"/>
  <c r="M209" i="4" s="1"/>
  <c r="L209" i="4"/>
  <c r="N209" i="4" s="1"/>
  <c r="L221" i="4"/>
  <c r="N221" i="4" s="1"/>
  <c r="K221" i="4"/>
  <c r="M221" i="4" s="1"/>
  <c r="K233" i="4"/>
  <c r="M233" i="4" s="1"/>
  <c r="L233" i="4"/>
  <c r="N233" i="4" s="1"/>
  <c r="L246" i="4"/>
  <c r="N246" i="4" s="1"/>
  <c r="K246" i="4"/>
  <c r="M246" i="4" s="1"/>
  <c r="L259" i="4"/>
  <c r="N259" i="4" s="1"/>
  <c r="K259" i="4"/>
  <c r="M259" i="4" s="1"/>
  <c r="L271" i="4"/>
  <c r="N271" i="4" s="1"/>
  <c r="K271" i="4"/>
  <c r="M271" i="4" s="1"/>
  <c r="L283" i="4"/>
  <c r="N283" i="4" s="1"/>
  <c r="K283" i="4"/>
  <c r="M283" i="4" s="1"/>
  <c r="L296" i="4"/>
  <c r="N296" i="4" s="1"/>
  <c r="K296" i="4"/>
  <c r="M296" i="4" s="1"/>
  <c r="L308" i="4"/>
  <c r="N308" i="4" s="1"/>
  <c r="K308" i="4"/>
  <c r="M308" i="4" s="1"/>
  <c r="O308" i="4" s="1"/>
  <c r="L321" i="4"/>
  <c r="N321" i="4" s="1"/>
  <c r="K321" i="4"/>
  <c r="M321" i="4" s="1"/>
  <c r="K335" i="4"/>
  <c r="M335" i="4" s="1"/>
  <c r="L335" i="4"/>
  <c r="N335" i="4" s="1"/>
  <c r="K347" i="4"/>
  <c r="M347" i="4" s="1"/>
  <c r="L347" i="4"/>
  <c r="N347" i="4" s="1"/>
  <c r="K359" i="4"/>
  <c r="M359" i="4" s="1"/>
  <c r="L359" i="4"/>
  <c r="N359" i="4" s="1"/>
  <c r="K371" i="4"/>
  <c r="M371" i="4" s="1"/>
  <c r="L371" i="4"/>
  <c r="N371" i="4" s="1"/>
  <c r="K384" i="4"/>
  <c r="M384" i="4" s="1"/>
  <c r="L384" i="4"/>
  <c r="N384" i="4" s="1"/>
  <c r="K397" i="4"/>
  <c r="M397" i="4" s="1"/>
  <c r="L397" i="4"/>
  <c r="N397" i="4" s="1"/>
  <c r="K410" i="4"/>
  <c r="M410" i="4" s="1"/>
  <c r="L410" i="4"/>
  <c r="N410" i="4" s="1"/>
  <c r="L422" i="4"/>
  <c r="N422" i="4" s="1"/>
  <c r="K422" i="4"/>
  <c r="M422" i="4" s="1"/>
  <c r="L434" i="4"/>
  <c r="N434" i="4" s="1"/>
  <c r="K434" i="4"/>
  <c r="M434" i="4" s="1"/>
  <c r="K447" i="4"/>
  <c r="M447" i="4" s="1"/>
  <c r="L447" i="4"/>
  <c r="N447" i="4" s="1"/>
  <c r="K459" i="4"/>
  <c r="M459" i="4" s="1"/>
  <c r="L459" i="4"/>
  <c r="N459" i="4" s="1"/>
  <c r="K471" i="4"/>
  <c r="M471" i="4" s="1"/>
  <c r="L471" i="4"/>
  <c r="N471" i="4" s="1"/>
  <c r="L484" i="4"/>
  <c r="N484" i="4" s="1"/>
  <c r="K484" i="4"/>
  <c r="M484" i="4" s="1"/>
  <c r="L497" i="4"/>
  <c r="N497" i="4" s="1"/>
  <c r="K497" i="4"/>
  <c r="M497" i="4" s="1"/>
  <c r="L509" i="4"/>
  <c r="N509" i="4" s="1"/>
  <c r="K509" i="4"/>
  <c r="M509" i="4" s="1"/>
  <c r="L521" i="4"/>
  <c r="N521" i="4" s="1"/>
  <c r="K521" i="4"/>
  <c r="M521" i="4" s="1"/>
  <c r="L533" i="4"/>
  <c r="N533" i="4" s="1"/>
  <c r="K533" i="4"/>
  <c r="M533" i="4" s="1"/>
  <c r="O533" i="4" s="1"/>
  <c r="L546" i="4"/>
  <c r="N546" i="4" s="1"/>
  <c r="K546" i="4"/>
  <c r="M546" i="4" s="1"/>
  <c r="L558" i="4"/>
  <c r="N558" i="4" s="1"/>
  <c r="K558" i="4"/>
  <c r="M558" i="4" s="1"/>
  <c r="L570" i="4"/>
  <c r="N570" i="4" s="1"/>
  <c r="K570" i="4"/>
  <c r="M570" i="4" s="1"/>
  <c r="L583" i="4"/>
  <c r="N583" i="4" s="1"/>
  <c r="K583" i="4"/>
  <c r="M583" i="4" s="1"/>
  <c r="L595" i="4"/>
  <c r="N595" i="4" s="1"/>
  <c r="K595" i="4"/>
  <c r="M595" i="4" s="1"/>
  <c r="L608" i="4"/>
  <c r="N608" i="4" s="1"/>
  <c r="K608" i="4"/>
  <c r="M608" i="4" s="1"/>
  <c r="O608" i="4" s="1"/>
  <c r="L620" i="4"/>
  <c r="N620" i="4" s="1"/>
  <c r="K620" i="4"/>
  <c r="M620" i="4" s="1"/>
  <c r="L634" i="4"/>
  <c r="N634" i="4" s="1"/>
  <c r="K634" i="4"/>
  <c r="M634" i="4" s="1"/>
  <c r="K648" i="4"/>
  <c r="M648" i="4" s="1"/>
  <c r="L648" i="4"/>
  <c r="N648" i="4" s="1"/>
  <c r="K660" i="4"/>
  <c r="M660" i="4" s="1"/>
  <c r="L660" i="4"/>
  <c r="N660" i="4" s="1"/>
  <c r="K673" i="4"/>
  <c r="M673" i="4" s="1"/>
  <c r="L673" i="4"/>
  <c r="N673" i="4" s="1"/>
  <c r="K687" i="4"/>
  <c r="M687" i="4" s="1"/>
  <c r="L687" i="4"/>
  <c r="N687" i="4" s="1"/>
  <c r="K700" i="4"/>
  <c r="M700" i="4" s="1"/>
  <c r="L700" i="4"/>
  <c r="N700" i="4" s="1"/>
  <c r="K712" i="4"/>
  <c r="M712" i="4" s="1"/>
  <c r="L712" i="4"/>
  <c r="N712" i="4" s="1"/>
  <c r="L725" i="4"/>
  <c r="N725" i="4" s="1"/>
  <c r="K725" i="4"/>
  <c r="M725" i="4" s="1"/>
  <c r="L737" i="4"/>
  <c r="N737" i="4" s="1"/>
  <c r="K737" i="4"/>
  <c r="M737" i="4" s="1"/>
  <c r="L388" i="8"/>
  <c r="N388" i="8" s="1"/>
  <c r="K388" i="8"/>
  <c r="M388" i="8" s="1"/>
  <c r="L414" i="8"/>
  <c r="N414" i="8" s="1"/>
  <c r="K414" i="8"/>
  <c r="M414" i="8" s="1"/>
  <c r="L438" i="8"/>
  <c r="N438" i="8" s="1"/>
  <c r="K438" i="8"/>
  <c r="M438" i="8" s="1"/>
  <c r="L463" i="8"/>
  <c r="N463" i="8" s="1"/>
  <c r="K463" i="8"/>
  <c r="M463" i="8" s="1"/>
  <c r="L488" i="8"/>
  <c r="N488" i="8" s="1"/>
  <c r="K488" i="8"/>
  <c r="M488" i="8" s="1"/>
  <c r="L513" i="8"/>
  <c r="N513" i="8" s="1"/>
  <c r="K513" i="8"/>
  <c r="M513" i="8" s="1"/>
  <c r="L537" i="8"/>
  <c r="N537" i="8" s="1"/>
  <c r="K537" i="8"/>
  <c r="M537" i="8" s="1"/>
  <c r="L562" i="8"/>
  <c r="N562" i="8" s="1"/>
  <c r="K562" i="8"/>
  <c r="M562" i="8" s="1"/>
  <c r="L583" i="8"/>
  <c r="N583" i="8" s="1"/>
  <c r="K583" i="8"/>
  <c r="M583" i="8" s="1"/>
  <c r="L687" i="8"/>
  <c r="N687" i="8" s="1"/>
  <c r="K687" i="8"/>
  <c r="M687" i="8" s="1"/>
  <c r="L717" i="8"/>
  <c r="N717" i="8" s="1"/>
  <c r="K717" i="8"/>
  <c r="M717" i="8" s="1"/>
  <c r="L384" i="8"/>
  <c r="N384" i="8" s="1"/>
  <c r="K384" i="8"/>
  <c r="M384" i="8" s="1"/>
  <c r="L410" i="8"/>
  <c r="N410" i="8" s="1"/>
  <c r="K410" i="8"/>
  <c r="M410" i="8" s="1"/>
  <c r="L434" i="8"/>
  <c r="N434" i="8" s="1"/>
  <c r="K434" i="8"/>
  <c r="M434" i="8" s="1"/>
  <c r="L459" i="8"/>
  <c r="N459" i="8" s="1"/>
  <c r="K459" i="8"/>
  <c r="M459" i="8" s="1"/>
  <c r="L484" i="8"/>
  <c r="N484" i="8" s="1"/>
  <c r="K484" i="8"/>
  <c r="M484" i="8" s="1"/>
  <c r="L509" i="8"/>
  <c r="N509" i="8" s="1"/>
  <c r="K509" i="8"/>
  <c r="M509" i="8" s="1"/>
  <c r="L533" i="8"/>
  <c r="N533" i="8" s="1"/>
  <c r="K533" i="8"/>
  <c r="M533" i="8" s="1"/>
  <c r="L558" i="8"/>
  <c r="N558" i="8" s="1"/>
  <c r="K558" i="8"/>
  <c r="M558" i="8" s="1"/>
  <c r="L595" i="8"/>
  <c r="N595" i="8" s="1"/>
  <c r="K595" i="8"/>
  <c r="M595" i="8" s="1"/>
  <c r="L608" i="8"/>
  <c r="N608" i="8" s="1"/>
  <c r="K608" i="8"/>
  <c r="M608" i="8" s="1"/>
  <c r="L620" i="8"/>
  <c r="N620" i="8" s="1"/>
  <c r="K620" i="8"/>
  <c r="M620" i="8" s="1"/>
  <c r="L634" i="8"/>
  <c r="N634" i="8" s="1"/>
  <c r="K634" i="8"/>
  <c r="M634" i="8" s="1"/>
  <c r="L648" i="8"/>
  <c r="N648" i="8" s="1"/>
  <c r="K648" i="8"/>
  <c r="M648" i="8" s="1"/>
  <c r="L660" i="8"/>
  <c r="N660" i="8" s="1"/>
  <c r="K660" i="8"/>
  <c r="M660" i="8" s="1"/>
  <c r="L673" i="8"/>
  <c r="N673" i="8" s="1"/>
  <c r="K673" i="8"/>
  <c r="M673" i="8" s="1"/>
  <c r="L696" i="8"/>
  <c r="N696" i="8" s="1"/>
  <c r="K696" i="8"/>
  <c r="M696" i="8" s="1"/>
  <c r="L730" i="8"/>
  <c r="N730" i="8" s="1"/>
  <c r="L578" i="8"/>
  <c r="N578" i="8" s="1"/>
  <c r="K578" i="8"/>
  <c r="M578" i="8" s="1"/>
  <c r="L19" i="8"/>
  <c r="N19" i="8" s="1"/>
  <c r="K19" i="8"/>
  <c r="M19" i="8" s="1"/>
  <c r="L405" i="8"/>
  <c r="N405" i="8" s="1"/>
  <c r="K405" i="8"/>
  <c r="M405" i="8" s="1"/>
  <c r="L430" i="8"/>
  <c r="N430" i="8" s="1"/>
  <c r="K430" i="8"/>
  <c r="M430" i="8" s="1"/>
  <c r="L455" i="8"/>
  <c r="N455" i="8" s="1"/>
  <c r="K455" i="8"/>
  <c r="M455" i="8" s="1"/>
  <c r="L480" i="8"/>
  <c r="N480" i="8" s="1"/>
  <c r="K480" i="8"/>
  <c r="M480" i="8" s="1"/>
  <c r="L505" i="8"/>
  <c r="N505" i="8" s="1"/>
  <c r="K505" i="8"/>
  <c r="M505" i="8" s="1"/>
  <c r="L529" i="8"/>
  <c r="N529" i="8" s="1"/>
  <c r="K529" i="8"/>
  <c r="M529" i="8" s="1"/>
  <c r="O529" i="8" s="1"/>
  <c r="L554" i="8"/>
  <c r="N554" i="8" s="1"/>
  <c r="K554" i="8"/>
  <c r="M554" i="8" s="1"/>
  <c r="L704" i="8"/>
  <c r="N704" i="8" s="1"/>
  <c r="K704" i="8"/>
  <c r="M704" i="8" s="1"/>
  <c r="L682" i="8"/>
  <c r="N682" i="8" s="1"/>
  <c r="K682" i="8"/>
  <c r="M682" i="8" s="1"/>
  <c r="L401" i="8"/>
  <c r="N401" i="8" s="1"/>
  <c r="K401" i="8"/>
  <c r="M401" i="8" s="1"/>
  <c r="L426" i="8"/>
  <c r="N426" i="8" s="1"/>
  <c r="K426" i="8"/>
  <c r="M426" i="8" s="1"/>
  <c r="L451" i="8"/>
  <c r="N451" i="8" s="1"/>
  <c r="K451" i="8"/>
  <c r="M451" i="8" s="1"/>
  <c r="O451" i="8" s="1"/>
  <c r="L475" i="8"/>
  <c r="N475" i="8" s="1"/>
  <c r="K475" i="8"/>
  <c r="M475" i="8" s="1"/>
  <c r="L501" i="8"/>
  <c r="N501" i="8" s="1"/>
  <c r="K501" i="8"/>
  <c r="M501" i="8" s="1"/>
  <c r="L525" i="8"/>
  <c r="N525" i="8" s="1"/>
  <c r="K525" i="8"/>
  <c r="M525" i="8" s="1"/>
  <c r="L550" i="8"/>
  <c r="N550" i="8" s="1"/>
  <c r="K550" i="8"/>
  <c r="M550" i="8" s="1"/>
  <c r="L574" i="8"/>
  <c r="N574" i="8" s="1"/>
  <c r="K574" i="8"/>
  <c r="M574" i="8" s="1"/>
  <c r="L591" i="8"/>
  <c r="N591" i="8" s="1"/>
  <c r="K591" i="8"/>
  <c r="M591" i="8" s="1"/>
  <c r="O591" i="8" s="1"/>
  <c r="L603" i="8"/>
  <c r="N603" i="8" s="1"/>
  <c r="K603" i="8"/>
  <c r="M603" i="8" s="1"/>
  <c r="L616" i="8"/>
  <c r="N616" i="8" s="1"/>
  <c r="K616" i="8"/>
  <c r="M616" i="8" s="1"/>
  <c r="L630" i="8"/>
  <c r="N630" i="8" s="1"/>
  <c r="K630" i="8"/>
  <c r="M630" i="8" s="1"/>
  <c r="L644" i="8"/>
  <c r="N644" i="8" s="1"/>
  <c r="K644" i="8"/>
  <c r="M644" i="8" s="1"/>
  <c r="L656" i="8"/>
  <c r="N656" i="8" s="1"/>
  <c r="K656" i="8"/>
  <c r="M656" i="8" s="1"/>
  <c r="L669" i="8"/>
  <c r="N669" i="8" s="1"/>
  <c r="K669" i="8"/>
  <c r="M669" i="8" s="1"/>
  <c r="O669" i="8" s="1"/>
  <c r="L712" i="8"/>
  <c r="N712" i="8" s="1"/>
  <c r="K712" i="8"/>
  <c r="M712" i="8" s="1"/>
  <c r="L691" i="8"/>
  <c r="N691" i="8" s="1"/>
  <c r="K691" i="8"/>
  <c r="M691" i="8" s="1"/>
  <c r="L21" i="8"/>
  <c r="N21" i="8" s="1"/>
  <c r="K21" i="8"/>
  <c r="M21" i="8" s="1"/>
  <c r="L397" i="8"/>
  <c r="N397" i="8" s="1"/>
  <c r="K397" i="8"/>
  <c r="M397" i="8" s="1"/>
  <c r="L422" i="8"/>
  <c r="N422" i="8" s="1"/>
  <c r="K422" i="8"/>
  <c r="M422" i="8" s="1"/>
  <c r="L447" i="8"/>
  <c r="N447" i="8" s="1"/>
  <c r="K447" i="8"/>
  <c r="M447" i="8" s="1"/>
  <c r="O447" i="8" s="1"/>
  <c r="L471" i="8"/>
  <c r="N471" i="8" s="1"/>
  <c r="K471" i="8"/>
  <c r="M471" i="8" s="1"/>
  <c r="L497" i="8"/>
  <c r="N497" i="8" s="1"/>
  <c r="K497" i="8"/>
  <c r="M497" i="8" s="1"/>
  <c r="L521" i="8"/>
  <c r="N521" i="8" s="1"/>
  <c r="K521" i="8"/>
  <c r="M521" i="8" s="1"/>
  <c r="L546" i="8"/>
  <c r="N546" i="8" s="1"/>
  <c r="K546" i="8"/>
  <c r="M546" i="8" s="1"/>
  <c r="L570" i="8"/>
  <c r="N570" i="8" s="1"/>
  <c r="K570" i="8"/>
  <c r="M570" i="8" s="1"/>
  <c r="L721" i="8"/>
  <c r="N721" i="8" s="1"/>
  <c r="K721" i="8"/>
  <c r="M721" i="8" s="1"/>
  <c r="O721" i="8" s="1"/>
  <c r="K22" i="8"/>
  <c r="M22" i="8" s="1"/>
  <c r="O22" i="8" s="1"/>
  <c r="K26" i="8"/>
  <c r="M26" i="8" s="1"/>
  <c r="O26" i="8" s="1"/>
  <c r="K30" i="8"/>
  <c r="M30" i="8" s="1"/>
  <c r="K35" i="8"/>
  <c r="M35" i="8" s="1"/>
  <c r="K39" i="8"/>
  <c r="M39" i="8" s="1"/>
  <c r="K44" i="8"/>
  <c r="M44" i="8" s="1"/>
  <c r="K48" i="8"/>
  <c r="M48" i="8" s="1"/>
  <c r="K52" i="8"/>
  <c r="M52" i="8" s="1"/>
  <c r="K56" i="8"/>
  <c r="M56" i="8" s="1"/>
  <c r="K60" i="8"/>
  <c r="M60" i="8" s="1"/>
  <c r="K64" i="8"/>
  <c r="M64" i="8" s="1"/>
  <c r="K68" i="8"/>
  <c r="M68" i="8" s="1"/>
  <c r="O68" i="8" s="1"/>
  <c r="K72" i="8"/>
  <c r="M72" i="8" s="1"/>
  <c r="O72" i="8" s="1"/>
  <c r="K76" i="8"/>
  <c r="M76" i="8" s="1"/>
  <c r="O76" i="8" s="1"/>
  <c r="K80" i="8"/>
  <c r="M80" i="8" s="1"/>
  <c r="K84" i="8"/>
  <c r="M84" i="8" s="1"/>
  <c r="K88" i="8"/>
  <c r="M88" i="8" s="1"/>
  <c r="K92" i="8"/>
  <c r="M92" i="8" s="1"/>
  <c r="K96" i="8"/>
  <c r="M96" i="8" s="1"/>
  <c r="K100" i="8"/>
  <c r="M100" i="8" s="1"/>
  <c r="K104" i="8"/>
  <c r="M104" i="8" s="1"/>
  <c r="K108" i="8"/>
  <c r="M108" i="8" s="1"/>
  <c r="K112" i="8"/>
  <c r="M112" i="8" s="1"/>
  <c r="K117" i="8"/>
  <c r="M117" i="8" s="1"/>
  <c r="O117" i="8" s="1"/>
  <c r="K121" i="8"/>
  <c r="M121" i="8" s="1"/>
  <c r="K126" i="8"/>
  <c r="M126" i="8" s="1"/>
  <c r="O126" i="8" s="1"/>
  <c r="K130" i="8"/>
  <c r="M130" i="8" s="1"/>
  <c r="K135" i="8"/>
  <c r="M135" i="8" s="1"/>
  <c r="K139" i="8"/>
  <c r="M139" i="8" s="1"/>
  <c r="K143" i="8"/>
  <c r="M143" i="8" s="1"/>
  <c r="K147" i="8"/>
  <c r="M147" i="8" s="1"/>
  <c r="K152" i="8"/>
  <c r="M152" i="8" s="1"/>
  <c r="K156" i="8"/>
  <c r="M156" i="8" s="1"/>
  <c r="K160" i="8"/>
  <c r="M160" i="8" s="1"/>
  <c r="K164" i="8"/>
  <c r="M164" i="8" s="1"/>
  <c r="K168" i="8"/>
  <c r="M168" i="8" s="1"/>
  <c r="O168" i="8" s="1"/>
  <c r="K173" i="8"/>
  <c r="M173" i="8" s="1"/>
  <c r="O173" i="8" s="1"/>
  <c r="K180" i="8"/>
  <c r="M180" i="8" s="1"/>
  <c r="O180" i="8" s="1"/>
  <c r="K184" i="8"/>
  <c r="M184" i="8" s="1"/>
  <c r="K189" i="8"/>
  <c r="M189" i="8" s="1"/>
  <c r="K193" i="8"/>
  <c r="M193" i="8" s="1"/>
  <c r="K198" i="8"/>
  <c r="M198" i="8" s="1"/>
  <c r="K202" i="8"/>
  <c r="M202" i="8" s="1"/>
  <c r="K206" i="8"/>
  <c r="M206" i="8" s="1"/>
  <c r="K211" i="8"/>
  <c r="M211" i="8" s="1"/>
  <c r="K215" i="8"/>
  <c r="M215" i="8" s="1"/>
  <c r="K219" i="8"/>
  <c r="M219" i="8" s="1"/>
  <c r="K223" i="8"/>
  <c r="M223" i="8" s="1"/>
  <c r="O223" i="8" s="1"/>
  <c r="K227" i="8"/>
  <c r="M227" i="8" s="1"/>
  <c r="O227" i="8" s="1"/>
  <c r="K231" i="8"/>
  <c r="M231" i="8" s="1"/>
  <c r="O231" i="8" s="1"/>
  <c r="K235" i="8"/>
  <c r="M235" i="8" s="1"/>
  <c r="K239" i="8"/>
  <c r="M239" i="8" s="1"/>
  <c r="K244" i="8"/>
  <c r="M244" i="8" s="1"/>
  <c r="K248" i="8"/>
  <c r="M248" i="8" s="1"/>
  <c r="K252" i="8"/>
  <c r="M252" i="8" s="1"/>
  <c r="O252" i="8" s="1"/>
  <c r="K257" i="8"/>
  <c r="M257" i="8" s="1"/>
  <c r="K261" i="8"/>
  <c r="M261" i="8" s="1"/>
  <c r="O261" i="8" s="1"/>
  <c r="K265" i="8"/>
  <c r="M265" i="8" s="1"/>
  <c r="K269" i="8"/>
  <c r="M269" i="8" s="1"/>
  <c r="K273" i="8"/>
  <c r="M273" i="8" s="1"/>
  <c r="O273" i="8" s="1"/>
  <c r="K277" i="8"/>
  <c r="M277" i="8" s="1"/>
  <c r="K281" i="8"/>
  <c r="M281" i="8" s="1"/>
  <c r="O281" i="8" s="1"/>
  <c r="K285" i="8"/>
  <c r="M285" i="8" s="1"/>
  <c r="K290" i="8"/>
  <c r="M290" i="8" s="1"/>
  <c r="K294" i="8"/>
  <c r="M294" i="8" s="1"/>
  <c r="K298" i="8"/>
  <c r="M298" i="8" s="1"/>
  <c r="K302" i="8"/>
  <c r="M302" i="8" s="1"/>
  <c r="O302" i="8" s="1"/>
  <c r="K306" i="8"/>
  <c r="M306" i="8" s="1"/>
  <c r="K310" i="8"/>
  <c r="M310" i="8" s="1"/>
  <c r="K315" i="8"/>
  <c r="M315" i="8" s="1"/>
  <c r="K319" i="8"/>
  <c r="M319" i="8" s="1"/>
  <c r="K323" i="8"/>
  <c r="M323" i="8" s="1"/>
  <c r="O323" i="8" s="1"/>
  <c r="K327" i="8"/>
  <c r="M327" i="8" s="1"/>
  <c r="O327" i="8" s="1"/>
  <c r="K331" i="8"/>
  <c r="M331" i="8" s="1"/>
  <c r="O331" i="8" s="1"/>
  <c r="K337" i="8"/>
  <c r="M337" i="8" s="1"/>
  <c r="K341" i="8"/>
  <c r="M341" i="8" s="1"/>
  <c r="K345" i="8"/>
  <c r="M345" i="8" s="1"/>
  <c r="K349" i="8"/>
  <c r="M349" i="8" s="1"/>
  <c r="K353" i="8"/>
  <c r="M353" i="8" s="1"/>
  <c r="L587" i="8"/>
  <c r="N587" i="8" s="1"/>
  <c r="K587" i="8"/>
  <c r="M587" i="8" s="1"/>
  <c r="L700" i="8"/>
  <c r="N700" i="8" s="1"/>
  <c r="K700" i="8"/>
  <c r="M700" i="8" s="1"/>
  <c r="L708" i="8"/>
  <c r="N708" i="8" s="1"/>
  <c r="K708" i="8"/>
  <c r="M708" i="8" s="1"/>
  <c r="L392" i="8"/>
  <c r="N392" i="8" s="1"/>
  <c r="K392" i="8"/>
  <c r="M392" i="8" s="1"/>
  <c r="L418" i="8"/>
  <c r="N418" i="8" s="1"/>
  <c r="K418" i="8"/>
  <c r="M418" i="8" s="1"/>
  <c r="L443" i="8"/>
  <c r="N443" i="8" s="1"/>
  <c r="K443" i="8"/>
  <c r="M443" i="8" s="1"/>
  <c r="L467" i="8"/>
  <c r="N467" i="8" s="1"/>
  <c r="K467" i="8"/>
  <c r="M467" i="8" s="1"/>
  <c r="L492" i="8"/>
  <c r="N492" i="8" s="1"/>
  <c r="K492" i="8"/>
  <c r="M492" i="8" s="1"/>
  <c r="L517" i="8"/>
  <c r="N517" i="8" s="1"/>
  <c r="K517" i="8"/>
  <c r="M517" i="8" s="1"/>
  <c r="L542" i="8"/>
  <c r="N542" i="8" s="1"/>
  <c r="K542" i="8"/>
  <c r="M542" i="8" s="1"/>
  <c r="L566" i="8"/>
  <c r="N566" i="8" s="1"/>
  <c r="K566" i="8"/>
  <c r="M566" i="8" s="1"/>
  <c r="L599" i="8"/>
  <c r="N599" i="8" s="1"/>
  <c r="K599" i="8"/>
  <c r="M599" i="8" s="1"/>
  <c r="L612" i="8"/>
  <c r="N612" i="8" s="1"/>
  <c r="K612" i="8"/>
  <c r="M612" i="8" s="1"/>
  <c r="L626" i="8"/>
  <c r="N626" i="8" s="1"/>
  <c r="K626" i="8"/>
  <c r="M626" i="8" s="1"/>
  <c r="L639" i="8"/>
  <c r="N639" i="8" s="1"/>
  <c r="O639" i="8" s="1"/>
  <c r="K639" i="8"/>
  <c r="M639" i="8" s="1"/>
  <c r="L652" i="8"/>
  <c r="N652" i="8" s="1"/>
  <c r="K652" i="8"/>
  <c r="M652" i="8" s="1"/>
  <c r="L665" i="8"/>
  <c r="N665" i="8" s="1"/>
  <c r="K665" i="8"/>
  <c r="M665" i="8" s="1"/>
  <c r="L678" i="8"/>
  <c r="N678" i="8" s="1"/>
  <c r="K678" i="8"/>
  <c r="M678" i="8" s="1"/>
  <c r="L734" i="8"/>
  <c r="N734" i="8" s="1"/>
  <c r="K727" i="8"/>
  <c r="M727" i="8" s="1"/>
  <c r="K731" i="8"/>
  <c r="M731" i="8" s="1"/>
  <c r="K735" i="8"/>
  <c r="M735" i="8" s="1"/>
  <c r="K594" i="8"/>
  <c r="M594" i="8" s="1"/>
  <c r="O594" i="8" s="1"/>
  <c r="K598" i="8"/>
  <c r="M598" i="8" s="1"/>
  <c r="K602" i="8"/>
  <c r="M602" i="8" s="1"/>
  <c r="O602" i="8" s="1"/>
  <c r="K607" i="8"/>
  <c r="M607" i="8" s="1"/>
  <c r="K611" i="8"/>
  <c r="M611" i="8" s="1"/>
  <c r="K615" i="8"/>
  <c r="M615" i="8" s="1"/>
  <c r="K619" i="8"/>
  <c r="M619" i="8" s="1"/>
  <c r="K623" i="8"/>
  <c r="M623" i="8" s="1"/>
  <c r="K629" i="8"/>
  <c r="M629" i="8" s="1"/>
  <c r="K633" i="8"/>
  <c r="M633" i="8" s="1"/>
  <c r="K637" i="8"/>
  <c r="M637" i="8" s="1"/>
  <c r="K642" i="8"/>
  <c r="M642" i="8" s="1"/>
  <c r="K647" i="8"/>
  <c r="M647" i="8" s="1"/>
  <c r="O647" i="8" s="1"/>
  <c r="K651" i="8"/>
  <c r="M651" i="8" s="1"/>
  <c r="K655" i="8"/>
  <c r="M655" i="8" s="1"/>
  <c r="O655" i="8" s="1"/>
  <c r="K659" i="8"/>
  <c r="M659" i="8" s="1"/>
  <c r="K663" i="8"/>
  <c r="M663" i="8" s="1"/>
  <c r="K668" i="8"/>
  <c r="M668" i="8" s="1"/>
  <c r="K672" i="8"/>
  <c r="M672" i="8" s="1"/>
  <c r="K677" i="8"/>
  <c r="M677" i="8" s="1"/>
  <c r="K681" i="8"/>
  <c r="M681" i="8" s="1"/>
  <c r="K686" i="8"/>
  <c r="M686" i="8" s="1"/>
  <c r="K690" i="8"/>
  <c r="M690" i="8" s="1"/>
  <c r="K695" i="8"/>
  <c r="M695" i="8" s="1"/>
  <c r="K699" i="8"/>
  <c r="M699" i="8" s="1"/>
  <c r="O699" i="8" s="1"/>
  <c r="K703" i="8"/>
  <c r="M703" i="8" s="1"/>
  <c r="K707" i="8"/>
  <c r="M707" i="8" s="1"/>
  <c r="O707" i="8" s="1"/>
  <c r="K711" i="8"/>
  <c r="M711" i="8" s="1"/>
  <c r="K716" i="8"/>
  <c r="M716" i="8" s="1"/>
  <c r="K720" i="8"/>
  <c r="M720" i="8" s="1"/>
  <c r="L724" i="8"/>
  <c r="N724" i="8" s="1"/>
  <c r="K724" i="8"/>
  <c r="M724" i="8" s="1"/>
  <c r="K737" i="8"/>
  <c r="M737" i="8" s="1"/>
  <c r="L17" i="10"/>
  <c r="N17" i="10" s="1"/>
  <c r="K17" i="10"/>
  <c r="M17" i="10" s="1"/>
  <c r="L29" i="10"/>
  <c r="N29" i="10" s="1"/>
  <c r="K29" i="10"/>
  <c r="M29" i="10" s="1"/>
  <c r="K43" i="10"/>
  <c r="M43" i="10" s="1"/>
  <c r="L43" i="10"/>
  <c r="N43" i="10" s="1"/>
  <c r="K55" i="10"/>
  <c r="M55" i="10" s="1"/>
  <c r="L55" i="10"/>
  <c r="N55" i="10" s="1"/>
  <c r="K67" i="10"/>
  <c r="M67" i="10" s="1"/>
  <c r="L67" i="10"/>
  <c r="N67" i="10" s="1"/>
  <c r="K79" i="10"/>
  <c r="M79" i="10" s="1"/>
  <c r="L79" i="10"/>
  <c r="N79" i="10" s="1"/>
  <c r="K91" i="10"/>
  <c r="M91" i="10" s="1"/>
  <c r="L91" i="10"/>
  <c r="N91" i="10" s="1"/>
  <c r="L103" i="10"/>
  <c r="N103" i="10" s="1"/>
  <c r="K103" i="10"/>
  <c r="M103" i="10" s="1"/>
  <c r="K116" i="10"/>
  <c r="M116" i="10" s="1"/>
  <c r="L116" i="10"/>
  <c r="N116" i="10" s="1"/>
  <c r="L129" i="10"/>
  <c r="N129" i="10" s="1"/>
  <c r="K129" i="10"/>
  <c r="M129" i="10" s="1"/>
  <c r="K142" i="10"/>
  <c r="M142" i="10" s="1"/>
  <c r="L142" i="10"/>
  <c r="N142" i="10" s="1"/>
  <c r="K155" i="10"/>
  <c r="M155" i="10" s="1"/>
  <c r="L155" i="10"/>
  <c r="N155" i="10" s="1"/>
  <c r="K167" i="10"/>
  <c r="M167" i="10" s="1"/>
  <c r="L167" i="10"/>
  <c r="N167" i="10" s="1"/>
  <c r="L183" i="10"/>
  <c r="N183" i="10" s="1"/>
  <c r="K183" i="10"/>
  <c r="M183" i="10" s="1"/>
  <c r="L196" i="10"/>
  <c r="N196" i="10" s="1"/>
  <c r="K196" i="10"/>
  <c r="M196" i="10" s="1"/>
  <c r="L210" i="10"/>
  <c r="N210" i="10" s="1"/>
  <c r="K210" i="10"/>
  <c r="M210" i="10" s="1"/>
  <c r="L222" i="10"/>
  <c r="N222" i="10" s="1"/>
  <c r="K222" i="10"/>
  <c r="M222" i="10" s="1"/>
  <c r="L234" i="10"/>
  <c r="N234" i="10" s="1"/>
  <c r="K234" i="10"/>
  <c r="M234" i="10" s="1"/>
  <c r="K247" i="10"/>
  <c r="M247" i="10" s="1"/>
  <c r="L247" i="10"/>
  <c r="N247" i="10" s="1"/>
  <c r="L260" i="10"/>
  <c r="N260" i="10" s="1"/>
  <c r="K260" i="10"/>
  <c r="M260" i="10" s="1"/>
  <c r="K272" i="10"/>
  <c r="M272" i="10" s="1"/>
  <c r="L272" i="10"/>
  <c r="N272" i="10" s="1"/>
  <c r="L284" i="10"/>
  <c r="N284" i="10" s="1"/>
  <c r="K284" i="10"/>
  <c r="M284" i="10" s="1"/>
  <c r="K297" i="10"/>
  <c r="M297" i="10" s="1"/>
  <c r="L297" i="10"/>
  <c r="N297" i="10" s="1"/>
  <c r="L309" i="10"/>
  <c r="N309" i="10" s="1"/>
  <c r="K309" i="10"/>
  <c r="M309" i="10" s="1"/>
  <c r="L322" i="10"/>
  <c r="N322" i="10" s="1"/>
  <c r="K322" i="10"/>
  <c r="M322" i="10" s="1"/>
  <c r="L336" i="10"/>
  <c r="N336" i="10" s="1"/>
  <c r="K336" i="10"/>
  <c r="M336" i="10" s="1"/>
  <c r="L348" i="10"/>
  <c r="N348" i="10" s="1"/>
  <c r="K348" i="10"/>
  <c r="M348" i="10" s="1"/>
  <c r="L360" i="10"/>
  <c r="N360" i="10" s="1"/>
  <c r="K360" i="10"/>
  <c r="M360" i="10" s="1"/>
  <c r="L372" i="10"/>
  <c r="N372" i="10" s="1"/>
  <c r="K372" i="10"/>
  <c r="M372" i="10" s="1"/>
  <c r="K385" i="10"/>
  <c r="M385" i="10" s="1"/>
  <c r="L385" i="10"/>
  <c r="N385" i="10" s="1"/>
  <c r="L398" i="10"/>
  <c r="N398" i="10" s="1"/>
  <c r="K398" i="10"/>
  <c r="M398" i="10" s="1"/>
  <c r="L411" i="10"/>
  <c r="N411" i="10" s="1"/>
  <c r="K411" i="10"/>
  <c r="M411" i="10" s="1"/>
  <c r="L423" i="10"/>
  <c r="N423" i="10" s="1"/>
  <c r="K423" i="10"/>
  <c r="M423" i="10" s="1"/>
  <c r="L435" i="10"/>
  <c r="N435" i="10" s="1"/>
  <c r="K435" i="10"/>
  <c r="M435" i="10" s="1"/>
  <c r="K448" i="10"/>
  <c r="M448" i="10" s="1"/>
  <c r="L448" i="10"/>
  <c r="N448" i="10" s="1"/>
  <c r="K460" i="10"/>
  <c r="M460" i="10" s="1"/>
  <c r="L460" i="10"/>
  <c r="N460" i="10" s="1"/>
  <c r="K472" i="10"/>
  <c r="M472" i="10" s="1"/>
  <c r="L472" i="10"/>
  <c r="N472" i="10" s="1"/>
  <c r="K485" i="10"/>
  <c r="M485" i="10" s="1"/>
  <c r="L485" i="10"/>
  <c r="N485" i="10" s="1"/>
  <c r="K498" i="10"/>
  <c r="M498" i="10" s="1"/>
  <c r="L498" i="10"/>
  <c r="N498" i="10" s="1"/>
  <c r="L510" i="10"/>
  <c r="N510" i="10" s="1"/>
  <c r="K510" i="10"/>
  <c r="M510" i="10" s="1"/>
  <c r="K522" i="10"/>
  <c r="M522" i="10" s="1"/>
  <c r="L522" i="10"/>
  <c r="N522" i="10" s="1"/>
  <c r="K534" i="10"/>
  <c r="M534" i="10" s="1"/>
  <c r="L534" i="10"/>
  <c r="N534" i="10" s="1"/>
  <c r="K547" i="10"/>
  <c r="M547" i="10" s="1"/>
  <c r="L547" i="10"/>
  <c r="N547" i="10" s="1"/>
  <c r="K559" i="10"/>
  <c r="M559" i="10" s="1"/>
  <c r="L559" i="10"/>
  <c r="N559" i="10" s="1"/>
  <c r="K571" i="10"/>
  <c r="M571" i="10" s="1"/>
  <c r="L571" i="10"/>
  <c r="N571" i="10" s="1"/>
  <c r="L584" i="10"/>
  <c r="N584" i="10" s="1"/>
  <c r="K584" i="10"/>
  <c r="M584" i="10" s="1"/>
  <c r="L596" i="10"/>
  <c r="N596" i="10" s="1"/>
  <c r="K596" i="10"/>
  <c r="M596" i="10" s="1"/>
  <c r="K609" i="10"/>
  <c r="M609" i="10" s="1"/>
  <c r="L609" i="10"/>
  <c r="N609" i="10" s="1"/>
  <c r="K621" i="10"/>
  <c r="M621" i="10" s="1"/>
  <c r="L621" i="10"/>
  <c r="N621" i="10" s="1"/>
  <c r="L635" i="10"/>
  <c r="N635" i="10" s="1"/>
  <c r="K635" i="10"/>
  <c r="M635" i="10" s="1"/>
  <c r="K649" i="10"/>
  <c r="M649" i="10" s="1"/>
  <c r="L649" i="10"/>
  <c r="N649" i="10" s="1"/>
  <c r="K661" i="10"/>
  <c r="M661" i="10" s="1"/>
  <c r="L661" i="10"/>
  <c r="N661" i="10" s="1"/>
  <c r="K675" i="10"/>
  <c r="M675" i="10" s="1"/>
  <c r="L675" i="10"/>
  <c r="N675" i="10" s="1"/>
  <c r="K688" i="10"/>
  <c r="M688" i="10" s="1"/>
  <c r="L688" i="10"/>
  <c r="N688" i="10" s="1"/>
  <c r="K701" i="10"/>
  <c r="M701" i="10" s="1"/>
  <c r="L701" i="10"/>
  <c r="N701" i="10" s="1"/>
  <c r="K713" i="10"/>
  <c r="M713" i="10" s="1"/>
  <c r="L713" i="10"/>
  <c r="N713" i="10" s="1"/>
  <c r="L726" i="10"/>
  <c r="N726" i="10" s="1"/>
  <c r="K726" i="10"/>
  <c r="M726" i="10" s="1"/>
  <c r="K18" i="10"/>
  <c r="M18" i="10" s="1"/>
  <c r="L18" i="10"/>
  <c r="N18" i="10" s="1"/>
  <c r="L30" i="10"/>
  <c r="N30" i="10" s="1"/>
  <c r="K30" i="10"/>
  <c r="M30" i="10" s="1"/>
  <c r="K44" i="10"/>
  <c r="M44" i="10" s="1"/>
  <c r="L44" i="10"/>
  <c r="N44" i="10" s="1"/>
  <c r="K56" i="10"/>
  <c r="M56" i="10" s="1"/>
  <c r="L56" i="10"/>
  <c r="N56" i="10" s="1"/>
  <c r="K68" i="10"/>
  <c r="M68" i="10" s="1"/>
  <c r="L68" i="10"/>
  <c r="N68" i="10" s="1"/>
  <c r="K80" i="10"/>
  <c r="M80" i="10" s="1"/>
  <c r="L80" i="10"/>
  <c r="N80" i="10" s="1"/>
  <c r="K92" i="10"/>
  <c r="M92" i="10" s="1"/>
  <c r="L92" i="10"/>
  <c r="N92" i="10" s="1"/>
  <c r="K104" i="10"/>
  <c r="M104" i="10" s="1"/>
  <c r="L104" i="10"/>
  <c r="N104" i="10" s="1"/>
  <c r="L117" i="10"/>
  <c r="N117" i="10" s="1"/>
  <c r="K117" i="10"/>
  <c r="M117" i="10" s="1"/>
  <c r="K130" i="10"/>
  <c r="M130" i="10" s="1"/>
  <c r="L130" i="10"/>
  <c r="N130" i="10" s="1"/>
  <c r="K143" i="10"/>
  <c r="M143" i="10" s="1"/>
  <c r="L143" i="10"/>
  <c r="N143" i="10" s="1"/>
  <c r="K156" i="10"/>
  <c r="M156" i="10" s="1"/>
  <c r="L156" i="10"/>
  <c r="N156" i="10" s="1"/>
  <c r="K168" i="10"/>
  <c r="M168" i="10" s="1"/>
  <c r="L168" i="10"/>
  <c r="N168" i="10" s="1"/>
  <c r="K184" i="10"/>
  <c r="M184" i="10" s="1"/>
  <c r="L184" i="10"/>
  <c r="N184" i="10" s="1"/>
  <c r="L198" i="10"/>
  <c r="N198" i="10" s="1"/>
  <c r="K198" i="10"/>
  <c r="M198" i="10" s="1"/>
  <c r="K211" i="10"/>
  <c r="M211" i="10" s="1"/>
  <c r="L211" i="10"/>
  <c r="N211" i="10" s="1"/>
  <c r="K223" i="10"/>
  <c r="M223" i="10" s="1"/>
  <c r="L223" i="10"/>
  <c r="N223" i="10" s="1"/>
  <c r="K235" i="10"/>
  <c r="M235" i="10" s="1"/>
  <c r="L235" i="10"/>
  <c r="N235" i="10" s="1"/>
  <c r="L248" i="10"/>
  <c r="N248" i="10" s="1"/>
  <c r="K248" i="10"/>
  <c r="M248" i="10" s="1"/>
  <c r="K261" i="10"/>
  <c r="M261" i="10" s="1"/>
  <c r="L261" i="10"/>
  <c r="N261" i="10" s="1"/>
  <c r="K273" i="10"/>
  <c r="M273" i="10" s="1"/>
  <c r="L273" i="10"/>
  <c r="N273" i="10" s="1"/>
  <c r="K285" i="10"/>
  <c r="M285" i="10" s="1"/>
  <c r="L285" i="10"/>
  <c r="N285" i="10" s="1"/>
  <c r="K298" i="10"/>
  <c r="M298" i="10" s="1"/>
  <c r="L298" i="10"/>
  <c r="N298" i="10" s="1"/>
  <c r="K310" i="10"/>
  <c r="M310" i="10" s="1"/>
  <c r="L310" i="10"/>
  <c r="N310" i="10" s="1"/>
  <c r="K323" i="10"/>
  <c r="M323" i="10" s="1"/>
  <c r="L323" i="10"/>
  <c r="N323" i="10" s="1"/>
  <c r="K337" i="10"/>
  <c r="M337" i="10" s="1"/>
  <c r="L337" i="10"/>
  <c r="N337" i="10" s="1"/>
  <c r="K349" i="10"/>
  <c r="M349" i="10" s="1"/>
  <c r="L349" i="10"/>
  <c r="N349" i="10" s="1"/>
  <c r="K361" i="10"/>
  <c r="M361" i="10" s="1"/>
  <c r="L361" i="10"/>
  <c r="N361" i="10" s="1"/>
  <c r="K373" i="10"/>
  <c r="M373" i="10" s="1"/>
  <c r="L373" i="10"/>
  <c r="N373" i="10" s="1"/>
  <c r="L386" i="10"/>
  <c r="N386" i="10" s="1"/>
  <c r="K386" i="10"/>
  <c r="M386" i="10" s="1"/>
  <c r="K399" i="10"/>
  <c r="M399" i="10" s="1"/>
  <c r="L399" i="10"/>
  <c r="N399" i="10" s="1"/>
  <c r="L412" i="10"/>
  <c r="N412" i="10" s="1"/>
  <c r="K412" i="10"/>
  <c r="M412" i="10" s="1"/>
  <c r="K424" i="10"/>
  <c r="M424" i="10" s="1"/>
  <c r="L424" i="10"/>
  <c r="N424" i="10" s="1"/>
  <c r="K436" i="10"/>
  <c r="M436" i="10" s="1"/>
  <c r="L436" i="10"/>
  <c r="N436" i="10" s="1"/>
  <c r="K449" i="10"/>
  <c r="M449" i="10" s="1"/>
  <c r="L449" i="10"/>
  <c r="N449" i="10" s="1"/>
  <c r="K461" i="10"/>
  <c r="M461" i="10" s="1"/>
  <c r="L461" i="10"/>
  <c r="N461" i="10" s="1"/>
  <c r="K473" i="10"/>
  <c r="M473" i="10" s="1"/>
  <c r="L473" i="10"/>
  <c r="N473" i="10" s="1"/>
  <c r="K486" i="10"/>
  <c r="M486" i="10" s="1"/>
  <c r="L486" i="10"/>
  <c r="N486" i="10" s="1"/>
  <c r="K499" i="10"/>
  <c r="M499" i="10" s="1"/>
  <c r="L499" i="10"/>
  <c r="N499" i="10" s="1"/>
  <c r="K511" i="10"/>
  <c r="M511" i="10" s="1"/>
  <c r="L511" i="10"/>
  <c r="N511" i="10" s="1"/>
  <c r="K523" i="10"/>
  <c r="M523" i="10" s="1"/>
  <c r="L523" i="10"/>
  <c r="N523" i="10" s="1"/>
  <c r="K535" i="10"/>
  <c r="M535" i="10" s="1"/>
  <c r="L535" i="10"/>
  <c r="N535" i="10" s="1"/>
  <c r="L548" i="10"/>
  <c r="N548" i="10" s="1"/>
  <c r="K548" i="10"/>
  <c r="M548" i="10" s="1"/>
  <c r="K560" i="10"/>
  <c r="M560" i="10" s="1"/>
  <c r="L560" i="10"/>
  <c r="N560" i="10" s="1"/>
  <c r="L572" i="10"/>
  <c r="N572" i="10" s="1"/>
  <c r="K572" i="10"/>
  <c r="M572" i="10" s="1"/>
  <c r="L585" i="10"/>
  <c r="N585" i="10" s="1"/>
  <c r="K585" i="10"/>
  <c r="M585" i="10" s="1"/>
  <c r="K597" i="10"/>
  <c r="M597" i="10" s="1"/>
  <c r="L597" i="10"/>
  <c r="N597" i="10" s="1"/>
  <c r="K610" i="10"/>
  <c r="M610" i="10" s="1"/>
  <c r="L610" i="10"/>
  <c r="N610" i="10" s="1"/>
  <c r="L622" i="10"/>
  <c r="N622" i="10" s="1"/>
  <c r="K622" i="10"/>
  <c r="M622" i="10" s="1"/>
  <c r="K636" i="10"/>
  <c r="M636" i="10" s="1"/>
  <c r="L636" i="10"/>
  <c r="N636" i="10" s="1"/>
  <c r="K650" i="10"/>
  <c r="M650" i="10" s="1"/>
  <c r="L650" i="10"/>
  <c r="N650" i="10" s="1"/>
  <c r="K662" i="10"/>
  <c r="M662" i="10" s="1"/>
  <c r="L662" i="10"/>
  <c r="N662" i="10" s="1"/>
  <c r="K676" i="10"/>
  <c r="M676" i="10" s="1"/>
  <c r="L676" i="10"/>
  <c r="N676" i="10" s="1"/>
  <c r="K689" i="10"/>
  <c r="M689" i="10" s="1"/>
  <c r="L689" i="10"/>
  <c r="N689" i="10" s="1"/>
  <c r="L702" i="10"/>
  <c r="N702" i="10" s="1"/>
  <c r="K702" i="10"/>
  <c r="M702" i="10" s="1"/>
  <c r="L714" i="10"/>
  <c r="N714" i="10" s="1"/>
  <c r="K714" i="10"/>
  <c r="M714" i="10" s="1"/>
  <c r="K727" i="10"/>
  <c r="M727" i="10" s="1"/>
  <c r="L727" i="10"/>
  <c r="N727" i="10" s="1"/>
  <c r="K19" i="10"/>
  <c r="M19" i="10" s="1"/>
  <c r="L19" i="10"/>
  <c r="N19" i="10" s="1"/>
  <c r="K31" i="10"/>
  <c r="M31" i="10" s="1"/>
  <c r="L31" i="10"/>
  <c r="N31" i="10" s="1"/>
  <c r="L45" i="10"/>
  <c r="N45" i="10" s="1"/>
  <c r="K45" i="10"/>
  <c r="M45" i="10" s="1"/>
  <c r="K57" i="10"/>
  <c r="M57" i="10" s="1"/>
  <c r="L57" i="10"/>
  <c r="N57" i="10" s="1"/>
  <c r="L69" i="10"/>
  <c r="N69" i="10" s="1"/>
  <c r="K69" i="10"/>
  <c r="M69" i="10" s="1"/>
  <c r="K81" i="10"/>
  <c r="M81" i="10" s="1"/>
  <c r="L81" i="10"/>
  <c r="N81" i="10" s="1"/>
  <c r="L93" i="10"/>
  <c r="N93" i="10" s="1"/>
  <c r="K93" i="10"/>
  <c r="M93" i="10" s="1"/>
  <c r="L105" i="10"/>
  <c r="N105" i="10" s="1"/>
  <c r="K105" i="10"/>
  <c r="M105" i="10" s="1"/>
  <c r="L118" i="10"/>
  <c r="N118" i="10" s="1"/>
  <c r="K118" i="10"/>
  <c r="M118" i="10" s="1"/>
  <c r="L131" i="10"/>
  <c r="N131" i="10" s="1"/>
  <c r="K131" i="10"/>
  <c r="M131" i="10" s="1"/>
  <c r="K144" i="10"/>
  <c r="M144" i="10" s="1"/>
  <c r="L144" i="10"/>
  <c r="N144" i="10" s="1"/>
  <c r="K157" i="10"/>
  <c r="M157" i="10" s="1"/>
  <c r="L157" i="10"/>
  <c r="N157" i="10" s="1"/>
  <c r="K169" i="10"/>
  <c r="M169" i="10" s="1"/>
  <c r="L169" i="10"/>
  <c r="N169" i="10" s="1"/>
  <c r="K185" i="10"/>
  <c r="M185" i="10" s="1"/>
  <c r="L185" i="10"/>
  <c r="N185" i="10" s="1"/>
  <c r="K199" i="10"/>
  <c r="M199" i="10" s="1"/>
  <c r="L199" i="10"/>
  <c r="N199" i="10" s="1"/>
  <c r="L212" i="10"/>
  <c r="N212" i="10" s="1"/>
  <c r="K212" i="10"/>
  <c r="M212" i="10" s="1"/>
  <c r="L224" i="10"/>
  <c r="N224" i="10" s="1"/>
  <c r="K224" i="10"/>
  <c r="M224" i="10" s="1"/>
  <c r="L236" i="10"/>
  <c r="N236" i="10" s="1"/>
  <c r="K236" i="10"/>
  <c r="M236" i="10" s="1"/>
  <c r="K249" i="10"/>
  <c r="M249" i="10" s="1"/>
  <c r="L249" i="10"/>
  <c r="N249" i="10" s="1"/>
  <c r="K262" i="10"/>
  <c r="M262" i="10" s="1"/>
  <c r="L262" i="10"/>
  <c r="N262" i="10" s="1"/>
  <c r="K274" i="10"/>
  <c r="M274" i="10" s="1"/>
  <c r="L274" i="10"/>
  <c r="N274" i="10" s="1"/>
  <c r="K287" i="10"/>
  <c r="M287" i="10" s="1"/>
  <c r="L287" i="10"/>
  <c r="N287" i="10" s="1"/>
  <c r="K299" i="10"/>
  <c r="M299" i="10" s="1"/>
  <c r="L299" i="10"/>
  <c r="N299" i="10" s="1"/>
  <c r="K312" i="10"/>
  <c r="M312" i="10" s="1"/>
  <c r="L312" i="10"/>
  <c r="N312" i="10" s="1"/>
  <c r="K324" i="10"/>
  <c r="M324" i="10" s="1"/>
  <c r="L324" i="10"/>
  <c r="N324" i="10" s="1"/>
  <c r="L338" i="10"/>
  <c r="N338" i="10" s="1"/>
  <c r="K338" i="10"/>
  <c r="M338" i="10" s="1"/>
  <c r="K350" i="10"/>
  <c r="M350" i="10" s="1"/>
  <c r="L350" i="10"/>
  <c r="N350" i="10" s="1"/>
  <c r="K362" i="10"/>
  <c r="M362" i="10" s="1"/>
  <c r="L362" i="10"/>
  <c r="N362" i="10" s="1"/>
  <c r="L374" i="10"/>
  <c r="N374" i="10" s="1"/>
  <c r="K374" i="10"/>
  <c r="M374" i="10" s="1"/>
  <c r="K387" i="10"/>
  <c r="M387" i="10" s="1"/>
  <c r="L387" i="10"/>
  <c r="N387" i="10" s="1"/>
  <c r="K400" i="10"/>
  <c r="M400" i="10" s="1"/>
  <c r="L400" i="10"/>
  <c r="N400" i="10" s="1"/>
  <c r="K413" i="10"/>
  <c r="M413" i="10" s="1"/>
  <c r="L413" i="10"/>
  <c r="N413" i="10" s="1"/>
  <c r="L425" i="10"/>
  <c r="N425" i="10" s="1"/>
  <c r="K425" i="10"/>
  <c r="M425" i="10" s="1"/>
  <c r="K437" i="10"/>
  <c r="M437" i="10" s="1"/>
  <c r="L437" i="10"/>
  <c r="N437" i="10" s="1"/>
  <c r="K450" i="10"/>
  <c r="M450" i="10" s="1"/>
  <c r="L450" i="10"/>
  <c r="N450" i="10" s="1"/>
  <c r="K462" i="10"/>
  <c r="M462" i="10" s="1"/>
  <c r="L462" i="10"/>
  <c r="N462" i="10" s="1"/>
  <c r="L474" i="10"/>
  <c r="N474" i="10" s="1"/>
  <c r="K474" i="10"/>
  <c r="M474" i="10" s="1"/>
  <c r="L487" i="10"/>
  <c r="N487" i="10" s="1"/>
  <c r="K487" i="10"/>
  <c r="M487" i="10" s="1"/>
  <c r="K500" i="10"/>
  <c r="M500" i="10" s="1"/>
  <c r="L500" i="10"/>
  <c r="N500" i="10" s="1"/>
  <c r="L512" i="10"/>
  <c r="N512" i="10" s="1"/>
  <c r="K512" i="10"/>
  <c r="M512" i="10" s="1"/>
  <c r="K524" i="10"/>
  <c r="M524" i="10" s="1"/>
  <c r="L524" i="10"/>
  <c r="N524" i="10" s="1"/>
  <c r="L536" i="10"/>
  <c r="N536" i="10" s="1"/>
  <c r="K536" i="10"/>
  <c r="M536" i="10" s="1"/>
  <c r="K549" i="10"/>
  <c r="M549" i="10" s="1"/>
  <c r="L549" i="10"/>
  <c r="N549" i="10" s="1"/>
  <c r="L561" i="10"/>
  <c r="N561" i="10" s="1"/>
  <c r="K561" i="10"/>
  <c r="M561" i="10" s="1"/>
  <c r="L573" i="10"/>
  <c r="N573" i="10" s="1"/>
  <c r="K573" i="10"/>
  <c r="M573" i="10" s="1"/>
  <c r="K586" i="10"/>
  <c r="M586" i="10" s="1"/>
  <c r="L586" i="10"/>
  <c r="N586" i="10" s="1"/>
  <c r="L598" i="10"/>
  <c r="N598" i="10" s="1"/>
  <c r="K598" i="10"/>
  <c r="M598" i="10" s="1"/>
  <c r="L611" i="10"/>
  <c r="N611" i="10" s="1"/>
  <c r="K611" i="10"/>
  <c r="M611" i="10" s="1"/>
  <c r="K623" i="10"/>
  <c r="M623" i="10" s="1"/>
  <c r="L623" i="10"/>
  <c r="N623" i="10" s="1"/>
  <c r="K637" i="10"/>
  <c r="M637" i="10" s="1"/>
  <c r="L637" i="10"/>
  <c r="N637" i="10" s="1"/>
  <c r="L651" i="10"/>
  <c r="N651" i="10" s="1"/>
  <c r="K651" i="10"/>
  <c r="M651" i="10" s="1"/>
  <c r="L663" i="10"/>
  <c r="N663" i="10" s="1"/>
  <c r="K663" i="10"/>
  <c r="M663" i="10" s="1"/>
  <c r="K677" i="10"/>
  <c r="M677" i="10" s="1"/>
  <c r="L677" i="10"/>
  <c r="N677" i="10" s="1"/>
  <c r="K690" i="10"/>
  <c r="M690" i="10" s="1"/>
  <c r="L690" i="10"/>
  <c r="N690" i="10" s="1"/>
  <c r="K703" i="10"/>
  <c r="M703" i="10" s="1"/>
  <c r="L703" i="10"/>
  <c r="N703" i="10" s="1"/>
  <c r="L716" i="10"/>
  <c r="N716" i="10" s="1"/>
  <c r="K716" i="10"/>
  <c r="M716" i="10" s="1"/>
  <c r="L728" i="10"/>
  <c r="N728" i="10" s="1"/>
  <c r="K728" i="10"/>
  <c r="M728" i="10" s="1"/>
  <c r="L20" i="10"/>
  <c r="N20" i="10" s="1"/>
  <c r="K20" i="10"/>
  <c r="M20" i="10" s="1"/>
  <c r="K32" i="10"/>
  <c r="M32" i="10" s="1"/>
  <c r="L32" i="10"/>
  <c r="N32" i="10" s="1"/>
  <c r="L46" i="10"/>
  <c r="N46" i="10" s="1"/>
  <c r="K46" i="10"/>
  <c r="M46" i="10" s="1"/>
  <c r="L58" i="10"/>
  <c r="N58" i="10" s="1"/>
  <c r="K58" i="10"/>
  <c r="M58" i="10" s="1"/>
  <c r="L70" i="10"/>
  <c r="N70" i="10" s="1"/>
  <c r="K70" i="10"/>
  <c r="M70" i="10" s="1"/>
  <c r="L82" i="10"/>
  <c r="N82" i="10" s="1"/>
  <c r="K82" i="10"/>
  <c r="M82" i="10" s="1"/>
  <c r="L94" i="10"/>
  <c r="N94" i="10" s="1"/>
  <c r="K94" i="10"/>
  <c r="M94" i="10" s="1"/>
  <c r="L106" i="10"/>
  <c r="N106" i="10" s="1"/>
  <c r="K106" i="10"/>
  <c r="M106" i="10" s="1"/>
  <c r="L119" i="10"/>
  <c r="N119" i="10" s="1"/>
  <c r="K119" i="10"/>
  <c r="M119" i="10" s="1"/>
  <c r="K132" i="10"/>
  <c r="M132" i="10" s="1"/>
  <c r="L132" i="10"/>
  <c r="N132" i="10" s="1"/>
  <c r="L145" i="10"/>
  <c r="N145" i="10" s="1"/>
  <c r="K145" i="10"/>
  <c r="M145" i="10" s="1"/>
  <c r="L158" i="10"/>
  <c r="N158" i="10" s="1"/>
  <c r="K158" i="10"/>
  <c r="M158" i="10" s="1"/>
  <c r="L171" i="10"/>
  <c r="N171" i="10" s="1"/>
  <c r="K171" i="10"/>
  <c r="M171" i="10" s="1"/>
  <c r="K186" i="10"/>
  <c r="M186" i="10" s="1"/>
  <c r="L186" i="10"/>
  <c r="N186" i="10" s="1"/>
  <c r="K200" i="10"/>
  <c r="M200" i="10" s="1"/>
  <c r="L200" i="10"/>
  <c r="N200" i="10" s="1"/>
  <c r="L213" i="10"/>
  <c r="N213" i="10" s="1"/>
  <c r="K213" i="10"/>
  <c r="M213" i="10" s="1"/>
  <c r="K225" i="10"/>
  <c r="M225" i="10" s="1"/>
  <c r="L225" i="10"/>
  <c r="N225" i="10" s="1"/>
  <c r="K237" i="10"/>
  <c r="M237" i="10" s="1"/>
  <c r="L237" i="10"/>
  <c r="N237" i="10" s="1"/>
  <c r="L250" i="10"/>
  <c r="N250" i="10" s="1"/>
  <c r="K250" i="10"/>
  <c r="M250" i="10" s="1"/>
  <c r="K263" i="10"/>
  <c r="M263" i="10" s="1"/>
  <c r="L263" i="10"/>
  <c r="N263" i="10" s="1"/>
  <c r="L275" i="10"/>
  <c r="N275" i="10" s="1"/>
  <c r="K275" i="10"/>
  <c r="M275" i="10" s="1"/>
  <c r="K288" i="10"/>
  <c r="M288" i="10" s="1"/>
  <c r="L288" i="10"/>
  <c r="N288" i="10" s="1"/>
  <c r="L300" i="10"/>
  <c r="N300" i="10" s="1"/>
  <c r="K300" i="10"/>
  <c r="M300" i="10" s="1"/>
  <c r="L313" i="10"/>
  <c r="N313" i="10" s="1"/>
  <c r="K313" i="10"/>
  <c r="M313" i="10" s="1"/>
  <c r="K325" i="10"/>
  <c r="M325" i="10" s="1"/>
  <c r="L325" i="10"/>
  <c r="N325" i="10" s="1"/>
  <c r="L339" i="10"/>
  <c r="N339" i="10" s="1"/>
  <c r="K339" i="10"/>
  <c r="M339" i="10" s="1"/>
  <c r="K351" i="10"/>
  <c r="M351" i="10" s="1"/>
  <c r="L351" i="10"/>
  <c r="N351" i="10" s="1"/>
  <c r="L363" i="10"/>
  <c r="N363" i="10" s="1"/>
  <c r="K363" i="10"/>
  <c r="M363" i="10" s="1"/>
  <c r="K376" i="10"/>
  <c r="M376" i="10" s="1"/>
  <c r="L376" i="10"/>
  <c r="N376" i="10" s="1"/>
  <c r="L388" i="10"/>
  <c r="N388" i="10" s="1"/>
  <c r="K388" i="10"/>
  <c r="M388" i="10" s="1"/>
  <c r="K401" i="10"/>
  <c r="M401" i="10" s="1"/>
  <c r="L401" i="10"/>
  <c r="N401" i="10" s="1"/>
  <c r="K414" i="10"/>
  <c r="M414" i="10" s="1"/>
  <c r="L414" i="10"/>
  <c r="N414" i="10" s="1"/>
  <c r="K426" i="10"/>
  <c r="M426" i="10" s="1"/>
  <c r="L426" i="10"/>
  <c r="N426" i="10" s="1"/>
  <c r="L438" i="10"/>
  <c r="N438" i="10" s="1"/>
  <c r="K438" i="10"/>
  <c r="M438" i="10" s="1"/>
  <c r="L451" i="10"/>
  <c r="N451" i="10" s="1"/>
  <c r="K451" i="10"/>
  <c r="M451" i="10" s="1"/>
  <c r="L463" i="10"/>
  <c r="N463" i="10" s="1"/>
  <c r="K463" i="10"/>
  <c r="M463" i="10" s="1"/>
  <c r="K475" i="10"/>
  <c r="M475" i="10" s="1"/>
  <c r="L475" i="10"/>
  <c r="N475" i="10" s="1"/>
  <c r="L488" i="10"/>
  <c r="N488" i="10" s="1"/>
  <c r="K488" i="10"/>
  <c r="M488" i="10" s="1"/>
  <c r="L501" i="10"/>
  <c r="N501" i="10" s="1"/>
  <c r="K501" i="10"/>
  <c r="M501" i="10" s="1"/>
  <c r="L513" i="10"/>
  <c r="N513" i="10" s="1"/>
  <c r="K513" i="10"/>
  <c r="M513" i="10" s="1"/>
  <c r="K525" i="10"/>
  <c r="M525" i="10" s="1"/>
  <c r="L525" i="10"/>
  <c r="N525" i="10" s="1"/>
  <c r="L537" i="10"/>
  <c r="N537" i="10" s="1"/>
  <c r="K537" i="10"/>
  <c r="M537" i="10" s="1"/>
  <c r="L550" i="10"/>
  <c r="N550" i="10" s="1"/>
  <c r="K550" i="10"/>
  <c r="M550" i="10" s="1"/>
  <c r="L562" i="10"/>
  <c r="N562" i="10" s="1"/>
  <c r="K562" i="10"/>
  <c r="M562" i="10" s="1"/>
  <c r="L574" i="10"/>
  <c r="N574" i="10" s="1"/>
  <c r="K574" i="10"/>
  <c r="M574" i="10" s="1"/>
  <c r="L587" i="10"/>
  <c r="N587" i="10" s="1"/>
  <c r="K587" i="10"/>
  <c r="M587" i="10" s="1"/>
  <c r="L599" i="10"/>
  <c r="N599" i="10" s="1"/>
  <c r="K599" i="10"/>
  <c r="M599" i="10" s="1"/>
  <c r="L612" i="10"/>
  <c r="N612" i="10" s="1"/>
  <c r="K612" i="10"/>
  <c r="M612" i="10" s="1"/>
  <c r="L626" i="10"/>
  <c r="N626" i="10" s="1"/>
  <c r="K626" i="10"/>
  <c r="M626" i="10" s="1"/>
  <c r="K639" i="10"/>
  <c r="M639" i="10" s="1"/>
  <c r="L639" i="10"/>
  <c r="N639" i="10" s="1"/>
  <c r="L652" i="10"/>
  <c r="N652" i="10" s="1"/>
  <c r="K652" i="10"/>
  <c r="M652" i="10" s="1"/>
  <c r="K665" i="10"/>
  <c r="M665" i="10" s="1"/>
  <c r="L665" i="10"/>
  <c r="N665" i="10" s="1"/>
  <c r="K678" i="10"/>
  <c r="M678" i="10" s="1"/>
  <c r="L678" i="10"/>
  <c r="N678" i="10" s="1"/>
  <c r="K691" i="10"/>
  <c r="M691" i="10" s="1"/>
  <c r="L691" i="10"/>
  <c r="N691" i="10" s="1"/>
  <c r="L704" i="10"/>
  <c r="N704" i="10" s="1"/>
  <c r="K704" i="10"/>
  <c r="M704" i="10" s="1"/>
  <c r="K717" i="10"/>
  <c r="M717" i="10" s="1"/>
  <c r="L717" i="10"/>
  <c r="N717" i="10" s="1"/>
  <c r="L729" i="10"/>
  <c r="N729" i="10" s="1"/>
  <c r="K729" i="10"/>
  <c r="M729" i="10" s="1"/>
  <c r="L21" i="10"/>
  <c r="N21" i="10" s="1"/>
  <c r="K21" i="10"/>
  <c r="M21" i="10" s="1"/>
  <c r="L34" i="10"/>
  <c r="N34" i="10" s="1"/>
  <c r="K34" i="10"/>
  <c r="M34" i="10" s="1"/>
  <c r="L47" i="10"/>
  <c r="N47" i="10" s="1"/>
  <c r="K47" i="10"/>
  <c r="M47" i="10" s="1"/>
  <c r="L59" i="10"/>
  <c r="N59" i="10" s="1"/>
  <c r="K59" i="10"/>
  <c r="M59" i="10" s="1"/>
  <c r="L71" i="10"/>
  <c r="N71" i="10" s="1"/>
  <c r="K71" i="10"/>
  <c r="M71" i="10" s="1"/>
  <c r="L83" i="10"/>
  <c r="N83" i="10" s="1"/>
  <c r="K83" i="10"/>
  <c r="M83" i="10" s="1"/>
  <c r="K95" i="10"/>
  <c r="M95" i="10" s="1"/>
  <c r="L95" i="10"/>
  <c r="N95" i="10" s="1"/>
  <c r="L107" i="10"/>
  <c r="N107" i="10" s="1"/>
  <c r="K107" i="10"/>
  <c r="M107" i="10" s="1"/>
  <c r="L120" i="10"/>
  <c r="N120" i="10" s="1"/>
  <c r="K120" i="10"/>
  <c r="M120" i="10" s="1"/>
  <c r="L133" i="10"/>
  <c r="N133" i="10" s="1"/>
  <c r="K133" i="10"/>
  <c r="M133" i="10" s="1"/>
  <c r="K146" i="10"/>
  <c r="M146" i="10" s="1"/>
  <c r="L146" i="10"/>
  <c r="N146" i="10" s="1"/>
  <c r="L159" i="10"/>
  <c r="N159" i="10" s="1"/>
  <c r="K159" i="10"/>
  <c r="M159" i="10" s="1"/>
  <c r="L172" i="10"/>
  <c r="N172" i="10" s="1"/>
  <c r="K172" i="10"/>
  <c r="M172" i="10" s="1"/>
  <c r="K187" i="10"/>
  <c r="M187" i="10" s="1"/>
  <c r="L187" i="10"/>
  <c r="N187" i="10" s="1"/>
  <c r="K201" i="10"/>
  <c r="M201" i="10" s="1"/>
  <c r="L201" i="10"/>
  <c r="N201" i="10" s="1"/>
  <c r="L214" i="10"/>
  <c r="N214" i="10" s="1"/>
  <c r="K214" i="10"/>
  <c r="M214" i="10" s="1"/>
  <c r="K226" i="10"/>
  <c r="M226" i="10" s="1"/>
  <c r="L226" i="10"/>
  <c r="N226" i="10" s="1"/>
  <c r="L238" i="10"/>
  <c r="N238" i="10" s="1"/>
  <c r="K238" i="10"/>
  <c r="M238" i="10" s="1"/>
  <c r="L251" i="10"/>
  <c r="N251" i="10" s="1"/>
  <c r="K251" i="10"/>
  <c r="M251" i="10" s="1"/>
  <c r="L264" i="10"/>
  <c r="N264" i="10" s="1"/>
  <c r="K264" i="10"/>
  <c r="M264" i="10" s="1"/>
  <c r="L276" i="10"/>
  <c r="N276" i="10" s="1"/>
  <c r="K276" i="10"/>
  <c r="M276" i="10" s="1"/>
  <c r="L289" i="10"/>
  <c r="N289" i="10" s="1"/>
  <c r="K289" i="10"/>
  <c r="M289" i="10" s="1"/>
  <c r="L301" i="10"/>
  <c r="N301" i="10" s="1"/>
  <c r="K301" i="10"/>
  <c r="M301" i="10" s="1"/>
  <c r="K314" i="10"/>
  <c r="M314" i="10" s="1"/>
  <c r="L314" i="10"/>
  <c r="N314" i="10" s="1"/>
  <c r="L326" i="10"/>
  <c r="N326" i="10" s="1"/>
  <c r="K326" i="10"/>
  <c r="M326" i="10" s="1"/>
  <c r="L340" i="10"/>
  <c r="N340" i="10" s="1"/>
  <c r="K340" i="10"/>
  <c r="M340" i="10" s="1"/>
  <c r="L352" i="10"/>
  <c r="N352" i="10" s="1"/>
  <c r="K352" i="10"/>
  <c r="M352" i="10" s="1"/>
  <c r="K364" i="10"/>
  <c r="M364" i="10" s="1"/>
  <c r="L364" i="10"/>
  <c r="N364" i="10" s="1"/>
  <c r="L377" i="10"/>
  <c r="N377" i="10" s="1"/>
  <c r="K377" i="10"/>
  <c r="M377" i="10" s="1"/>
  <c r="K389" i="10"/>
  <c r="M389" i="10" s="1"/>
  <c r="L389" i="10"/>
  <c r="N389" i="10" s="1"/>
  <c r="L402" i="10"/>
  <c r="N402" i="10" s="1"/>
  <c r="K402" i="10"/>
  <c r="M402" i="10" s="1"/>
  <c r="L415" i="10"/>
  <c r="N415" i="10" s="1"/>
  <c r="K415" i="10"/>
  <c r="M415" i="10" s="1"/>
  <c r="L427" i="10"/>
  <c r="N427" i="10" s="1"/>
  <c r="K427" i="10"/>
  <c r="M427" i="10" s="1"/>
  <c r="K439" i="10"/>
  <c r="M439" i="10" s="1"/>
  <c r="L439" i="10"/>
  <c r="N439" i="10" s="1"/>
  <c r="K452" i="10"/>
  <c r="M452" i="10" s="1"/>
  <c r="L452" i="10"/>
  <c r="N452" i="10" s="1"/>
  <c r="L464" i="10"/>
  <c r="N464" i="10" s="1"/>
  <c r="K464" i="10"/>
  <c r="M464" i="10" s="1"/>
  <c r="K476" i="10"/>
  <c r="M476" i="10" s="1"/>
  <c r="L476" i="10"/>
  <c r="N476" i="10" s="1"/>
  <c r="L489" i="10"/>
  <c r="N489" i="10" s="1"/>
  <c r="K489" i="10"/>
  <c r="M489" i="10" s="1"/>
  <c r="L502" i="10"/>
  <c r="N502" i="10" s="1"/>
  <c r="K502" i="10"/>
  <c r="M502" i="10" s="1"/>
  <c r="L514" i="10"/>
  <c r="N514" i="10" s="1"/>
  <c r="K514" i="10"/>
  <c r="M514" i="10" s="1"/>
  <c r="K526" i="10"/>
  <c r="M526" i="10" s="1"/>
  <c r="L526" i="10"/>
  <c r="N526" i="10" s="1"/>
  <c r="L538" i="10"/>
  <c r="N538" i="10" s="1"/>
  <c r="K538" i="10"/>
  <c r="M538" i="10" s="1"/>
  <c r="L551" i="10"/>
  <c r="N551" i="10" s="1"/>
  <c r="K551" i="10"/>
  <c r="M551" i="10" s="1"/>
  <c r="K563" i="10"/>
  <c r="M563" i="10" s="1"/>
  <c r="L563" i="10"/>
  <c r="N563" i="10" s="1"/>
  <c r="K575" i="10"/>
  <c r="M575" i="10" s="1"/>
  <c r="L575" i="10"/>
  <c r="N575" i="10" s="1"/>
  <c r="L588" i="10"/>
  <c r="N588" i="10" s="1"/>
  <c r="K588" i="10"/>
  <c r="M588" i="10" s="1"/>
  <c r="K600" i="10"/>
  <c r="M600" i="10" s="1"/>
  <c r="L600" i="10"/>
  <c r="N600" i="10" s="1"/>
  <c r="K613" i="10"/>
  <c r="M613" i="10" s="1"/>
  <c r="L613" i="10"/>
  <c r="N613" i="10" s="1"/>
  <c r="L627" i="10"/>
  <c r="N627" i="10" s="1"/>
  <c r="K627" i="10"/>
  <c r="M627" i="10" s="1"/>
  <c r="K640" i="10"/>
  <c r="M640" i="10" s="1"/>
  <c r="L640" i="10"/>
  <c r="N640" i="10" s="1"/>
  <c r="K653" i="10"/>
  <c r="M653" i="10" s="1"/>
  <c r="L653" i="10"/>
  <c r="N653" i="10" s="1"/>
  <c r="K666" i="10"/>
  <c r="M666" i="10" s="1"/>
  <c r="L666" i="10"/>
  <c r="N666" i="10" s="1"/>
  <c r="K679" i="10"/>
  <c r="M679" i="10" s="1"/>
  <c r="L679" i="10"/>
  <c r="N679" i="10" s="1"/>
  <c r="L693" i="10"/>
  <c r="N693" i="10" s="1"/>
  <c r="K693" i="10"/>
  <c r="M693" i="10" s="1"/>
  <c r="L705" i="10"/>
  <c r="N705" i="10" s="1"/>
  <c r="K705" i="10"/>
  <c r="M705" i="10" s="1"/>
  <c r="L718" i="10"/>
  <c r="N718" i="10" s="1"/>
  <c r="K718" i="10"/>
  <c r="M718" i="10" s="1"/>
  <c r="K730" i="10"/>
  <c r="M730" i="10" s="1"/>
  <c r="L730" i="10"/>
  <c r="N730" i="10" s="1"/>
  <c r="K22" i="10"/>
  <c r="M22" i="10" s="1"/>
  <c r="L22" i="10"/>
  <c r="N22" i="10" s="1"/>
  <c r="L35" i="10"/>
  <c r="N35" i="10" s="1"/>
  <c r="K35" i="10"/>
  <c r="M35" i="10" s="1"/>
  <c r="K48" i="10"/>
  <c r="M48" i="10" s="1"/>
  <c r="L48" i="10"/>
  <c r="N48" i="10" s="1"/>
  <c r="L60" i="10"/>
  <c r="N60" i="10" s="1"/>
  <c r="K60" i="10"/>
  <c r="M60" i="10" s="1"/>
  <c r="L72" i="10"/>
  <c r="N72" i="10" s="1"/>
  <c r="K72" i="10"/>
  <c r="M72" i="10" s="1"/>
  <c r="L84" i="10"/>
  <c r="N84" i="10" s="1"/>
  <c r="K84" i="10"/>
  <c r="M84" i="10" s="1"/>
  <c r="L96" i="10"/>
  <c r="N96" i="10" s="1"/>
  <c r="K96" i="10"/>
  <c r="M96" i="10" s="1"/>
  <c r="L108" i="10"/>
  <c r="N108" i="10" s="1"/>
  <c r="K108" i="10"/>
  <c r="M108" i="10" s="1"/>
  <c r="L121" i="10"/>
  <c r="N121" i="10" s="1"/>
  <c r="K121" i="10"/>
  <c r="M121" i="10" s="1"/>
  <c r="L135" i="10"/>
  <c r="N135" i="10" s="1"/>
  <c r="K135" i="10"/>
  <c r="M135" i="10" s="1"/>
  <c r="L147" i="10"/>
  <c r="N147" i="10" s="1"/>
  <c r="K147" i="10"/>
  <c r="M147" i="10" s="1"/>
  <c r="K160" i="10"/>
  <c r="M160" i="10" s="1"/>
  <c r="L160" i="10"/>
  <c r="N160" i="10" s="1"/>
  <c r="K173" i="10"/>
  <c r="M173" i="10" s="1"/>
  <c r="L173" i="10"/>
  <c r="N173" i="10" s="1"/>
  <c r="K189" i="10"/>
  <c r="M189" i="10" s="1"/>
  <c r="L189" i="10"/>
  <c r="N189" i="10" s="1"/>
  <c r="K202" i="10"/>
  <c r="M202" i="10" s="1"/>
  <c r="L202" i="10"/>
  <c r="N202" i="10" s="1"/>
  <c r="K215" i="10"/>
  <c r="M215" i="10" s="1"/>
  <c r="L215" i="10"/>
  <c r="N215" i="10" s="1"/>
  <c r="L227" i="10"/>
  <c r="N227" i="10" s="1"/>
  <c r="K227" i="10"/>
  <c r="M227" i="10" s="1"/>
  <c r="K239" i="10"/>
  <c r="M239" i="10" s="1"/>
  <c r="L239" i="10"/>
  <c r="N239" i="10" s="1"/>
  <c r="K252" i="10"/>
  <c r="M252" i="10" s="1"/>
  <c r="L252" i="10"/>
  <c r="N252" i="10" s="1"/>
  <c r="L265" i="10"/>
  <c r="N265" i="10" s="1"/>
  <c r="K265" i="10"/>
  <c r="M265" i="10" s="1"/>
  <c r="L277" i="10"/>
  <c r="N277" i="10" s="1"/>
  <c r="K277" i="10"/>
  <c r="M277" i="10" s="1"/>
  <c r="L290" i="10"/>
  <c r="N290" i="10" s="1"/>
  <c r="K290" i="10"/>
  <c r="M290" i="10" s="1"/>
  <c r="L302" i="10"/>
  <c r="N302" i="10" s="1"/>
  <c r="K302" i="10"/>
  <c r="M302" i="10" s="1"/>
  <c r="L315" i="10"/>
  <c r="N315" i="10" s="1"/>
  <c r="K315" i="10"/>
  <c r="M315" i="10" s="1"/>
  <c r="L327" i="10"/>
  <c r="N327" i="10" s="1"/>
  <c r="K327" i="10"/>
  <c r="M327" i="10" s="1"/>
  <c r="K341" i="10"/>
  <c r="M341" i="10" s="1"/>
  <c r="L341" i="10"/>
  <c r="N341" i="10" s="1"/>
  <c r="L353" i="10"/>
  <c r="N353" i="10" s="1"/>
  <c r="K353" i="10"/>
  <c r="M353" i="10" s="1"/>
  <c r="L365" i="10"/>
  <c r="N365" i="10" s="1"/>
  <c r="K365" i="10"/>
  <c r="M365" i="10" s="1"/>
  <c r="L378" i="10"/>
  <c r="N378" i="10" s="1"/>
  <c r="K378" i="10"/>
  <c r="M378" i="10" s="1"/>
  <c r="L390" i="10"/>
  <c r="N390" i="10" s="1"/>
  <c r="K390" i="10"/>
  <c r="M390" i="10" s="1"/>
  <c r="K403" i="10"/>
  <c r="M403" i="10" s="1"/>
  <c r="L403" i="10"/>
  <c r="N403" i="10" s="1"/>
  <c r="L416" i="10"/>
  <c r="N416" i="10" s="1"/>
  <c r="K416" i="10"/>
  <c r="M416" i="10" s="1"/>
  <c r="L428" i="10"/>
  <c r="N428" i="10" s="1"/>
  <c r="K428" i="10"/>
  <c r="M428" i="10" s="1"/>
  <c r="K441" i="10"/>
  <c r="M441" i="10" s="1"/>
  <c r="L441" i="10"/>
  <c r="N441" i="10" s="1"/>
  <c r="L453" i="10"/>
  <c r="N453" i="10" s="1"/>
  <c r="K453" i="10"/>
  <c r="M453" i="10" s="1"/>
  <c r="K465" i="10"/>
  <c r="M465" i="10" s="1"/>
  <c r="L465" i="10"/>
  <c r="N465" i="10" s="1"/>
  <c r="K478" i="10"/>
  <c r="M478" i="10" s="1"/>
  <c r="L478" i="10"/>
  <c r="N478" i="10" s="1"/>
  <c r="K490" i="10"/>
  <c r="M490" i="10" s="1"/>
  <c r="L490" i="10"/>
  <c r="N490" i="10" s="1"/>
  <c r="K503" i="10"/>
  <c r="M503" i="10" s="1"/>
  <c r="L503" i="10"/>
  <c r="N503" i="10" s="1"/>
  <c r="K515" i="10"/>
  <c r="M515" i="10" s="1"/>
  <c r="L515" i="10"/>
  <c r="N515" i="10" s="1"/>
  <c r="K527" i="10"/>
  <c r="M527" i="10" s="1"/>
  <c r="L527" i="10"/>
  <c r="N527" i="10" s="1"/>
  <c r="K539" i="10"/>
  <c r="M539" i="10" s="1"/>
  <c r="L539" i="10"/>
  <c r="N539" i="10" s="1"/>
  <c r="K552" i="10"/>
  <c r="M552" i="10" s="1"/>
  <c r="L552" i="10"/>
  <c r="N552" i="10" s="1"/>
  <c r="K564" i="10"/>
  <c r="M564" i="10" s="1"/>
  <c r="L564" i="10"/>
  <c r="N564" i="10" s="1"/>
  <c r="K576" i="10"/>
  <c r="M576" i="10" s="1"/>
  <c r="L576" i="10"/>
  <c r="N576" i="10" s="1"/>
  <c r="K589" i="10"/>
  <c r="M589" i="10" s="1"/>
  <c r="L589" i="10"/>
  <c r="N589" i="10" s="1"/>
  <c r="K601" i="10"/>
  <c r="M601" i="10" s="1"/>
  <c r="L601" i="10"/>
  <c r="N601" i="10" s="1"/>
  <c r="L614" i="10"/>
  <c r="N614" i="10" s="1"/>
  <c r="K614" i="10"/>
  <c r="M614" i="10" s="1"/>
  <c r="L628" i="10"/>
  <c r="N628" i="10" s="1"/>
  <c r="K628" i="10"/>
  <c r="M628" i="10" s="1"/>
  <c r="K641" i="10"/>
  <c r="M641" i="10" s="1"/>
  <c r="L641" i="10"/>
  <c r="N641" i="10" s="1"/>
  <c r="L654" i="10"/>
  <c r="N654" i="10" s="1"/>
  <c r="K654" i="10"/>
  <c r="M654" i="10" s="1"/>
  <c r="L667" i="10"/>
  <c r="N667" i="10" s="1"/>
  <c r="K667" i="10"/>
  <c r="M667" i="10" s="1"/>
  <c r="K680" i="10"/>
  <c r="M680" i="10" s="1"/>
  <c r="L680" i="10"/>
  <c r="N680" i="10" s="1"/>
  <c r="K694" i="10"/>
  <c r="M694" i="10" s="1"/>
  <c r="L694" i="10"/>
  <c r="N694" i="10" s="1"/>
  <c r="K706" i="10"/>
  <c r="M706" i="10" s="1"/>
  <c r="L706" i="10"/>
  <c r="N706" i="10" s="1"/>
  <c r="L719" i="10"/>
  <c r="N719" i="10" s="1"/>
  <c r="K719" i="10"/>
  <c r="M719" i="10" s="1"/>
  <c r="L731" i="10"/>
  <c r="N731" i="10" s="1"/>
  <c r="K731" i="10"/>
  <c r="M731" i="10" s="1"/>
  <c r="L23" i="10"/>
  <c r="N23" i="10" s="1"/>
  <c r="K23" i="10"/>
  <c r="M23" i="10" s="1"/>
  <c r="K36" i="10"/>
  <c r="M36" i="10" s="1"/>
  <c r="L36" i="10"/>
  <c r="N36" i="10" s="1"/>
  <c r="K49" i="10"/>
  <c r="M49" i="10" s="1"/>
  <c r="L49" i="10"/>
  <c r="N49" i="10" s="1"/>
  <c r="L61" i="10"/>
  <c r="N61" i="10" s="1"/>
  <c r="K61" i="10"/>
  <c r="M61" i="10" s="1"/>
  <c r="K73" i="10"/>
  <c r="M73" i="10" s="1"/>
  <c r="L73" i="10"/>
  <c r="N73" i="10" s="1"/>
  <c r="L85" i="10"/>
  <c r="N85" i="10" s="1"/>
  <c r="K85" i="10"/>
  <c r="M85" i="10" s="1"/>
  <c r="K97" i="10"/>
  <c r="M97" i="10" s="1"/>
  <c r="L97" i="10"/>
  <c r="N97" i="10" s="1"/>
  <c r="K109" i="10"/>
  <c r="M109" i="10" s="1"/>
  <c r="L109" i="10"/>
  <c r="N109" i="10" s="1"/>
  <c r="K122" i="10"/>
  <c r="M122" i="10" s="1"/>
  <c r="L122" i="10"/>
  <c r="N122" i="10" s="1"/>
  <c r="K136" i="10"/>
  <c r="M136" i="10" s="1"/>
  <c r="L136" i="10"/>
  <c r="N136" i="10" s="1"/>
  <c r="K148" i="10"/>
  <c r="M148" i="10" s="1"/>
  <c r="L148" i="10"/>
  <c r="N148" i="10" s="1"/>
  <c r="K161" i="10"/>
  <c r="M161" i="10" s="1"/>
  <c r="L161" i="10"/>
  <c r="N161" i="10" s="1"/>
  <c r="L174" i="10"/>
  <c r="N174" i="10" s="1"/>
  <c r="K174" i="10"/>
  <c r="M174" i="10" s="1"/>
  <c r="L190" i="10"/>
  <c r="N190" i="10" s="1"/>
  <c r="K190" i="10"/>
  <c r="M190" i="10" s="1"/>
  <c r="L203" i="10"/>
  <c r="N203" i="10" s="1"/>
  <c r="K203" i="10"/>
  <c r="M203" i="10" s="1"/>
  <c r="L216" i="10"/>
  <c r="N216" i="10" s="1"/>
  <c r="K216" i="10"/>
  <c r="M216" i="10" s="1"/>
  <c r="L228" i="10"/>
  <c r="N228" i="10" s="1"/>
  <c r="K228" i="10"/>
  <c r="M228" i="10" s="1"/>
  <c r="L240" i="10"/>
  <c r="N240" i="10" s="1"/>
  <c r="K240" i="10"/>
  <c r="M240" i="10" s="1"/>
  <c r="L254" i="10"/>
  <c r="N254" i="10" s="1"/>
  <c r="K254" i="10"/>
  <c r="M254" i="10" s="1"/>
  <c r="K266" i="10"/>
  <c r="M266" i="10" s="1"/>
  <c r="L266" i="10"/>
  <c r="N266" i="10" s="1"/>
  <c r="K278" i="10"/>
  <c r="M278" i="10" s="1"/>
  <c r="L278" i="10"/>
  <c r="N278" i="10" s="1"/>
  <c r="K291" i="10"/>
  <c r="M291" i="10" s="1"/>
  <c r="L291" i="10"/>
  <c r="N291" i="10" s="1"/>
  <c r="K303" i="10"/>
  <c r="M303" i="10" s="1"/>
  <c r="L303" i="10"/>
  <c r="N303" i="10" s="1"/>
  <c r="L316" i="10"/>
  <c r="N316" i="10" s="1"/>
  <c r="K316" i="10"/>
  <c r="M316" i="10" s="1"/>
  <c r="L328" i="10"/>
  <c r="N328" i="10" s="1"/>
  <c r="K328" i="10"/>
  <c r="M328" i="10" s="1"/>
  <c r="L342" i="10"/>
  <c r="N342" i="10" s="1"/>
  <c r="K342" i="10"/>
  <c r="M342" i="10" s="1"/>
  <c r="L354" i="10"/>
  <c r="N354" i="10" s="1"/>
  <c r="K354" i="10"/>
  <c r="M354" i="10" s="1"/>
  <c r="L366" i="10"/>
  <c r="N366" i="10" s="1"/>
  <c r="K366" i="10"/>
  <c r="M366" i="10" s="1"/>
  <c r="K379" i="10"/>
  <c r="M379" i="10" s="1"/>
  <c r="L379" i="10"/>
  <c r="N379" i="10" s="1"/>
  <c r="L391" i="10"/>
  <c r="N391" i="10" s="1"/>
  <c r="K391" i="10"/>
  <c r="M391" i="10" s="1"/>
  <c r="L404" i="10"/>
  <c r="N404" i="10" s="1"/>
  <c r="K404" i="10"/>
  <c r="M404" i="10" s="1"/>
  <c r="L417" i="10"/>
  <c r="N417" i="10" s="1"/>
  <c r="K417" i="10"/>
  <c r="M417" i="10" s="1"/>
  <c r="L429" i="10"/>
  <c r="N429" i="10" s="1"/>
  <c r="K429" i="10"/>
  <c r="M429" i="10" s="1"/>
  <c r="K442" i="10"/>
  <c r="M442" i="10" s="1"/>
  <c r="L442" i="10"/>
  <c r="N442" i="10" s="1"/>
  <c r="K454" i="10"/>
  <c r="M454" i="10" s="1"/>
  <c r="L454" i="10"/>
  <c r="N454" i="10" s="1"/>
  <c r="L466" i="10"/>
  <c r="N466" i="10" s="1"/>
  <c r="K466" i="10"/>
  <c r="M466" i="10" s="1"/>
  <c r="K479" i="10"/>
  <c r="M479" i="10" s="1"/>
  <c r="L479" i="10"/>
  <c r="N479" i="10" s="1"/>
  <c r="K491" i="10"/>
  <c r="M491" i="10" s="1"/>
  <c r="L491" i="10"/>
  <c r="N491" i="10" s="1"/>
  <c r="K504" i="10"/>
  <c r="M504" i="10" s="1"/>
  <c r="L504" i="10"/>
  <c r="N504" i="10" s="1"/>
  <c r="K516" i="10"/>
  <c r="M516" i="10" s="1"/>
  <c r="L516" i="10"/>
  <c r="N516" i="10" s="1"/>
  <c r="L528" i="10"/>
  <c r="N528" i="10" s="1"/>
  <c r="K528" i="10"/>
  <c r="M528" i="10" s="1"/>
  <c r="K541" i="10"/>
  <c r="M541" i="10" s="1"/>
  <c r="L541" i="10"/>
  <c r="N541" i="10" s="1"/>
  <c r="K553" i="10"/>
  <c r="M553" i="10" s="1"/>
  <c r="L553" i="10"/>
  <c r="N553" i="10" s="1"/>
  <c r="K565" i="10"/>
  <c r="M565" i="10" s="1"/>
  <c r="L565" i="10"/>
  <c r="N565" i="10" s="1"/>
  <c r="K577" i="10"/>
  <c r="M577" i="10" s="1"/>
  <c r="L577" i="10"/>
  <c r="N577" i="10" s="1"/>
  <c r="L590" i="10"/>
  <c r="N590" i="10" s="1"/>
  <c r="K590" i="10"/>
  <c r="M590" i="10" s="1"/>
  <c r="L602" i="10"/>
  <c r="N602" i="10" s="1"/>
  <c r="K602" i="10"/>
  <c r="M602" i="10" s="1"/>
  <c r="L615" i="10"/>
  <c r="N615" i="10" s="1"/>
  <c r="K615" i="10"/>
  <c r="M615" i="10" s="1"/>
  <c r="L629" i="10"/>
  <c r="N629" i="10" s="1"/>
  <c r="K629" i="10"/>
  <c r="M629" i="10" s="1"/>
  <c r="L642" i="10"/>
  <c r="N642" i="10" s="1"/>
  <c r="K642" i="10"/>
  <c r="M642" i="10" s="1"/>
  <c r="L655" i="10"/>
  <c r="N655" i="10" s="1"/>
  <c r="K655" i="10"/>
  <c r="M655" i="10" s="1"/>
  <c r="L668" i="10"/>
  <c r="N668" i="10" s="1"/>
  <c r="K668" i="10"/>
  <c r="M668" i="10" s="1"/>
  <c r="K681" i="10"/>
  <c r="M681" i="10" s="1"/>
  <c r="L681" i="10"/>
  <c r="N681" i="10" s="1"/>
  <c r="K695" i="10"/>
  <c r="M695" i="10" s="1"/>
  <c r="L695" i="10"/>
  <c r="N695" i="10" s="1"/>
  <c r="K707" i="10"/>
  <c r="M707" i="10" s="1"/>
  <c r="L707" i="10"/>
  <c r="N707" i="10" s="1"/>
  <c r="L720" i="10"/>
  <c r="N720" i="10" s="1"/>
  <c r="K720" i="10"/>
  <c r="M720" i="10" s="1"/>
  <c r="K732" i="10"/>
  <c r="M732" i="10" s="1"/>
  <c r="L732" i="10"/>
  <c r="N732" i="10" s="1"/>
  <c r="K24" i="10"/>
  <c r="M24" i="10" s="1"/>
  <c r="L24" i="10"/>
  <c r="N24" i="10" s="1"/>
  <c r="L37" i="10"/>
  <c r="N37" i="10" s="1"/>
  <c r="K37" i="10"/>
  <c r="M37" i="10" s="1"/>
  <c r="K50" i="10"/>
  <c r="M50" i="10" s="1"/>
  <c r="L50" i="10"/>
  <c r="N50" i="10" s="1"/>
  <c r="K62" i="10"/>
  <c r="M62" i="10" s="1"/>
  <c r="L62" i="10"/>
  <c r="N62" i="10" s="1"/>
  <c r="K74" i="10"/>
  <c r="M74" i="10" s="1"/>
  <c r="L74" i="10"/>
  <c r="N74" i="10" s="1"/>
  <c r="K86" i="10"/>
  <c r="M86" i="10" s="1"/>
  <c r="L86" i="10"/>
  <c r="N86" i="10" s="1"/>
  <c r="K98" i="10"/>
  <c r="M98" i="10" s="1"/>
  <c r="L98" i="10"/>
  <c r="N98" i="10" s="1"/>
  <c r="K110" i="10"/>
  <c r="M110" i="10" s="1"/>
  <c r="L110" i="10"/>
  <c r="N110" i="10" s="1"/>
  <c r="L123" i="10"/>
  <c r="N123" i="10" s="1"/>
  <c r="K123" i="10"/>
  <c r="M123" i="10" s="1"/>
  <c r="K137" i="10"/>
  <c r="M137" i="10" s="1"/>
  <c r="L137" i="10"/>
  <c r="N137" i="10" s="1"/>
  <c r="K149" i="10"/>
  <c r="M149" i="10" s="1"/>
  <c r="L149" i="10"/>
  <c r="N149" i="10" s="1"/>
  <c r="K162" i="10"/>
  <c r="M162" i="10" s="1"/>
  <c r="L162" i="10"/>
  <c r="N162" i="10" s="1"/>
  <c r="L175" i="10"/>
  <c r="N175" i="10" s="1"/>
  <c r="K175" i="10"/>
  <c r="M175" i="10" s="1"/>
  <c r="L191" i="10"/>
  <c r="N191" i="10" s="1"/>
  <c r="K191" i="10"/>
  <c r="M191" i="10" s="1"/>
  <c r="L204" i="10"/>
  <c r="N204" i="10" s="1"/>
  <c r="K204" i="10"/>
  <c r="M204" i="10" s="1"/>
  <c r="L217" i="10"/>
  <c r="N217" i="10" s="1"/>
  <c r="K217" i="10"/>
  <c r="M217" i="10" s="1"/>
  <c r="K229" i="10"/>
  <c r="M229" i="10" s="1"/>
  <c r="L229" i="10"/>
  <c r="N229" i="10" s="1"/>
  <c r="K241" i="10"/>
  <c r="M241" i="10" s="1"/>
  <c r="L241" i="10"/>
  <c r="N241" i="10" s="1"/>
  <c r="K255" i="10"/>
  <c r="M255" i="10" s="1"/>
  <c r="L255" i="10"/>
  <c r="N255" i="10" s="1"/>
  <c r="K267" i="10"/>
  <c r="M267" i="10" s="1"/>
  <c r="L267" i="10"/>
  <c r="N267" i="10" s="1"/>
  <c r="L279" i="10"/>
  <c r="N279" i="10" s="1"/>
  <c r="K279" i="10"/>
  <c r="M279" i="10" s="1"/>
  <c r="K292" i="10"/>
  <c r="M292" i="10" s="1"/>
  <c r="L292" i="10"/>
  <c r="N292" i="10" s="1"/>
  <c r="K304" i="10"/>
  <c r="M304" i="10" s="1"/>
  <c r="L304" i="10"/>
  <c r="N304" i="10" s="1"/>
  <c r="K317" i="10"/>
  <c r="M317" i="10" s="1"/>
  <c r="L317" i="10"/>
  <c r="N317" i="10" s="1"/>
  <c r="K329" i="10"/>
  <c r="M329" i="10" s="1"/>
  <c r="L329" i="10"/>
  <c r="N329" i="10" s="1"/>
  <c r="K343" i="10"/>
  <c r="M343" i="10" s="1"/>
  <c r="L343" i="10"/>
  <c r="N343" i="10" s="1"/>
  <c r="K355" i="10"/>
  <c r="M355" i="10" s="1"/>
  <c r="L355" i="10"/>
  <c r="N355" i="10" s="1"/>
  <c r="K367" i="10"/>
  <c r="M367" i="10" s="1"/>
  <c r="L367" i="10"/>
  <c r="N367" i="10" s="1"/>
  <c r="L380" i="10"/>
  <c r="N380" i="10" s="1"/>
  <c r="K380" i="10"/>
  <c r="M380" i="10" s="1"/>
  <c r="L392" i="10"/>
  <c r="N392" i="10" s="1"/>
  <c r="K392" i="10"/>
  <c r="M392" i="10" s="1"/>
  <c r="K405" i="10"/>
  <c r="M405" i="10" s="1"/>
  <c r="L405" i="10"/>
  <c r="N405" i="10" s="1"/>
  <c r="K418" i="10"/>
  <c r="M418" i="10" s="1"/>
  <c r="L418" i="10"/>
  <c r="N418" i="10" s="1"/>
  <c r="K430" i="10"/>
  <c r="M430" i="10" s="1"/>
  <c r="L430" i="10"/>
  <c r="N430" i="10" s="1"/>
  <c r="K443" i="10"/>
  <c r="M443" i="10" s="1"/>
  <c r="L443" i="10"/>
  <c r="N443" i="10" s="1"/>
  <c r="K455" i="10"/>
  <c r="M455" i="10" s="1"/>
  <c r="L455" i="10"/>
  <c r="N455" i="10" s="1"/>
  <c r="K467" i="10"/>
  <c r="M467" i="10" s="1"/>
  <c r="L467" i="10"/>
  <c r="N467" i="10" s="1"/>
  <c r="K480" i="10"/>
  <c r="M480" i="10" s="1"/>
  <c r="L480" i="10"/>
  <c r="N480" i="10" s="1"/>
  <c r="K492" i="10"/>
  <c r="M492" i="10" s="1"/>
  <c r="L492" i="10"/>
  <c r="N492" i="10" s="1"/>
  <c r="K505" i="10"/>
  <c r="M505" i="10" s="1"/>
  <c r="L505" i="10"/>
  <c r="N505" i="10" s="1"/>
  <c r="K517" i="10"/>
  <c r="M517" i="10" s="1"/>
  <c r="L517" i="10"/>
  <c r="N517" i="10" s="1"/>
  <c r="K529" i="10"/>
  <c r="M529" i="10" s="1"/>
  <c r="L529" i="10"/>
  <c r="N529" i="10" s="1"/>
  <c r="L542" i="10"/>
  <c r="N542" i="10" s="1"/>
  <c r="K542" i="10"/>
  <c r="M542" i="10" s="1"/>
  <c r="K554" i="10"/>
  <c r="M554" i="10" s="1"/>
  <c r="L554" i="10"/>
  <c r="N554" i="10" s="1"/>
  <c r="L566" i="10"/>
  <c r="N566" i="10" s="1"/>
  <c r="K566" i="10"/>
  <c r="M566" i="10" s="1"/>
  <c r="L578" i="10"/>
  <c r="N578" i="10" s="1"/>
  <c r="K578" i="10"/>
  <c r="M578" i="10" s="1"/>
  <c r="L591" i="10"/>
  <c r="N591" i="10" s="1"/>
  <c r="K591" i="10"/>
  <c r="M591" i="10" s="1"/>
  <c r="L603" i="10"/>
  <c r="N603" i="10" s="1"/>
  <c r="K603" i="10"/>
  <c r="M603" i="10" s="1"/>
  <c r="K616" i="10"/>
  <c r="M616" i="10" s="1"/>
  <c r="L616" i="10"/>
  <c r="N616" i="10" s="1"/>
  <c r="K630" i="10"/>
  <c r="M630" i="10" s="1"/>
  <c r="L630" i="10"/>
  <c r="N630" i="10" s="1"/>
  <c r="K644" i="10"/>
  <c r="M644" i="10" s="1"/>
  <c r="L644" i="10"/>
  <c r="N644" i="10" s="1"/>
  <c r="K656" i="10"/>
  <c r="M656" i="10" s="1"/>
  <c r="L656" i="10"/>
  <c r="N656" i="10" s="1"/>
  <c r="L669" i="10"/>
  <c r="N669" i="10" s="1"/>
  <c r="K669" i="10"/>
  <c r="M669" i="10" s="1"/>
  <c r="K682" i="10"/>
  <c r="M682" i="10" s="1"/>
  <c r="L682" i="10"/>
  <c r="N682" i="10" s="1"/>
  <c r="L696" i="10"/>
  <c r="N696" i="10" s="1"/>
  <c r="K696" i="10"/>
  <c r="M696" i="10" s="1"/>
  <c r="L708" i="10"/>
  <c r="N708" i="10" s="1"/>
  <c r="K708" i="10"/>
  <c r="M708" i="10" s="1"/>
  <c r="K721" i="10"/>
  <c r="M721" i="10" s="1"/>
  <c r="L721" i="10"/>
  <c r="N721" i="10" s="1"/>
  <c r="K733" i="10"/>
  <c r="M733" i="10" s="1"/>
  <c r="L733" i="10"/>
  <c r="N733" i="10" s="1"/>
  <c r="K25" i="10"/>
  <c r="M25" i="10" s="1"/>
  <c r="L25" i="10"/>
  <c r="N25" i="10" s="1"/>
  <c r="K38" i="10"/>
  <c r="M38" i="10" s="1"/>
  <c r="L38" i="10"/>
  <c r="N38" i="10" s="1"/>
  <c r="L51" i="10"/>
  <c r="N51" i="10" s="1"/>
  <c r="K51" i="10"/>
  <c r="M51" i="10" s="1"/>
  <c r="K63" i="10"/>
  <c r="M63" i="10" s="1"/>
  <c r="L63" i="10"/>
  <c r="N63" i="10" s="1"/>
  <c r="L75" i="10"/>
  <c r="N75" i="10" s="1"/>
  <c r="K75" i="10"/>
  <c r="M75" i="10" s="1"/>
  <c r="L87" i="10"/>
  <c r="N87" i="10" s="1"/>
  <c r="K87" i="10"/>
  <c r="M87" i="10" s="1"/>
  <c r="L99" i="10"/>
  <c r="N99" i="10" s="1"/>
  <c r="K99" i="10"/>
  <c r="M99" i="10" s="1"/>
  <c r="L111" i="10"/>
  <c r="N111" i="10" s="1"/>
  <c r="K111" i="10"/>
  <c r="M111" i="10" s="1"/>
  <c r="L125" i="10"/>
  <c r="N125" i="10" s="1"/>
  <c r="K125" i="10"/>
  <c r="M125" i="10" s="1"/>
  <c r="L138" i="10"/>
  <c r="N138" i="10" s="1"/>
  <c r="K138" i="10"/>
  <c r="M138" i="10" s="1"/>
  <c r="L151" i="10"/>
  <c r="N151" i="10" s="1"/>
  <c r="K151" i="10"/>
  <c r="M151" i="10" s="1"/>
  <c r="K163" i="10"/>
  <c r="M163" i="10" s="1"/>
  <c r="L163" i="10"/>
  <c r="N163" i="10" s="1"/>
  <c r="L176" i="10"/>
  <c r="N176" i="10" s="1"/>
  <c r="K176" i="10"/>
  <c r="M176" i="10" s="1"/>
  <c r="K192" i="10"/>
  <c r="M192" i="10" s="1"/>
  <c r="L192" i="10"/>
  <c r="N192" i="10" s="1"/>
  <c r="K205" i="10"/>
  <c r="M205" i="10" s="1"/>
  <c r="L205" i="10"/>
  <c r="N205" i="10" s="1"/>
  <c r="L218" i="10"/>
  <c r="N218" i="10" s="1"/>
  <c r="K218" i="10"/>
  <c r="M218" i="10" s="1"/>
  <c r="L230" i="10"/>
  <c r="N230" i="10" s="1"/>
  <c r="K230" i="10"/>
  <c r="M230" i="10" s="1"/>
  <c r="K243" i="10"/>
  <c r="M243" i="10" s="1"/>
  <c r="L243" i="10"/>
  <c r="N243" i="10" s="1"/>
  <c r="K256" i="10"/>
  <c r="M256" i="10" s="1"/>
  <c r="L256" i="10"/>
  <c r="N256" i="10" s="1"/>
  <c r="K268" i="10"/>
  <c r="M268" i="10" s="1"/>
  <c r="L268" i="10"/>
  <c r="N268" i="10" s="1"/>
  <c r="K280" i="10"/>
  <c r="M280" i="10" s="1"/>
  <c r="L280" i="10"/>
  <c r="N280" i="10" s="1"/>
  <c r="K293" i="10"/>
  <c r="M293" i="10" s="1"/>
  <c r="L293" i="10"/>
  <c r="N293" i="10" s="1"/>
  <c r="K305" i="10"/>
  <c r="M305" i="10" s="1"/>
  <c r="L305" i="10"/>
  <c r="N305" i="10" s="1"/>
  <c r="K318" i="10"/>
  <c r="M318" i="10" s="1"/>
  <c r="L318" i="10"/>
  <c r="N318" i="10" s="1"/>
  <c r="K330" i="10"/>
  <c r="M330" i="10" s="1"/>
  <c r="L330" i="10"/>
  <c r="N330" i="10" s="1"/>
  <c r="L344" i="10"/>
  <c r="N344" i="10" s="1"/>
  <c r="K344" i="10"/>
  <c r="M344" i="10" s="1"/>
  <c r="L356" i="10"/>
  <c r="N356" i="10" s="1"/>
  <c r="K356" i="10"/>
  <c r="M356" i="10" s="1"/>
  <c r="L368" i="10"/>
  <c r="N368" i="10" s="1"/>
  <c r="K368" i="10"/>
  <c r="M368" i="10" s="1"/>
  <c r="L381" i="10"/>
  <c r="N381" i="10" s="1"/>
  <c r="K381" i="10"/>
  <c r="M381" i="10" s="1"/>
  <c r="K393" i="10"/>
  <c r="M393" i="10" s="1"/>
  <c r="L393" i="10"/>
  <c r="N393" i="10" s="1"/>
  <c r="K407" i="10"/>
  <c r="M407" i="10" s="1"/>
  <c r="L407" i="10"/>
  <c r="N407" i="10" s="1"/>
  <c r="K419" i="10"/>
  <c r="M419" i="10" s="1"/>
  <c r="L419" i="10"/>
  <c r="N419" i="10" s="1"/>
  <c r="L431" i="10"/>
  <c r="N431" i="10" s="1"/>
  <c r="K431" i="10"/>
  <c r="M431" i="10" s="1"/>
  <c r="L444" i="10"/>
  <c r="N444" i="10" s="1"/>
  <c r="K444" i="10"/>
  <c r="M444" i="10" s="1"/>
  <c r="K456" i="10"/>
  <c r="M456" i="10" s="1"/>
  <c r="L456" i="10"/>
  <c r="N456" i="10" s="1"/>
  <c r="L468" i="10"/>
  <c r="N468" i="10" s="1"/>
  <c r="K468" i="10"/>
  <c r="M468" i="10" s="1"/>
  <c r="L481" i="10"/>
  <c r="N481" i="10" s="1"/>
  <c r="K481" i="10"/>
  <c r="M481" i="10" s="1"/>
  <c r="K493" i="10"/>
  <c r="M493" i="10" s="1"/>
  <c r="L493" i="10"/>
  <c r="N493" i="10" s="1"/>
  <c r="K506" i="10"/>
  <c r="M506" i="10" s="1"/>
  <c r="L506" i="10"/>
  <c r="N506" i="10" s="1"/>
  <c r="L518" i="10"/>
  <c r="N518" i="10" s="1"/>
  <c r="K518" i="10"/>
  <c r="M518" i="10" s="1"/>
  <c r="K530" i="10"/>
  <c r="M530" i="10" s="1"/>
  <c r="L530" i="10"/>
  <c r="N530" i="10" s="1"/>
  <c r="L543" i="10"/>
  <c r="N543" i="10" s="1"/>
  <c r="K543" i="10"/>
  <c r="M543" i="10" s="1"/>
  <c r="K555" i="10"/>
  <c r="M555" i="10" s="1"/>
  <c r="L555" i="10"/>
  <c r="N555" i="10" s="1"/>
  <c r="L567" i="10"/>
  <c r="N567" i="10" s="1"/>
  <c r="K567" i="10"/>
  <c r="M567" i="10" s="1"/>
  <c r="K579" i="10"/>
  <c r="M579" i="10" s="1"/>
  <c r="L579" i="10"/>
  <c r="N579" i="10" s="1"/>
  <c r="L592" i="10"/>
  <c r="N592" i="10" s="1"/>
  <c r="K592" i="10"/>
  <c r="M592" i="10" s="1"/>
  <c r="L604" i="10"/>
  <c r="N604" i="10" s="1"/>
  <c r="K604" i="10"/>
  <c r="M604" i="10" s="1"/>
  <c r="K617" i="10"/>
  <c r="M617" i="10" s="1"/>
  <c r="L617" i="10"/>
  <c r="N617" i="10" s="1"/>
  <c r="K631" i="10"/>
  <c r="M631" i="10" s="1"/>
  <c r="L631" i="10"/>
  <c r="N631" i="10" s="1"/>
  <c r="L645" i="10"/>
  <c r="N645" i="10" s="1"/>
  <c r="K645" i="10"/>
  <c r="M645" i="10" s="1"/>
  <c r="L657" i="10"/>
  <c r="N657" i="10" s="1"/>
  <c r="K657" i="10"/>
  <c r="M657" i="10" s="1"/>
  <c r="L670" i="10"/>
  <c r="N670" i="10" s="1"/>
  <c r="K670" i="10"/>
  <c r="M670" i="10" s="1"/>
  <c r="K683" i="10"/>
  <c r="M683" i="10" s="1"/>
  <c r="L683" i="10"/>
  <c r="N683" i="10" s="1"/>
  <c r="K697" i="10"/>
  <c r="M697" i="10" s="1"/>
  <c r="L697" i="10"/>
  <c r="N697" i="10" s="1"/>
  <c r="K709" i="10"/>
  <c r="M709" i="10" s="1"/>
  <c r="L709" i="10"/>
  <c r="N709" i="10" s="1"/>
  <c r="L722" i="10"/>
  <c r="N722" i="10" s="1"/>
  <c r="K722" i="10"/>
  <c r="M722" i="10" s="1"/>
  <c r="L734" i="10"/>
  <c r="N734" i="10" s="1"/>
  <c r="K734" i="10"/>
  <c r="M734" i="10" s="1"/>
  <c r="L26" i="10"/>
  <c r="N26" i="10" s="1"/>
  <c r="K26" i="10"/>
  <c r="M26" i="10" s="1"/>
  <c r="L39" i="10"/>
  <c r="N39" i="10" s="1"/>
  <c r="K39" i="10"/>
  <c r="M39" i="10" s="1"/>
  <c r="L52" i="10"/>
  <c r="N52" i="10" s="1"/>
  <c r="K52" i="10"/>
  <c r="M52" i="10" s="1"/>
  <c r="L64" i="10"/>
  <c r="N64" i="10" s="1"/>
  <c r="K64" i="10"/>
  <c r="M64" i="10" s="1"/>
  <c r="L76" i="10"/>
  <c r="N76" i="10" s="1"/>
  <c r="K76" i="10"/>
  <c r="M76" i="10" s="1"/>
  <c r="K88" i="10"/>
  <c r="M88" i="10" s="1"/>
  <c r="L88" i="10"/>
  <c r="N88" i="10" s="1"/>
  <c r="L100" i="10"/>
  <c r="N100" i="10" s="1"/>
  <c r="K100" i="10"/>
  <c r="M100" i="10" s="1"/>
  <c r="K112" i="10"/>
  <c r="M112" i="10" s="1"/>
  <c r="L112" i="10"/>
  <c r="N112" i="10" s="1"/>
  <c r="L126" i="10"/>
  <c r="N126" i="10" s="1"/>
  <c r="K126" i="10"/>
  <c r="M126" i="10" s="1"/>
  <c r="K139" i="10"/>
  <c r="M139" i="10" s="1"/>
  <c r="L139" i="10"/>
  <c r="N139" i="10" s="1"/>
  <c r="K152" i="10"/>
  <c r="M152" i="10" s="1"/>
  <c r="L152" i="10"/>
  <c r="N152" i="10" s="1"/>
  <c r="L164" i="10"/>
  <c r="N164" i="10" s="1"/>
  <c r="K164" i="10"/>
  <c r="M164" i="10" s="1"/>
  <c r="K180" i="10"/>
  <c r="M180" i="10" s="1"/>
  <c r="L180" i="10"/>
  <c r="N180" i="10" s="1"/>
  <c r="K193" i="10"/>
  <c r="M193" i="10" s="1"/>
  <c r="L193" i="10"/>
  <c r="N193" i="10" s="1"/>
  <c r="L206" i="10"/>
  <c r="N206" i="10" s="1"/>
  <c r="K206" i="10"/>
  <c r="M206" i="10" s="1"/>
  <c r="K219" i="10"/>
  <c r="M219" i="10" s="1"/>
  <c r="L219" i="10"/>
  <c r="N219" i="10" s="1"/>
  <c r="K231" i="10"/>
  <c r="M231" i="10" s="1"/>
  <c r="L231" i="10"/>
  <c r="N231" i="10" s="1"/>
  <c r="L244" i="10"/>
  <c r="N244" i="10" s="1"/>
  <c r="K244" i="10"/>
  <c r="M244" i="10" s="1"/>
  <c r="K257" i="10"/>
  <c r="M257" i="10" s="1"/>
  <c r="L257" i="10"/>
  <c r="N257" i="10" s="1"/>
  <c r="K269" i="10"/>
  <c r="M269" i="10" s="1"/>
  <c r="L269" i="10"/>
  <c r="N269" i="10" s="1"/>
  <c r="K281" i="10"/>
  <c r="M281" i="10" s="1"/>
  <c r="L281" i="10"/>
  <c r="N281" i="10" s="1"/>
  <c r="K294" i="10"/>
  <c r="M294" i="10" s="1"/>
  <c r="L294" i="10"/>
  <c r="N294" i="10" s="1"/>
  <c r="K306" i="10"/>
  <c r="M306" i="10" s="1"/>
  <c r="L306" i="10"/>
  <c r="N306" i="10" s="1"/>
  <c r="L319" i="10"/>
  <c r="N319" i="10" s="1"/>
  <c r="K319" i="10"/>
  <c r="M319" i="10" s="1"/>
  <c r="L331" i="10"/>
  <c r="N331" i="10" s="1"/>
  <c r="K331" i="10"/>
  <c r="M331" i="10" s="1"/>
  <c r="L345" i="10"/>
  <c r="N345" i="10" s="1"/>
  <c r="K345" i="10"/>
  <c r="M345" i="10" s="1"/>
  <c r="L357" i="10"/>
  <c r="N357" i="10" s="1"/>
  <c r="K357" i="10"/>
  <c r="M357" i="10" s="1"/>
  <c r="L369" i="10"/>
  <c r="N369" i="10" s="1"/>
  <c r="K369" i="10"/>
  <c r="M369" i="10" s="1"/>
  <c r="L382" i="10"/>
  <c r="N382" i="10" s="1"/>
  <c r="K382" i="10"/>
  <c r="M382" i="10" s="1"/>
  <c r="L395" i="10"/>
  <c r="N395" i="10" s="1"/>
  <c r="K395" i="10"/>
  <c r="M395" i="10" s="1"/>
  <c r="K408" i="10"/>
  <c r="M408" i="10" s="1"/>
  <c r="L408" i="10"/>
  <c r="N408" i="10" s="1"/>
  <c r="K420" i="10"/>
  <c r="M420" i="10" s="1"/>
  <c r="L420" i="10"/>
  <c r="N420" i="10" s="1"/>
  <c r="L432" i="10"/>
  <c r="N432" i="10" s="1"/>
  <c r="K432" i="10"/>
  <c r="M432" i="10" s="1"/>
  <c r="L445" i="10"/>
  <c r="N445" i="10" s="1"/>
  <c r="K445" i="10"/>
  <c r="M445" i="10" s="1"/>
  <c r="K457" i="10"/>
  <c r="M457" i="10" s="1"/>
  <c r="L457" i="10"/>
  <c r="N457" i="10" s="1"/>
  <c r="L469" i="10"/>
  <c r="N469" i="10" s="1"/>
  <c r="K469" i="10"/>
  <c r="M469" i="10" s="1"/>
  <c r="K482" i="10"/>
  <c r="M482" i="10" s="1"/>
  <c r="L482" i="10"/>
  <c r="N482" i="10" s="1"/>
  <c r="L494" i="10"/>
  <c r="N494" i="10" s="1"/>
  <c r="K494" i="10"/>
  <c r="M494" i="10" s="1"/>
  <c r="L507" i="10"/>
  <c r="N507" i="10" s="1"/>
  <c r="K507" i="10"/>
  <c r="M507" i="10" s="1"/>
  <c r="L519" i="10"/>
  <c r="N519" i="10" s="1"/>
  <c r="K519" i="10"/>
  <c r="M519" i="10" s="1"/>
  <c r="L531" i="10"/>
  <c r="N531" i="10" s="1"/>
  <c r="K531" i="10"/>
  <c r="M531" i="10" s="1"/>
  <c r="L544" i="10"/>
  <c r="N544" i="10" s="1"/>
  <c r="K544" i="10"/>
  <c r="M544" i="10" s="1"/>
  <c r="L556" i="10"/>
  <c r="N556" i="10" s="1"/>
  <c r="K556" i="10"/>
  <c r="M556" i="10" s="1"/>
  <c r="K568" i="10"/>
  <c r="M568" i="10" s="1"/>
  <c r="L568" i="10"/>
  <c r="N568" i="10" s="1"/>
  <c r="K580" i="10"/>
  <c r="M580" i="10" s="1"/>
  <c r="L580" i="10"/>
  <c r="N580" i="10" s="1"/>
  <c r="K593" i="10"/>
  <c r="M593" i="10" s="1"/>
  <c r="L593" i="10"/>
  <c r="N593" i="10" s="1"/>
  <c r="K606" i="10"/>
  <c r="M606" i="10" s="1"/>
  <c r="L606" i="10"/>
  <c r="N606" i="10" s="1"/>
  <c r="L618" i="10"/>
  <c r="N618" i="10" s="1"/>
  <c r="K618" i="10"/>
  <c r="M618" i="10" s="1"/>
  <c r="L632" i="10"/>
  <c r="N632" i="10" s="1"/>
  <c r="K632" i="10"/>
  <c r="M632" i="10" s="1"/>
  <c r="L646" i="10"/>
  <c r="N646" i="10" s="1"/>
  <c r="K646" i="10"/>
  <c r="M646" i="10" s="1"/>
  <c r="L658" i="10"/>
  <c r="N658" i="10" s="1"/>
  <c r="K658" i="10"/>
  <c r="M658" i="10" s="1"/>
  <c r="L671" i="10"/>
  <c r="N671" i="10" s="1"/>
  <c r="K671" i="10"/>
  <c r="M671" i="10" s="1"/>
  <c r="K685" i="10"/>
  <c r="M685" i="10" s="1"/>
  <c r="L685" i="10"/>
  <c r="N685" i="10" s="1"/>
  <c r="L698" i="10"/>
  <c r="N698" i="10" s="1"/>
  <c r="K698" i="10"/>
  <c r="M698" i="10" s="1"/>
  <c r="L710" i="10"/>
  <c r="N710" i="10" s="1"/>
  <c r="K710" i="10"/>
  <c r="M710" i="10" s="1"/>
  <c r="K723" i="10"/>
  <c r="M723" i="10" s="1"/>
  <c r="L723" i="10"/>
  <c r="N723" i="10" s="1"/>
  <c r="K735" i="10"/>
  <c r="M735" i="10" s="1"/>
  <c r="L735" i="10"/>
  <c r="N735" i="10" s="1"/>
  <c r="L27" i="10"/>
  <c r="N27" i="10" s="1"/>
  <c r="K27" i="10"/>
  <c r="M27" i="10" s="1"/>
  <c r="L41" i="10"/>
  <c r="N41" i="10" s="1"/>
  <c r="K41" i="10"/>
  <c r="M41" i="10" s="1"/>
  <c r="K53" i="10"/>
  <c r="M53" i="10" s="1"/>
  <c r="L53" i="10"/>
  <c r="N53" i="10" s="1"/>
  <c r="L65" i="10"/>
  <c r="N65" i="10" s="1"/>
  <c r="K65" i="10"/>
  <c r="M65" i="10" s="1"/>
  <c r="K77" i="10"/>
  <c r="M77" i="10" s="1"/>
  <c r="L77" i="10"/>
  <c r="N77" i="10" s="1"/>
  <c r="K89" i="10"/>
  <c r="M89" i="10" s="1"/>
  <c r="L89" i="10"/>
  <c r="N89" i="10" s="1"/>
  <c r="K101" i="10"/>
  <c r="M101" i="10" s="1"/>
  <c r="L101" i="10"/>
  <c r="N101" i="10" s="1"/>
  <c r="L113" i="10"/>
  <c r="N113" i="10" s="1"/>
  <c r="K113" i="10"/>
  <c r="M113" i="10" s="1"/>
  <c r="L127" i="10"/>
  <c r="N127" i="10" s="1"/>
  <c r="K127" i="10"/>
  <c r="M127" i="10" s="1"/>
  <c r="K140" i="10"/>
  <c r="M140" i="10" s="1"/>
  <c r="L140" i="10"/>
  <c r="N140" i="10" s="1"/>
  <c r="K153" i="10"/>
  <c r="M153" i="10" s="1"/>
  <c r="L153" i="10"/>
  <c r="N153" i="10" s="1"/>
  <c r="L165" i="10"/>
  <c r="N165" i="10" s="1"/>
  <c r="K165" i="10"/>
  <c r="M165" i="10" s="1"/>
  <c r="K181" i="10"/>
  <c r="M181" i="10" s="1"/>
  <c r="L181" i="10"/>
  <c r="N181" i="10" s="1"/>
  <c r="L194" i="10"/>
  <c r="N194" i="10" s="1"/>
  <c r="K194" i="10"/>
  <c r="M194" i="10" s="1"/>
  <c r="L208" i="10"/>
  <c r="N208" i="10" s="1"/>
  <c r="K208" i="10"/>
  <c r="M208" i="10" s="1"/>
  <c r="L220" i="10"/>
  <c r="N220" i="10" s="1"/>
  <c r="K220" i="10"/>
  <c r="M220" i="10" s="1"/>
  <c r="K232" i="10"/>
  <c r="M232" i="10" s="1"/>
  <c r="L232" i="10"/>
  <c r="N232" i="10" s="1"/>
  <c r="K245" i="10"/>
  <c r="M245" i="10" s="1"/>
  <c r="L245" i="10"/>
  <c r="N245" i="10" s="1"/>
  <c r="K258" i="10"/>
  <c r="M258" i="10" s="1"/>
  <c r="L258" i="10"/>
  <c r="N258" i="10" s="1"/>
  <c r="L270" i="10"/>
  <c r="N270" i="10" s="1"/>
  <c r="K270" i="10"/>
  <c r="M270" i="10" s="1"/>
  <c r="L282" i="10"/>
  <c r="N282" i="10" s="1"/>
  <c r="K282" i="10"/>
  <c r="M282" i="10" s="1"/>
  <c r="L295" i="10"/>
  <c r="N295" i="10" s="1"/>
  <c r="K295" i="10"/>
  <c r="M295" i="10" s="1"/>
  <c r="K307" i="10"/>
  <c r="M307" i="10" s="1"/>
  <c r="L307" i="10"/>
  <c r="N307" i="10" s="1"/>
  <c r="K320" i="10"/>
  <c r="M320" i="10" s="1"/>
  <c r="L320" i="10"/>
  <c r="N320" i="10" s="1"/>
  <c r="L332" i="10"/>
  <c r="N332" i="10" s="1"/>
  <c r="K332" i="10"/>
  <c r="M332" i="10" s="1"/>
  <c r="L346" i="10"/>
  <c r="N346" i="10" s="1"/>
  <c r="K346" i="10"/>
  <c r="M346" i="10" s="1"/>
  <c r="L358" i="10"/>
  <c r="N358" i="10" s="1"/>
  <c r="K358" i="10"/>
  <c r="M358" i="10" s="1"/>
  <c r="K370" i="10"/>
  <c r="M370" i="10" s="1"/>
  <c r="L370" i="10"/>
  <c r="N370" i="10" s="1"/>
  <c r="L383" i="10"/>
  <c r="N383" i="10" s="1"/>
  <c r="K383" i="10"/>
  <c r="M383" i="10" s="1"/>
  <c r="K396" i="10"/>
  <c r="M396" i="10" s="1"/>
  <c r="L396" i="10"/>
  <c r="N396" i="10" s="1"/>
  <c r="L409" i="10"/>
  <c r="N409" i="10" s="1"/>
  <c r="K409" i="10"/>
  <c r="M409" i="10" s="1"/>
  <c r="L421" i="10"/>
  <c r="N421" i="10" s="1"/>
  <c r="K421" i="10"/>
  <c r="M421" i="10" s="1"/>
  <c r="L433" i="10"/>
  <c r="N433" i="10" s="1"/>
  <c r="K433" i="10"/>
  <c r="M433" i="10" s="1"/>
  <c r="L446" i="10"/>
  <c r="N446" i="10" s="1"/>
  <c r="K446" i="10"/>
  <c r="M446" i="10" s="1"/>
  <c r="K458" i="10"/>
  <c r="M458" i="10" s="1"/>
  <c r="L458" i="10"/>
  <c r="N458" i="10" s="1"/>
  <c r="K470" i="10"/>
  <c r="M470" i="10" s="1"/>
  <c r="L470" i="10"/>
  <c r="N470" i="10" s="1"/>
  <c r="L483" i="10"/>
  <c r="N483" i="10" s="1"/>
  <c r="K483" i="10"/>
  <c r="M483" i="10" s="1"/>
  <c r="L496" i="10"/>
  <c r="N496" i="10" s="1"/>
  <c r="K496" i="10"/>
  <c r="M496" i="10" s="1"/>
  <c r="K508" i="10"/>
  <c r="M508" i="10" s="1"/>
  <c r="L508" i="10"/>
  <c r="N508" i="10" s="1"/>
  <c r="L520" i="10"/>
  <c r="N520" i="10" s="1"/>
  <c r="K520" i="10"/>
  <c r="M520" i="10" s="1"/>
  <c r="L532" i="10"/>
  <c r="N532" i="10" s="1"/>
  <c r="K532" i="10"/>
  <c r="M532" i="10" s="1"/>
  <c r="L545" i="10"/>
  <c r="N545" i="10" s="1"/>
  <c r="K545" i="10"/>
  <c r="M545" i="10" s="1"/>
  <c r="L557" i="10"/>
  <c r="N557" i="10" s="1"/>
  <c r="K557" i="10"/>
  <c r="M557" i="10" s="1"/>
  <c r="K569" i="10"/>
  <c r="M569" i="10" s="1"/>
  <c r="L569" i="10"/>
  <c r="N569" i="10" s="1"/>
  <c r="L582" i="10"/>
  <c r="N582" i="10" s="1"/>
  <c r="K582" i="10"/>
  <c r="M582" i="10" s="1"/>
  <c r="L594" i="10"/>
  <c r="N594" i="10" s="1"/>
  <c r="K594" i="10"/>
  <c r="M594" i="10" s="1"/>
  <c r="K607" i="10"/>
  <c r="M607" i="10" s="1"/>
  <c r="L607" i="10"/>
  <c r="N607" i="10" s="1"/>
  <c r="K619" i="10"/>
  <c r="M619" i="10" s="1"/>
  <c r="L619" i="10"/>
  <c r="N619" i="10" s="1"/>
  <c r="L633" i="10"/>
  <c r="N633" i="10" s="1"/>
  <c r="K633" i="10"/>
  <c r="M633" i="10" s="1"/>
  <c r="K647" i="10"/>
  <c r="M647" i="10" s="1"/>
  <c r="L647" i="10"/>
  <c r="N647" i="10" s="1"/>
  <c r="K659" i="10"/>
  <c r="M659" i="10" s="1"/>
  <c r="L659" i="10"/>
  <c r="N659" i="10" s="1"/>
  <c r="K672" i="10"/>
  <c r="M672" i="10" s="1"/>
  <c r="L672" i="10"/>
  <c r="N672" i="10" s="1"/>
  <c r="L686" i="10"/>
  <c r="N686" i="10" s="1"/>
  <c r="K686" i="10"/>
  <c r="M686" i="10" s="1"/>
  <c r="K699" i="10"/>
  <c r="M699" i="10" s="1"/>
  <c r="L699" i="10"/>
  <c r="N699" i="10" s="1"/>
  <c r="K711" i="10"/>
  <c r="M711" i="10" s="1"/>
  <c r="L711" i="10"/>
  <c r="N711" i="10" s="1"/>
  <c r="L724" i="10"/>
  <c r="N724" i="10" s="1"/>
  <c r="K724" i="10"/>
  <c r="M724" i="10" s="1"/>
  <c r="K736" i="10"/>
  <c r="M736" i="10" s="1"/>
  <c r="L736" i="10"/>
  <c r="N736" i="10" s="1"/>
  <c r="K16" i="10"/>
  <c r="M16" i="10" s="1"/>
  <c r="L16" i="10"/>
  <c r="N16" i="10" s="1"/>
  <c r="K28" i="10"/>
  <c r="M28" i="10" s="1"/>
  <c r="L28" i="10"/>
  <c r="N28" i="10" s="1"/>
  <c r="L42" i="10"/>
  <c r="N42" i="10" s="1"/>
  <c r="K42" i="10"/>
  <c r="M42" i="10" s="1"/>
  <c r="L54" i="10"/>
  <c r="N54" i="10" s="1"/>
  <c r="K54" i="10"/>
  <c r="M54" i="10" s="1"/>
  <c r="L66" i="10"/>
  <c r="N66" i="10" s="1"/>
  <c r="K66" i="10"/>
  <c r="M66" i="10" s="1"/>
  <c r="K78" i="10"/>
  <c r="M78" i="10" s="1"/>
  <c r="L78" i="10"/>
  <c r="N78" i="10" s="1"/>
  <c r="L90" i="10"/>
  <c r="N90" i="10" s="1"/>
  <c r="K90" i="10"/>
  <c r="M90" i="10" s="1"/>
  <c r="K102" i="10"/>
  <c r="M102" i="10" s="1"/>
  <c r="L102" i="10"/>
  <c r="N102" i="10" s="1"/>
  <c r="L115" i="10"/>
  <c r="N115" i="10" s="1"/>
  <c r="K115" i="10"/>
  <c r="M115" i="10" s="1"/>
  <c r="K128" i="10"/>
  <c r="M128" i="10" s="1"/>
  <c r="L128" i="10"/>
  <c r="N128" i="10" s="1"/>
  <c r="L141" i="10"/>
  <c r="N141" i="10" s="1"/>
  <c r="K141" i="10"/>
  <c r="M141" i="10" s="1"/>
  <c r="L154" i="10"/>
  <c r="N154" i="10" s="1"/>
  <c r="K154" i="10"/>
  <c r="M154" i="10" s="1"/>
  <c r="L166" i="10"/>
  <c r="N166" i="10" s="1"/>
  <c r="K166" i="10"/>
  <c r="M166" i="10" s="1"/>
  <c r="L182" i="10"/>
  <c r="N182" i="10" s="1"/>
  <c r="K182" i="10"/>
  <c r="M182" i="10" s="1"/>
  <c r="L195" i="10"/>
  <c r="N195" i="10" s="1"/>
  <c r="K195" i="10"/>
  <c r="M195" i="10" s="1"/>
  <c r="L209" i="10"/>
  <c r="N209" i="10" s="1"/>
  <c r="K209" i="10"/>
  <c r="M209" i="10" s="1"/>
  <c r="L221" i="10"/>
  <c r="N221" i="10" s="1"/>
  <c r="K221" i="10"/>
  <c r="M221" i="10" s="1"/>
  <c r="L233" i="10"/>
  <c r="N233" i="10" s="1"/>
  <c r="K233" i="10"/>
  <c r="M233" i="10" s="1"/>
  <c r="L246" i="10"/>
  <c r="N246" i="10" s="1"/>
  <c r="K246" i="10"/>
  <c r="M246" i="10" s="1"/>
  <c r="K259" i="10"/>
  <c r="M259" i="10" s="1"/>
  <c r="L259" i="10"/>
  <c r="N259" i="10" s="1"/>
  <c r="L271" i="10"/>
  <c r="N271" i="10" s="1"/>
  <c r="K271" i="10"/>
  <c r="M271" i="10" s="1"/>
  <c r="K283" i="10"/>
  <c r="M283" i="10" s="1"/>
  <c r="L283" i="10"/>
  <c r="N283" i="10" s="1"/>
  <c r="L296" i="10"/>
  <c r="N296" i="10" s="1"/>
  <c r="K296" i="10"/>
  <c r="M296" i="10" s="1"/>
  <c r="K308" i="10"/>
  <c r="M308" i="10" s="1"/>
  <c r="L308" i="10"/>
  <c r="N308" i="10" s="1"/>
  <c r="K321" i="10"/>
  <c r="M321" i="10" s="1"/>
  <c r="L321" i="10"/>
  <c r="N321" i="10" s="1"/>
  <c r="K335" i="10"/>
  <c r="M335" i="10" s="1"/>
  <c r="L335" i="10"/>
  <c r="N335" i="10" s="1"/>
  <c r="K347" i="10"/>
  <c r="M347" i="10" s="1"/>
  <c r="L347" i="10"/>
  <c r="N347" i="10" s="1"/>
  <c r="K359" i="10"/>
  <c r="M359" i="10" s="1"/>
  <c r="L359" i="10"/>
  <c r="N359" i="10" s="1"/>
  <c r="K371" i="10"/>
  <c r="M371" i="10" s="1"/>
  <c r="L371" i="10"/>
  <c r="N371" i="10" s="1"/>
  <c r="L384" i="10"/>
  <c r="N384" i="10" s="1"/>
  <c r="K384" i="10"/>
  <c r="M384" i="10" s="1"/>
  <c r="K397" i="10"/>
  <c r="M397" i="10" s="1"/>
  <c r="L397" i="10"/>
  <c r="N397" i="10" s="1"/>
  <c r="L410" i="10"/>
  <c r="N410" i="10" s="1"/>
  <c r="K410" i="10"/>
  <c r="M410" i="10" s="1"/>
  <c r="L422" i="10"/>
  <c r="N422" i="10" s="1"/>
  <c r="K422" i="10"/>
  <c r="M422" i="10" s="1"/>
  <c r="L434" i="10"/>
  <c r="N434" i="10" s="1"/>
  <c r="K434" i="10"/>
  <c r="M434" i="10" s="1"/>
  <c r="K447" i="10"/>
  <c r="M447" i="10" s="1"/>
  <c r="L447" i="10"/>
  <c r="N447" i="10" s="1"/>
  <c r="K459" i="10"/>
  <c r="M459" i="10" s="1"/>
  <c r="L459" i="10"/>
  <c r="N459" i="10" s="1"/>
  <c r="K471" i="10"/>
  <c r="M471" i="10" s="1"/>
  <c r="L471" i="10"/>
  <c r="N471" i="10" s="1"/>
  <c r="K484" i="10"/>
  <c r="M484" i="10" s="1"/>
  <c r="L484" i="10"/>
  <c r="N484" i="10" s="1"/>
  <c r="K497" i="10"/>
  <c r="M497" i="10" s="1"/>
  <c r="L497" i="10"/>
  <c r="N497" i="10" s="1"/>
  <c r="K509" i="10"/>
  <c r="M509" i="10" s="1"/>
  <c r="L509" i="10"/>
  <c r="N509" i="10" s="1"/>
  <c r="K521" i="10"/>
  <c r="M521" i="10" s="1"/>
  <c r="L521" i="10"/>
  <c r="N521" i="10" s="1"/>
  <c r="K533" i="10"/>
  <c r="M533" i="10" s="1"/>
  <c r="L533" i="10"/>
  <c r="N533" i="10" s="1"/>
  <c r="K546" i="10"/>
  <c r="M546" i="10" s="1"/>
  <c r="L546" i="10"/>
  <c r="N546" i="10" s="1"/>
  <c r="K558" i="10"/>
  <c r="M558" i="10" s="1"/>
  <c r="L558" i="10"/>
  <c r="N558" i="10" s="1"/>
  <c r="K570" i="10"/>
  <c r="M570" i="10" s="1"/>
  <c r="L570" i="10"/>
  <c r="N570" i="10" s="1"/>
  <c r="L583" i="10"/>
  <c r="N583" i="10" s="1"/>
  <c r="K583" i="10"/>
  <c r="M583" i="10" s="1"/>
  <c r="K595" i="10"/>
  <c r="M595" i="10" s="1"/>
  <c r="L595" i="10"/>
  <c r="N595" i="10" s="1"/>
  <c r="L608" i="10"/>
  <c r="N608" i="10" s="1"/>
  <c r="K608" i="10"/>
  <c r="M608" i="10" s="1"/>
  <c r="L620" i="10"/>
  <c r="N620" i="10" s="1"/>
  <c r="K620" i="10"/>
  <c r="M620" i="10" s="1"/>
  <c r="K634" i="10"/>
  <c r="M634" i="10" s="1"/>
  <c r="L634" i="10"/>
  <c r="N634" i="10" s="1"/>
  <c r="L648" i="10"/>
  <c r="N648" i="10" s="1"/>
  <c r="K648" i="10"/>
  <c r="M648" i="10" s="1"/>
  <c r="L660" i="10"/>
  <c r="N660" i="10" s="1"/>
  <c r="K660" i="10"/>
  <c r="M660" i="10" s="1"/>
  <c r="L673" i="10"/>
  <c r="N673" i="10" s="1"/>
  <c r="K673" i="10"/>
  <c r="M673" i="10" s="1"/>
  <c r="K687" i="10"/>
  <c r="M687" i="10" s="1"/>
  <c r="L687" i="10"/>
  <c r="N687" i="10" s="1"/>
  <c r="L700" i="10"/>
  <c r="N700" i="10" s="1"/>
  <c r="K700" i="10"/>
  <c r="M700" i="10" s="1"/>
  <c r="K712" i="10"/>
  <c r="M712" i="10" s="1"/>
  <c r="L712" i="10"/>
  <c r="N712" i="10" s="1"/>
  <c r="L725" i="10"/>
  <c r="N725" i="10" s="1"/>
  <c r="K725" i="10"/>
  <c r="M725" i="10" s="1"/>
  <c r="L737" i="10"/>
  <c r="N737" i="10" s="1"/>
  <c r="K737" i="10"/>
  <c r="M737" i="10" s="1"/>
  <c r="L393" i="9"/>
  <c r="N393" i="9" s="1"/>
  <c r="K393" i="9"/>
  <c r="M393" i="9" s="1"/>
  <c r="K683" i="9"/>
  <c r="M683" i="9" s="1"/>
  <c r="L683" i="9"/>
  <c r="N683" i="9" s="1"/>
  <c r="L25" i="9"/>
  <c r="N25" i="9" s="1"/>
  <c r="K25" i="9"/>
  <c r="M25" i="9" s="1"/>
  <c r="L38" i="9"/>
  <c r="N38" i="9" s="1"/>
  <c r="K38" i="9"/>
  <c r="M38" i="9" s="1"/>
  <c r="K51" i="9"/>
  <c r="M51" i="9" s="1"/>
  <c r="L51" i="9"/>
  <c r="N51" i="9" s="1"/>
  <c r="K63" i="9"/>
  <c r="M63" i="9" s="1"/>
  <c r="L63" i="9"/>
  <c r="N63" i="9" s="1"/>
  <c r="L99" i="9"/>
  <c r="N99" i="9" s="1"/>
  <c r="K99" i="9"/>
  <c r="M99" i="9" s="1"/>
  <c r="K125" i="9"/>
  <c r="M125" i="9" s="1"/>
  <c r="L125" i="9"/>
  <c r="N125" i="9" s="1"/>
  <c r="L579" i="9"/>
  <c r="N579" i="9" s="1"/>
  <c r="K579" i="9"/>
  <c r="M579" i="9" s="1"/>
  <c r="K75" i="9"/>
  <c r="M75" i="9" s="1"/>
  <c r="L75" i="9"/>
  <c r="N75" i="9" s="1"/>
  <c r="K111" i="9"/>
  <c r="M111" i="9" s="1"/>
  <c r="L111" i="9"/>
  <c r="N111" i="9" s="1"/>
  <c r="K163" i="9"/>
  <c r="M163" i="9" s="1"/>
  <c r="L163" i="9"/>
  <c r="N163" i="9" s="1"/>
  <c r="K205" i="9"/>
  <c r="M205" i="9" s="1"/>
  <c r="L205" i="9"/>
  <c r="N205" i="9" s="1"/>
  <c r="K243" i="9"/>
  <c r="M243" i="9" s="1"/>
  <c r="L243" i="9"/>
  <c r="N243" i="9" s="1"/>
  <c r="K293" i="9"/>
  <c r="M293" i="9" s="1"/>
  <c r="L293" i="9"/>
  <c r="N293" i="9" s="1"/>
  <c r="L330" i="9"/>
  <c r="N330" i="9" s="1"/>
  <c r="K330" i="9"/>
  <c r="M330" i="9" s="1"/>
  <c r="L368" i="9"/>
  <c r="N368" i="9" s="1"/>
  <c r="K368" i="9"/>
  <c r="M368" i="9" s="1"/>
  <c r="L407" i="9"/>
  <c r="N407" i="9" s="1"/>
  <c r="K407" i="9"/>
  <c r="M407" i="9" s="1"/>
  <c r="K444" i="9"/>
  <c r="M444" i="9" s="1"/>
  <c r="L444" i="9"/>
  <c r="N444" i="9" s="1"/>
  <c r="K493" i="9"/>
  <c r="M493" i="9" s="1"/>
  <c r="L493" i="9"/>
  <c r="N493" i="9" s="1"/>
  <c r="L543" i="9"/>
  <c r="N543" i="9" s="1"/>
  <c r="K543" i="9"/>
  <c r="M543" i="9" s="1"/>
  <c r="K604" i="9"/>
  <c r="M604" i="9" s="1"/>
  <c r="L604" i="9"/>
  <c r="N604" i="9" s="1"/>
  <c r="K657" i="9"/>
  <c r="M657" i="9" s="1"/>
  <c r="L657" i="9"/>
  <c r="N657" i="9" s="1"/>
  <c r="L722" i="9"/>
  <c r="N722" i="9" s="1"/>
  <c r="K722" i="9"/>
  <c r="M722" i="9" s="1"/>
  <c r="L26" i="9"/>
  <c r="N26" i="9" s="1"/>
  <c r="K26" i="9"/>
  <c r="M26" i="9" s="1"/>
  <c r="L39" i="9"/>
  <c r="N39" i="9" s="1"/>
  <c r="K39" i="9"/>
  <c r="M39" i="9" s="1"/>
  <c r="K52" i="9"/>
  <c r="M52" i="9" s="1"/>
  <c r="L52" i="9"/>
  <c r="N52" i="9" s="1"/>
  <c r="K64" i="9"/>
  <c r="M64" i="9" s="1"/>
  <c r="L64" i="9"/>
  <c r="N64" i="9" s="1"/>
  <c r="L76" i="9"/>
  <c r="N76" i="9" s="1"/>
  <c r="K76" i="9"/>
  <c r="M76" i="9" s="1"/>
  <c r="K88" i="9"/>
  <c r="M88" i="9" s="1"/>
  <c r="L88" i="9"/>
  <c r="N88" i="9" s="1"/>
  <c r="K100" i="9"/>
  <c r="M100" i="9" s="1"/>
  <c r="L100" i="9"/>
  <c r="N100" i="9" s="1"/>
  <c r="L112" i="9"/>
  <c r="N112" i="9" s="1"/>
  <c r="K112" i="9"/>
  <c r="M112" i="9" s="1"/>
  <c r="L126" i="9"/>
  <c r="N126" i="9" s="1"/>
  <c r="K126" i="9"/>
  <c r="M126" i="9" s="1"/>
  <c r="L139" i="9"/>
  <c r="N139" i="9" s="1"/>
  <c r="K139" i="9"/>
  <c r="M139" i="9" s="1"/>
  <c r="L152" i="9"/>
  <c r="N152" i="9" s="1"/>
  <c r="K152" i="9"/>
  <c r="M152" i="9" s="1"/>
  <c r="L164" i="9"/>
  <c r="N164" i="9" s="1"/>
  <c r="K164" i="9"/>
  <c r="M164" i="9" s="1"/>
  <c r="L180" i="9"/>
  <c r="N180" i="9" s="1"/>
  <c r="K180" i="9"/>
  <c r="M180" i="9" s="1"/>
  <c r="K193" i="9"/>
  <c r="M193" i="9" s="1"/>
  <c r="L193" i="9"/>
  <c r="N193" i="9" s="1"/>
  <c r="K206" i="9"/>
  <c r="M206" i="9" s="1"/>
  <c r="L206" i="9"/>
  <c r="N206" i="9" s="1"/>
  <c r="K219" i="9"/>
  <c r="M219" i="9" s="1"/>
  <c r="L219" i="9"/>
  <c r="N219" i="9" s="1"/>
  <c r="K231" i="9"/>
  <c r="M231" i="9" s="1"/>
  <c r="L231" i="9"/>
  <c r="N231" i="9" s="1"/>
  <c r="K244" i="9"/>
  <c r="M244" i="9" s="1"/>
  <c r="L244" i="9"/>
  <c r="N244" i="9" s="1"/>
  <c r="K257" i="9"/>
  <c r="M257" i="9" s="1"/>
  <c r="L257" i="9"/>
  <c r="N257" i="9" s="1"/>
  <c r="K269" i="9"/>
  <c r="M269" i="9" s="1"/>
  <c r="L269" i="9"/>
  <c r="N269" i="9" s="1"/>
  <c r="K281" i="9"/>
  <c r="M281" i="9" s="1"/>
  <c r="L281" i="9"/>
  <c r="N281" i="9" s="1"/>
  <c r="K294" i="9"/>
  <c r="M294" i="9" s="1"/>
  <c r="L294" i="9"/>
  <c r="N294" i="9" s="1"/>
  <c r="K306" i="9"/>
  <c r="M306" i="9" s="1"/>
  <c r="L306" i="9"/>
  <c r="N306" i="9" s="1"/>
  <c r="K319" i="9"/>
  <c r="M319" i="9" s="1"/>
  <c r="L319" i="9"/>
  <c r="N319" i="9" s="1"/>
  <c r="K331" i="9"/>
  <c r="M331" i="9" s="1"/>
  <c r="L331" i="9"/>
  <c r="N331" i="9" s="1"/>
  <c r="L345" i="9"/>
  <c r="N345" i="9" s="1"/>
  <c r="K345" i="9"/>
  <c r="M345" i="9" s="1"/>
  <c r="L357" i="9"/>
  <c r="N357" i="9" s="1"/>
  <c r="K357" i="9"/>
  <c r="M357" i="9" s="1"/>
  <c r="K369" i="9"/>
  <c r="M369" i="9" s="1"/>
  <c r="L369" i="9"/>
  <c r="N369" i="9" s="1"/>
  <c r="K382" i="9"/>
  <c r="M382" i="9" s="1"/>
  <c r="L382" i="9"/>
  <c r="N382" i="9" s="1"/>
  <c r="K395" i="9"/>
  <c r="M395" i="9" s="1"/>
  <c r="L395" i="9"/>
  <c r="N395" i="9" s="1"/>
  <c r="K408" i="9"/>
  <c r="M408" i="9" s="1"/>
  <c r="L408" i="9"/>
  <c r="N408" i="9" s="1"/>
  <c r="K420" i="9"/>
  <c r="M420" i="9" s="1"/>
  <c r="L420" i="9"/>
  <c r="N420" i="9" s="1"/>
  <c r="K432" i="9"/>
  <c r="M432" i="9" s="1"/>
  <c r="L432" i="9"/>
  <c r="N432" i="9" s="1"/>
  <c r="L445" i="9"/>
  <c r="N445" i="9" s="1"/>
  <c r="K445" i="9"/>
  <c r="M445" i="9" s="1"/>
  <c r="K457" i="9"/>
  <c r="M457" i="9" s="1"/>
  <c r="L457" i="9"/>
  <c r="N457" i="9" s="1"/>
  <c r="K469" i="9"/>
  <c r="M469" i="9" s="1"/>
  <c r="L469" i="9"/>
  <c r="N469" i="9" s="1"/>
  <c r="L482" i="9"/>
  <c r="N482" i="9" s="1"/>
  <c r="K482" i="9"/>
  <c r="M482" i="9" s="1"/>
  <c r="L494" i="9"/>
  <c r="N494" i="9" s="1"/>
  <c r="K494" i="9"/>
  <c r="M494" i="9" s="1"/>
  <c r="L507" i="9"/>
  <c r="N507" i="9" s="1"/>
  <c r="K507" i="9"/>
  <c r="M507" i="9" s="1"/>
  <c r="K519" i="9"/>
  <c r="M519" i="9" s="1"/>
  <c r="L519" i="9"/>
  <c r="N519" i="9" s="1"/>
  <c r="K531" i="9"/>
  <c r="M531" i="9" s="1"/>
  <c r="L531" i="9"/>
  <c r="N531" i="9" s="1"/>
  <c r="L544" i="9"/>
  <c r="N544" i="9" s="1"/>
  <c r="K544" i="9"/>
  <c r="M544" i="9" s="1"/>
  <c r="L556" i="9"/>
  <c r="N556" i="9" s="1"/>
  <c r="K556" i="9"/>
  <c r="M556" i="9" s="1"/>
  <c r="L568" i="9"/>
  <c r="N568" i="9" s="1"/>
  <c r="K568" i="9"/>
  <c r="M568" i="9" s="1"/>
  <c r="L580" i="9"/>
  <c r="N580" i="9" s="1"/>
  <c r="K580" i="9"/>
  <c r="M580" i="9" s="1"/>
  <c r="L593" i="9"/>
  <c r="N593" i="9" s="1"/>
  <c r="K593" i="9"/>
  <c r="M593" i="9" s="1"/>
  <c r="K606" i="9"/>
  <c r="M606" i="9" s="1"/>
  <c r="L606" i="9"/>
  <c r="N606" i="9" s="1"/>
  <c r="L618" i="9"/>
  <c r="N618" i="9" s="1"/>
  <c r="K618" i="9"/>
  <c r="M618" i="9" s="1"/>
  <c r="L632" i="9"/>
  <c r="N632" i="9" s="1"/>
  <c r="K632" i="9"/>
  <c r="M632" i="9" s="1"/>
  <c r="L646" i="9"/>
  <c r="N646" i="9" s="1"/>
  <c r="K646" i="9"/>
  <c r="M646" i="9" s="1"/>
  <c r="L658" i="9"/>
  <c r="N658" i="9" s="1"/>
  <c r="K658" i="9"/>
  <c r="M658" i="9" s="1"/>
  <c r="L671" i="9"/>
  <c r="N671" i="9" s="1"/>
  <c r="K671" i="9"/>
  <c r="M671" i="9" s="1"/>
  <c r="K685" i="9"/>
  <c r="M685" i="9" s="1"/>
  <c r="L685" i="9"/>
  <c r="N685" i="9" s="1"/>
  <c r="L698" i="9"/>
  <c r="N698" i="9" s="1"/>
  <c r="K698" i="9"/>
  <c r="M698" i="9" s="1"/>
  <c r="L710" i="9"/>
  <c r="N710" i="9" s="1"/>
  <c r="K710" i="9"/>
  <c r="M710" i="9" s="1"/>
  <c r="K723" i="9"/>
  <c r="M723" i="9" s="1"/>
  <c r="L723" i="9"/>
  <c r="N723" i="9" s="1"/>
  <c r="L735" i="9"/>
  <c r="N735" i="9" s="1"/>
  <c r="K735" i="9"/>
  <c r="M735" i="9" s="1"/>
  <c r="L27" i="9"/>
  <c r="N27" i="9" s="1"/>
  <c r="K27" i="9"/>
  <c r="M27" i="9" s="1"/>
  <c r="L41" i="9"/>
  <c r="N41" i="9" s="1"/>
  <c r="K41" i="9"/>
  <c r="M41" i="9" s="1"/>
  <c r="L53" i="9"/>
  <c r="N53" i="9" s="1"/>
  <c r="K53" i="9"/>
  <c r="M53" i="9" s="1"/>
  <c r="L65" i="9"/>
  <c r="N65" i="9" s="1"/>
  <c r="K65" i="9"/>
  <c r="M65" i="9" s="1"/>
  <c r="L77" i="9"/>
  <c r="N77" i="9" s="1"/>
  <c r="K77" i="9"/>
  <c r="M77" i="9" s="1"/>
  <c r="L89" i="9"/>
  <c r="N89" i="9" s="1"/>
  <c r="K89" i="9"/>
  <c r="M89" i="9" s="1"/>
  <c r="L101" i="9"/>
  <c r="N101" i="9" s="1"/>
  <c r="K101" i="9"/>
  <c r="M101" i="9" s="1"/>
  <c r="L113" i="9"/>
  <c r="N113" i="9" s="1"/>
  <c r="K113" i="9"/>
  <c r="M113" i="9" s="1"/>
  <c r="K127" i="9"/>
  <c r="M127" i="9" s="1"/>
  <c r="L127" i="9"/>
  <c r="N127" i="9" s="1"/>
  <c r="K140" i="9"/>
  <c r="M140" i="9" s="1"/>
  <c r="L140" i="9"/>
  <c r="N140" i="9" s="1"/>
  <c r="O140" i="9" s="1"/>
  <c r="L153" i="9"/>
  <c r="N153" i="9" s="1"/>
  <c r="K153" i="9"/>
  <c r="M153" i="9" s="1"/>
  <c r="K165" i="9"/>
  <c r="M165" i="9" s="1"/>
  <c r="L165" i="9"/>
  <c r="N165" i="9" s="1"/>
  <c r="K181" i="9"/>
  <c r="M181" i="9" s="1"/>
  <c r="L181" i="9"/>
  <c r="N181" i="9" s="1"/>
  <c r="L194" i="9"/>
  <c r="N194" i="9" s="1"/>
  <c r="K194" i="9"/>
  <c r="M194" i="9" s="1"/>
  <c r="L208" i="9"/>
  <c r="N208" i="9" s="1"/>
  <c r="K208" i="9"/>
  <c r="M208" i="9" s="1"/>
  <c r="L220" i="9"/>
  <c r="N220" i="9" s="1"/>
  <c r="K220" i="9"/>
  <c r="M220" i="9" s="1"/>
  <c r="L232" i="9"/>
  <c r="N232" i="9" s="1"/>
  <c r="K232" i="9"/>
  <c r="M232" i="9" s="1"/>
  <c r="K245" i="9"/>
  <c r="M245" i="9" s="1"/>
  <c r="L245" i="9"/>
  <c r="N245" i="9" s="1"/>
  <c r="K258" i="9"/>
  <c r="M258" i="9" s="1"/>
  <c r="L258" i="9"/>
  <c r="N258" i="9" s="1"/>
  <c r="K270" i="9"/>
  <c r="M270" i="9" s="1"/>
  <c r="L270" i="9"/>
  <c r="N270" i="9" s="1"/>
  <c r="K282" i="9"/>
  <c r="M282" i="9" s="1"/>
  <c r="L282" i="9"/>
  <c r="N282" i="9" s="1"/>
  <c r="K295" i="9"/>
  <c r="M295" i="9" s="1"/>
  <c r="L295" i="9"/>
  <c r="N295" i="9" s="1"/>
  <c r="K307" i="9"/>
  <c r="M307" i="9" s="1"/>
  <c r="L307" i="9"/>
  <c r="N307" i="9" s="1"/>
  <c r="L320" i="9"/>
  <c r="N320" i="9" s="1"/>
  <c r="K320" i="9"/>
  <c r="M320" i="9" s="1"/>
  <c r="L332" i="9"/>
  <c r="N332" i="9" s="1"/>
  <c r="K332" i="9"/>
  <c r="M332" i="9" s="1"/>
  <c r="K346" i="9"/>
  <c r="M346" i="9" s="1"/>
  <c r="L346" i="9"/>
  <c r="N346" i="9" s="1"/>
  <c r="K358" i="9"/>
  <c r="M358" i="9" s="1"/>
  <c r="L358" i="9"/>
  <c r="N358" i="9" s="1"/>
  <c r="L370" i="9"/>
  <c r="N370" i="9" s="1"/>
  <c r="K370" i="9"/>
  <c r="M370" i="9" s="1"/>
  <c r="K383" i="9"/>
  <c r="M383" i="9" s="1"/>
  <c r="L383" i="9"/>
  <c r="N383" i="9" s="1"/>
  <c r="K396" i="9"/>
  <c r="M396" i="9" s="1"/>
  <c r="L396" i="9"/>
  <c r="N396" i="9" s="1"/>
  <c r="K409" i="9"/>
  <c r="M409" i="9" s="1"/>
  <c r="L409" i="9"/>
  <c r="N409" i="9" s="1"/>
  <c r="L421" i="9"/>
  <c r="N421" i="9" s="1"/>
  <c r="K421" i="9"/>
  <c r="M421" i="9" s="1"/>
  <c r="L433" i="9"/>
  <c r="N433" i="9" s="1"/>
  <c r="K433" i="9"/>
  <c r="M433" i="9" s="1"/>
  <c r="K446" i="9"/>
  <c r="M446" i="9" s="1"/>
  <c r="L446" i="9"/>
  <c r="N446" i="9" s="1"/>
  <c r="L458" i="9"/>
  <c r="N458" i="9" s="1"/>
  <c r="K458" i="9"/>
  <c r="M458" i="9" s="1"/>
  <c r="L470" i="9"/>
  <c r="N470" i="9" s="1"/>
  <c r="K470" i="9"/>
  <c r="M470" i="9" s="1"/>
  <c r="L483" i="9"/>
  <c r="N483" i="9" s="1"/>
  <c r="K483" i="9"/>
  <c r="M483" i="9" s="1"/>
  <c r="L496" i="9"/>
  <c r="N496" i="9" s="1"/>
  <c r="K496" i="9"/>
  <c r="M496" i="9" s="1"/>
  <c r="K508" i="9"/>
  <c r="M508" i="9" s="1"/>
  <c r="L508" i="9"/>
  <c r="N508" i="9" s="1"/>
  <c r="L520" i="9"/>
  <c r="N520" i="9" s="1"/>
  <c r="K520" i="9"/>
  <c r="M520" i="9" s="1"/>
  <c r="L532" i="9"/>
  <c r="N532" i="9" s="1"/>
  <c r="K532" i="9"/>
  <c r="M532" i="9" s="1"/>
  <c r="L545" i="9"/>
  <c r="N545" i="9" s="1"/>
  <c r="K545" i="9"/>
  <c r="M545" i="9" s="1"/>
  <c r="L557" i="9"/>
  <c r="N557" i="9" s="1"/>
  <c r="K557" i="9"/>
  <c r="M557" i="9" s="1"/>
  <c r="L569" i="9"/>
  <c r="N569" i="9" s="1"/>
  <c r="K569" i="9"/>
  <c r="M569" i="9" s="1"/>
  <c r="K582" i="9"/>
  <c r="M582" i="9" s="1"/>
  <c r="L582" i="9"/>
  <c r="N582" i="9" s="1"/>
  <c r="K594" i="9"/>
  <c r="M594" i="9" s="1"/>
  <c r="L594" i="9"/>
  <c r="N594" i="9" s="1"/>
  <c r="L607" i="9"/>
  <c r="N607" i="9" s="1"/>
  <c r="K607" i="9"/>
  <c r="M607" i="9" s="1"/>
  <c r="L619" i="9"/>
  <c r="N619" i="9" s="1"/>
  <c r="K619" i="9"/>
  <c r="M619" i="9" s="1"/>
  <c r="L633" i="9"/>
  <c r="N633" i="9" s="1"/>
  <c r="K633" i="9"/>
  <c r="M633" i="9" s="1"/>
  <c r="K647" i="9"/>
  <c r="M647" i="9" s="1"/>
  <c r="L647" i="9"/>
  <c r="N647" i="9" s="1"/>
  <c r="L659" i="9"/>
  <c r="N659" i="9" s="1"/>
  <c r="K659" i="9"/>
  <c r="M659" i="9" s="1"/>
  <c r="L672" i="9"/>
  <c r="N672" i="9" s="1"/>
  <c r="K672" i="9"/>
  <c r="M672" i="9" s="1"/>
  <c r="L686" i="9"/>
  <c r="N686" i="9" s="1"/>
  <c r="K686" i="9"/>
  <c r="M686" i="9" s="1"/>
  <c r="K699" i="9"/>
  <c r="M699" i="9" s="1"/>
  <c r="L699" i="9"/>
  <c r="N699" i="9" s="1"/>
  <c r="L711" i="9"/>
  <c r="N711" i="9" s="1"/>
  <c r="K711" i="9"/>
  <c r="M711" i="9" s="1"/>
  <c r="K724" i="9"/>
  <c r="M724" i="9" s="1"/>
  <c r="L724" i="9"/>
  <c r="N724" i="9" s="1"/>
  <c r="K736" i="9"/>
  <c r="M736" i="9" s="1"/>
  <c r="L736" i="9"/>
  <c r="N736" i="9" s="1"/>
  <c r="L16" i="9"/>
  <c r="N16" i="9" s="1"/>
  <c r="K16" i="9"/>
  <c r="M16" i="9" s="1"/>
  <c r="L28" i="9"/>
  <c r="N28" i="9" s="1"/>
  <c r="K28" i="9"/>
  <c r="M28" i="9" s="1"/>
  <c r="K42" i="9"/>
  <c r="M42" i="9" s="1"/>
  <c r="L42" i="9"/>
  <c r="N42" i="9" s="1"/>
  <c r="K54" i="9"/>
  <c r="M54" i="9" s="1"/>
  <c r="L54" i="9"/>
  <c r="N54" i="9" s="1"/>
  <c r="K66" i="9"/>
  <c r="M66" i="9" s="1"/>
  <c r="L66" i="9"/>
  <c r="N66" i="9" s="1"/>
  <c r="K78" i="9"/>
  <c r="M78" i="9" s="1"/>
  <c r="L78" i="9"/>
  <c r="N78" i="9" s="1"/>
  <c r="K90" i="9"/>
  <c r="M90" i="9" s="1"/>
  <c r="L90" i="9"/>
  <c r="N90" i="9" s="1"/>
  <c r="K102" i="9"/>
  <c r="M102" i="9" s="1"/>
  <c r="L102" i="9"/>
  <c r="N102" i="9" s="1"/>
  <c r="K115" i="9"/>
  <c r="M115" i="9" s="1"/>
  <c r="L115" i="9"/>
  <c r="N115" i="9" s="1"/>
  <c r="K128" i="9"/>
  <c r="M128" i="9" s="1"/>
  <c r="L128" i="9"/>
  <c r="N128" i="9" s="1"/>
  <c r="K141" i="9"/>
  <c r="M141" i="9" s="1"/>
  <c r="L141" i="9"/>
  <c r="N141" i="9" s="1"/>
  <c r="L154" i="9"/>
  <c r="N154" i="9" s="1"/>
  <c r="K154" i="9"/>
  <c r="M154" i="9" s="1"/>
  <c r="L166" i="9"/>
  <c r="N166" i="9" s="1"/>
  <c r="K166" i="9"/>
  <c r="M166" i="9" s="1"/>
  <c r="K182" i="9"/>
  <c r="M182" i="9" s="1"/>
  <c r="L182" i="9"/>
  <c r="N182" i="9" s="1"/>
  <c r="K195" i="9"/>
  <c r="M195" i="9" s="1"/>
  <c r="L195" i="9"/>
  <c r="N195" i="9" s="1"/>
  <c r="K209" i="9"/>
  <c r="M209" i="9" s="1"/>
  <c r="L209" i="9"/>
  <c r="N209" i="9" s="1"/>
  <c r="K221" i="9"/>
  <c r="M221" i="9" s="1"/>
  <c r="L221" i="9"/>
  <c r="N221" i="9" s="1"/>
  <c r="K233" i="9"/>
  <c r="M233" i="9" s="1"/>
  <c r="L233" i="9"/>
  <c r="N233" i="9" s="1"/>
  <c r="K246" i="9"/>
  <c r="M246" i="9" s="1"/>
  <c r="L246" i="9"/>
  <c r="N246" i="9" s="1"/>
  <c r="K259" i="9"/>
  <c r="M259" i="9" s="1"/>
  <c r="L259" i="9"/>
  <c r="N259" i="9" s="1"/>
  <c r="K271" i="9"/>
  <c r="M271" i="9" s="1"/>
  <c r="L271" i="9"/>
  <c r="N271" i="9" s="1"/>
  <c r="L283" i="9"/>
  <c r="N283" i="9" s="1"/>
  <c r="K283" i="9"/>
  <c r="M283" i="9" s="1"/>
  <c r="L296" i="9"/>
  <c r="N296" i="9" s="1"/>
  <c r="K296" i="9"/>
  <c r="M296" i="9" s="1"/>
  <c r="K308" i="9"/>
  <c r="M308" i="9" s="1"/>
  <c r="L308" i="9"/>
  <c r="N308" i="9" s="1"/>
  <c r="K321" i="9"/>
  <c r="M321" i="9" s="1"/>
  <c r="L321" i="9"/>
  <c r="N321" i="9" s="1"/>
  <c r="L335" i="9"/>
  <c r="N335" i="9" s="1"/>
  <c r="K335" i="9"/>
  <c r="M335" i="9" s="1"/>
  <c r="L347" i="9"/>
  <c r="N347" i="9" s="1"/>
  <c r="K347" i="9"/>
  <c r="M347" i="9" s="1"/>
  <c r="L359" i="9"/>
  <c r="N359" i="9" s="1"/>
  <c r="K359" i="9"/>
  <c r="M359" i="9" s="1"/>
  <c r="K371" i="9"/>
  <c r="M371" i="9" s="1"/>
  <c r="L371" i="9"/>
  <c r="N371" i="9" s="1"/>
  <c r="L384" i="9"/>
  <c r="N384" i="9" s="1"/>
  <c r="K384" i="9"/>
  <c r="M384" i="9" s="1"/>
  <c r="L397" i="9"/>
  <c r="N397" i="9" s="1"/>
  <c r="K397" i="9"/>
  <c r="M397" i="9" s="1"/>
  <c r="K410" i="9"/>
  <c r="M410" i="9" s="1"/>
  <c r="L410" i="9"/>
  <c r="N410" i="9" s="1"/>
  <c r="L422" i="9"/>
  <c r="N422" i="9" s="1"/>
  <c r="K422" i="9"/>
  <c r="M422" i="9" s="1"/>
  <c r="L434" i="9"/>
  <c r="N434" i="9" s="1"/>
  <c r="K434" i="9"/>
  <c r="M434" i="9" s="1"/>
  <c r="L447" i="9"/>
  <c r="N447" i="9" s="1"/>
  <c r="K447" i="9"/>
  <c r="M447" i="9" s="1"/>
  <c r="L459" i="9"/>
  <c r="N459" i="9" s="1"/>
  <c r="K459" i="9"/>
  <c r="M459" i="9" s="1"/>
  <c r="L471" i="9"/>
  <c r="N471" i="9" s="1"/>
  <c r="K471" i="9"/>
  <c r="M471" i="9" s="1"/>
  <c r="K484" i="9"/>
  <c r="M484" i="9" s="1"/>
  <c r="L484" i="9"/>
  <c r="N484" i="9" s="1"/>
  <c r="L497" i="9"/>
  <c r="N497" i="9" s="1"/>
  <c r="K497" i="9"/>
  <c r="M497" i="9" s="1"/>
  <c r="L509" i="9"/>
  <c r="N509" i="9" s="1"/>
  <c r="K509" i="9"/>
  <c r="M509" i="9" s="1"/>
  <c r="L521" i="9"/>
  <c r="N521" i="9" s="1"/>
  <c r="K521" i="9"/>
  <c r="M521" i="9" s="1"/>
  <c r="L533" i="9"/>
  <c r="N533" i="9" s="1"/>
  <c r="K533" i="9"/>
  <c r="M533" i="9" s="1"/>
  <c r="L546" i="9"/>
  <c r="N546" i="9" s="1"/>
  <c r="K546" i="9"/>
  <c r="M546" i="9" s="1"/>
  <c r="L558" i="9"/>
  <c r="N558" i="9" s="1"/>
  <c r="K558" i="9"/>
  <c r="M558" i="9" s="1"/>
  <c r="L570" i="9"/>
  <c r="N570" i="9" s="1"/>
  <c r="K570" i="9"/>
  <c r="M570" i="9" s="1"/>
  <c r="L583" i="9"/>
  <c r="N583" i="9" s="1"/>
  <c r="K583" i="9"/>
  <c r="M583" i="9" s="1"/>
  <c r="L595" i="9"/>
  <c r="N595" i="9" s="1"/>
  <c r="K595" i="9"/>
  <c r="M595" i="9" s="1"/>
  <c r="L608" i="9"/>
  <c r="N608" i="9" s="1"/>
  <c r="K608" i="9"/>
  <c r="M608" i="9" s="1"/>
  <c r="L620" i="9"/>
  <c r="N620" i="9" s="1"/>
  <c r="K620" i="9"/>
  <c r="M620" i="9" s="1"/>
  <c r="L634" i="9"/>
  <c r="N634" i="9" s="1"/>
  <c r="K634" i="9"/>
  <c r="M634" i="9" s="1"/>
  <c r="K648" i="9"/>
  <c r="M648" i="9" s="1"/>
  <c r="L648" i="9"/>
  <c r="N648" i="9" s="1"/>
  <c r="K660" i="9"/>
  <c r="M660" i="9" s="1"/>
  <c r="L660" i="9"/>
  <c r="N660" i="9" s="1"/>
  <c r="K673" i="9"/>
  <c r="M673" i="9" s="1"/>
  <c r="L673" i="9"/>
  <c r="N673" i="9" s="1"/>
  <c r="L687" i="9"/>
  <c r="N687" i="9" s="1"/>
  <c r="K687" i="9"/>
  <c r="M687" i="9" s="1"/>
  <c r="K700" i="9"/>
  <c r="M700" i="9" s="1"/>
  <c r="L700" i="9"/>
  <c r="N700" i="9" s="1"/>
  <c r="K712" i="9"/>
  <c r="M712" i="9" s="1"/>
  <c r="L712" i="9"/>
  <c r="N712" i="9" s="1"/>
  <c r="K725" i="9"/>
  <c r="M725" i="9" s="1"/>
  <c r="L725" i="9"/>
  <c r="N725" i="9" s="1"/>
  <c r="K737" i="9"/>
  <c r="M737" i="9" s="1"/>
  <c r="L737" i="9"/>
  <c r="N737" i="9" s="1"/>
  <c r="K151" i="9"/>
  <c r="M151" i="9" s="1"/>
  <c r="L151" i="9"/>
  <c r="N151" i="9" s="1"/>
  <c r="K192" i="9"/>
  <c r="M192" i="9" s="1"/>
  <c r="L192" i="9"/>
  <c r="N192" i="9" s="1"/>
  <c r="K230" i="9"/>
  <c r="M230" i="9" s="1"/>
  <c r="L230" i="9"/>
  <c r="N230" i="9" s="1"/>
  <c r="L268" i="9"/>
  <c r="N268" i="9" s="1"/>
  <c r="K268" i="9"/>
  <c r="M268" i="9" s="1"/>
  <c r="K305" i="9"/>
  <c r="M305" i="9" s="1"/>
  <c r="L305" i="9"/>
  <c r="N305" i="9" s="1"/>
  <c r="K344" i="9"/>
  <c r="M344" i="9" s="1"/>
  <c r="L344" i="9"/>
  <c r="N344" i="9" s="1"/>
  <c r="K381" i="9"/>
  <c r="M381" i="9" s="1"/>
  <c r="L381" i="9"/>
  <c r="N381" i="9" s="1"/>
  <c r="L431" i="9"/>
  <c r="N431" i="9" s="1"/>
  <c r="K431" i="9"/>
  <c r="M431" i="9" s="1"/>
  <c r="K468" i="9"/>
  <c r="M468" i="9" s="1"/>
  <c r="L468" i="9"/>
  <c r="N468" i="9" s="1"/>
  <c r="K481" i="9"/>
  <c r="M481" i="9" s="1"/>
  <c r="L481" i="9"/>
  <c r="N481" i="9" s="1"/>
  <c r="L518" i="9"/>
  <c r="N518" i="9" s="1"/>
  <c r="K518" i="9"/>
  <c r="M518" i="9" s="1"/>
  <c r="L530" i="9"/>
  <c r="N530" i="9" s="1"/>
  <c r="K530" i="9"/>
  <c r="M530" i="9" s="1"/>
  <c r="L567" i="9"/>
  <c r="N567" i="9" s="1"/>
  <c r="K567" i="9"/>
  <c r="M567" i="9" s="1"/>
  <c r="K592" i="9"/>
  <c r="M592" i="9" s="1"/>
  <c r="L592" i="9"/>
  <c r="N592" i="9" s="1"/>
  <c r="L631" i="9"/>
  <c r="N631" i="9" s="1"/>
  <c r="K631" i="9"/>
  <c r="M631" i="9" s="1"/>
  <c r="K645" i="9"/>
  <c r="M645" i="9" s="1"/>
  <c r="L645" i="9"/>
  <c r="N645" i="9" s="1"/>
  <c r="L670" i="9"/>
  <c r="N670" i="9" s="1"/>
  <c r="K670" i="9"/>
  <c r="M670" i="9" s="1"/>
  <c r="L697" i="9"/>
  <c r="N697" i="9" s="1"/>
  <c r="K697" i="9"/>
  <c r="M697" i="9" s="1"/>
  <c r="L734" i="9"/>
  <c r="N734" i="9" s="1"/>
  <c r="K734" i="9"/>
  <c r="M734" i="9" s="1"/>
  <c r="K17" i="9"/>
  <c r="M17" i="9" s="1"/>
  <c r="L17" i="9"/>
  <c r="N17" i="9" s="1"/>
  <c r="K29" i="9"/>
  <c r="M29" i="9" s="1"/>
  <c r="L29" i="9"/>
  <c r="N29" i="9" s="1"/>
  <c r="L43" i="9"/>
  <c r="N43" i="9" s="1"/>
  <c r="K43" i="9"/>
  <c r="M43" i="9" s="1"/>
  <c r="K55" i="9"/>
  <c r="M55" i="9" s="1"/>
  <c r="L55" i="9"/>
  <c r="N55" i="9" s="1"/>
  <c r="K67" i="9"/>
  <c r="M67" i="9" s="1"/>
  <c r="L67" i="9"/>
  <c r="N67" i="9" s="1"/>
  <c r="L79" i="9"/>
  <c r="N79" i="9" s="1"/>
  <c r="K79" i="9"/>
  <c r="M79" i="9" s="1"/>
  <c r="L91" i="9"/>
  <c r="N91" i="9" s="1"/>
  <c r="K91" i="9"/>
  <c r="M91" i="9" s="1"/>
  <c r="L103" i="9"/>
  <c r="N103" i="9" s="1"/>
  <c r="K103" i="9"/>
  <c r="M103" i="9" s="1"/>
  <c r="L116" i="9"/>
  <c r="N116" i="9" s="1"/>
  <c r="K116" i="9"/>
  <c r="M116" i="9" s="1"/>
  <c r="K129" i="9"/>
  <c r="M129" i="9" s="1"/>
  <c r="L129" i="9"/>
  <c r="N129" i="9" s="1"/>
  <c r="K142" i="9"/>
  <c r="M142" i="9" s="1"/>
  <c r="L142" i="9"/>
  <c r="N142" i="9" s="1"/>
  <c r="L155" i="9"/>
  <c r="N155" i="9" s="1"/>
  <c r="K155" i="9"/>
  <c r="M155" i="9" s="1"/>
  <c r="L167" i="9"/>
  <c r="N167" i="9" s="1"/>
  <c r="K167" i="9"/>
  <c r="M167" i="9" s="1"/>
  <c r="K183" i="9"/>
  <c r="M183" i="9" s="1"/>
  <c r="L183" i="9"/>
  <c r="N183" i="9" s="1"/>
  <c r="K196" i="9"/>
  <c r="M196" i="9" s="1"/>
  <c r="L196" i="9"/>
  <c r="N196" i="9" s="1"/>
  <c r="K210" i="9"/>
  <c r="M210" i="9" s="1"/>
  <c r="L210" i="9"/>
  <c r="N210" i="9" s="1"/>
  <c r="K222" i="9"/>
  <c r="M222" i="9" s="1"/>
  <c r="L222" i="9"/>
  <c r="N222" i="9" s="1"/>
  <c r="L234" i="9"/>
  <c r="N234" i="9" s="1"/>
  <c r="K234" i="9"/>
  <c r="M234" i="9" s="1"/>
  <c r="L247" i="9"/>
  <c r="N247" i="9" s="1"/>
  <c r="K247" i="9"/>
  <c r="M247" i="9" s="1"/>
  <c r="L260" i="9"/>
  <c r="N260" i="9" s="1"/>
  <c r="K260" i="9"/>
  <c r="M260" i="9" s="1"/>
  <c r="K272" i="9"/>
  <c r="M272" i="9" s="1"/>
  <c r="L272" i="9"/>
  <c r="N272" i="9" s="1"/>
  <c r="K284" i="9"/>
  <c r="M284" i="9" s="1"/>
  <c r="L284" i="9"/>
  <c r="N284" i="9" s="1"/>
  <c r="K297" i="9"/>
  <c r="M297" i="9" s="1"/>
  <c r="L297" i="9"/>
  <c r="N297" i="9" s="1"/>
  <c r="K309" i="9"/>
  <c r="M309" i="9" s="1"/>
  <c r="L309" i="9"/>
  <c r="N309" i="9" s="1"/>
  <c r="L322" i="9"/>
  <c r="N322" i="9" s="1"/>
  <c r="K322" i="9"/>
  <c r="M322" i="9" s="1"/>
  <c r="L336" i="9"/>
  <c r="N336" i="9" s="1"/>
  <c r="K336" i="9"/>
  <c r="M336" i="9" s="1"/>
  <c r="L348" i="9"/>
  <c r="N348" i="9" s="1"/>
  <c r="K348" i="9"/>
  <c r="M348" i="9" s="1"/>
  <c r="L360" i="9"/>
  <c r="N360" i="9" s="1"/>
  <c r="K360" i="9"/>
  <c r="M360" i="9" s="1"/>
  <c r="L372" i="9"/>
  <c r="N372" i="9" s="1"/>
  <c r="K372" i="9"/>
  <c r="M372" i="9" s="1"/>
  <c r="L385" i="9"/>
  <c r="N385" i="9" s="1"/>
  <c r="K385" i="9"/>
  <c r="M385" i="9" s="1"/>
  <c r="L398" i="9"/>
  <c r="N398" i="9" s="1"/>
  <c r="K398" i="9"/>
  <c r="M398" i="9" s="1"/>
  <c r="L411" i="9"/>
  <c r="N411" i="9" s="1"/>
  <c r="K411" i="9"/>
  <c r="M411" i="9" s="1"/>
  <c r="L423" i="9"/>
  <c r="N423" i="9" s="1"/>
  <c r="K423" i="9"/>
  <c r="M423" i="9" s="1"/>
  <c r="L435" i="9"/>
  <c r="N435" i="9" s="1"/>
  <c r="K435" i="9"/>
  <c r="M435" i="9" s="1"/>
  <c r="L448" i="9"/>
  <c r="N448" i="9" s="1"/>
  <c r="K448" i="9"/>
  <c r="M448" i="9" s="1"/>
  <c r="L460" i="9"/>
  <c r="N460" i="9" s="1"/>
  <c r="K460" i="9"/>
  <c r="M460" i="9" s="1"/>
  <c r="K472" i="9"/>
  <c r="M472" i="9" s="1"/>
  <c r="L472" i="9"/>
  <c r="N472" i="9" s="1"/>
  <c r="K485" i="9"/>
  <c r="M485" i="9" s="1"/>
  <c r="L485" i="9"/>
  <c r="N485" i="9" s="1"/>
  <c r="L498" i="9"/>
  <c r="N498" i="9" s="1"/>
  <c r="K498" i="9"/>
  <c r="M498" i="9" s="1"/>
  <c r="L510" i="9"/>
  <c r="N510" i="9" s="1"/>
  <c r="K510" i="9"/>
  <c r="M510" i="9" s="1"/>
  <c r="L522" i="9"/>
  <c r="N522" i="9" s="1"/>
  <c r="K522" i="9"/>
  <c r="M522" i="9" s="1"/>
  <c r="L534" i="9"/>
  <c r="N534" i="9" s="1"/>
  <c r="K534" i="9"/>
  <c r="M534" i="9" s="1"/>
  <c r="L547" i="9"/>
  <c r="N547" i="9" s="1"/>
  <c r="K547" i="9"/>
  <c r="M547" i="9" s="1"/>
  <c r="L559" i="9"/>
  <c r="N559" i="9" s="1"/>
  <c r="K559" i="9"/>
  <c r="M559" i="9" s="1"/>
  <c r="L571" i="9"/>
  <c r="N571" i="9" s="1"/>
  <c r="K571" i="9"/>
  <c r="M571" i="9" s="1"/>
  <c r="L584" i="9"/>
  <c r="N584" i="9" s="1"/>
  <c r="K584" i="9"/>
  <c r="M584" i="9" s="1"/>
  <c r="L596" i="9"/>
  <c r="N596" i="9" s="1"/>
  <c r="K596" i="9"/>
  <c r="M596" i="9" s="1"/>
  <c r="K609" i="9"/>
  <c r="M609" i="9" s="1"/>
  <c r="L609" i="9"/>
  <c r="N609" i="9" s="1"/>
  <c r="K621" i="9"/>
  <c r="M621" i="9" s="1"/>
  <c r="L621" i="9"/>
  <c r="N621" i="9" s="1"/>
  <c r="L635" i="9"/>
  <c r="N635" i="9" s="1"/>
  <c r="K635" i="9"/>
  <c r="M635" i="9" s="1"/>
  <c r="K649" i="9"/>
  <c r="M649" i="9" s="1"/>
  <c r="L649" i="9"/>
  <c r="N649" i="9" s="1"/>
  <c r="K661" i="9"/>
  <c r="M661" i="9" s="1"/>
  <c r="L661" i="9"/>
  <c r="N661" i="9" s="1"/>
  <c r="K675" i="9"/>
  <c r="M675" i="9" s="1"/>
  <c r="L675" i="9"/>
  <c r="N675" i="9" s="1"/>
  <c r="K688" i="9"/>
  <c r="M688" i="9" s="1"/>
  <c r="L688" i="9"/>
  <c r="N688" i="9" s="1"/>
  <c r="L701" i="9"/>
  <c r="N701" i="9" s="1"/>
  <c r="K701" i="9"/>
  <c r="M701" i="9" s="1"/>
  <c r="K713" i="9"/>
  <c r="M713" i="9" s="1"/>
  <c r="L713" i="9"/>
  <c r="N713" i="9" s="1"/>
  <c r="K726" i="9"/>
  <c r="M726" i="9" s="1"/>
  <c r="L726" i="9"/>
  <c r="N726" i="9" s="1"/>
  <c r="L87" i="9"/>
  <c r="N87" i="9" s="1"/>
  <c r="K87" i="9"/>
  <c r="M87" i="9" s="1"/>
  <c r="K138" i="9"/>
  <c r="M138" i="9" s="1"/>
  <c r="L138" i="9"/>
  <c r="N138" i="9" s="1"/>
  <c r="L176" i="9"/>
  <c r="N176" i="9" s="1"/>
  <c r="K176" i="9"/>
  <c r="M176" i="9" s="1"/>
  <c r="K218" i="9"/>
  <c r="M218" i="9" s="1"/>
  <c r="L218" i="9"/>
  <c r="N218" i="9" s="1"/>
  <c r="K256" i="9"/>
  <c r="M256" i="9" s="1"/>
  <c r="L256" i="9"/>
  <c r="N256" i="9" s="1"/>
  <c r="O256" i="9" s="1"/>
  <c r="K280" i="9"/>
  <c r="M280" i="9" s="1"/>
  <c r="L280" i="9"/>
  <c r="N280" i="9" s="1"/>
  <c r="L318" i="9"/>
  <c r="N318" i="9" s="1"/>
  <c r="K318" i="9"/>
  <c r="M318" i="9" s="1"/>
  <c r="L356" i="9"/>
  <c r="N356" i="9" s="1"/>
  <c r="K356" i="9"/>
  <c r="M356" i="9" s="1"/>
  <c r="L419" i="9"/>
  <c r="N419" i="9" s="1"/>
  <c r="K419" i="9"/>
  <c r="M419" i="9" s="1"/>
  <c r="K456" i="9"/>
  <c r="M456" i="9" s="1"/>
  <c r="L456" i="9"/>
  <c r="N456" i="9" s="1"/>
  <c r="L506" i="9"/>
  <c r="N506" i="9" s="1"/>
  <c r="K506" i="9"/>
  <c r="M506" i="9" s="1"/>
  <c r="L555" i="9"/>
  <c r="N555" i="9" s="1"/>
  <c r="K555" i="9"/>
  <c r="M555" i="9" s="1"/>
  <c r="K617" i="9"/>
  <c r="M617" i="9" s="1"/>
  <c r="L617" i="9"/>
  <c r="N617" i="9" s="1"/>
  <c r="L709" i="9"/>
  <c r="N709" i="9" s="1"/>
  <c r="K709" i="9"/>
  <c r="M709" i="9" s="1"/>
  <c r="L18" i="9"/>
  <c r="N18" i="9" s="1"/>
  <c r="K18" i="9"/>
  <c r="M18" i="9" s="1"/>
  <c r="L30" i="9"/>
  <c r="N30" i="9" s="1"/>
  <c r="K30" i="9"/>
  <c r="M30" i="9" s="1"/>
  <c r="K44" i="9"/>
  <c r="M44" i="9" s="1"/>
  <c r="L44" i="9"/>
  <c r="N44" i="9" s="1"/>
  <c r="K56" i="9"/>
  <c r="M56" i="9" s="1"/>
  <c r="L56" i="9"/>
  <c r="N56" i="9" s="1"/>
  <c r="K68" i="9"/>
  <c r="M68" i="9" s="1"/>
  <c r="L68" i="9"/>
  <c r="N68" i="9" s="1"/>
  <c r="L80" i="9"/>
  <c r="N80" i="9" s="1"/>
  <c r="K80" i="9"/>
  <c r="M80" i="9" s="1"/>
  <c r="L92" i="9"/>
  <c r="N92" i="9" s="1"/>
  <c r="K92" i="9"/>
  <c r="M92" i="9" s="1"/>
  <c r="L104" i="9"/>
  <c r="N104" i="9" s="1"/>
  <c r="K104" i="9"/>
  <c r="M104" i="9" s="1"/>
  <c r="K117" i="9"/>
  <c r="M117" i="9" s="1"/>
  <c r="L117" i="9"/>
  <c r="N117" i="9" s="1"/>
  <c r="O117" i="9" s="1"/>
  <c r="K130" i="9"/>
  <c r="M130" i="9" s="1"/>
  <c r="L130" i="9"/>
  <c r="N130" i="9" s="1"/>
  <c r="L143" i="9"/>
  <c r="N143" i="9" s="1"/>
  <c r="K143" i="9"/>
  <c r="M143" i="9" s="1"/>
  <c r="K156" i="9"/>
  <c r="M156" i="9" s="1"/>
  <c r="L156" i="9"/>
  <c r="N156" i="9" s="1"/>
  <c r="K168" i="9"/>
  <c r="M168" i="9" s="1"/>
  <c r="L168" i="9"/>
  <c r="N168" i="9" s="1"/>
  <c r="L184" i="9"/>
  <c r="N184" i="9" s="1"/>
  <c r="K184" i="9"/>
  <c r="M184" i="9" s="1"/>
  <c r="L198" i="9"/>
  <c r="N198" i="9" s="1"/>
  <c r="K198" i="9"/>
  <c r="M198" i="9" s="1"/>
  <c r="K211" i="9"/>
  <c r="M211" i="9" s="1"/>
  <c r="L211" i="9"/>
  <c r="N211" i="9" s="1"/>
  <c r="K223" i="9"/>
  <c r="M223" i="9" s="1"/>
  <c r="L223" i="9"/>
  <c r="N223" i="9" s="1"/>
  <c r="K235" i="9"/>
  <c r="M235" i="9" s="1"/>
  <c r="L235" i="9"/>
  <c r="N235" i="9" s="1"/>
  <c r="K248" i="9"/>
  <c r="M248" i="9" s="1"/>
  <c r="L248" i="9"/>
  <c r="N248" i="9" s="1"/>
  <c r="K261" i="9"/>
  <c r="M261" i="9" s="1"/>
  <c r="L261" i="9"/>
  <c r="N261" i="9" s="1"/>
  <c r="L273" i="9"/>
  <c r="N273" i="9" s="1"/>
  <c r="K273" i="9"/>
  <c r="M273" i="9" s="1"/>
  <c r="L285" i="9"/>
  <c r="N285" i="9" s="1"/>
  <c r="K285" i="9"/>
  <c r="M285" i="9" s="1"/>
  <c r="L298" i="9"/>
  <c r="N298" i="9" s="1"/>
  <c r="K298" i="9"/>
  <c r="M298" i="9" s="1"/>
  <c r="L310" i="9"/>
  <c r="N310" i="9" s="1"/>
  <c r="K310" i="9"/>
  <c r="M310" i="9" s="1"/>
  <c r="L323" i="9"/>
  <c r="N323" i="9" s="1"/>
  <c r="K323" i="9"/>
  <c r="M323" i="9" s="1"/>
  <c r="K337" i="9"/>
  <c r="M337" i="9" s="1"/>
  <c r="L337" i="9"/>
  <c r="N337" i="9" s="1"/>
  <c r="L349" i="9"/>
  <c r="N349" i="9" s="1"/>
  <c r="K349" i="9"/>
  <c r="M349" i="9" s="1"/>
  <c r="L361" i="9"/>
  <c r="N361" i="9" s="1"/>
  <c r="K361" i="9"/>
  <c r="M361" i="9" s="1"/>
  <c r="L373" i="9"/>
  <c r="N373" i="9" s="1"/>
  <c r="K373" i="9"/>
  <c r="M373" i="9" s="1"/>
  <c r="L386" i="9"/>
  <c r="N386" i="9" s="1"/>
  <c r="K386" i="9"/>
  <c r="M386" i="9" s="1"/>
  <c r="K399" i="9"/>
  <c r="M399" i="9" s="1"/>
  <c r="L399" i="9"/>
  <c r="N399" i="9" s="1"/>
  <c r="L412" i="9"/>
  <c r="N412" i="9" s="1"/>
  <c r="K412" i="9"/>
  <c r="M412" i="9" s="1"/>
  <c r="L424" i="9"/>
  <c r="N424" i="9" s="1"/>
  <c r="K424" i="9"/>
  <c r="M424" i="9" s="1"/>
  <c r="L436" i="9"/>
  <c r="N436" i="9" s="1"/>
  <c r="K436" i="9"/>
  <c r="M436" i="9" s="1"/>
  <c r="K449" i="9"/>
  <c r="M449" i="9" s="1"/>
  <c r="L449" i="9"/>
  <c r="N449" i="9" s="1"/>
  <c r="K461" i="9"/>
  <c r="M461" i="9" s="1"/>
  <c r="L461" i="9"/>
  <c r="N461" i="9" s="1"/>
  <c r="K473" i="9"/>
  <c r="M473" i="9" s="1"/>
  <c r="L473" i="9"/>
  <c r="N473" i="9" s="1"/>
  <c r="K486" i="9"/>
  <c r="M486" i="9" s="1"/>
  <c r="L486" i="9"/>
  <c r="N486" i="9" s="1"/>
  <c r="K499" i="9"/>
  <c r="M499" i="9" s="1"/>
  <c r="L499" i="9"/>
  <c r="N499" i="9" s="1"/>
  <c r="K511" i="9"/>
  <c r="M511" i="9" s="1"/>
  <c r="L511" i="9"/>
  <c r="N511" i="9" s="1"/>
  <c r="K523" i="9"/>
  <c r="M523" i="9" s="1"/>
  <c r="L523" i="9"/>
  <c r="N523" i="9" s="1"/>
  <c r="K535" i="9"/>
  <c r="M535" i="9" s="1"/>
  <c r="L535" i="9"/>
  <c r="N535" i="9" s="1"/>
  <c r="L548" i="9"/>
  <c r="N548" i="9" s="1"/>
  <c r="K548" i="9"/>
  <c r="M548" i="9" s="1"/>
  <c r="K560" i="9"/>
  <c r="M560" i="9" s="1"/>
  <c r="L560" i="9"/>
  <c r="N560" i="9" s="1"/>
  <c r="L572" i="9"/>
  <c r="N572" i="9" s="1"/>
  <c r="K572" i="9"/>
  <c r="M572" i="9" s="1"/>
  <c r="K585" i="9"/>
  <c r="M585" i="9" s="1"/>
  <c r="L585" i="9"/>
  <c r="N585" i="9" s="1"/>
  <c r="K597" i="9"/>
  <c r="M597" i="9" s="1"/>
  <c r="L597" i="9"/>
  <c r="N597" i="9" s="1"/>
  <c r="K610" i="9"/>
  <c r="M610" i="9" s="1"/>
  <c r="L610" i="9"/>
  <c r="N610" i="9" s="1"/>
  <c r="K622" i="9"/>
  <c r="M622" i="9" s="1"/>
  <c r="L622" i="9"/>
  <c r="N622" i="9" s="1"/>
  <c r="K636" i="9"/>
  <c r="M636" i="9" s="1"/>
  <c r="L636" i="9"/>
  <c r="N636" i="9" s="1"/>
  <c r="K650" i="9"/>
  <c r="M650" i="9" s="1"/>
  <c r="L650" i="9"/>
  <c r="N650" i="9" s="1"/>
  <c r="K662" i="9"/>
  <c r="M662" i="9" s="1"/>
  <c r="L662" i="9"/>
  <c r="N662" i="9" s="1"/>
  <c r="K676" i="9"/>
  <c r="M676" i="9" s="1"/>
  <c r="L676" i="9"/>
  <c r="N676" i="9" s="1"/>
  <c r="K689" i="9"/>
  <c r="M689" i="9" s="1"/>
  <c r="L689" i="9"/>
  <c r="N689" i="9" s="1"/>
  <c r="L702" i="9"/>
  <c r="N702" i="9" s="1"/>
  <c r="K702" i="9"/>
  <c r="M702" i="9" s="1"/>
  <c r="K714" i="9"/>
  <c r="M714" i="9" s="1"/>
  <c r="L714" i="9"/>
  <c r="N714" i="9" s="1"/>
  <c r="L727" i="9"/>
  <c r="N727" i="9" s="1"/>
  <c r="K727" i="9"/>
  <c r="M727" i="9" s="1"/>
  <c r="L19" i="9"/>
  <c r="N19" i="9" s="1"/>
  <c r="K19" i="9"/>
  <c r="M19" i="9" s="1"/>
  <c r="K31" i="9"/>
  <c r="M31" i="9" s="1"/>
  <c r="L31" i="9"/>
  <c r="N31" i="9" s="1"/>
  <c r="K45" i="9"/>
  <c r="M45" i="9" s="1"/>
  <c r="L45" i="9"/>
  <c r="N45" i="9" s="1"/>
  <c r="L57" i="9"/>
  <c r="N57" i="9" s="1"/>
  <c r="K57" i="9"/>
  <c r="M57" i="9" s="1"/>
  <c r="K69" i="9"/>
  <c r="M69" i="9" s="1"/>
  <c r="L69" i="9"/>
  <c r="N69" i="9" s="1"/>
  <c r="K81" i="9"/>
  <c r="M81" i="9" s="1"/>
  <c r="L81" i="9"/>
  <c r="N81" i="9" s="1"/>
  <c r="K93" i="9"/>
  <c r="M93" i="9" s="1"/>
  <c r="L93" i="9"/>
  <c r="N93" i="9" s="1"/>
  <c r="K105" i="9"/>
  <c r="M105" i="9" s="1"/>
  <c r="L105" i="9"/>
  <c r="N105" i="9" s="1"/>
  <c r="K118" i="9"/>
  <c r="M118" i="9" s="1"/>
  <c r="L118" i="9"/>
  <c r="N118" i="9" s="1"/>
  <c r="K131" i="9"/>
  <c r="M131" i="9" s="1"/>
  <c r="L131" i="9"/>
  <c r="N131" i="9" s="1"/>
  <c r="K144" i="9"/>
  <c r="M144" i="9" s="1"/>
  <c r="L144" i="9"/>
  <c r="N144" i="9" s="1"/>
  <c r="K157" i="9"/>
  <c r="M157" i="9" s="1"/>
  <c r="L157" i="9"/>
  <c r="N157" i="9" s="1"/>
  <c r="K169" i="9"/>
  <c r="M169" i="9" s="1"/>
  <c r="L169" i="9"/>
  <c r="N169" i="9" s="1"/>
  <c r="L185" i="9"/>
  <c r="N185" i="9" s="1"/>
  <c r="K185" i="9"/>
  <c r="M185" i="9" s="1"/>
  <c r="K199" i="9"/>
  <c r="M199" i="9" s="1"/>
  <c r="L199" i="9"/>
  <c r="N199" i="9" s="1"/>
  <c r="K212" i="9"/>
  <c r="M212" i="9" s="1"/>
  <c r="L212" i="9"/>
  <c r="N212" i="9" s="1"/>
  <c r="K224" i="9"/>
  <c r="M224" i="9" s="1"/>
  <c r="L224" i="9"/>
  <c r="N224" i="9" s="1"/>
  <c r="L236" i="9"/>
  <c r="N236" i="9" s="1"/>
  <c r="K236" i="9"/>
  <c r="M236" i="9" s="1"/>
  <c r="K249" i="9"/>
  <c r="M249" i="9" s="1"/>
  <c r="L249" i="9"/>
  <c r="N249" i="9" s="1"/>
  <c r="L262" i="9"/>
  <c r="N262" i="9" s="1"/>
  <c r="K262" i="9"/>
  <c r="M262" i="9" s="1"/>
  <c r="L274" i="9"/>
  <c r="N274" i="9" s="1"/>
  <c r="K274" i="9"/>
  <c r="M274" i="9" s="1"/>
  <c r="L287" i="9"/>
  <c r="N287" i="9" s="1"/>
  <c r="K287" i="9"/>
  <c r="M287" i="9" s="1"/>
  <c r="L299" i="9"/>
  <c r="N299" i="9" s="1"/>
  <c r="K299" i="9"/>
  <c r="M299" i="9" s="1"/>
  <c r="K312" i="9"/>
  <c r="M312" i="9" s="1"/>
  <c r="L312" i="9"/>
  <c r="N312" i="9" s="1"/>
  <c r="K324" i="9"/>
  <c r="M324" i="9" s="1"/>
  <c r="L324" i="9"/>
  <c r="N324" i="9" s="1"/>
  <c r="K338" i="9"/>
  <c r="M338" i="9" s="1"/>
  <c r="L338" i="9"/>
  <c r="N338" i="9" s="1"/>
  <c r="K350" i="9"/>
  <c r="M350" i="9" s="1"/>
  <c r="L350" i="9"/>
  <c r="N350" i="9" s="1"/>
  <c r="L362" i="9"/>
  <c r="N362" i="9" s="1"/>
  <c r="K362" i="9"/>
  <c r="M362" i="9" s="1"/>
  <c r="L374" i="9"/>
  <c r="N374" i="9" s="1"/>
  <c r="K374" i="9"/>
  <c r="M374" i="9" s="1"/>
  <c r="L387" i="9"/>
  <c r="N387" i="9" s="1"/>
  <c r="K387" i="9"/>
  <c r="M387" i="9" s="1"/>
  <c r="L400" i="9"/>
  <c r="N400" i="9" s="1"/>
  <c r="K400" i="9"/>
  <c r="M400" i="9" s="1"/>
  <c r="L413" i="9"/>
  <c r="N413" i="9" s="1"/>
  <c r="K413" i="9"/>
  <c r="M413" i="9" s="1"/>
  <c r="L425" i="9"/>
  <c r="N425" i="9" s="1"/>
  <c r="K425" i="9"/>
  <c r="M425" i="9" s="1"/>
  <c r="L437" i="9"/>
  <c r="N437" i="9" s="1"/>
  <c r="K437" i="9"/>
  <c r="M437" i="9" s="1"/>
  <c r="K450" i="9"/>
  <c r="M450" i="9" s="1"/>
  <c r="L450" i="9"/>
  <c r="N450" i="9" s="1"/>
  <c r="L462" i="9"/>
  <c r="N462" i="9" s="1"/>
  <c r="K462" i="9"/>
  <c r="M462" i="9" s="1"/>
  <c r="K474" i="9"/>
  <c r="M474" i="9" s="1"/>
  <c r="L474" i="9"/>
  <c r="N474" i="9" s="1"/>
  <c r="L487" i="9"/>
  <c r="N487" i="9" s="1"/>
  <c r="K487" i="9"/>
  <c r="M487" i="9" s="1"/>
  <c r="K500" i="9"/>
  <c r="M500" i="9" s="1"/>
  <c r="L500" i="9"/>
  <c r="N500" i="9" s="1"/>
  <c r="L512" i="9"/>
  <c r="N512" i="9" s="1"/>
  <c r="K512" i="9"/>
  <c r="M512" i="9" s="1"/>
  <c r="L524" i="9"/>
  <c r="N524" i="9" s="1"/>
  <c r="K524" i="9"/>
  <c r="M524" i="9" s="1"/>
  <c r="L536" i="9"/>
  <c r="N536" i="9" s="1"/>
  <c r="K536" i="9"/>
  <c r="M536" i="9" s="1"/>
  <c r="K549" i="9"/>
  <c r="M549" i="9" s="1"/>
  <c r="L549" i="9"/>
  <c r="N549" i="9" s="1"/>
  <c r="L561" i="9"/>
  <c r="N561" i="9" s="1"/>
  <c r="K561" i="9"/>
  <c r="M561" i="9" s="1"/>
  <c r="L573" i="9"/>
  <c r="N573" i="9" s="1"/>
  <c r="K573" i="9"/>
  <c r="M573" i="9" s="1"/>
  <c r="K586" i="9"/>
  <c r="M586" i="9" s="1"/>
  <c r="L586" i="9"/>
  <c r="N586" i="9" s="1"/>
  <c r="K598" i="9"/>
  <c r="M598" i="9" s="1"/>
  <c r="L598" i="9"/>
  <c r="N598" i="9" s="1"/>
  <c r="K611" i="9"/>
  <c r="M611" i="9" s="1"/>
  <c r="L611" i="9"/>
  <c r="N611" i="9" s="1"/>
  <c r="K623" i="9"/>
  <c r="M623" i="9" s="1"/>
  <c r="L623" i="9"/>
  <c r="N623" i="9" s="1"/>
  <c r="L637" i="9"/>
  <c r="N637" i="9" s="1"/>
  <c r="K637" i="9"/>
  <c r="M637" i="9" s="1"/>
  <c r="K651" i="9"/>
  <c r="M651" i="9" s="1"/>
  <c r="L651" i="9"/>
  <c r="N651" i="9" s="1"/>
  <c r="L663" i="9"/>
  <c r="N663" i="9" s="1"/>
  <c r="K663" i="9"/>
  <c r="M663" i="9" s="1"/>
  <c r="L677" i="9"/>
  <c r="N677" i="9" s="1"/>
  <c r="K677" i="9"/>
  <c r="M677" i="9" s="1"/>
  <c r="K690" i="9"/>
  <c r="M690" i="9" s="1"/>
  <c r="L690" i="9"/>
  <c r="N690" i="9" s="1"/>
  <c r="L703" i="9"/>
  <c r="N703" i="9" s="1"/>
  <c r="K703" i="9"/>
  <c r="M703" i="9" s="1"/>
  <c r="L716" i="9"/>
  <c r="N716" i="9" s="1"/>
  <c r="K716" i="9"/>
  <c r="M716" i="9" s="1"/>
  <c r="K728" i="9"/>
  <c r="M728" i="9" s="1"/>
  <c r="L728" i="9"/>
  <c r="N728" i="9" s="1"/>
  <c r="K20" i="9"/>
  <c r="M20" i="9" s="1"/>
  <c r="L20" i="9"/>
  <c r="N20" i="9" s="1"/>
  <c r="K32" i="9"/>
  <c r="M32" i="9" s="1"/>
  <c r="L32" i="9"/>
  <c r="N32" i="9" s="1"/>
  <c r="L46" i="9"/>
  <c r="N46" i="9" s="1"/>
  <c r="K46" i="9"/>
  <c r="M46" i="9" s="1"/>
  <c r="K58" i="9"/>
  <c r="M58" i="9" s="1"/>
  <c r="L58" i="9"/>
  <c r="N58" i="9" s="1"/>
  <c r="L70" i="9"/>
  <c r="N70" i="9" s="1"/>
  <c r="K70" i="9"/>
  <c r="M70" i="9" s="1"/>
  <c r="L82" i="9"/>
  <c r="N82" i="9" s="1"/>
  <c r="K82" i="9"/>
  <c r="M82" i="9" s="1"/>
  <c r="L94" i="9"/>
  <c r="N94" i="9" s="1"/>
  <c r="K94" i="9"/>
  <c r="M94" i="9" s="1"/>
  <c r="L106" i="9"/>
  <c r="N106" i="9" s="1"/>
  <c r="K106" i="9"/>
  <c r="M106" i="9" s="1"/>
  <c r="K119" i="9"/>
  <c r="M119" i="9" s="1"/>
  <c r="L119" i="9"/>
  <c r="N119" i="9" s="1"/>
  <c r="L132" i="9"/>
  <c r="N132" i="9" s="1"/>
  <c r="K132" i="9"/>
  <c r="M132" i="9" s="1"/>
  <c r="L145" i="9"/>
  <c r="N145" i="9" s="1"/>
  <c r="K145" i="9"/>
  <c r="M145" i="9" s="1"/>
  <c r="L158" i="9"/>
  <c r="N158" i="9" s="1"/>
  <c r="K158" i="9"/>
  <c r="M158" i="9" s="1"/>
  <c r="K171" i="9"/>
  <c r="M171" i="9" s="1"/>
  <c r="L171" i="9"/>
  <c r="N171" i="9" s="1"/>
  <c r="K186" i="9"/>
  <c r="M186" i="9" s="1"/>
  <c r="L186" i="9"/>
  <c r="N186" i="9" s="1"/>
  <c r="K200" i="9"/>
  <c r="M200" i="9" s="1"/>
  <c r="L200" i="9"/>
  <c r="N200" i="9" s="1"/>
  <c r="K213" i="9"/>
  <c r="M213" i="9" s="1"/>
  <c r="L213" i="9"/>
  <c r="N213" i="9" s="1"/>
  <c r="K225" i="9"/>
  <c r="M225" i="9" s="1"/>
  <c r="L225" i="9"/>
  <c r="N225" i="9" s="1"/>
  <c r="K237" i="9"/>
  <c r="M237" i="9" s="1"/>
  <c r="L237" i="9"/>
  <c r="N237" i="9" s="1"/>
  <c r="K250" i="9"/>
  <c r="M250" i="9" s="1"/>
  <c r="L250" i="9"/>
  <c r="N250" i="9" s="1"/>
  <c r="K263" i="9"/>
  <c r="M263" i="9" s="1"/>
  <c r="L263" i="9"/>
  <c r="N263" i="9" s="1"/>
  <c r="K275" i="9"/>
  <c r="M275" i="9" s="1"/>
  <c r="L275" i="9"/>
  <c r="N275" i="9" s="1"/>
  <c r="K288" i="9"/>
  <c r="M288" i="9" s="1"/>
  <c r="L288" i="9"/>
  <c r="N288" i="9" s="1"/>
  <c r="K300" i="9"/>
  <c r="M300" i="9" s="1"/>
  <c r="L300" i="9"/>
  <c r="N300" i="9" s="1"/>
  <c r="K313" i="9"/>
  <c r="M313" i="9" s="1"/>
  <c r="L313" i="9"/>
  <c r="N313" i="9" s="1"/>
  <c r="K325" i="9"/>
  <c r="M325" i="9" s="1"/>
  <c r="L325" i="9"/>
  <c r="N325" i="9" s="1"/>
  <c r="L339" i="9"/>
  <c r="N339" i="9" s="1"/>
  <c r="K339" i="9"/>
  <c r="M339" i="9" s="1"/>
  <c r="K351" i="9"/>
  <c r="M351" i="9" s="1"/>
  <c r="L351" i="9"/>
  <c r="N351" i="9" s="1"/>
  <c r="K363" i="9"/>
  <c r="M363" i="9" s="1"/>
  <c r="L363" i="9"/>
  <c r="N363" i="9" s="1"/>
  <c r="K376" i="9"/>
  <c r="M376" i="9" s="1"/>
  <c r="L376" i="9"/>
  <c r="N376" i="9" s="1"/>
  <c r="K388" i="9"/>
  <c r="M388" i="9" s="1"/>
  <c r="L388" i="9"/>
  <c r="N388" i="9" s="1"/>
  <c r="K401" i="9"/>
  <c r="M401" i="9" s="1"/>
  <c r="L401" i="9"/>
  <c r="N401" i="9" s="1"/>
  <c r="K414" i="9"/>
  <c r="M414" i="9" s="1"/>
  <c r="L414" i="9"/>
  <c r="N414" i="9" s="1"/>
  <c r="K426" i="9"/>
  <c r="M426" i="9" s="1"/>
  <c r="L426" i="9"/>
  <c r="N426" i="9" s="1"/>
  <c r="K438" i="9"/>
  <c r="M438" i="9" s="1"/>
  <c r="L438" i="9"/>
  <c r="N438" i="9" s="1"/>
  <c r="L451" i="9"/>
  <c r="N451" i="9" s="1"/>
  <c r="K451" i="9"/>
  <c r="M451" i="9" s="1"/>
  <c r="K463" i="9"/>
  <c r="M463" i="9" s="1"/>
  <c r="L463" i="9"/>
  <c r="N463" i="9" s="1"/>
  <c r="K475" i="9"/>
  <c r="M475" i="9" s="1"/>
  <c r="L475" i="9"/>
  <c r="N475" i="9" s="1"/>
  <c r="L488" i="9"/>
  <c r="N488" i="9" s="1"/>
  <c r="K488" i="9"/>
  <c r="M488" i="9" s="1"/>
  <c r="K501" i="9"/>
  <c r="M501" i="9" s="1"/>
  <c r="L501" i="9"/>
  <c r="N501" i="9" s="1"/>
  <c r="K513" i="9"/>
  <c r="M513" i="9" s="1"/>
  <c r="L513" i="9"/>
  <c r="N513" i="9" s="1"/>
  <c r="K525" i="9"/>
  <c r="M525" i="9" s="1"/>
  <c r="L525" i="9"/>
  <c r="N525" i="9" s="1"/>
  <c r="K537" i="9"/>
  <c r="M537" i="9" s="1"/>
  <c r="L537" i="9"/>
  <c r="N537" i="9" s="1"/>
  <c r="L550" i="9"/>
  <c r="N550" i="9" s="1"/>
  <c r="K550" i="9"/>
  <c r="M550" i="9" s="1"/>
  <c r="L562" i="9"/>
  <c r="N562" i="9" s="1"/>
  <c r="K562" i="9"/>
  <c r="M562" i="9" s="1"/>
  <c r="L574" i="9"/>
  <c r="N574" i="9" s="1"/>
  <c r="K574" i="9"/>
  <c r="M574" i="9" s="1"/>
  <c r="L587" i="9"/>
  <c r="N587" i="9" s="1"/>
  <c r="K587" i="9"/>
  <c r="M587" i="9" s="1"/>
  <c r="L599" i="9"/>
  <c r="N599" i="9" s="1"/>
  <c r="K599" i="9"/>
  <c r="M599" i="9" s="1"/>
  <c r="K612" i="9"/>
  <c r="M612" i="9" s="1"/>
  <c r="L612" i="9"/>
  <c r="N612" i="9" s="1"/>
  <c r="L626" i="9"/>
  <c r="N626" i="9" s="1"/>
  <c r="K626" i="9"/>
  <c r="M626" i="9" s="1"/>
  <c r="L639" i="9"/>
  <c r="N639" i="9" s="1"/>
  <c r="K639" i="9"/>
  <c r="M639" i="9" s="1"/>
  <c r="L652" i="9"/>
  <c r="N652" i="9" s="1"/>
  <c r="K652" i="9"/>
  <c r="M652" i="9" s="1"/>
  <c r="K665" i="9"/>
  <c r="M665" i="9" s="1"/>
  <c r="L665" i="9"/>
  <c r="N665" i="9" s="1"/>
  <c r="L678" i="9"/>
  <c r="N678" i="9" s="1"/>
  <c r="K678" i="9"/>
  <c r="M678" i="9" s="1"/>
  <c r="L691" i="9"/>
  <c r="N691" i="9" s="1"/>
  <c r="K691" i="9"/>
  <c r="M691" i="9" s="1"/>
  <c r="K704" i="9"/>
  <c r="M704" i="9" s="1"/>
  <c r="L704" i="9"/>
  <c r="N704" i="9" s="1"/>
  <c r="K717" i="9"/>
  <c r="M717" i="9" s="1"/>
  <c r="L717" i="9"/>
  <c r="N717" i="9" s="1"/>
  <c r="L729" i="9"/>
  <c r="N729" i="9" s="1"/>
  <c r="K729" i="9"/>
  <c r="M729" i="9" s="1"/>
  <c r="L21" i="9"/>
  <c r="N21" i="9" s="1"/>
  <c r="K21" i="9"/>
  <c r="M21" i="9" s="1"/>
  <c r="K34" i="9"/>
  <c r="M34" i="9" s="1"/>
  <c r="L34" i="9"/>
  <c r="N34" i="9" s="1"/>
  <c r="L47" i="9"/>
  <c r="N47" i="9" s="1"/>
  <c r="K47" i="9"/>
  <c r="M47" i="9" s="1"/>
  <c r="L59" i="9"/>
  <c r="N59" i="9" s="1"/>
  <c r="K59" i="9"/>
  <c r="M59" i="9" s="1"/>
  <c r="L71" i="9"/>
  <c r="N71" i="9" s="1"/>
  <c r="K71" i="9"/>
  <c r="M71" i="9" s="1"/>
  <c r="L83" i="9"/>
  <c r="N83" i="9" s="1"/>
  <c r="K83" i="9"/>
  <c r="M83" i="9" s="1"/>
  <c r="L95" i="9"/>
  <c r="N95" i="9" s="1"/>
  <c r="K95" i="9"/>
  <c r="M95" i="9" s="1"/>
  <c r="L107" i="9"/>
  <c r="N107" i="9" s="1"/>
  <c r="K107" i="9"/>
  <c r="M107" i="9" s="1"/>
  <c r="L120" i="9"/>
  <c r="N120" i="9" s="1"/>
  <c r="K120" i="9"/>
  <c r="M120" i="9" s="1"/>
  <c r="K133" i="9"/>
  <c r="M133" i="9" s="1"/>
  <c r="L133" i="9"/>
  <c r="N133" i="9" s="1"/>
  <c r="K146" i="9"/>
  <c r="M146" i="9" s="1"/>
  <c r="L146" i="9"/>
  <c r="N146" i="9" s="1"/>
  <c r="K159" i="9"/>
  <c r="M159" i="9" s="1"/>
  <c r="L159" i="9"/>
  <c r="N159" i="9" s="1"/>
  <c r="L172" i="9"/>
  <c r="N172" i="9" s="1"/>
  <c r="K172" i="9"/>
  <c r="M172" i="9" s="1"/>
  <c r="K187" i="9"/>
  <c r="M187" i="9" s="1"/>
  <c r="L187" i="9"/>
  <c r="N187" i="9" s="1"/>
  <c r="K201" i="9"/>
  <c r="M201" i="9" s="1"/>
  <c r="L201" i="9"/>
  <c r="N201" i="9" s="1"/>
  <c r="L214" i="9"/>
  <c r="N214" i="9" s="1"/>
  <c r="K214" i="9"/>
  <c r="M214" i="9" s="1"/>
  <c r="L226" i="9"/>
  <c r="N226" i="9" s="1"/>
  <c r="K226" i="9"/>
  <c r="M226" i="9" s="1"/>
  <c r="L238" i="9"/>
  <c r="N238" i="9" s="1"/>
  <c r="K238" i="9"/>
  <c r="M238" i="9" s="1"/>
  <c r="K251" i="9"/>
  <c r="M251" i="9" s="1"/>
  <c r="L251" i="9"/>
  <c r="N251" i="9" s="1"/>
  <c r="L264" i="9"/>
  <c r="N264" i="9" s="1"/>
  <c r="K264" i="9"/>
  <c r="M264" i="9" s="1"/>
  <c r="K276" i="9"/>
  <c r="M276" i="9" s="1"/>
  <c r="L276" i="9"/>
  <c r="N276" i="9" s="1"/>
  <c r="K289" i="9"/>
  <c r="M289" i="9" s="1"/>
  <c r="L289" i="9"/>
  <c r="N289" i="9" s="1"/>
  <c r="K301" i="9"/>
  <c r="M301" i="9" s="1"/>
  <c r="L301" i="9"/>
  <c r="N301" i="9" s="1"/>
  <c r="L314" i="9"/>
  <c r="N314" i="9" s="1"/>
  <c r="K314" i="9"/>
  <c r="M314" i="9" s="1"/>
  <c r="L326" i="9"/>
  <c r="N326" i="9" s="1"/>
  <c r="K326" i="9"/>
  <c r="M326" i="9" s="1"/>
  <c r="K340" i="9"/>
  <c r="M340" i="9" s="1"/>
  <c r="L340" i="9"/>
  <c r="N340" i="9" s="1"/>
  <c r="K352" i="9"/>
  <c r="M352" i="9" s="1"/>
  <c r="L352" i="9"/>
  <c r="N352" i="9" s="1"/>
  <c r="L364" i="9"/>
  <c r="N364" i="9" s="1"/>
  <c r="K364" i="9"/>
  <c r="M364" i="9" s="1"/>
  <c r="L377" i="9"/>
  <c r="N377" i="9" s="1"/>
  <c r="K377" i="9"/>
  <c r="M377" i="9" s="1"/>
  <c r="K389" i="9"/>
  <c r="M389" i="9" s="1"/>
  <c r="L389" i="9"/>
  <c r="N389" i="9" s="1"/>
  <c r="K402" i="9"/>
  <c r="M402" i="9" s="1"/>
  <c r="L402" i="9"/>
  <c r="N402" i="9" s="1"/>
  <c r="L415" i="9"/>
  <c r="N415" i="9" s="1"/>
  <c r="K415" i="9"/>
  <c r="M415" i="9" s="1"/>
  <c r="L427" i="9"/>
  <c r="N427" i="9" s="1"/>
  <c r="K427" i="9"/>
  <c r="M427" i="9" s="1"/>
  <c r="L439" i="9"/>
  <c r="N439" i="9" s="1"/>
  <c r="K439" i="9"/>
  <c r="M439" i="9" s="1"/>
  <c r="L452" i="9"/>
  <c r="N452" i="9" s="1"/>
  <c r="K452" i="9"/>
  <c r="M452" i="9" s="1"/>
  <c r="L464" i="9"/>
  <c r="N464" i="9" s="1"/>
  <c r="K464" i="9"/>
  <c r="M464" i="9" s="1"/>
  <c r="L476" i="9"/>
  <c r="N476" i="9" s="1"/>
  <c r="K476" i="9"/>
  <c r="M476" i="9" s="1"/>
  <c r="L489" i="9"/>
  <c r="N489" i="9" s="1"/>
  <c r="K489" i="9"/>
  <c r="M489" i="9" s="1"/>
  <c r="K502" i="9"/>
  <c r="M502" i="9" s="1"/>
  <c r="L502" i="9"/>
  <c r="N502" i="9" s="1"/>
  <c r="L514" i="9"/>
  <c r="N514" i="9" s="1"/>
  <c r="K514" i="9"/>
  <c r="M514" i="9" s="1"/>
  <c r="L526" i="9"/>
  <c r="N526" i="9" s="1"/>
  <c r="K526" i="9"/>
  <c r="M526" i="9" s="1"/>
  <c r="L538" i="9"/>
  <c r="N538" i="9" s="1"/>
  <c r="K538" i="9"/>
  <c r="M538" i="9" s="1"/>
  <c r="L551" i="9"/>
  <c r="N551" i="9" s="1"/>
  <c r="K551" i="9"/>
  <c r="M551" i="9" s="1"/>
  <c r="L563" i="9"/>
  <c r="N563" i="9" s="1"/>
  <c r="K563" i="9"/>
  <c r="M563" i="9" s="1"/>
  <c r="L575" i="9"/>
  <c r="N575" i="9" s="1"/>
  <c r="K575" i="9"/>
  <c r="M575" i="9" s="1"/>
  <c r="L588" i="9"/>
  <c r="N588" i="9" s="1"/>
  <c r="K588" i="9"/>
  <c r="M588" i="9" s="1"/>
  <c r="L600" i="9"/>
  <c r="N600" i="9" s="1"/>
  <c r="K600" i="9"/>
  <c r="M600" i="9" s="1"/>
  <c r="L613" i="9"/>
  <c r="N613" i="9" s="1"/>
  <c r="K613" i="9"/>
  <c r="M613" i="9" s="1"/>
  <c r="L627" i="9"/>
  <c r="N627" i="9" s="1"/>
  <c r="K627" i="9"/>
  <c r="M627" i="9" s="1"/>
  <c r="K640" i="9"/>
  <c r="M640" i="9" s="1"/>
  <c r="L640" i="9"/>
  <c r="N640" i="9" s="1"/>
  <c r="L653" i="9"/>
  <c r="N653" i="9" s="1"/>
  <c r="K653" i="9"/>
  <c r="M653" i="9" s="1"/>
  <c r="L666" i="9"/>
  <c r="N666" i="9" s="1"/>
  <c r="K666" i="9"/>
  <c r="M666" i="9" s="1"/>
  <c r="L679" i="9"/>
  <c r="N679" i="9" s="1"/>
  <c r="K679" i="9"/>
  <c r="M679" i="9" s="1"/>
  <c r="K693" i="9"/>
  <c r="M693" i="9" s="1"/>
  <c r="L693" i="9"/>
  <c r="N693" i="9" s="1"/>
  <c r="K705" i="9"/>
  <c r="M705" i="9" s="1"/>
  <c r="L705" i="9"/>
  <c r="N705" i="9" s="1"/>
  <c r="K718" i="9"/>
  <c r="M718" i="9" s="1"/>
  <c r="L718" i="9"/>
  <c r="N718" i="9" s="1"/>
  <c r="K730" i="9"/>
  <c r="M730" i="9" s="1"/>
  <c r="L730" i="9"/>
  <c r="N730" i="9" s="1"/>
  <c r="L22" i="9"/>
  <c r="N22" i="9" s="1"/>
  <c r="K22" i="9"/>
  <c r="M22" i="9" s="1"/>
  <c r="L35" i="9"/>
  <c r="N35" i="9" s="1"/>
  <c r="K35" i="9"/>
  <c r="M35" i="9" s="1"/>
  <c r="K48" i="9"/>
  <c r="M48" i="9" s="1"/>
  <c r="L48" i="9"/>
  <c r="N48" i="9" s="1"/>
  <c r="K60" i="9"/>
  <c r="M60" i="9" s="1"/>
  <c r="L60" i="9"/>
  <c r="N60" i="9" s="1"/>
  <c r="K72" i="9"/>
  <c r="M72" i="9" s="1"/>
  <c r="L72" i="9"/>
  <c r="N72" i="9" s="1"/>
  <c r="K84" i="9"/>
  <c r="M84" i="9" s="1"/>
  <c r="L84" i="9"/>
  <c r="N84" i="9" s="1"/>
  <c r="K96" i="9"/>
  <c r="M96" i="9" s="1"/>
  <c r="L96" i="9"/>
  <c r="N96" i="9" s="1"/>
  <c r="K108" i="9"/>
  <c r="M108" i="9" s="1"/>
  <c r="L108" i="9"/>
  <c r="N108" i="9" s="1"/>
  <c r="K121" i="9"/>
  <c r="M121" i="9" s="1"/>
  <c r="L121" i="9"/>
  <c r="N121" i="9" s="1"/>
  <c r="O121" i="9" s="1"/>
  <c r="K135" i="9"/>
  <c r="M135" i="9" s="1"/>
  <c r="L135" i="9"/>
  <c r="N135" i="9" s="1"/>
  <c r="K147" i="9"/>
  <c r="M147" i="9" s="1"/>
  <c r="L147" i="9"/>
  <c r="N147" i="9" s="1"/>
  <c r="L160" i="9"/>
  <c r="N160" i="9" s="1"/>
  <c r="K160" i="9"/>
  <c r="M160" i="9" s="1"/>
  <c r="K173" i="9"/>
  <c r="M173" i="9" s="1"/>
  <c r="L173" i="9"/>
  <c r="N173" i="9" s="1"/>
  <c r="K189" i="9"/>
  <c r="M189" i="9" s="1"/>
  <c r="L189" i="9"/>
  <c r="N189" i="9" s="1"/>
  <c r="L202" i="9"/>
  <c r="N202" i="9" s="1"/>
  <c r="K202" i="9"/>
  <c r="M202" i="9" s="1"/>
  <c r="K215" i="9"/>
  <c r="M215" i="9" s="1"/>
  <c r="L215" i="9"/>
  <c r="N215" i="9" s="1"/>
  <c r="K227" i="9"/>
  <c r="M227" i="9" s="1"/>
  <c r="L227" i="9"/>
  <c r="N227" i="9" s="1"/>
  <c r="K239" i="9"/>
  <c r="M239" i="9" s="1"/>
  <c r="L239" i="9"/>
  <c r="N239" i="9" s="1"/>
  <c r="K252" i="9"/>
  <c r="M252" i="9" s="1"/>
  <c r="L252" i="9"/>
  <c r="N252" i="9" s="1"/>
  <c r="K265" i="9"/>
  <c r="M265" i="9" s="1"/>
  <c r="L265" i="9"/>
  <c r="N265" i="9" s="1"/>
  <c r="L277" i="9"/>
  <c r="N277" i="9" s="1"/>
  <c r="K277" i="9"/>
  <c r="M277" i="9" s="1"/>
  <c r="L290" i="9"/>
  <c r="N290" i="9" s="1"/>
  <c r="K290" i="9"/>
  <c r="M290" i="9" s="1"/>
  <c r="K302" i="9"/>
  <c r="M302" i="9" s="1"/>
  <c r="L302" i="9"/>
  <c r="N302" i="9" s="1"/>
  <c r="L315" i="9"/>
  <c r="N315" i="9" s="1"/>
  <c r="K315" i="9"/>
  <c r="M315" i="9" s="1"/>
  <c r="L327" i="9"/>
  <c r="N327" i="9" s="1"/>
  <c r="K327" i="9"/>
  <c r="M327" i="9" s="1"/>
  <c r="K341" i="9"/>
  <c r="M341" i="9" s="1"/>
  <c r="L341" i="9"/>
  <c r="N341" i="9" s="1"/>
  <c r="K353" i="9"/>
  <c r="M353" i="9" s="1"/>
  <c r="L353" i="9"/>
  <c r="N353" i="9" s="1"/>
  <c r="K365" i="9"/>
  <c r="M365" i="9" s="1"/>
  <c r="L365" i="9"/>
  <c r="N365" i="9" s="1"/>
  <c r="K378" i="9"/>
  <c r="M378" i="9" s="1"/>
  <c r="L378" i="9"/>
  <c r="N378" i="9" s="1"/>
  <c r="L390" i="9"/>
  <c r="N390" i="9" s="1"/>
  <c r="K390" i="9"/>
  <c r="M390" i="9" s="1"/>
  <c r="K403" i="9"/>
  <c r="M403" i="9" s="1"/>
  <c r="L403" i="9"/>
  <c r="N403" i="9" s="1"/>
  <c r="K416" i="9"/>
  <c r="M416" i="9" s="1"/>
  <c r="L416" i="9"/>
  <c r="N416" i="9" s="1"/>
  <c r="L428" i="9"/>
  <c r="N428" i="9" s="1"/>
  <c r="K428" i="9"/>
  <c r="M428" i="9" s="1"/>
  <c r="K441" i="9"/>
  <c r="M441" i="9" s="1"/>
  <c r="L441" i="9"/>
  <c r="N441" i="9" s="1"/>
  <c r="L453" i="9"/>
  <c r="N453" i="9" s="1"/>
  <c r="K453" i="9"/>
  <c r="M453" i="9" s="1"/>
  <c r="L465" i="9"/>
  <c r="N465" i="9" s="1"/>
  <c r="K465" i="9"/>
  <c r="M465" i="9" s="1"/>
  <c r="K478" i="9"/>
  <c r="M478" i="9" s="1"/>
  <c r="L478" i="9"/>
  <c r="N478" i="9" s="1"/>
  <c r="L490" i="9"/>
  <c r="N490" i="9" s="1"/>
  <c r="K490" i="9"/>
  <c r="M490" i="9" s="1"/>
  <c r="L503" i="9"/>
  <c r="N503" i="9" s="1"/>
  <c r="K503" i="9"/>
  <c r="M503" i="9" s="1"/>
  <c r="L515" i="9"/>
  <c r="N515" i="9" s="1"/>
  <c r="K515" i="9"/>
  <c r="M515" i="9" s="1"/>
  <c r="L527" i="9"/>
  <c r="N527" i="9" s="1"/>
  <c r="K527" i="9"/>
  <c r="M527" i="9" s="1"/>
  <c r="L539" i="9"/>
  <c r="N539" i="9" s="1"/>
  <c r="K539" i="9"/>
  <c r="M539" i="9" s="1"/>
  <c r="L552" i="9"/>
  <c r="N552" i="9" s="1"/>
  <c r="K552" i="9"/>
  <c r="M552" i="9" s="1"/>
  <c r="L564" i="9"/>
  <c r="N564" i="9" s="1"/>
  <c r="K564" i="9"/>
  <c r="M564" i="9" s="1"/>
  <c r="L576" i="9"/>
  <c r="N576" i="9" s="1"/>
  <c r="K576" i="9"/>
  <c r="M576" i="9" s="1"/>
  <c r="L589" i="9"/>
  <c r="N589" i="9" s="1"/>
  <c r="K589" i="9"/>
  <c r="M589" i="9" s="1"/>
  <c r="L601" i="9"/>
  <c r="N601" i="9" s="1"/>
  <c r="K601" i="9"/>
  <c r="M601" i="9" s="1"/>
  <c r="L614" i="9"/>
  <c r="N614" i="9" s="1"/>
  <c r="K614" i="9"/>
  <c r="M614" i="9" s="1"/>
  <c r="L628" i="9"/>
  <c r="N628" i="9" s="1"/>
  <c r="K628" i="9"/>
  <c r="M628" i="9" s="1"/>
  <c r="K641" i="9"/>
  <c r="M641" i="9" s="1"/>
  <c r="L641" i="9"/>
  <c r="N641" i="9" s="1"/>
  <c r="K654" i="9"/>
  <c r="M654" i="9" s="1"/>
  <c r="L654" i="9"/>
  <c r="N654" i="9" s="1"/>
  <c r="K667" i="9"/>
  <c r="M667" i="9" s="1"/>
  <c r="L667" i="9"/>
  <c r="N667" i="9" s="1"/>
  <c r="L680" i="9"/>
  <c r="N680" i="9" s="1"/>
  <c r="K680" i="9"/>
  <c r="M680" i="9" s="1"/>
  <c r="K694" i="9"/>
  <c r="M694" i="9" s="1"/>
  <c r="L694" i="9"/>
  <c r="N694" i="9" s="1"/>
  <c r="K706" i="9"/>
  <c r="M706" i="9" s="1"/>
  <c r="L706" i="9"/>
  <c r="N706" i="9" s="1"/>
  <c r="K719" i="9"/>
  <c r="M719" i="9" s="1"/>
  <c r="L719" i="9"/>
  <c r="N719" i="9" s="1"/>
  <c r="L731" i="9"/>
  <c r="N731" i="9" s="1"/>
  <c r="K731" i="9"/>
  <c r="M731" i="9" s="1"/>
  <c r="L23" i="9"/>
  <c r="N23" i="9" s="1"/>
  <c r="K23" i="9"/>
  <c r="M23" i="9" s="1"/>
  <c r="K36" i="9"/>
  <c r="M36" i="9" s="1"/>
  <c r="L36" i="9"/>
  <c r="N36" i="9" s="1"/>
  <c r="L49" i="9"/>
  <c r="N49" i="9" s="1"/>
  <c r="K49" i="9"/>
  <c r="M49" i="9" s="1"/>
  <c r="K61" i="9"/>
  <c r="M61" i="9" s="1"/>
  <c r="L61" i="9"/>
  <c r="N61" i="9" s="1"/>
  <c r="L73" i="9"/>
  <c r="N73" i="9" s="1"/>
  <c r="K73" i="9"/>
  <c r="M73" i="9" s="1"/>
  <c r="L85" i="9"/>
  <c r="N85" i="9" s="1"/>
  <c r="K85" i="9"/>
  <c r="M85" i="9" s="1"/>
  <c r="L97" i="9"/>
  <c r="N97" i="9" s="1"/>
  <c r="K97" i="9"/>
  <c r="M97" i="9" s="1"/>
  <c r="L109" i="9"/>
  <c r="N109" i="9" s="1"/>
  <c r="K109" i="9"/>
  <c r="M109" i="9" s="1"/>
  <c r="L122" i="9"/>
  <c r="N122" i="9" s="1"/>
  <c r="K122" i="9"/>
  <c r="M122" i="9" s="1"/>
  <c r="K136" i="9"/>
  <c r="M136" i="9" s="1"/>
  <c r="L136" i="9"/>
  <c r="N136" i="9" s="1"/>
  <c r="K148" i="9"/>
  <c r="M148" i="9" s="1"/>
  <c r="L148" i="9"/>
  <c r="N148" i="9" s="1"/>
  <c r="L161" i="9"/>
  <c r="N161" i="9" s="1"/>
  <c r="K161" i="9"/>
  <c r="M161" i="9" s="1"/>
  <c r="L174" i="9"/>
  <c r="N174" i="9" s="1"/>
  <c r="K174" i="9"/>
  <c r="M174" i="9" s="1"/>
  <c r="K190" i="9"/>
  <c r="M190" i="9" s="1"/>
  <c r="L190" i="9"/>
  <c r="N190" i="9" s="1"/>
  <c r="K203" i="9"/>
  <c r="M203" i="9" s="1"/>
  <c r="L203" i="9"/>
  <c r="N203" i="9" s="1"/>
  <c r="K216" i="9"/>
  <c r="M216" i="9" s="1"/>
  <c r="L216" i="9"/>
  <c r="N216" i="9" s="1"/>
  <c r="L228" i="9"/>
  <c r="N228" i="9" s="1"/>
  <c r="K228" i="9"/>
  <c r="M228" i="9" s="1"/>
  <c r="K240" i="9"/>
  <c r="M240" i="9" s="1"/>
  <c r="L240" i="9"/>
  <c r="N240" i="9" s="1"/>
  <c r="L254" i="9"/>
  <c r="N254" i="9" s="1"/>
  <c r="K254" i="9"/>
  <c r="M254" i="9" s="1"/>
  <c r="L266" i="9"/>
  <c r="N266" i="9" s="1"/>
  <c r="K266" i="9"/>
  <c r="M266" i="9" s="1"/>
  <c r="L278" i="9"/>
  <c r="N278" i="9" s="1"/>
  <c r="K278" i="9"/>
  <c r="M278" i="9" s="1"/>
  <c r="K291" i="9"/>
  <c r="M291" i="9" s="1"/>
  <c r="L291" i="9"/>
  <c r="N291" i="9" s="1"/>
  <c r="K303" i="9"/>
  <c r="M303" i="9" s="1"/>
  <c r="L303" i="9"/>
  <c r="N303" i="9" s="1"/>
  <c r="L316" i="9"/>
  <c r="N316" i="9" s="1"/>
  <c r="K316" i="9"/>
  <c r="M316" i="9" s="1"/>
  <c r="O316" i="9" s="1"/>
  <c r="L328" i="9"/>
  <c r="N328" i="9" s="1"/>
  <c r="K328" i="9"/>
  <c r="M328" i="9" s="1"/>
  <c r="K342" i="9"/>
  <c r="M342" i="9" s="1"/>
  <c r="L342" i="9"/>
  <c r="N342" i="9" s="1"/>
  <c r="L354" i="9"/>
  <c r="N354" i="9" s="1"/>
  <c r="K354" i="9"/>
  <c r="M354" i="9" s="1"/>
  <c r="L366" i="9"/>
  <c r="N366" i="9" s="1"/>
  <c r="K366" i="9"/>
  <c r="M366" i="9" s="1"/>
  <c r="L379" i="9"/>
  <c r="N379" i="9" s="1"/>
  <c r="K379" i="9"/>
  <c r="M379" i="9" s="1"/>
  <c r="L391" i="9"/>
  <c r="N391" i="9" s="1"/>
  <c r="K391" i="9"/>
  <c r="M391" i="9" s="1"/>
  <c r="L404" i="9"/>
  <c r="N404" i="9" s="1"/>
  <c r="K404" i="9"/>
  <c r="M404" i="9" s="1"/>
  <c r="L417" i="9"/>
  <c r="N417" i="9" s="1"/>
  <c r="K417" i="9"/>
  <c r="M417" i="9" s="1"/>
  <c r="L429" i="9"/>
  <c r="N429" i="9" s="1"/>
  <c r="K429" i="9"/>
  <c r="M429" i="9" s="1"/>
  <c r="L442" i="9"/>
  <c r="N442" i="9" s="1"/>
  <c r="K442" i="9"/>
  <c r="M442" i="9" s="1"/>
  <c r="K454" i="9"/>
  <c r="M454" i="9" s="1"/>
  <c r="L454" i="9"/>
  <c r="N454" i="9" s="1"/>
  <c r="K466" i="9"/>
  <c r="M466" i="9" s="1"/>
  <c r="L466" i="9"/>
  <c r="N466" i="9" s="1"/>
  <c r="K479" i="9"/>
  <c r="M479" i="9" s="1"/>
  <c r="L479" i="9"/>
  <c r="N479" i="9" s="1"/>
  <c r="K491" i="9"/>
  <c r="M491" i="9" s="1"/>
  <c r="L491" i="9"/>
  <c r="N491" i="9" s="1"/>
  <c r="L504" i="9"/>
  <c r="N504" i="9" s="1"/>
  <c r="K504" i="9"/>
  <c r="M504" i="9" s="1"/>
  <c r="L516" i="9"/>
  <c r="N516" i="9" s="1"/>
  <c r="K516" i="9"/>
  <c r="M516" i="9" s="1"/>
  <c r="L528" i="9"/>
  <c r="N528" i="9" s="1"/>
  <c r="K528" i="9"/>
  <c r="M528" i="9" s="1"/>
  <c r="L541" i="9"/>
  <c r="N541" i="9" s="1"/>
  <c r="K541" i="9"/>
  <c r="M541" i="9" s="1"/>
  <c r="L553" i="9"/>
  <c r="N553" i="9" s="1"/>
  <c r="K553" i="9"/>
  <c r="M553" i="9" s="1"/>
  <c r="L565" i="9"/>
  <c r="N565" i="9" s="1"/>
  <c r="K565" i="9"/>
  <c r="M565" i="9" s="1"/>
  <c r="L577" i="9"/>
  <c r="N577" i="9" s="1"/>
  <c r="K577" i="9"/>
  <c r="M577" i="9" s="1"/>
  <c r="L590" i="9"/>
  <c r="N590" i="9" s="1"/>
  <c r="K590" i="9"/>
  <c r="M590" i="9" s="1"/>
  <c r="L602" i="9"/>
  <c r="N602" i="9" s="1"/>
  <c r="K602" i="9"/>
  <c r="M602" i="9" s="1"/>
  <c r="K615" i="9"/>
  <c r="M615" i="9" s="1"/>
  <c r="L615" i="9"/>
  <c r="N615" i="9" s="1"/>
  <c r="L629" i="9"/>
  <c r="N629" i="9" s="1"/>
  <c r="K629" i="9"/>
  <c r="M629" i="9" s="1"/>
  <c r="K642" i="9"/>
  <c r="M642" i="9" s="1"/>
  <c r="L642" i="9"/>
  <c r="N642" i="9" s="1"/>
  <c r="K655" i="9"/>
  <c r="M655" i="9" s="1"/>
  <c r="L655" i="9"/>
  <c r="N655" i="9" s="1"/>
  <c r="L668" i="9"/>
  <c r="N668" i="9" s="1"/>
  <c r="K668" i="9"/>
  <c r="M668" i="9" s="1"/>
  <c r="K681" i="9"/>
  <c r="M681" i="9" s="1"/>
  <c r="L681" i="9"/>
  <c r="N681" i="9" s="1"/>
  <c r="L695" i="9"/>
  <c r="N695" i="9" s="1"/>
  <c r="K695" i="9"/>
  <c r="M695" i="9" s="1"/>
  <c r="K707" i="9"/>
  <c r="M707" i="9" s="1"/>
  <c r="L707" i="9"/>
  <c r="N707" i="9" s="1"/>
  <c r="K720" i="9"/>
  <c r="M720" i="9" s="1"/>
  <c r="L720" i="9"/>
  <c r="N720" i="9" s="1"/>
  <c r="K732" i="9"/>
  <c r="M732" i="9" s="1"/>
  <c r="L732" i="9"/>
  <c r="N732" i="9" s="1"/>
  <c r="L24" i="9"/>
  <c r="N24" i="9" s="1"/>
  <c r="K24" i="9"/>
  <c r="M24" i="9" s="1"/>
  <c r="L37" i="9"/>
  <c r="N37" i="9" s="1"/>
  <c r="K37" i="9"/>
  <c r="M37" i="9" s="1"/>
  <c r="K50" i="9"/>
  <c r="M50" i="9" s="1"/>
  <c r="L50" i="9"/>
  <c r="N50" i="9" s="1"/>
  <c r="K62" i="9"/>
  <c r="M62" i="9" s="1"/>
  <c r="L62" i="9"/>
  <c r="N62" i="9" s="1"/>
  <c r="L74" i="9"/>
  <c r="N74" i="9" s="1"/>
  <c r="K74" i="9"/>
  <c r="M74" i="9" s="1"/>
  <c r="K86" i="9"/>
  <c r="M86" i="9" s="1"/>
  <c r="L86" i="9"/>
  <c r="N86" i="9" s="1"/>
  <c r="K98" i="9"/>
  <c r="M98" i="9" s="1"/>
  <c r="L98" i="9"/>
  <c r="N98" i="9" s="1"/>
  <c r="L110" i="9"/>
  <c r="N110" i="9" s="1"/>
  <c r="K110" i="9"/>
  <c r="M110" i="9" s="1"/>
  <c r="K123" i="9"/>
  <c r="M123" i="9" s="1"/>
  <c r="L123" i="9"/>
  <c r="N123" i="9" s="1"/>
  <c r="K137" i="9"/>
  <c r="M137" i="9" s="1"/>
  <c r="L137" i="9"/>
  <c r="N137" i="9" s="1"/>
  <c r="K149" i="9"/>
  <c r="M149" i="9" s="1"/>
  <c r="L149" i="9"/>
  <c r="N149" i="9" s="1"/>
  <c r="K162" i="9"/>
  <c r="M162" i="9" s="1"/>
  <c r="L162" i="9"/>
  <c r="N162" i="9" s="1"/>
  <c r="K175" i="9"/>
  <c r="M175" i="9" s="1"/>
  <c r="L175" i="9"/>
  <c r="N175" i="9" s="1"/>
  <c r="L191" i="9"/>
  <c r="N191" i="9" s="1"/>
  <c r="K191" i="9"/>
  <c r="M191" i="9" s="1"/>
  <c r="L204" i="9"/>
  <c r="N204" i="9" s="1"/>
  <c r="K204" i="9"/>
  <c r="M204" i="9" s="1"/>
  <c r="K217" i="9"/>
  <c r="M217" i="9" s="1"/>
  <c r="L217" i="9"/>
  <c r="N217" i="9" s="1"/>
  <c r="K229" i="9"/>
  <c r="M229" i="9" s="1"/>
  <c r="L229" i="9"/>
  <c r="N229" i="9" s="1"/>
  <c r="K241" i="9"/>
  <c r="M241" i="9" s="1"/>
  <c r="L241" i="9"/>
  <c r="N241" i="9" s="1"/>
  <c r="K255" i="9"/>
  <c r="M255" i="9" s="1"/>
  <c r="L255" i="9"/>
  <c r="N255" i="9" s="1"/>
  <c r="K267" i="9"/>
  <c r="M267" i="9" s="1"/>
  <c r="L267" i="9"/>
  <c r="N267" i="9" s="1"/>
  <c r="L279" i="9"/>
  <c r="N279" i="9" s="1"/>
  <c r="K279" i="9"/>
  <c r="M279" i="9" s="1"/>
  <c r="L292" i="9"/>
  <c r="N292" i="9" s="1"/>
  <c r="K292" i="9"/>
  <c r="M292" i="9" s="1"/>
  <c r="L304" i="9"/>
  <c r="N304" i="9" s="1"/>
  <c r="K304" i="9"/>
  <c r="M304" i="9" s="1"/>
  <c r="L317" i="9"/>
  <c r="N317" i="9" s="1"/>
  <c r="K317" i="9"/>
  <c r="M317" i="9" s="1"/>
  <c r="K329" i="9"/>
  <c r="M329" i="9" s="1"/>
  <c r="L329" i="9"/>
  <c r="N329" i="9" s="1"/>
  <c r="L343" i="9"/>
  <c r="N343" i="9" s="1"/>
  <c r="K343" i="9"/>
  <c r="M343" i="9" s="1"/>
  <c r="L355" i="9"/>
  <c r="N355" i="9" s="1"/>
  <c r="K355" i="9"/>
  <c r="M355" i="9" s="1"/>
  <c r="K367" i="9"/>
  <c r="M367" i="9" s="1"/>
  <c r="L367" i="9"/>
  <c r="N367" i="9" s="1"/>
  <c r="L380" i="9"/>
  <c r="N380" i="9" s="1"/>
  <c r="K380" i="9"/>
  <c r="M380" i="9" s="1"/>
  <c r="L392" i="9"/>
  <c r="N392" i="9" s="1"/>
  <c r="K392" i="9"/>
  <c r="M392" i="9" s="1"/>
  <c r="K405" i="9"/>
  <c r="M405" i="9" s="1"/>
  <c r="L405" i="9"/>
  <c r="N405" i="9" s="1"/>
  <c r="L418" i="9"/>
  <c r="N418" i="9" s="1"/>
  <c r="K418" i="9"/>
  <c r="M418" i="9" s="1"/>
  <c r="L430" i="9"/>
  <c r="N430" i="9" s="1"/>
  <c r="K430" i="9"/>
  <c r="M430" i="9" s="1"/>
  <c r="O430" i="9" s="1"/>
  <c r="K443" i="9"/>
  <c r="M443" i="9" s="1"/>
  <c r="L443" i="9"/>
  <c r="N443" i="9" s="1"/>
  <c r="K455" i="9"/>
  <c r="M455" i="9" s="1"/>
  <c r="L455" i="9"/>
  <c r="N455" i="9" s="1"/>
  <c r="K467" i="9"/>
  <c r="M467" i="9" s="1"/>
  <c r="L467" i="9"/>
  <c r="N467" i="9" s="1"/>
  <c r="L480" i="9"/>
  <c r="N480" i="9" s="1"/>
  <c r="K480" i="9"/>
  <c r="M480" i="9" s="1"/>
  <c r="K492" i="9"/>
  <c r="M492" i="9" s="1"/>
  <c r="L492" i="9"/>
  <c r="N492" i="9" s="1"/>
  <c r="K505" i="9"/>
  <c r="M505" i="9" s="1"/>
  <c r="L505" i="9"/>
  <c r="N505" i="9" s="1"/>
  <c r="K517" i="9"/>
  <c r="M517" i="9" s="1"/>
  <c r="L517" i="9"/>
  <c r="N517" i="9" s="1"/>
  <c r="K529" i="9"/>
  <c r="M529" i="9" s="1"/>
  <c r="L529" i="9"/>
  <c r="N529" i="9" s="1"/>
  <c r="L542" i="9"/>
  <c r="N542" i="9" s="1"/>
  <c r="K542" i="9"/>
  <c r="M542" i="9" s="1"/>
  <c r="K554" i="9"/>
  <c r="M554" i="9" s="1"/>
  <c r="L554" i="9"/>
  <c r="N554" i="9" s="1"/>
  <c r="L566" i="9"/>
  <c r="N566" i="9" s="1"/>
  <c r="K566" i="9"/>
  <c r="M566" i="9" s="1"/>
  <c r="L578" i="9"/>
  <c r="N578" i="9" s="1"/>
  <c r="K578" i="9"/>
  <c r="M578" i="9" s="1"/>
  <c r="K591" i="9"/>
  <c r="M591" i="9" s="1"/>
  <c r="L591" i="9"/>
  <c r="N591" i="9" s="1"/>
  <c r="K603" i="9"/>
  <c r="M603" i="9" s="1"/>
  <c r="L603" i="9"/>
  <c r="N603" i="9" s="1"/>
  <c r="K616" i="9"/>
  <c r="M616" i="9" s="1"/>
  <c r="L616" i="9"/>
  <c r="N616" i="9" s="1"/>
  <c r="K630" i="9"/>
  <c r="M630" i="9" s="1"/>
  <c r="L630" i="9"/>
  <c r="N630" i="9" s="1"/>
  <c r="K644" i="9"/>
  <c r="M644" i="9" s="1"/>
  <c r="L644" i="9"/>
  <c r="N644" i="9" s="1"/>
  <c r="K656" i="9"/>
  <c r="M656" i="9" s="1"/>
  <c r="L656" i="9"/>
  <c r="N656" i="9" s="1"/>
  <c r="L669" i="9"/>
  <c r="N669" i="9" s="1"/>
  <c r="K669" i="9"/>
  <c r="M669" i="9" s="1"/>
  <c r="K682" i="9"/>
  <c r="M682" i="9" s="1"/>
  <c r="L682" i="9"/>
  <c r="N682" i="9" s="1"/>
  <c r="L696" i="9"/>
  <c r="N696" i="9" s="1"/>
  <c r="K696" i="9"/>
  <c r="M696" i="9" s="1"/>
  <c r="L708" i="9"/>
  <c r="N708" i="9" s="1"/>
  <c r="K708" i="9"/>
  <c r="M708" i="9" s="1"/>
  <c r="K721" i="9"/>
  <c r="M721" i="9" s="1"/>
  <c r="L721" i="9"/>
  <c r="N721" i="9" s="1"/>
  <c r="K733" i="9"/>
  <c r="M733" i="9" s="1"/>
  <c r="L733" i="9"/>
  <c r="N733" i="9" s="1"/>
  <c r="L29" i="3"/>
  <c r="N29" i="3" s="1"/>
  <c r="K29" i="3"/>
  <c r="M29" i="3" s="1"/>
  <c r="K55" i="3"/>
  <c r="M55" i="3" s="1"/>
  <c r="L55" i="3"/>
  <c r="N55" i="3" s="1"/>
  <c r="K79" i="3"/>
  <c r="M79" i="3" s="1"/>
  <c r="L79" i="3"/>
  <c r="N79" i="3" s="1"/>
  <c r="K116" i="3"/>
  <c r="M116" i="3" s="1"/>
  <c r="L116" i="3"/>
  <c r="N116" i="3" s="1"/>
  <c r="K167" i="3"/>
  <c r="M167" i="3" s="1"/>
  <c r="L167" i="3"/>
  <c r="N167" i="3" s="1"/>
  <c r="L210" i="3"/>
  <c r="N210" i="3" s="1"/>
  <c r="K210" i="3"/>
  <c r="M210" i="3" s="1"/>
  <c r="L260" i="3"/>
  <c r="N260" i="3" s="1"/>
  <c r="K260" i="3"/>
  <c r="M260" i="3" s="1"/>
  <c r="L309" i="3"/>
  <c r="N309" i="3" s="1"/>
  <c r="K309" i="3"/>
  <c r="M309" i="3" s="1"/>
  <c r="K360" i="3"/>
  <c r="M360" i="3" s="1"/>
  <c r="L360" i="3"/>
  <c r="N360" i="3" s="1"/>
  <c r="L411" i="3"/>
  <c r="N411" i="3" s="1"/>
  <c r="K411" i="3"/>
  <c r="M411" i="3" s="1"/>
  <c r="K460" i="3"/>
  <c r="M460" i="3" s="1"/>
  <c r="L460" i="3"/>
  <c r="N460" i="3" s="1"/>
  <c r="L510" i="3"/>
  <c r="N510" i="3" s="1"/>
  <c r="K510" i="3"/>
  <c r="M510" i="3" s="1"/>
  <c r="L571" i="3"/>
  <c r="N571" i="3" s="1"/>
  <c r="K571" i="3"/>
  <c r="M571" i="3" s="1"/>
  <c r="L621" i="3"/>
  <c r="N621" i="3" s="1"/>
  <c r="K621" i="3"/>
  <c r="M621" i="3" s="1"/>
  <c r="K688" i="3"/>
  <c r="M688" i="3" s="1"/>
  <c r="L688" i="3"/>
  <c r="N688" i="3" s="1"/>
  <c r="K726" i="3"/>
  <c r="M726" i="3" s="1"/>
  <c r="L726" i="3"/>
  <c r="N726" i="3" s="1"/>
  <c r="L17" i="3"/>
  <c r="N17" i="3" s="1"/>
  <c r="K17" i="3"/>
  <c r="M17" i="3" s="1"/>
  <c r="K43" i="3"/>
  <c r="M43" i="3" s="1"/>
  <c r="L43" i="3"/>
  <c r="N43" i="3" s="1"/>
  <c r="K67" i="3"/>
  <c r="M67" i="3" s="1"/>
  <c r="L67" i="3"/>
  <c r="N67" i="3" s="1"/>
  <c r="K91" i="3"/>
  <c r="M91" i="3" s="1"/>
  <c r="L91" i="3"/>
  <c r="N91" i="3" s="1"/>
  <c r="K103" i="3"/>
  <c r="M103" i="3" s="1"/>
  <c r="L103" i="3"/>
  <c r="N103" i="3" s="1"/>
  <c r="L129" i="3"/>
  <c r="N129" i="3" s="1"/>
  <c r="K129" i="3"/>
  <c r="M129" i="3" s="1"/>
  <c r="K142" i="3"/>
  <c r="M142" i="3" s="1"/>
  <c r="L142" i="3"/>
  <c r="N142" i="3" s="1"/>
  <c r="K155" i="3"/>
  <c r="M155" i="3" s="1"/>
  <c r="L155" i="3"/>
  <c r="N155" i="3" s="1"/>
  <c r="K183" i="3"/>
  <c r="M183" i="3" s="1"/>
  <c r="L183" i="3"/>
  <c r="N183" i="3" s="1"/>
  <c r="L196" i="3"/>
  <c r="N196" i="3" s="1"/>
  <c r="K196" i="3"/>
  <c r="M196" i="3" s="1"/>
  <c r="L222" i="3"/>
  <c r="N222" i="3" s="1"/>
  <c r="K222" i="3"/>
  <c r="M222" i="3" s="1"/>
  <c r="L234" i="3"/>
  <c r="N234" i="3" s="1"/>
  <c r="K234" i="3"/>
  <c r="M234" i="3" s="1"/>
  <c r="K247" i="3"/>
  <c r="M247" i="3" s="1"/>
  <c r="L247" i="3"/>
  <c r="N247" i="3" s="1"/>
  <c r="L272" i="3"/>
  <c r="N272" i="3" s="1"/>
  <c r="K272" i="3"/>
  <c r="M272" i="3" s="1"/>
  <c r="L284" i="3"/>
  <c r="N284" i="3" s="1"/>
  <c r="K284" i="3"/>
  <c r="M284" i="3" s="1"/>
  <c r="L297" i="3"/>
  <c r="N297" i="3" s="1"/>
  <c r="K297" i="3"/>
  <c r="M297" i="3" s="1"/>
  <c r="L322" i="3"/>
  <c r="N322" i="3" s="1"/>
  <c r="K322" i="3"/>
  <c r="M322" i="3" s="1"/>
  <c r="K336" i="3"/>
  <c r="M336" i="3" s="1"/>
  <c r="L336" i="3"/>
  <c r="N336" i="3" s="1"/>
  <c r="K348" i="3"/>
  <c r="M348" i="3" s="1"/>
  <c r="L348" i="3"/>
  <c r="N348" i="3" s="1"/>
  <c r="K372" i="3"/>
  <c r="M372" i="3" s="1"/>
  <c r="L372" i="3"/>
  <c r="N372" i="3" s="1"/>
  <c r="L385" i="3"/>
  <c r="N385" i="3" s="1"/>
  <c r="K385" i="3"/>
  <c r="M385" i="3" s="1"/>
  <c r="L398" i="3"/>
  <c r="N398" i="3" s="1"/>
  <c r="K398" i="3"/>
  <c r="M398" i="3" s="1"/>
  <c r="L423" i="3"/>
  <c r="N423" i="3" s="1"/>
  <c r="K423" i="3"/>
  <c r="M423" i="3" s="1"/>
  <c r="L435" i="3"/>
  <c r="N435" i="3" s="1"/>
  <c r="K435" i="3"/>
  <c r="M435" i="3" s="1"/>
  <c r="K448" i="3"/>
  <c r="M448" i="3" s="1"/>
  <c r="L448" i="3"/>
  <c r="N448" i="3" s="1"/>
  <c r="L472" i="3"/>
  <c r="N472" i="3" s="1"/>
  <c r="K472" i="3"/>
  <c r="M472" i="3" s="1"/>
  <c r="K485" i="3"/>
  <c r="M485" i="3" s="1"/>
  <c r="L485" i="3"/>
  <c r="N485" i="3" s="1"/>
  <c r="L498" i="3"/>
  <c r="N498" i="3" s="1"/>
  <c r="K498" i="3"/>
  <c r="M498" i="3" s="1"/>
  <c r="L522" i="3"/>
  <c r="N522" i="3" s="1"/>
  <c r="K522" i="3"/>
  <c r="M522" i="3" s="1"/>
  <c r="K534" i="3"/>
  <c r="M534" i="3" s="1"/>
  <c r="L534" i="3"/>
  <c r="N534" i="3" s="1"/>
  <c r="K547" i="3"/>
  <c r="M547" i="3" s="1"/>
  <c r="L547" i="3"/>
  <c r="N547" i="3" s="1"/>
  <c r="L559" i="3"/>
  <c r="N559" i="3" s="1"/>
  <c r="K559" i="3"/>
  <c r="M559" i="3" s="1"/>
  <c r="L584" i="3"/>
  <c r="N584" i="3" s="1"/>
  <c r="K584" i="3"/>
  <c r="M584" i="3" s="1"/>
  <c r="K596" i="3"/>
  <c r="M596" i="3" s="1"/>
  <c r="L596" i="3"/>
  <c r="N596" i="3" s="1"/>
  <c r="K609" i="3"/>
  <c r="M609" i="3" s="1"/>
  <c r="L609" i="3"/>
  <c r="N609" i="3" s="1"/>
  <c r="K635" i="3"/>
  <c r="M635" i="3" s="1"/>
  <c r="L635" i="3"/>
  <c r="N635" i="3" s="1"/>
  <c r="K649" i="3"/>
  <c r="M649" i="3" s="1"/>
  <c r="L649" i="3"/>
  <c r="N649" i="3" s="1"/>
  <c r="K661" i="3"/>
  <c r="M661" i="3" s="1"/>
  <c r="L661" i="3"/>
  <c r="N661" i="3" s="1"/>
  <c r="K675" i="3"/>
  <c r="M675" i="3" s="1"/>
  <c r="L675" i="3"/>
  <c r="N675" i="3" s="1"/>
  <c r="L701" i="3"/>
  <c r="N701" i="3" s="1"/>
  <c r="K701" i="3"/>
  <c r="M701" i="3" s="1"/>
  <c r="L713" i="3"/>
  <c r="N713" i="3" s="1"/>
  <c r="K713" i="3"/>
  <c r="M713" i="3" s="1"/>
  <c r="K30" i="3"/>
  <c r="M30" i="3" s="1"/>
  <c r="L30" i="3"/>
  <c r="N30" i="3" s="1"/>
  <c r="K44" i="3"/>
  <c r="M44" i="3" s="1"/>
  <c r="L44" i="3"/>
  <c r="N44" i="3" s="1"/>
  <c r="K56" i="3"/>
  <c r="M56" i="3" s="1"/>
  <c r="L56" i="3"/>
  <c r="N56" i="3" s="1"/>
  <c r="K68" i="3"/>
  <c r="M68" i="3" s="1"/>
  <c r="L68" i="3"/>
  <c r="N68" i="3" s="1"/>
  <c r="K80" i="3"/>
  <c r="M80" i="3" s="1"/>
  <c r="L80" i="3"/>
  <c r="N80" i="3" s="1"/>
  <c r="K92" i="3"/>
  <c r="M92" i="3" s="1"/>
  <c r="L92" i="3"/>
  <c r="N92" i="3" s="1"/>
  <c r="K104" i="3"/>
  <c r="M104" i="3" s="1"/>
  <c r="L104" i="3"/>
  <c r="N104" i="3" s="1"/>
  <c r="L117" i="3"/>
  <c r="N117" i="3" s="1"/>
  <c r="K117" i="3"/>
  <c r="M117" i="3" s="1"/>
  <c r="K130" i="3"/>
  <c r="M130" i="3" s="1"/>
  <c r="L130" i="3"/>
  <c r="N130" i="3" s="1"/>
  <c r="O130" i="3" s="1"/>
  <c r="K143" i="3"/>
  <c r="M143" i="3" s="1"/>
  <c r="L143" i="3"/>
  <c r="N143" i="3" s="1"/>
  <c r="K156" i="3"/>
  <c r="M156" i="3" s="1"/>
  <c r="L156" i="3"/>
  <c r="N156" i="3" s="1"/>
  <c r="L168" i="3"/>
  <c r="N168" i="3" s="1"/>
  <c r="K168" i="3"/>
  <c r="M168" i="3" s="1"/>
  <c r="L184" i="3"/>
  <c r="N184" i="3" s="1"/>
  <c r="K184" i="3"/>
  <c r="M184" i="3" s="1"/>
  <c r="K198" i="3"/>
  <c r="M198" i="3" s="1"/>
  <c r="L198" i="3"/>
  <c r="N198" i="3" s="1"/>
  <c r="K211" i="3"/>
  <c r="M211" i="3" s="1"/>
  <c r="L211" i="3"/>
  <c r="N211" i="3" s="1"/>
  <c r="K223" i="3"/>
  <c r="M223" i="3" s="1"/>
  <c r="L223" i="3"/>
  <c r="N223" i="3" s="1"/>
  <c r="K235" i="3"/>
  <c r="M235" i="3" s="1"/>
  <c r="L235" i="3"/>
  <c r="N235" i="3" s="1"/>
  <c r="L248" i="3"/>
  <c r="N248" i="3" s="1"/>
  <c r="K248" i="3"/>
  <c r="M248" i="3" s="1"/>
  <c r="K261" i="3"/>
  <c r="M261" i="3" s="1"/>
  <c r="L261" i="3"/>
  <c r="N261" i="3" s="1"/>
  <c r="L273" i="3"/>
  <c r="N273" i="3" s="1"/>
  <c r="K273" i="3"/>
  <c r="M273" i="3" s="1"/>
  <c r="L285" i="3"/>
  <c r="N285" i="3" s="1"/>
  <c r="K285" i="3"/>
  <c r="M285" i="3" s="1"/>
  <c r="L298" i="3"/>
  <c r="N298" i="3" s="1"/>
  <c r="K298" i="3"/>
  <c r="M298" i="3" s="1"/>
  <c r="L310" i="3"/>
  <c r="N310" i="3" s="1"/>
  <c r="K310" i="3"/>
  <c r="M310" i="3" s="1"/>
  <c r="L323" i="3"/>
  <c r="N323" i="3" s="1"/>
  <c r="K323" i="3"/>
  <c r="M323" i="3" s="1"/>
  <c r="L337" i="3"/>
  <c r="N337" i="3" s="1"/>
  <c r="K337" i="3"/>
  <c r="M337" i="3" s="1"/>
  <c r="L349" i="3"/>
  <c r="N349" i="3" s="1"/>
  <c r="K349" i="3"/>
  <c r="M349" i="3" s="1"/>
  <c r="L361" i="3"/>
  <c r="N361" i="3" s="1"/>
  <c r="K361" i="3"/>
  <c r="M361" i="3" s="1"/>
  <c r="K373" i="3"/>
  <c r="M373" i="3" s="1"/>
  <c r="L373" i="3"/>
  <c r="N373" i="3" s="1"/>
  <c r="L386" i="3"/>
  <c r="N386" i="3" s="1"/>
  <c r="K386" i="3"/>
  <c r="M386" i="3" s="1"/>
  <c r="K399" i="3"/>
  <c r="M399" i="3" s="1"/>
  <c r="L399" i="3"/>
  <c r="N399" i="3" s="1"/>
  <c r="K412" i="3"/>
  <c r="M412" i="3" s="1"/>
  <c r="L412" i="3"/>
  <c r="N412" i="3" s="1"/>
  <c r="K424" i="3"/>
  <c r="M424" i="3" s="1"/>
  <c r="L424" i="3"/>
  <c r="N424" i="3" s="1"/>
  <c r="K436" i="3"/>
  <c r="M436" i="3" s="1"/>
  <c r="L436" i="3"/>
  <c r="N436" i="3" s="1"/>
  <c r="K449" i="3"/>
  <c r="M449" i="3" s="1"/>
  <c r="L449" i="3"/>
  <c r="N449" i="3" s="1"/>
  <c r="K461" i="3"/>
  <c r="M461" i="3" s="1"/>
  <c r="L461" i="3"/>
  <c r="N461" i="3" s="1"/>
  <c r="L473" i="3"/>
  <c r="N473" i="3" s="1"/>
  <c r="K473" i="3"/>
  <c r="M473" i="3" s="1"/>
  <c r="K486" i="3"/>
  <c r="M486" i="3" s="1"/>
  <c r="L486" i="3"/>
  <c r="N486" i="3" s="1"/>
  <c r="L499" i="3"/>
  <c r="N499" i="3" s="1"/>
  <c r="K499" i="3"/>
  <c r="M499" i="3" s="1"/>
  <c r="K511" i="3"/>
  <c r="M511" i="3" s="1"/>
  <c r="L511" i="3"/>
  <c r="N511" i="3" s="1"/>
  <c r="K523" i="3"/>
  <c r="M523" i="3" s="1"/>
  <c r="L523" i="3"/>
  <c r="N523" i="3" s="1"/>
  <c r="K535" i="3"/>
  <c r="M535" i="3" s="1"/>
  <c r="L535" i="3"/>
  <c r="N535" i="3" s="1"/>
  <c r="L548" i="3"/>
  <c r="N548" i="3" s="1"/>
  <c r="K548" i="3"/>
  <c r="M548" i="3" s="1"/>
  <c r="K560" i="3"/>
  <c r="M560" i="3" s="1"/>
  <c r="L560" i="3"/>
  <c r="N560" i="3" s="1"/>
  <c r="K572" i="3"/>
  <c r="M572" i="3" s="1"/>
  <c r="L572" i="3"/>
  <c r="N572" i="3" s="1"/>
  <c r="K585" i="3"/>
  <c r="M585" i="3" s="1"/>
  <c r="L585" i="3"/>
  <c r="N585" i="3" s="1"/>
  <c r="K597" i="3"/>
  <c r="M597" i="3" s="1"/>
  <c r="L597" i="3"/>
  <c r="N597" i="3" s="1"/>
  <c r="K610" i="3"/>
  <c r="M610" i="3" s="1"/>
  <c r="L610" i="3"/>
  <c r="N610" i="3" s="1"/>
  <c r="L622" i="3"/>
  <c r="N622" i="3" s="1"/>
  <c r="K622" i="3"/>
  <c r="M622" i="3" s="1"/>
  <c r="L636" i="3"/>
  <c r="N636" i="3" s="1"/>
  <c r="K636" i="3"/>
  <c r="M636" i="3" s="1"/>
  <c r="L650" i="3"/>
  <c r="N650" i="3" s="1"/>
  <c r="K650" i="3"/>
  <c r="M650" i="3" s="1"/>
  <c r="L662" i="3"/>
  <c r="N662" i="3" s="1"/>
  <c r="K662" i="3"/>
  <c r="M662" i="3" s="1"/>
  <c r="K676" i="3"/>
  <c r="M676" i="3" s="1"/>
  <c r="L676" i="3"/>
  <c r="N676" i="3" s="1"/>
  <c r="K689" i="3"/>
  <c r="M689" i="3" s="1"/>
  <c r="L689" i="3"/>
  <c r="N689" i="3" s="1"/>
  <c r="K702" i="3"/>
  <c r="M702" i="3" s="1"/>
  <c r="L702" i="3"/>
  <c r="N702" i="3" s="1"/>
  <c r="K714" i="3"/>
  <c r="M714" i="3" s="1"/>
  <c r="L714" i="3"/>
  <c r="N714" i="3" s="1"/>
  <c r="K727" i="3"/>
  <c r="M727" i="3" s="1"/>
  <c r="L727" i="3"/>
  <c r="N727" i="3" s="1"/>
  <c r="K45" i="3"/>
  <c r="M45" i="3" s="1"/>
  <c r="L45" i="3"/>
  <c r="N45" i="3" s="1"/>
  <c r="K57" i="3"/>
  <c r="M57" i="3" s="1"/>
  <c r="L57" i="3"/>
  <c r="N57" i="3" s="1"/>
  <c r="K69" i="3"/>
  <c r="M69" i="3" s="1"/>
  <c r="L69" i="3"/>
  <c r="N69" i="3" s="1"/>
  <c r="L81" i="3"/>
  <c r="N81" i="3" s="1"/>
  <c r="K81" i="3"/>
  <c r="M81" i="3" s="1"/>
  <c r="K93" i="3"/>
  <c r="M93" i="3" s="1"/>
  <c r="L93" i="3"/>
  <c r="N93" i="3" s="1"/>
  <c r="K105" i="3"/>
  <c r="M105" i="3" s="1"/>
  <c r="L105" i="3"/>
  <c r="N105" i="3" s="1"/>
  <c r="K118" i="3"/>
  <c r="M118" i="3" s="1"/>
  <c r="L118" i="3"/>
  <c r="N118" i="3" s="1"/>
  <c r="L131" i="3"/>
  <c r="N131" i="3" s="1"/>
  <c r="K131" i="3"/>
  <c r="M131" i="3" s="1"/>
  <c r="K144" i="3"/>
  <c r="M144" i="3" s="1"/>
  <c r="L144" i="3"/>
  <c r="N144" i="3" s="1"/>
  <c r="K157" i="3"/>
  <c r="M157" i="3" s="1"/>
  <c r="L157" i="3"/>
  <c r="N157" i="3" s="1"/>
  <c r="L169" i="3"/>
  <c r="N169" i="3" s="1"/>
  <c r="K169" i="3"/>
  <c r="M169" i="3" s="1"/>
  <c r="L185" i="3"/>
  <c r="N185" i="3" s="1"/>
  <c r="K185" i="3"/>
  <c r="M185" i="3" s="1"/>
  <c r="K199" i="3"/>
  <c r="M199" i="3" s="1"/>
  <c r="L199" i="3"/>
  <c r="N199" i="3" s="1"/>
  <c r="K212" i="3"/>
  <c r="M212" i="3" s="1"/>
  <c r="L212" i="3"/>
  <c r="N212" i="3" s="1"/>
  <c r="L224" i="3"/>
  <c r="N224" i="3" s="1"/>
  <c r="K224" i="3"/>
  <c r="M224" i="3" s="1"/>
  <c r="L236" i="3"/>
  <c r="N236" i="3" s="1"/>
  <c r="K236" i="3"/>
  <c r="M236" i="3" s="1"/>
  <c r="L249" i="3"/>
  <c r="N249" i="3" s="1"/>
  <c r="K249" i="3"/>
  <c r="M249" i="3" s="1"/>
  <c r="K262" i="3"/>
  <c r="M262" i="3" s="1"/>
  <c r="L262" i="3"/>
  <c r="N262" i="3" s="1"/>
  <c r="K274" i="3"/>
  <c r="M274" i="3" s="1"/>
  <c r="L274" i="3"/>
  <c r="N274" i="3" s="1"/>
  <c r="K287" i="3"/>
  <c r="M287" i="3" s="1"/>
  <c r="L287" i="3"/>
  <c r="N287" i="3" s="1"/>
  <c r="L299" i="3"/>
  <c r="N299" i="3" s="1"/>
  <c r="K299" i="3"/>
  <c r="M299" i="3" s="1"/>
  <c r="L312" i="3"/>
  <c r="N312" i="3" s="1"/>
  <c r="K312" i="3"/>
  <c r="M312" i="3" s="1"/>
  <c r="K324" i="3"/>
  <c r="M324" i="3" s="1"/>
  <c r="L324" i="3"/>
  <c r="N324" i="3" s="1"/>
  <c r="L338" i="3"/>
  <c r="N338" i="3" s="1"/>
  <c r="K338" i="3"/>
  <c r="M338" i="3" s="1"/>
  <c r="K350" i="3"/>
  <c r="M350" i="3" s="1"/>
  <c r="L350" i="3"/>
  <c r="N350" i="3" s="1"/>
  <c r="K362" i="3"/>
  <c r="M362" i="3" s="1"/>
  <c r="L362" i="3"/>
  <c r="N362" i="3" s="1"/>
  <c r="K374" i="3"/>
  <c r="M374" i="3" s="1"/>
  <c r="L374" i="3"/>
  <c r="N374" i="3" s="1"/>
  <c r="L387" i="3"/>
  <c r="N387" i="3" s="1"/>
  <c r="K387" i="3"/>
  <c r="M387" i="3" s="1"/>
  <c r="K400" i="3"/>
  <c r="M400" i="3" s="1"/>
  <c r="L400" i="3"/>
  <c r="N400" i="3" s="1"/>
  <c r="K413" i="3"/>
  <c r="M413" i="3" s="1"/>
  <c r="L413" i="3"/>
  <c r="N413" i="3" s="1"/>
  <c r="K425" i="3"/>
  <c r="M425" i="3" s="1"/>
  <c r="L425" i="3"/>
  <c r="N425" i="3" s="1"/>
  <c r="K437" i="3"/>
  <c r="M437" i="3" s="1"/>
  <c r="L437" i="3"/>
  <c r="N437" i="3" s="1"/>
  <c r="K450" i="3"/>
  <c r="M450" i="3" s="1"/>
  <c r="L450" i="3"/>
  <c r="N450" i="3" s="1"/>
  <c r="K462" i="3"/>
  <c r="M462" i="3" s="1"/>
  <c r="L462" i="3"/>
  <c r="N462" i="3" s="1"/>
  <c r="L474" i="3"/>
  <c r="N474" i="3" s="1"/>
  <c r="K474" i="3"/>
  <c r="M474" i="3" s="1"/>
  <c r="K487" i="3"/>
  <c r="M487" i="3" s="1"/>
  <c r="L487" i="3"/>
  <c r="N487" i="3" s="1"/>
  <c r="L500" i="3"/>
  <c r="N500" i="3" s="1"/>
  <c r="K500" i="3"/>
  <c r="M500" i="3" s="1"/>
  <c r="L512" i="3"/>
  <c r="N512" i="3" s="1"/>
  <c r="K512" i="3"/>
  <c r="M512" i="3" s="1"/>
  <c r="K524" i="3"/>
  <c r="M524" i="3" s="1"/>
  <c r="L524" i="3"/>
  <c r="N524" i="3" s="1"/>
  <c r="L536" i="3"/>
  <c r="N536" i="3" s="1"/>
  <c r="K536" i="3"/>
  <c r="M536" i="3" s="1"/>
  <c r="K549" i="3"/>
  <c r="M549" i="3" s="1"/>
  <c r="L549" i="3"/>
  <c r="N549" i="3" s="1"/>
  <c r="L561" i="3"/>
  <c r="N561" i="3" s="1"/>
  <c r="K561" i="3"/>
  <c r="M561" i="3" s="1"/>
  <c r="L573" i="3"/>
  <c r="N573" i="3" s="1"/>
  <c r="K573" i="3"/>
  <c r="M573" i="3" s="1"/>
  <c r="K586" i="3"/>
  <c r="M586" i="3" s="1"/>
  <c r="L586" i="3"/>
  <c r="N586" i="3" s="1"/>
  <c r="K598" i="3"/>
  <c r="M598" i="3" s="1"/>
  <c r="L598" i="3"/>
  <c r="N598" i="3" s="1"/>
  <c r="K611" i="3"/>
  <c r="M611" i="3" s="1"/>
  <c r="L611" i="3"/>
  <c r="N611" i="3" s="1"/>
  <c r="K623" i="3"/>
  <c r="M623" i="3" s="1"/>
  <c r="L623" i="3"/>
  <c r="N623" i="3" s="1"/>
  <c r="L637" i="3"/>
  <c r="N637" i="3" s="1"/>
  <c r="K637" i="3"/>
  <c r="M637" i="3" s="1"/>
  <c r="K651" i="3"/>
  <c r="M651" i="3" s="1"/>
  <c r="L651" i="3"/>
  <c r="N651" i="3" s="1"/>
  <c r="L663" i="3"/>
  <c r="N663" i="3" s="1"/>
  <c r="K663" i="3"/>
  <c r="M663" i="3" s="1"/>
  <c r="L677" i="3"/>
  <c r="N677" i="3" s="1"/>
  <c r="K677" i="3"/>
  <c r="M677" i="3" s="1"/>
  <c r="K690" i="3"/>
  <c r="M690" i="3" s="1"/>
  <c r="L690" i="3"/>
  <c r="N690" i="3" s="1"/>
  <c r="K703" i="3"/>
  <c r="M703" i="3" s="1"/>
  <c r="L703" i="3"/>
  <c r="N703" i="3" s="1"/>
  <c r="L716" i="3"/>
  <c r="N716" i="3" s="1"/>
  <c r="K716" i="3"/>
  <c r="M716" i="3" s="1"/>
  <c r="L728" i="3"/>
  <c r="N728" i="3" s="1"/>
  <c r="K728" i="3"/>
  <c r="M728" i="3" s="1"/>
  <c r="K31" i="3"/>
  <c r="M31" i="3" s="1"/>
  <c r="L31" i="3"/>
  <c r="N31" i="3" s="1"/>
  <c r="K20" i="3"/>
  <c r="M20" i="3" s="1"/>
  <c r="L20" i="3"/>
  <c r="N20" i="3" s="1"/>
  <c r="K32" i="3"/>
  <c r="M32" i="3" s="1"/>
  <c r="L32" i="3"/>
  <c r="N32" i="3" s="1"/>
  <c r="K46" i="3"/>
  <c r="M46" i="3" s="1"/>
  <c r="L46" i="3"/>
  <c r="N46" i="3" s="1"/>
  <c r="K58" i="3"/>
  <c r="M58" i="3" s="1"/>
  <c r="L58" i="3"/>
  <c r="N58" i="3" s="1"/>
  <c r="K70" i="3"/>
  <c r="M70" i="3" s="1"/>
  <c r="L70" i="3"/>
  <c r="N70" i="3" s="1"/>
  <c r="K82" i="3"/>
  <c r="M82" i="3" s="1"/>
  <c r="L82" i="3"/>
  <c r="N82" i="3" s="1"/>
  <c r="L94" i="3"/>
  <c r="N94" i="3" s="1"/>
  <c r="K94" i="3"/>
  <c r="M94" i="3" s="1"/>
  <c r="L106" i="3"/>
  <c r="N106" i="3" s="1"/>
  <c r="K106" i="3"/>
  <c r="M106" i="3" s="1"/>
  <c r="K119" i="3"/>
  <c r="M119" i="3" s="1"/>
  <c r="L119" i="3"/>
  <c r="N119" i="3" s="1"/>
  <c r="L132" i="3"/>
  <c r="N132" i="3" s="1"/>
  <c r="K132" i="3"/>
  <c r="M132" i="3" s="1"/>
  <c r="L145" i="3"/>
  <c r="N145" i="3" s="1"/>
  <c r="K145" i="3"/>
  <c r="M145" i="3" s="1"/>
  <c r="L158" i="3"/>
  <c r="N158" i="3" s="1"/>
  <c r="K158" i="3"/>
  <c r="M158" i="3" s="1"/>
  <c r="K171" i="3"/>
  <c r="M171" i="3" s="1"/>
  <c r="L171" i="3"/>
  <c r="N171" i="3" s="1"/>
  <c r="L186" i="3"/>
  <c r="N186" i="3" s="1"/>
  <c r="K186" i="3"/>
  <c r="M186" i="3" s="1"/>
  <c r="L200" i="3"/>
  <c r="N200" i="3" s="1"/>
  <c r="K200" i="3"/>
  <c r="M200" i="3" s="1"/>
  <c r="K213" i="3"/>
  <c r="M213" i="3" s="1"/>
  <c r="L213" i="3"/>
  <c r="N213" i="3" s="1"/>
  <c r="L225" i="3"/>
  <c r="N225" i="3" s="1"/>
  <c r="K225" i="3"/>
  <c r="M225" i="3" s="1"/>
  <c r="L237" i="3"/>
  <c r="N237" i="3" s="1"/>
  <c r="K237" i="3"/>
  <c r="M237" i="3" s="1"/>
  <c r="L250" i="3"/>
  <c r="N250" i="3" s="1"/>
  <c r="K250" i="3"/>
  <c r="M250" i="3" s="1"/>
  <c r="L263" i="3"/>
  <c r="N263" i="3" s="1"/>
  <c r="K263" i="3"/>
  <c r="M263" i="3" s="1"/>
  <c r="L275" i="3"/>
  <c r="N275" i="3" s="1"/>
  <c r="K275" i="3"/>
  <c r="M275" i="3" s="1"/>
  <c r="L288" i="3"/>
  <c r="N288" i="3" s="1"/>
  <c r="K288" i="3"/>
  <c r="M288" i="3" s="1"/>
  <c r="L300" i="3"/>
  <c r="N300" i="3" s="1"/>
  <c r="K300" i="3"/>
  <c r="M300" i="3" s="1"/>
  <c r="K313" i="3"/>
  <c r="M313" i="3" s="1"/>
  <c r="L313" i="3"/>
  <c r="N313" i="3" s="1"/>
  <c r="K325" i="3"/>
  <c r="M325" i="3" s="1"/>
  <c r="L325" i="3"/>
  <c r="N325" i="3" s="1"/>
  <c r="L339" i="3"/>
  <c r="N339" i="3" s="1"/>
  <c r="K339" i="3"/>
  <c r="M339" i="3" s="1"/>
  <c r="L351" i="3"/>
  <c r="N351" i="3" s="1"/>
  <c r="K351" i="3"/>
  <c r="M351" i="3" s="1"/>
  <c r="K363" i="3"/>
  <c r="M363" i="3" s="1"/>
  <c r="L363" i="3"/>
  <c r="N363" i="3" s="1"/>
  <c r="K376" i="3"/>
  <c r="M376" i="3" s="1"/>
  <c r="L376" i="3"/>
  <c r="N376" i="3" s="1"/>
  <c r="K388" i="3"/>
  <c r="M388" i="3" s="1"/>
  <c r="L388" i="3"/>
  <c r="N388" i="3" s="1"/>
  <c r="K401" i="3"/>
  <c r="M401" i="3" s="1"/>
  <c r="L401" i="3"/>
  <c r="N401" i="3" s="1"/>
  <c r="K414" i="3"/>
  <c r="M414" i="3" s="1"/>
  <c r="L414" i="3"/>
  <c r="N414" i="3" s="1"/>
  <c r="K426" i="3"/>
  <c r="M426" i="3" s="1"/>
  <c r="L426" i="3"/>
  <c r="N426" i="3" s="1"/>
  <c r="L438" i="3"/>
  <c r="N438" i="3" s="1"/>
  <c r="K438" i="3"/>
  <c r="M438" i="3" s="1"/>
  <c r="L451" i="3"/>
  <c r="N451" i="3" s="1"/>
  <c r="K451" i="3"/>
  <c r="M451" i="3" s="1"/>
  <c r="L463" i="3"/>
  <c r="N463" i="3" s="1"/>
  <c r="K463" i="3"/>
  <c r="M463" i="3" s="1"/>
  <c r="L475" i="3"/>
  <c r="N475" i="3" s="1"/>
  <c r="K475" i="3"/>
  <c r="M475" i="3" s="1"/>
  <c r="L488" i="3"/>
  <c r="N488" i="3" s="1"/>
  <c r="K488" i="3"/>
  <c r="M488" i="3" s="1"/>
  <c r="K501" i="3"/>
  <c r="M501" i="3" s="1"/>
  <c r="L501" i="3"/>
  <c r="N501" i="3" s="1"/>
  <c r="K513" i="3"/>
  <c r="M513" i="3" s="1"/>
  <c r="L513" i="3"/>
  <c r="N513" i="3" s="1"/>
  <c r="K525" i="3"/>
  <c r="M525" i="3" s="1"/>
  <c r="L525" i="3"/>
  <c r="N525" i="3" s="1"/>
  <c r="K537" i="3"/>
  <c r="M537" i="3" s="1"/>
  <c r="L537" i="3"/>
  <c r="N537" i="3" s="1"/>
  <c r="K550" i="3"/>
  <c r="M550" i="3" s="1"/>
  <c r="L550" i="3"/>
  <c r="N550" i="3" s="1"/>
  <c r="K562" i="3"/>
  <c r="M562" i="3" s="1"/>
  <c r="L562" i="3"/>
  <c r="N562" i="3" s="1"/>
  <c r="K574" i="3"/>
  <c r="M574" i="3" s="1"/>
  <c r="L574" i="3"/>
  <c r="N574" i="3" s="1"/>
  <c r="K587" i="3"/>
  <c r="M587" i="3" s="1"/>
  <c r="L587" i="3"/>
  <c r="N587" i="3" s="1"/>
  <c r="K599" i="3"/>
  <c r="M599" i="3" s="1"/>
  <c r="L599" i="3"/>
  <c r="N599" i="3" s="1"/>
  <c r="K612" i="3"/>
  <c r="M612" i="3" s="1"/>
  <c r="L612" i="3"/>
  <c r="N612" i="3" s="1"/>
  <c r="L626" i="3"/>
  <c r="N626" i="3" s="1"/>
  <c r="K626" i="3"/>
  <c r="M626" i="3" s="1"/>
  <c r="K639" i="3"/>
  <c r="M639" i="3" s="1"/>
  <c r="L639" i="3"/>
  <c r="N639" i="3" s="1"/>
  <c r="K652" i="3"/>
  <c r="M652" i="3" s="1"/>
  <c r="L652" i="3"/>
  <c r="N652" i="3" s="1"/>
  <c r="K665" i="3"/>
  <c r="M665" i="3" s="1"/>
  <c r="L665" i="3"/>
  <c r="N665" i="3" s="1"/>
  <c r="K678" i="3"/>
  <c r="M678" i="3" s="1"/>
  <c r="L678" i="3"/>
  <c r="N678" i="3" s="1"/>
  <c r="K691" i="3"/>
  <c r="M691" i="3" s="1"/>
  <c r="L691" i="3"/>
  <c r="N691" i="3" s="1"/>
  <c r="K704" i="3"/>
  <c r="M704" i="3" s="1"/>
  <c r="L704" i="3"/>
  <c r="N704" i="3" s="1"/>
  <c r="L717" i="3"/>
  <c r="N717" i="3" s="1"/>
  <c r="K717" i="3"/>
  <c r="M717" i="3" s="1"/>
  <c r="L729" i="3"/>
  <c r="N729" i="3" s="1"/>
  <c r="K729" i="3"/>
  <c r="M729" i="3" s="1"/>
  <c r="K18" i="3"/>
  <c r="M18" i="3" s="1"/>
  <c r="L18" i="3"/>
  <c r="N18" i="3" s="1"/>
  <c r="K19" i="3"/>
  <c r="M19" i="3" s="1"/>
  <c r="L19" i="3"/>
  <c r="N19" i="3" s="1"/>
  <c r="L21" i="3"/>
  <c r="N21" i="3" s="1"/>
  <c r="K21" i="3"/>
  <c r="M21" i="3" s="1"/>
  <c r="K34" i="3"/>
  <c r="M34" i="3" s="1"/>
  <c r="L34" i="3"/>
  <c r="N34" i="3" s="1"/>
  <c r="K47" i="3"/>
  <c r="M47" i="3" s="1"/>
  <c r="L47" i="3"/>
  <c r="N47" i="3" s="1"/>
  <c r="K59" i="3"/>
  <c r="M59" i="3" s="1"/>
  <c r="L59" i="3"/>
  <c r="N59" i="3" s="1"/>
  <c r="L71" i="3"/>
  <c r="N71" i="3" s="1"/>
  <c r="K71" i="3"/>
  <c r="M71" i="3" s="1"/>
  <c r="L83" i="3"/>
  <c r="N83" i="3" s="1"/>
  <c r="K83" i="3"/>
  <c r="M83" i="3" s="1"/>
  <c r="L95" i="3"/>
  <c r="N95" i="3" s="1"/>
  <c r="K95" i="3"/>
  <c r="M95" i="3" s="1"/>
  <c r="L107" i="3"/>
  <c r="N107" i="3" s="1"/>
  <c r="K107" i="3"/>
  <c r="M107" i="3" s="1"/>
  <c r="K120" i="3"/>
  <c r="M120" i="3" s="1"/>
  <c r="L120" i="3"/>
  <c r="N120" i="3" s="1"/>
  <c r="K133" i="3"/>
  <c r="M133" i="3" s="1"/>
  <c r="L133" i="3"/>
  <c r="N133" i="3" s="1"/>
  <c r="L146" i="3"/>
  <c r="N146" i="3" s="1"/>
  <c r="K146" i="3"/>
  <c r="M146" i="3" s="1"/>
  <c r="L159" i="3"/>
  <c r="N159" i="3" s="1"/>
  <c r="K159" i="3"/>
  <c r="M159" i="3" s="1"/>
  <c r="L172" i="3"/>
  <c r="N172" i="3" s="1"/>
  <c r="K172" i="3"/>
  <c r="M172" i="3" s="1"/>
  <c r="K187" i="3"/>
  <c r="M187" i="3" s="1"/>
  <c r="L187" i="3"/>
  <c r="N187" i="3" s="1"/>
  <c r="K201" i="3"/>
  <c r="M201" i="3" s="1"/>
  <c r="L201" i="3"/>
  <c r="N201" i="3" s="1"/>
  <c r="L214" i="3"/>
  <c r="N214" i="3" s="1"/>
  <c r="K214" i="3"/>
  <c r="M214" i="3" s="1"/>
  <c r="L226" i="3"/>
  <c r="N226" i="3" s="1"/>
  <c r="K226" i="3"/>
  <c r="M226" i="3" s="1"/>
  <c r="K238" i="3"/>
  <c r="M238" i="3" s="1"/>
  <c r="L238" i="3"/>
  <c r="N238" i="3" s="1"/>
  <c r="L251" i="3"/>
  <c r="N251" i="3" s="1"/>
  <c r="K251" i="3"/>
  <c r="M251" i="3" s="1"/>
  <c r="K264" i="3"/>
  <c r="M264" i="3" s="1"/>
  <c r="L264" i="3"/>
  <c r="N264" i="3" s="1"/>
  <c r="K276" i="3"/>
  <c r="M276" i="3" s="1"/>
  <c r="L276" i="3"/>
  <c r="N276" i="3" s="1"/>
  <c r="L289" i="3"/>
  <c r="N289" i="3" s="1"/>
  <c r="K289" i="3"/>
  <c r="M289" i="3" s="1"/>
  <c r="K301" i="3"/>
  <c r="M301" i="3" s="1"/>
  <c r="L301" i="3"/>
  <c r="N301" i="3" s="1"/>
  <c r="K314" i="3"/>
  <c r="M314" i="3" s="1"/>
  <c r="L314" i="3"/>
  <c r="N314" i="3" s="1"/>
  <c r="K326" i="3"/>
  <c r="M326" i="3" s="1"/>
  <c r="L326" i="3"/>
  <c r="N326" i="3" s="1"/>
  <c r="L340" i="3"/>
  <c r="N340" i="3" s="1"/>
  <c r="K340" i="3"/>
  <c r="M340" i="3" s="1"/>
  <c r="L352" i="3"/>
  <c r="N352" i="3" s="1"/>
  <c r="K352" i="3"/>
  <c r="M352" i="3" s="1"/>
  <c r="K364" i="3"/>
  <c r="M364" i="3" s="1"/>
  <c r="L364" i="3"/>
  <c r="N364" i="3" s="1"/>
  <c r="L377" i="3"/>
  <c r="N377" i="3" s="1"/>
  <c r="K377" i="3"/>
  <c r="M377" i="3" s="1"/>
  <c r="L389" i="3"/>
  <c r="N389" i="3" s="1"/>
  <c r="K389" i="3"/>
  <c r="M389" i="3" s="1"/>
  <c r="L402" i="3"/>
  <c r="N402" i="3" s="1"/>
  <c r="K402" i="3"/>
  <c r="M402" i="3" s="1"/>
  <c r="K415" i="3"/>
  <c r="M415" i="3" s="1"/>
  <c r="L415" i="3"/>
  <c r="N415" i="3" s="1"/>
  <c r="K427" i="3"/>
  <c r="M427" i="3" s="1"/>
  <c r="L427" i="3"/>
  <c r="N427" i="3" s="1"/>
  <c r="K439" i="3"/>
  <c r="M439" i="3" s="1"/>
  <c r="L439" i="3"/>
  <c r="N439" i="3" s="1"/>
  <c r="L452" i="3"/>
  <c r="N452" i="3" s="1"/>
  <c r="K452" i="3"/>
  <c r="M452" i="3" s="1"/>
  <c r="L464" i="3"/>
  <c r="N464" i="3" s="1"/>
  <c r="K464" i="3"/>
  <c r="M464" i="3" s="1"/>
  <c r="L476" i="3"/>
  <c r="N476" i="3" s="1"/>
  <c r="K476" i="3"/>
  <c r="M476" i="3" s="1"/>
  <c r="K489" i="3"/>
  <c r="M489" i="3" s="1"/>
  <c r="L489" i="3"/>
  <c r="N489" i="3" s="1"/>
  <c r="K502" i="3"/>
  <c r="M502" i="3" s="1"/>
  <c r="L502" i="3"/>
  <c r="N502" i="3" s="1"/>
  <c r="K514" i="3"/>
  <c r="M514" i="3" s="1"/>
  <c r="L514" i="3"/>
  <c r="N514" i="3" s="1"/>
  <c r="K526" i="3"/>
  <c r="M526" i="3" s="1"/>
  <c r="L526" i="3"/>
  <c r="N526" i="3" s="1"/>
  <c r="K538" i="3"/>
  <c r="M538" i="3" s="1"/>
  <c r="L538" i="3"/>
  <c r="N538" i="3" s="1"/>
  <c r="K551" i="3"/>
  <c r="M551" i="3" s="1"/>
  <c r="L551" i="3"/>
  <c r="N551" i="3" s="1"/>
  <c r="K563" i="3"/>
  <c r="M563" i="3" s="1"/>
  <c r="L563" i="3"/>
  <c r="N563" i="3" s="1"/>
  <c r="K575" i="3"/>
  <c r="M575" i="3" s="1"/>
  <c r="L575" i="3"/>
  <c r="N575" i="3" s="1"/>
  <c r="K588" i="3"/>
  <c r="M588" i="3" s="1"/>
  <c r="L588" i="3"/>
  <c r="N588" i="3" s="1"/>
  <c r="K600" i="3"/>
  <c r="M600" i="3" s="1"/>
  <c r="L600" i="3"/>
  <c r="N600" i="3" s="1"/>
  <c r="L613" i="3"/>
  <c r="N613" i="3" s="1"/>
  <c r="K613" i="3"/>
  <c r="M613" i="3" s="1"/>
  <c r="K627" i="3"/>
  <c r="M627" i="3" s="1"/>
  <c r="L627" i="3"/>
  <c r="N627" i="3" s="1"/>
  <c r="K640" i="3"/>
  <c r="M640" i="3" s="1"/>
  <c r="L640" i="3"/>
  <c r="N640" i="3" s="1"/>
  <c r="L653" i="3"/>
  <c r="N653" i="3" s="1"/>
  <c r="K653" i="3"/>
  <c r="M653" i="3" s="1"/>
  <c r="L666" i="3"/>
  <c r="N666" i="3" s="1"/>
  <c r="K666" i="3"/>
  <c r="M666" i="3" s="1"/>
  <c r="K679" i="3"/>
  <c r="M679" i="3" s="1"/>
  <c r="L679" i="3"/>
  <c r="N679" i="3" s="1"/>
  <c r="L693" i="3"/>
  <c r="N693" i="3" s="1"/>
  <c r="K693" i="3"/>
  <c r="M693" i="3" s="1"/>
  <c r="K705" i="3"/>
  <c r="M705" i="3" s="1"/>
  <c r="L705" i="3"/>
  <c r="N705" i="3" s="1"/>
  <c r="L718" i="3"/>
  <c r="N718" i="3" s="1"/>
  <c r="K718" i="3"/>
  <c r="M718" i="3" s="1"/>
  <c r="L730" i="3"/>
  <c r="N730" i="3" s="1"/>
  <c r="K730" i="3"/>
  <c r="M730" i="3" s="1"/>
  <c r="L22" i="3"/>
  <c r="N22" i="3" s="1"/>
  <c r="K22" i="3"/>
  <c r="M22" i="3" s="1"/>
  <c r="K35" i="3"/>
  <c r="M35" i="3" s="1"/>
  <c r="L35" i="3"/>
  <c r="N35" i="3" s="1"/>
  <c r="L48" i="3"/>
  <c r="N48" i="3" s="1"/>
  <c r="K48" i="3"/>
  <c r="M48" i="3" s="1"/>
  <c r="L60" i="3"/>
  <c r="N60" i="3" s="1"/>
  <c r="K60" i="3"/>
  <c r="M60" i="3" s="1"/>
  <c r="L72" i="3"/>
  <c r="N72" i="3" s="1"/>
  <c r="K72" i="3"/>
  <c r="M72" i="3" s="1"/>
  <c r="L84" i="3"/>
  <c r="N84" i="3" s="1"/>
  <c r="K84" i="3"/>
  <c r="M84" i="3" s="1"/>
  <c r="L96" i="3"/>
  <c r="N96" i="3" s="1"/>
  <c r="K96" i="3"/>
  <c r="M96" i="3" s="1"/>
  <c r="L108" i="3"/>
  <c r="N108" i="3" s="1"/>
  <c r="K108" i="3"/>
  <c r="M108" i="3" s="1"/>
  <c r="L121" i="3"/>
  <c r="N121" i="3" s="1"/>
  <c r="K121" i="3"/>
  <c r="M121" i="3" s="1"/>
  <c r="L135" i="3"/>
  <c r="N135" i="3" s="1"/>
  <c r="K135" i="3"/>
  <c r="M135" i="3" s="1"/>
  <c r="K147" i="3"/>
  <c r="M147" i="3" s="1"/>
  <c r="L147" i="3"/>
  <c r="N147" i="3" s="1"/>
  <c r="K160" i="3"/>
  <c r="M160" i="3" s="1"/>
  <c r="L160" i="3"/>
  <c r="N160" i="3" s="1"/>
  <c r="K173" i="3"/>
  <c r="M173" i="3" s="1"/>
  <c r="L173" i="3"/>
  <c r="N173" i="3" s="1"/>
  <c r="L189" i="3"/>
  <c r="N189" i="3" s="1"/>
  <c r="K189" i="3"/>
  <c r="M189" i="3" s="1"/>
  <c r="L202" i="3"/>
  <c r="N202" i="3" s="1"/>
  <c r="K202" i="3"/>
  <c r="M202" i="3" s="1"/>
  <c r="L215" i="3"/>
  <c r="N215" i="3" s="1"/>
  <c r="K215" i="3"/>
  <c r="M215" i="3" s="1"/>
  <c r="K227" i="3"/>
  <c r="M227" i="3" s="1"/>
  <c r="L227" i="3"/>
  <c r="N227" i="3" s="1"/>
  <c r="K239" i="3"/>
  <c r="M239" i="3" s="1"/>
  <c r="L239" i="3"/>
  <c r="N239" i="3" s="1"/>
  <c r="K252" i="3"/>
  <c r="M252" i="3" s="1"/>
  <c r="L252" i="3"/>
  <c r="N252" i="3" s="1"/>
  <c r="K265" i="3"/>
  <c r="M265" i="3" s="1"/>
  <c r="L265" i="3"/>
  <c r="N265" i="3" s="1"/>
  <c r="K277" i="3"/>
  <c r="M277" i="3" s="1"/>
  <c r="L277" i="3"/>
  <c r="N277" i="3" s="1"/>
  <c r="L290" i="3"/>
  <c r="N290" i="3" s="1"/>
  <c r="K290" i="3"/>
  <c r="M290" i="3" s="1"/>
  <c r="L302" i="3"/>
  <c r="N302" i="3" s="1"/>
  <c r="K302" i="3"/>
  <c r="M302" i="3" s="1"/>
  <c r="K315" i="3"/>
  <c r="M315" i="3" s="1"/>
  <c r="L315" i="3"/>
  <c r="N315" i="3" s="1"/>
  <c r="K327" i="3"/>
  <c r="M327" i="3" s="1"/>
  <c r="L327" i="3"/>
  <c r="N327" i="3" s="1"/>
  <c r="K341" i="3"/>
  <c r="M341" i="3" s="1"/>
  <c r="L341" i="3"/>
  <c r="N341" i="3" s="1"/>
  <c r="K353" i="3"/>
  <c r="M353" i="3" s="1"/>
  <c r="L353" i="3"/>
  <c r="N353" i="3" s="1"/>
  <c r="K365" i="3"/>
  <c r="M365" i="3" s="1"/>
  <c r="L365" i="3"/>
  <c r="N365" i="3" s="1"/>
  <c r="L378" i="3"/>
  <c r="N378" i="3" s="1"/>
  <c r="K378" i="3"/>
  <c r="M378" i="3" s="1"/>
  <c r="L390" i="3"/>
  <c r="N390" i="3" s="1"/>
  <c r="K390" i="3"/>
  <c r="M390" i="3" s="1"/>
  <c r="K403" i="3"/>
  <c r="M403" i="3" s="1"/>
  <c r="L403" i="3"/>
  <c r="N403" i="3" s="1"/>
  <c r="L416" i="3"/>
  <c r="N416" i="3" s="1"/>
  <c r="K416" i="3"/>
  <c r="M416" i="3" s="1"/>
  <c r="L428" i="3"/>
  <c r="N428" i="3" s="1"/>
  <c r="K428" i="3"/>
  <c r="M428" i="3" s="1"/>
  <c r="K441" i="3"/>
  <c r="M441" i="3" s="1"/>
  <c r="L441" i="3"/>
  <c r="N441" i="3" s="1"/>
  <c r="K453" i="3"/>
  <c r="M453" i="3" s="1"/>
  <c r="L453" i="3"/>
  <c r="N453" i="3" s="1"/>
  <c r="K465" i="3"/>
  <c r="M465" i="3" s="1"/>
  <c r="L465" i="3"/>
  <c r="N465" i="3" s="1"/>
  <c r="L478" i="3"/>
  <c r="N478" i="3" s="1"/>
  <c r="K478" i="3"/>
  <c r="M478" i="3" s="1"/>
  <c r="L490" i="3"/>
  <c r="N490" i="3" s="1"/>
  <c r="K490" i="3"/>
  <c r="M490" i="3" s="1"/>
  <c r="L503" i="3"/>
  <c r="N503" i="3" s="1"/>
  <c r="K503" i="3"/>
  <c r="M503" i="3" s="1"/>
  <c r="L515" i="3"/>
  <c r="N515" i="3" s="1"/>
  <c r="K515" i="3"/>
  <c r="M515" i="3" s="1"/>
  <c r="L527" i="3"/>
  <c r="N527" i="3" s="1"/>
  <c r="K527" i="3"/>
  <c r="M527" i="3" s="1"/>
  <c r="K539" i="3"/>
  <c r="M539" i="3" s="1"/>
  <c r="L539" i="3"/>
  <c r="N539" i="3" s="1"/>
  <c r="K552" i="3"/>
  <c r="M552" i="3" s="1"/>
  <c r="L552" i="3"/>
  <c r="N552" i="3" s="1"/>
  <c r="K564" i="3"/>
  <c r="M564" i="3" s="1"/>
  <c r="L564" i="3"/>
  <c r="N564" i="3" s="1"/>
  <c r="K576" i="3"/>
  <c r="M576" i="3" s="1"/>
  <c r="L576" i="3"/>
  <c r="N576" i="3" s="1"/>
  <c r="K589" i="3"/>
  <c r="M589" i="3" s="1"/>
  <c r="L589" i="3"/>
  <c r="N589" i="3" s="1"/>
  <c r="L601" i="3"/>
  <c r="N601" i="3" s="1"/>
  <c r="K601" i="3"/>
  <c r="M601" i="3" s="1"/>
  <c r="K614" i="3"/>
  <c r="M614" i="3" s="1"/>
  <c r="L614" i="3"/>
  <c r="N614" i="3" s="1"/>
  <c r="L628" i="3"/>
  <c r="N628" i="3" s="1"/>
  <c r="K628" i="3"/>
  <c r="M628" i="3" s="1"/>
  <c r="L641" i="3"/>
  <c r="N641" i="3" s="1"/>
  <c r="K641" i="3"/>
  <c r="M641" i="3" s="1"/>
  <c r="L654" i="3"/>
  <c r="N654" i="3" s="1"/>
  <c r="K654" i="3"/>
  <c r="M654" i="3" s="1"/>
  <c r="L667" i="3"/>
  <c r="N667" i="3" s="1"/>
  <c r="K667" i="3"/>
  <c r="M667" i="3" s="1"/>
  <c r="K680" i="3"/>
  <c r="M680" i="3" s="1"/>
  <c r="L680" i="3"/>
  <c r="N680" i="3" s="1"/>
  <c r="L694" i="3"/>
  <c r="N694" i="3" s="1"/>
  <c r="K694" i="3"/>
  <c r="M694" i="3" s="1"/>
  <c r="L706" i="3"/>
  <c r="N706" i="3" s="1"/>
  <c r="K706" i="3"/>
  <c r="M706" i="3" s="1"/>
  <c r="L719" i="3"/>
  <c r="N719" i="3" s="1"/>
  <c r="K719" i="3"/>
  <c r="M719" i="3" s="1"/>
  <c r="K731" i="3"/>
  <c r="M731" i="3" s="1"/>
  <c r="L731" i="3"/>
  <c r="N731" i="3" s="1"/>
  <c r="L23" i="3"/>
  <c r="N23" i="3" s="1"/>
  <c r="K23" i="3"/>
  <c r="M23" i="3" s="1"/>
  <c r="K36" i="3"/>
  <c r="M36" i="3" s="1"/>
  <c r="L36" i="3"/>
  <c r="N36" i="3" s="1"/>
  <c r="K49" i="3"/>
  <c r="M49" i="3" s="1"/>
  <c r="L49" i="3"/>
  <c r="N49" i="3" s="1"/>
  <c r="K61" i="3"/>
  <c r="M61" i="3" s="1"/>
  <c r="L61" i="3"/>
  <c r="N61" i="3" s="1"/>
  <c r="K73" i="3"/>
  <c r="M73" i="3" s="1"/>
  <c r="L73" i="3"/>
  <c r="N73" i="3" s="1"/>
  <c r="K85" i="3"/>
  <c r="M85" i="3" s="1"/>
  <c r="L85" i="3"/>
  <c r="N85" i="3" s="1"/>
  <c r="K97" i="3"/>
  <c r="M97" i="3" s="1"/>
  <c r="L97" i="3"/>
  <c r="N97" i="3" s="1"/>
  <c r="K109" i="3"/>
  <c r="M109" i="3" s="1"/>
  <c r="L109" i="3"/>
  <c r="N109" i="3" s="1"/>
  <c r="K122" i="3"/>
  <c r="M122" i="3" s="1"/>
  <c r="L122" i="3"/>
  <c r="N122" i="3" s="1"/>
  <c r="K136" i="3"/>
  <c r="M136" i="3" s="1"/>
  <c r="L136" i="3"/>
  <c r="N136" i="3" s="1"/>
  <c r="K148" i="3"/>
  <c r="M148" i="3" s="1"/>
  <c r="L148" i="3"/>
  <c r="N148" i="3" s="1"/>
  <c r="K161" i="3"/>
  <c r="M161" i="3" s="1"/>
  <c r="L161" i="3"/>
  <c r="N161" i="3" s="1"/>
  <c r="K174" i="3"/>
  <c r="M174" i="3" s="1"/>
  <c r="L174" i="3"/>
  <c r="N174" i="3" s="1"/>
  <c r="L190" i="3"/>
  <c r="N190" i="3" s="1"/>
  <c r="K190" i="3"/>
  <c r="M190" i="3" s="1"/>
  <c r="K203" i="3"/>
  <c r="M203" i="3" s="1"/>
  <c r="L203" i="3"/>
  <c r="N203" i="3" s="1"/>
  <c r="L216" i="3"/>
  <c r="N216" i="3" s="1"/>
  <c r="K216" i="3"/>
  <c r="M216" i="3" s="1"/>
  <c r="L228" i="3"/>
  <c r="N228" i="3" s="1"/>
  <c r="K228" i="3"/>
  <c r="M228" i="3" s="1"/>
  <c r="L240" i="3"/>
  <c r="N240" i="3" s="1"/>
  <c r="K240" i="3"/>
  <c r="M240" i="3" s="1"/>
  <c r="L254" i="3"/>
  <c r="N254" i="3" s="1"/>
  <c r="K254" i="3"/>
  <c r="M254" i="3" s="1"/>
  <c r="L266" i="3"/>
  <c r="N266" i="3" s="1"/>
  <c r="K266" i="3"/>
  <c r="M266" i="3" s="1"/>
  <c r="L278" i="3"/>
  <c r="N278" i="3" s="1"/>
  <c r="K278" i="3"/>
  <c r="M278" i="3" s="1"/>
  <c r="L291" i="3"/>
  <c r="N291" i="3" s="1"/>
  <c r="K291" i="3"/>
  <c r="M291" i="3" s="1"/>
  <c r="L303" i="3"/>
  <c r="N303" i="3" s="1"/>
  <c r="K303" i="3"/>
  <c r="M303" i="3" s="1"/>
  <c r="L316" i="3"/>
  <c r="N316" i="3" s="1"/>
  <c r="K316" i="3"/>
  <c r="M316" i="3" s="1"/>
  <c r="L328" i="3"/>
  <c r="N328" i="3" s="1"/>
  <c r="K328" i="3"/>
  <c r="M328" i="3" s="1"/>
  <c r="K342" i="3"/>
  <c r="M342" i="3" s="1"/>
  <c r="L342" i="3"/>
  <c r="N342" i="3" s="1"/>
  <c r="K354" i="3"/>
  <c r="M354" i="3" s="1"/>
  <c r="L354" i="3"/>
  <c r="N354" i="3" s="1"/>
  <c r="K366" i="3"/>
  <c r="M366" i="3" s="1"/>
  <c r="L366" i="3"/>
  <c r="N366" i="3" s="1"/>
  <c r="K379" i="3"/>
  <c r="M379" i="3" s="1"/>
  <c r="L379" i="3"/>
  <c r="N379" i="3" s="1"/>
  <c r="L391" i="3"/>
  <c r="N391" i="3" s="1"/>
  <c r="K391" i="3"/>
  <c r="M391" i="3" s="1"/>
  <c r="L404" i="3"/>
  <c r="N404" i="3" s="1"/>
  <c r="K404" i="3"/>
  <c r="M404" i="3" s="1"/>
  <c r="L417" i="3"/>
  <c r="N417" i="3" s="1"/>
  <c r="K417" i="3"/>
  <c r="M417" i="3" s="1"/>
  <c r="L429" i="3"/>
  <c r="N429" i="3" s="1"/>
  <c r="K429" i="3"/>
  <c r="M429" i="3" s="1"/>
  <c r="L442" i="3"/>
  <c r="N442" i="3" s="1"/>
  <c r="K442" i="3"/>
  <c r="M442" i="3" s="1"/>
  <c r="K454" i="3"/>
  <c r="M454" i="3" s="1"/>
  <c r="L454" i="3"/>
  <c r="N454" i="3" s="1"/>
  <c r="K466" i="3"/>
  <c r="M466" i="3" s="1"/>
  <c r="L466" i="3"/>
  <c r="N466" i="3" s="1"/>
  <c r="K479" i="3"/>
  <c r="M479" i="3" s="1"/>
  <c r="L479" i="3"/>
  <c r="N479" i="3" s="1"/>
  <c r="K491" i="3"/>
  <c r="M491" i="3" s="1"/>
  <c r="L491" i="3"/>
  <c r="N491" i="3" s="1"/>
  <c r="L504" i="3"/>
  <c r="N504" i="3" s="1"/>
  <c r="K504" i="3"/>
  <c r="M504" i="3" s="1"/>
  <c r="L516" i="3"/>
  <c r="N516" i="3" s="1"/>
  <c r="K516" i="3"/>
  <c r="M516" i="3" s="1"/>
  <c r="L528" i="3"/>
  <c r="N528" i="3" s="1"/>
  <c r="K528" i="3"/>
  <c r="M528" i="3" s="1"/>
  <c r="K541" i="3"/>
  <c r="M541" i="3" s="1"/>
  <c r="L541" i="3"/>
  <c r="N541" i="3" s="1"/>
  <c r="K553" i="3"/>
  <c r="M553" i="3" s="1"/>
  <c r="L553" i="3"/>
  <c r="N553" i="3" s="1"/>
  <c r="L565" i="3"/>
  <c r="N565" i="3" s="1"/>
  <c r="K565" i="3"/>
  <c r="M565" i="3" s="1"/>
  <c r="L577" i="3"/>
  <c r="N577" i="3" s="1"/>
  <c r="K577" i="3"/>
  <c r="M577" i="3" s="1"/>
  <c r="K590" i="3"/>
  <c r="M590" i="3" s="1"/>
  <c r="L590" i="3"/>
  <c r="N590" i="3" s="1"/>
  <c r="K602" i="3"/>
  <c r="M602" i="3" s="1"/>
  <c r="L602" i="3"/>
  <c r="N602" i="3" s="1"/>
  <c r="K615" i="3"/>
  <c r="M615" i="3" s="1"/>
  <c r="L615" i="3"/>
  <c r="N615" i="3" s="1"/>
  <c r="L629" i="3"/>
  <c r="N629" i="3" s="1"/>
  <c r="K629" i="3"/>
  <c r="M629" i="3" s="1"/>
  <c r="L642" i="3"/>
  <c r="N642" i="3" s="1"/>
  <c r="K642" i="3"/>
  <c r="M642" i="3" s="1"/>
  <c r="L655" i="3"/>
  <c r="N655" i="3" s="1"/>
  <c r="K655" i="3"/>
  <c r="M655" i="3" s="1"/>
  <c r="L668" i="3"/>
  <c r="N668" i="3" s="1"/>
  <c r="K668" i="3"/>
  <c r="M668" i="3" s="1"/>
  <c r="K681" i="3"/>
  <c r="M681" i="3" s="1"/>
  <c r="L681" i="3"/>
  <c r="N681" i="3" s="1"/>
  <c r="L695" i="3"/>
  <c r="N695" i="3" s="1"/>
  <c r="K695" i="3"/>
  <c r="M695" i="3" s="1"/>
  <c r="K707" i="3"/>
  <c r="M707" i="3" s="1"/>
  <c r="L707" i="3"/>
  <c r="N707" i="3" s="1"/>
  <c r="K720" i="3"/>
  <c r="M720" i="3" s="1"/>
  <c r="L720" i="3"/>
  <c r="N720" i="3" s="1"/>
  <c r="K732" i="3"/>
  <c r="M732" i="3" s="1"/>
  <c r="L732" i="3"/>
  <c r="N732" i="3" s="1"/>
  <c r="K24" i="3"/>
  <c r="M24" i="3" s="1"/>
  <c r="L24" i="3"/>
  <c r="N24" i="3" s="1"/>
  <c r="L37" i="3"/>
  <c r="N37" i="3" s="1"/>
  <c r="K37" i="3"/>
  <c r="M37" i="3" s="1"/>
  <c r="K50" i="3"/>
  <c r="M50" i="3" s="1"/>
  <c r="L50" i="3"/>
  <c r="N50" i="3" s="1"/>
  <c r="K62" i="3"/>
  <c r="M62" i="3" s="1"/>
  <c r="L62" i="3"/>
  <c r="N62" i="3" s="1"/>
  <c r="K74" i="3"/>
  <c r="M74" i="3" s="1"/>
  <c r="L74" i="3"/>
  <c r="N74" i="3" s="1"/>
  <c r="K86" i="3"/>
  <c r="M86" i="3" s="1"/>
  <c r="L86" i="3"/>
  <c r="N86" i="3" s="1"/>
  <c r="K98" i="3"/>
  <c r="M98" i="3" s="1"/>
  <c r="L98" i="3"/>
  <c r="N98" i="3" s="1"/>
  <c r="K110" i="3"/>
  <c r="M110" i="3" s="1"/>
  <c r="L110" i="3"/>
  <c r="N110" i="3" s="1"/>
  <c r="L123" i="3"/>
  <c r="N123" i="3" s="1"/>
  <c r="K123" i="3"/>
  <c r="M123" i="3" s="1"/>
  <c r="K137" i="3"/>
  <c r="M137" i="3" s="1"/>
  <c r="L137" i="3"/>
  <c r="N137" i="3" s="1"/>
  <c r="K149" i="3"/>
  <c r="M149" i="3" s="1"/>
  <c r="L149" i="3"/>
  <c r="N149" i="3" s="1"/>
  <c r="K162" i="3"/>
  <c r="M162" i="3" s="1"/>
  <c r="L162" i="3"/>
  <c r="N162" i="3" s="1"/>
  <c r="L175" i="3"/>
  <c r="N175" i="3" s="1"/>
  <c r="K175" i="3"/>
  <c r="M175" i="3" s="1"/>
  <c r="K191" i="3"/>
  <c r="M191" i="3" s="1"/>
  <c r="L191" i="3"/>
  <c r="N191" i="3" s="1"/>
  <c r="K204" i="3"/>
  <c r="M204" i="3" s="1"/>
  <c r="L204" i="3"/>
  <c r="N204" i="3" s="1"/>
  <c r="K217" i="3"/>
  <c r="M217" i="3" s="1"/>
  <c r="L217" i="3"/>
  <c r="N217" i="3" s="1"/>
  <c r="K229" i="3"/>
  <c r="M229" i="3" s="1"/>
  <c r="L229" i="3"/>
  <c r="N229" i="3" s="1"/>
  <c r="K241" i="3"/>
  <c r="M241" i="3" s="1"/>
  <c r="L241" i="3"/>
  <c r="N241" i="3" s="1"/>
  <c r="L255" i="3"/>
  <c r="N255" i="3" s="1"/>
  <c r="K255" i="3"/>
  <c r="M255" i="3" s="1"/>
  <c r="L267" i="3"/>
  <c r="N267" i="3" s="1"/>
  <c r="K267" i="3"/>
  <c r="M267" i="3" s="1"/>
  <c r="L279" i="3"/>
  <c r="N279" i="3" s="1"/>
  <c r="K279" i="3"/>
  <c r="M279" i="3" s="1"/>
  <c r="L292" i="3"/>
  <c r="N292" i="3" s="1"/>
  <c r="K292" i="3"/>
  <c r="M292" i="3" s="1"/>
  <c r="K304" i="3"/>
  <c r="M304" i="3" s="1"/>
  <c r="L304" i="3"/>
  <c r="N304" i="3" s="1"/>
  <c r="K317" i="3"/>
  <c r="M317" i="3" s="1"/>
  <c r="L317" i="3"/>
  <c r="N317" i="3" s="1"/>
  <c r="L329" i="3"/>
  <c r="N329" i="3" s="1"/>
  <c r="K329" i="3"/>
  <c r="M329" i="3" s="1"/>
  <c r="L343" i="3"/>
  <c r="N343" i="3" s="1"/>
  <c r="K343" i="3"/>
  <c r="M343" i="3" s="1"/>
  <c r="L355" i="3"/>
  <c r="N355" i="3" s="1"/>
  <c r="K355" i="3"/>
  <c r="M355" i="3" s="1"/>
  <c r="L367" i="3"/>
  <c r="N367" i="3" s="1"/>
  <c r="K367" i="3"/>
  <c r="M367" i="3" s="1"/>
  <c r="L380" i="3"/>
  <c r="N380" i="3" s="1"/>
  <c r="K380" i="3"/>
  <c r="M380" i="3" s="1"/>
  <c r="L392" i="3"/>
  <c r="N392" i="3" s="1"/>
  <c r="K392" i="3"/>
  <c r="M392" i="3" s="1"/>
  <c r="K405" i="3"/>
  <c r="M405" i="3" s="1"/>
  <c r="L405" i="3"/>
  <c r="N405" i="3" s="1"/>
  <c r="K418" i="3"/>
  <c r="M418" i="3" s="1"/>
  <c r="L418" i="3"/>
  <c r="N418" i="3" s="1"/>
  <c r="K430" i="3"/>
  <c r="M430" i="3" s="1"/>
  <c r="L430" i="3"/>
  <c r="N430" i="3" s="1"/>
  <c r="L443" i="3"/>
  <c r="N443" i="3" s="1"/>
  <c r="K443" i="3"/>
  <c r="M443" i="3" s="1"/>
  <c r="K455" i="3"/>
  <c r="M455" i="3" s="1"/>
  <c r="L455" i="3"/>
  <c r="N455" i="3" s="1"/>
  <c r="K467" i="3"/>
  <c r="M467" i="3" s="1"/>
  <c r="L467" i="3"/>
  <c r="N467" i="3" s="1"/>
  <c r="K480" i="3"/>
  <c r="M480" i="3" s="1"/>
  <c r="L480" i="3"/>
  <c r="N480" i="3" s="1"/>
  <c r="K492" i="3"/>
  <c r="M492" i="3" s="1"/>
  <c r="L492" i="3"/>
  <c r="N492" i="3" s="1"/>
  <c r="L505" i="3"/>
  <c r="N505" i="3" s="1"/>
  <c r="K505" i="3"/>
  <c r="M505" i="3" s="1"/>
  <c r="K517" i="3"/>
  <c r="M517" i="3" s="1"/>
  <c r="L517" i="3"/>
  <c r="N517" i="3" s="1"/>
  <c r="K529" i="3"/>
  <c r="M529" i="3" s="1"/>
  <c r="L529" i="3"/>
  <c r="N529" i="3" s="1"/>
  <c r="K542" i="3"/>
  <c r="M542" i="3" s="1"/>
  <c r="L542" i="3"/>
  <c r="N542" i="3" s="1"/>
  <c r="K554" i="3"/>
  <c r="M554" i="3" s="1"/>
  <c r="L554" i="3"/>
  <c r="N554" i="3" s="1"/>
  <c r="K566" i="3"/>
  <c r="M566" i="3" s="1"/>
  <c r="L566" i="3"/>
  <c r="N566" i="3" s="1"/>
  <c r="K578" i="3"/>
  <c r="M578" i="3" s="1"/>
  <c r="L578" i="3"/>
  <c r="N578" i="3" s="1"/>
  <c r="K591" i="3"/>
  <c r="M591" i="3" s="1"/>
  <c r="L591" i="3"/>
  <c r="N591" i="3" s="1"/>
  <c r="K603" i="3"/>
  <c r="M603" i="3" s="1"/>
  <c r="L603" i="3"/>
  <c r="N603" i="3" s="1"/>
  <c r="K616" i="3"/>
  <c r="M616" i="3" s="1"/>
  <c r="L616" i="3"/>
  <c r="N616" i="3" s="1"/>
  <c r="L630" i="3"/>
  <c r="N630" i="3" s="1"/>
  <c r="K630" i="3"/>
  <c r="M630" i="3" s="1"/>
  <c r="L644" i="3"/>
  <c r="N644" i="3" s="1"/>
  <c r="K644" i="3"/>
  <c r="M644" i="3" s="1"/>
  <c r="L656" i="3"/>
  <c r="N656" i="3" s="1"/>
  <c r="K656" i="3"/>
  <c r="M656" i="3" s="1"/>
  <c r="K669" i="3"/>
  <c r="M669" i="3" s="1"/>
  <c r="L669" i="3"/>
  <c r="N669" i="3" s="1"/>
  <c r="K682" i="3"/>
  <c r="M682" i="3" s="1"/>
  <c r="L682" i="3"/>
  <c r="N682" i="3" s="1"/>
  <c r="K696" i="3"/>
  <c r="M696" i="3" s="1"/>
  <c r="L696" i="3"/>
  <c r="N696" i="3" s="1"/>
  <c r="L708" i="3"/>
  <c r="N708" i="3" s="1"/>
  <c r="K708" i="3"/>
  <c r="M708" i="3" s="1"/>
  <c r="K721" i="3"/>
  <c r="M721" i="3" s="1"/>
  <c r="L721" i="3"/>
  <c r="N721" i="3" s="1"/>
  <c r="K733" i="3"/>
  <c r="M733" i="3" s="1"/>
  <c r="L733" i="3"/>
  <c r="N733" i="3" s="1"/>
  <c r="L38" i="3"/>
  <c r="N38" i="3" s="1"/>
  <c r="K38" i="3"/>
  <c r="M38" i="3" s="1"/>
  <c r="K51" i="3"/>
  <c r="M51" i="3" s="1"/>
  <c r="L51" i="3"/>
  <c r="N51" i="3" s="1"/>
  <c r="K63" i="3"/>
  <c r="M63" i="3" s="1"/>
  <c r="L63" i="3"/>
  <c r="N63" i="3" s="1"/>
  <c r="L75" i="3"/>
  <c r="N75" i="3" s="1"/>
  <c r="K75" i="3"/>
  <c r="M75" i="3" s="1"/>
  <c r="L87" i="3"/>
  <c r="N87" i="3" s="1"/>
  <c r="K87" i="3"/>
  <c r="M87" i="3" s="1"/>
  <c r="K99" i="3"/>
  <c r="M99" i="3" s="1"/>
  <c r="L99" i="3"/>
  <c r="N99" i="3" s="1"/>
  <c r="K111" i="3"/>
  <c r="M111" i="3" s="1"/>
  <c r="L111" i="3"/>
  <c r="N111" i="3" s="1"/>
  <c r="L125" i="3"/>
  <c r="N125" i="3" s="1"/>
  <c r="K125" i="3"/>
  <c r="M125" i="3" s="1"/>
  <c r="L138" i="3"/>
  <c r="N138" i="3" s="1"/>
  <c r="K138" i="3"/>
  <c r="M138" i="3" s="1"/>
  <c r="L151" i="3"/>
  <c r="N151" i="3" s="1"/>
  <c r="K151" i="3"/>
  <c r="M151" i="3" s="1"/>
  <c r="L163" i="3"/>
  <c r="N163" i="3" s="1"/>
  <c r="K163" i="3"/>
  <c r="M163" i="3" s="1"/>
  <c r="K176" i="3"/>
  <c r="M176" i="3" s="1"/>
  <c r="L176" i="3"/>
  <c r="N176" i="3" s="1"/>
  <c r="K192" i="3"/>
  <c r="M192" i="3" s="1"/>
  <c r="L192" i="3"/>
  <c r="N192" i="3" s="1"/>
  <c r="K205" i="3"/>
  <c r="M205" i="3" s="1"/>
  <c r="L205" i="3"/>
  <c r="N205" i="3" s="1"/>
  <c r="L218" i="3"/>
  <c r="N218" i="3" s="1"/>
  <c r="K218" i="3"/>
  <c r="M218" i="3" s="1"/>
  <c r="K230" i="3"/>
  <c r="M230" i="3" s="1"/>
  <c r="L230" i="3"/>
  <c r="N230" i="3" s="1"/>
  <c r="L243" i="3"/>
  <c r="N243" i="3" s="1"/>
  <c r="K243" i="3"/>
  <c r="M243" i="3" s="1"/>
  <c r="K256" i="3"/>
  <c r="M256" i="3" s="1"/>
  <c r="L256" i="3"/>
  <c r="N256" i="3" s="1"/>
  <c r="K268" i="3"/>
  <c r="M268" i="3" s="1"/>
  <c r="L268" i="3"/>
  <c r="N268" i="3" s="1"/>
  <c r="K280" i="3"/>
  <c r="M280" i="3" s="1"/>
  <c r="L280" i="3"/>
  <c r="N280" i="3" s="1"/>
  <c r="K293" i="3"/>
  <c r="M293" i="3" s="1"/>
  <c r="L293" i="3"/>
  <c r="N293" i="3" s="1"/>
  <c r="L305" i="3"/>
  <c r="N305" i="3" s="1"/>
  <c r="K305" i="3"/>
  <c r="M305" i="3" s="1"/>
  <c r="L318" i="3"/>
  <c r="N318" i="3" s="1"/>
  <c r="K318" i="3"/>
  <c r="M318" i="3" s="1"/>
  <c r="K330" i="3"/>
  <c r="M330" i="3" s="1"/>
  <c r="L330" i="3"/>
  <c r="N330" i="3" s="1"/>
  <c r="L344" i="3"/>
  <c r="N344" i="3" s="1"/>
  <c r="K344" i="3"/>
  <c r="M344" i="3" s="1"/>
  <c r="L356" i="3"/>
  <c r="N356" i="3" s="1"/>
  <c r="K356" i="3"/>
  <c r="M356" i="3" s="1"/>
  <c r="L368" i="3"/>
  <c r="N368" i="3" s="1"/>
  <c r="K368" i="3"/>
  <c r="M368" i="3" s="1"/>
  <c r="L381" i="3"/>
  <c r="N381" i="3" s="1"/>
  <c r="K381" i="3"/>
  <c r="M381" i="3" s="1"/>
  <c r="K393" i="3"/>
  <c r="M393" i="3" s="1"/>
  <c r="L393" i="3"/>
  <c r="N393" i="3" s="1"/>
  <c r="K407" i="3"/>
  <c r="M407" i="3" s="1"/>
  <c r="L407" i="3"/>
  <c r="N407" i="3" s="1"/>
  <c r="K419" i="3"/>
  <c r="M419" i="3" s="1"/>
  <c r="L419" i="3"/>
  <c r="N419" i="3" s="1"/>
  <c r="K431" i="3"/>
  <c r="M431" i="3" s="1"/>
  <c r="L431" i="3"/>
  <c r="N431" i="3" s="1"/>
  <c r="K444" i="3"/>
  <c r="M444" i="3" s="1"/>
  <c r="L444" i="3"/>
  <c r="N444" i="3" s="1"/>
  <c r="K456" i="3"/>
  <c r="M456" i="3" s="1"/>
  <c r="L456" i="3"/>
  <c r="N456" i="3" s="1"/>
  <c r="K468" i="3"/>
  <c r="M468" i="3" s="1"/>
  <c r="L468" i="3"/>
  <c r="N468" i="3" s="1"/>
  <c r="K481" i="3"/>
  <c r="M481" i="3" s="1"/>
  <c r="L481" i="3"/>
  <c r="N481" i="3" s="1"/>
  <c r="K493" i="3"/>
  <c r="M493" i="3" s="1"/>
  <c r="L493" i="3"/>
  <c r="N493" i="3" s="1"/>
  <c r="K506" i="3"/>
  <c r="M506" i="3" s="1"/>
  <c r="L506" i="3"/>
  <c r="N506" i="3" s="1"/>
  <c r="K518" i="3"/>
  <c r="M518" i="3" s="1"/>
  <c r="L518" i="3"/>
  <c r="N518" i="3" s="1"/>
  <c r="L530" i="3"/>
  <c r="N530" i="3" s="1"/>
  <c r="K530" i="3"/>
  <c r="M530" i="3" s="1"/>
  <c r="K543" i="3"/>
  <c r="M543" i="3" s="1"/>
  <c r="L543" i="3"/>
  <c r="N543" i="3" s="1"/>
  <c r="L555" i="3"/>
  <c r="N555" i="3" s="1"/>
  <c r="K555" i="3"/>
  <c r="M555" i="3" s="1"/>
  <c r="L567" i="3"/>
  <c r="N567" i="3" s="1"/>
  <c r="K567" i="3"/>
  <c r="M567" i="3" s="1"/>
  <c r="L579" i="3"/>
  <c r="N579" i="3" s="1"/>
  <c r="K579" i="3"/>
  <c r="M579" i="3" s="1"/>
  <c r="K592" i="3"/>
  <c r="M592" i="3" s="1"/>
  <c r="L592" i="3"/>
  <c r="N592" i="3" s="1"/>
  <c r="K604" i="3"/>
  <c r="M604" i="3" s="1"/>
  <c r="L604" i="3"/>
  <c r="N604" i="3" s="1"/>
  <c r="K617" i="3"/>
  <c r="M617" i="3" s="1"/>
  <c r="L617" i="3"/>
  <c r="N617" i="3" s="1"/>
  <c r="L631" i="3"/>
  <c r="N631" i="3" s="1"/>
  <c r="K631" i="3"/>
  <c r="M631" i="3" s="1"/>
  <c r="K645" i="3"/>
  <c r="M645" i="3" s="1"/>
  <c r="L645" i="3"/>
  <c r="N645" i="3" s="1"/>
  <c r="K657" i="3"/>
  <c r="M657" i="3" s="1"/>
  <c r="L657" i="3"/>
  <c r="N657" i="3" s="1"/>
  <c r="L670" i="3"/>
  <c r="N670" i="3" s="1"/>
  <c r="K670" i="3"/>
  <c r="M670" i="3" s="1"/>
  <c r="L683" i="3"/>
  <c r="N683" i="3" s="1"/>
  <c r="K683" i="3"/>
  <c r="M683" i="3" s="1"/>
  <c r="K697" i="3"/>
  <c r="M697" i="3" s="1"/>
  <c r="L697" i="3"/>
  <c r="N697" i="3" s="1"/>
  <c r="K709" i="3"/>
  <c r="M709" i="3" s="1"/>
  <c r="L709" i="3"/>
  <c r="N709" i="3" s="1"/>
  <c r="L722" i="3"/>
  <c r="N722" i="3" s="1"/>
  <c r="K722" i="3"/>
  <c r="M722" i="3" s="1"/>
  <c r="L734" i="3"/>
  <c r="N734" i="3" s="1"/>
  <c r="K734" i="3"/>
  <c r="M734" i="3" s="1"/>
  <c r="K26" i="3"/>
  <c r="M26" i="3" s="1"/>
  <c r="L26" i="3"/>
  <c r="N26" i="3" s="1"/>
  <c r="L39" i="3"/>
  <c r="N39" i="3" s="1"/>
  <c r="K39" i="3"/>
  <c r="M39" i="3" s="1"/>
  <c r="K52" i="3"/>
  <c r="M52" i="3" s="1"/>
  <c r="L52" i="3"/>
  <c r="N52" i="3" s="1"/>
  <c r="K64" i="3"/>
  <c r="M64" i="3" s="1"/>
  <c r="L64" i="3"/>
  <c r="N64" i="3" s="1"/>
  <c r="K76" i="3"/>
  <c r="M76" i="3" s="1"/>
  <c r="L76" i="3"/>
  <c r="N76" i="3" s="1"/>
  <c r="L88" i="3"/>
  <c r="N88" i="3" s="1"/>
  <c r="K88" i="3"/>
  <c r="M88" i="3" s="1"/>
  <c r="L100" i="3"/>
  <c r="N100" i="3" s="1"/>
  <c r="K100" i="3"/>
  <c r="M100" i="3" s="1"/>
  <c r="K112" i="3"/>
  <c r="M112" i="3" s="1"/>
  <c r="L112" i="3"/>
  <c r="N112" i="3" s="1"/>
  <c r="K126" i="3"/>
  <c r="M126" i="3" s="1"/>
  <c r="L126" i="3"/>
  <c r="N126" i="3" s="1"/>
  <c r="L139" i="3"/>
  <c r="N139" i="3" s="1"/>
  <c r="K139" i="3"/>
  <c r="M139" i="3" s="1"/>
  <c r="L152" i="3"/>
  <c r="N152" i="3" s="1"/>
  <c r="K152" i="3"/>
  <c r="M152" i="3" s="1"/>
  <c r="L164" i="3"/>
  <c r="N164" i="3" s="1"/>
  <c r="K164" i="3"/>
  <c r="M164" i="3" s="1"/>
  <c r="L180" i="3"/>
  <c r="N180" i="3" s="1"/>
  <c r="K180" i="3"/>
  <c r="M180" i="3" s="1"/>
  <c r="L193" i="3"/>
  <c r="N193" i="3" s="1"/>
  <c r="K193" i="3"/>
  <c r="M193" i="3" s="1"/>
  <c r="L206" i="3"/>
  <c r="N206" i="3" s="1"/>
  <c r="K206" i="3"/>
  <c r="M206" i="3" s="1"/>
  <c r="K219" i="3"/>
  <c r="M219" i="3" s="1"/>
  <c r="L219" i="3"/>
  <c r="N219" i="3" s="1"/>
  <c r="L231" i="3"/>
  <c r="N231" i="3" s="1"/>
  <c r="K231" i="3"/>
  <c r="M231" i="3" s="1"/>
  <c r="K244" i="3"/>
  <c r="M244" i="3" s="1"/>
  <c r="L244" i="3"/>
  <c r="N244" i="3" s="1"/>
  <c r="L257" i="3"/>
  <c r="N257" i="3" s="1"/>
  <c r="K257" i="3"/>
  <c r="M257" i="3" s="1"/>
  <c r="K269" i="3"/>
  <c r="M269" i="3" s="1"/>
  <c r="L269" i="3"/>
  <c r="N269" i="3" s="1"/>
  <c r="L281" i="3"/>
  <c r="N281" i="3" s="1"/>
  <c r="K281" i="3"/>
  <c r="M281" i="3" s="1"/>
  <c r="L294" i="3"/>
  <c r="N294" i="3" s="1"/>
  <c r="K294" i="3"/>
  <c r="M294" i="3" s="1"/>
  <c r="L306" i="3"/>
  <c r="N306" i="3" s="1"/>
  <c r="K306" i="3"/>
  <c r="M306" i="3" s="1"/>
  <c r="K319" i="3"/>
  <c r="M319" i="3" s="1"/>
  <c r="L319" i="3"/>
  <c r="N319" i="3" s="1"/>
  <c r="K331" i="3"/>
  <c r="M331" i="3" s="1"/>
  <c r="L331" i="3"/>
  <c r="N331" i="3" s="1"/>
  <c r="L345" i="3"/>
  <c r="N345" i="3" s="1"/>
  <c r="K345" i="3"/>
  <c r="M345" i="3" s="1"/>
  <c r="L357" i="3"/>
  <c r="N357" i="3" s="1"/>
  <c r="K357" i="3"/>
  <c r="M357" i="3" s="1"/>
  <c r="K369" i="3"/>
  <c r="M369" i="3" s="1"/>
  <c r="L369" i="3"/>
  <c r="N369" i="3" s="1"/>
  <c r="K382" i="3"/>
  <c r="M382" i="3" s="1"/>
  <c r="L382" i="3"/>
  <c r="N382" i="3" s="1"/>
  <c r="L395" i="3"/>
  <c r="N395" i="3" s="1"/>
  <c r="K395" i="3"/>
  <c r="M395" i="3" s="1"/>
  <c r="K408" i="3"/>
  <c r="M408" i="3" s="1"/>
  <c r="L408" i="3"/>
  <c r="N408" i="3" s="1"/>
  <c r="K420" i="3"/>
  <c r="M420" i="3" s="1"/>
  <c r="L420" i="3"/>
  <c r="N420" i="3" s="1"/>
  <c r="K432" i="3"/>
  <c r="M432" i="3" s="1"/>
  <c r="L432" i="3"/>
  <c r="N432" i="3" s="1"/>
  <c r="K445" i="3"/>
  <c r="M445" i="3" s="1"/>
  <c r="L445" i="3"/>
  <c r="N445" i="3" s="1"/>
  <c r="K457" i="3"/>
  <c r="M457" i="3" s="1"/>
  <c r="L457" i="3"/>
  <c r="N457" i="3" s="1"/>
  <c r="K469" i="3"/>
  <c r="M469" i="3" s="1"/>
  <c r="L469" i="3"/>
  <c r="N469" i="3" s="1"/>
  <c r="L482" i="3"/>
  <c r="N482" i="3" s="1"/>
  <c r="K482" i="3"/>
  <c r="M482" i="3" s="1"/>
  <c r="L494" i="3"/>
  <c r="N494" i="3" s="1"/>
  <c r="K494" i="3"/>
  <c r="M494" i="3" s="1"/>
  <c r="K507" i="3"/>
  <c r="M507" i="3" s="1"/>
  <c r="L507" i="3"/>
  <c r="N507" i="3" s="1"/>
  <c r="K519" i="3"/>
  <c r="M519" i="3" s="1"/>
  <c r="L519" i="3"/>
  <c r="N519" i="3" s="1"/>
  <c r="K531" i="3"/>
  <c r="M531" i="3" s="1"/>
  <c r="L531" i="3"/>
  <c r="N531" i="3" s="1"/>
  <c r="K544" i="3"/>
  <c r="M544" i="3" s="1"/>
  <c r="L544" i="3"/>
  <c r="N544" i="3" s="1"/>
  <c r="K556" i="3"/>
  <c r="M556" i="3" s="1"/>
  <c r="L556" i="3"/>
  <c r="N556" i="3" s="1"/>
  <c r="K568" i="3"/>
  <c r="M568" i="3" s="1"/>
  <c r="L568" i="3"/>
  <c r="N568" i="3" s="1"/>
  <c r="K580" i="3"/>
  <c r="M580" i="3" s="1"/>
  <c r="L580" i="3"/>
  <c r="N580" i="3" s="1"/>
  <c r="L593" i="3"/>
  <c r="N593" i="3" s="1"/>
  <c r="K593" i="3"/>
  <c r="M593" i="3" s="1"/>
  <c r="K606" i="3"/>
  <c r="M606" i="3" s="1"/>
  <c r="L606" i="3"/>
  <c r="N606" i="3" s="1"/>
  <c r="K618" i="3"/>
  <c r="M618" i="3" s="1"/>
  <c r="L618" i="3"/>
  <c r="N618" i="3" s="1"/>
  <c r="L632" i="3"/>
  <c r="N632" i="3" s="1"/>
  <c r="K632" i="3"/>
  <c r="M632" i="3" s="1"/>
  <c r="K646" i="3"/>
  <c r="M646" i="3" s="1"/>
  <c r="L646" i="3"/>
  <c r="N646" i="3" s="1"/>
  <c r="K658" i="3"/>
  <c r="M658" i="3" s="1"/>
  <c r="L658" i="3"/>
  <c r="N658" i="3" s="1"/>
  <c r="K671" i="3"/>
  <c r="M671" i="3" s="1"/>
  <c r="L671" i="3"/>
  <c r="N671" i="3" s="1"/>
  <c r="K685" i="3"/>
  <c r="M685" i="3" s="1"/>
  <c r="L685" i="3"/>
  <c r="N685" i="3" s="1"/>
  <c r="L698" i="3"/>
  <c r="N698" i="3" s="1"/>
  <c r="K698" i="3"/>
  <c r="M698" i="3" s="1"/>
  <c r="L710" i="3"/>
  <c r="N710" i="3" s="1"/>
  <c r="K710" i="3"/>
  <c r="M710" i="3" s="1"/>
  <c r="L723" i="3"/>
  <c r="N723" i="3" s="1"/>
  <c r="K723" i="3"/>
  <c r="M723" i="3" s="1"/>
  <c r="L735" i="3"/>
  <c r="N735" i="3" s="1"/>
  <c r="K735" i="3"/>
  <c r="M735" i="3" s="1"/>
  <c r="K27" i="3"/>
  <c r="M27" i="3" s="1"/>
  <c r="L27" i="3"/>
  <c r="N27" i="3" s="1"/>
  <c r="L41" i="3"/>
  <c r="N41" i="3" s="1"/>
  <c r="K41" i="3"/>
  <c r="M41" i="3" s="1"/>
  <c r="L53" i="3"/>
  <c r="N53" i="3" s="1"/>
  <c r="K53" i="3"/>
  <c r="M53" i="3" s="1"/>
  <c r="K77" i="3"/>
  <c r="M77" i="3" s="1"/>
  <c r="L77" i="3"/>
  <c r="N77" i="3" s="1"/>
  <c r="L89" i="3"/>
  <c r="N89" i="3" s="1"/>
  <c r="K89" i="3"/>
  <c r="M89" i="3" s="1"/>
  <c r="L101" i="3"/>
  <c r="N101" i="3" s="1"/>
  <c r="K101" i="3"/>
  <c r="M101" i="3" s="1"/>
  <c r="K113" i="3"/>
  <c r="M113" i="3" s="1"/>
  <c r="L113" i="3"/>
  <c r="N113" i="3" s="1"/>
  <c r="K127" i="3"/>
  <c r="M127" i="3" s="1"/>
  <c r="L127" i="3"/>
  <c r="N127" i="3" s="1"/>
  <c r="L140" i="3"/>
  <c r="N140" i="3" s="1"/>
  <c r="K140" i="3"/>
  <c r="M140" i="3" s="1"/>
  <c r="L153" i="3"/>
  <c r="N153" i="3" s="1"/>
  <c r="K153" i="3"/>
  <c r="M153" i="3" s="1"/>
  <c r="L165" i="3"/>
  <c r="N165" i="3" s="1"/>
  <c r="K165" i="3"/>
  <c r="M165" i="3" s="1"/>
  <c r="K181" i="3"/>
  <c r="M181" i="3" s="1"/>
  <c r="L181" i="3"/>
  <c r="N181" i="3" s="1"/>
  <c r="L194" i="3"/>
  <c r="N194" i="3" s="1"/>
  <c r="K194" i="3"/>
  <c r="M194" i="3" s="1"/>
  <c r="L208" i="3"/>
  <c r="N208" i="3" s="1"/>
  <c r="K208" i="3"/>
  <c r="M208" i="3" s="1"/>
  <c r="L220" i="3"/>
  <c r="N220" i="3" s="1"/>
  <c r="K220" i="3"/>
  <c r="M220" i="3" s="1"/>
  <c r="L232" i="3"/>
  <c r="N232" i="3" s="1"/>
  <c r="K232" i="3"/>
  <c r="M232" i="3" s="1"/>
  <c r="L245" i="3"/>
  <c r="N245" i="3" s="1"/>
  <c r="K245" i="3"/>
  <c r="M245" i="3" s="1"/>
  <c r="K258" i="3"/>
  <c r="M258" i="3" s="1"/>
  <c r="L258" i="3"/>
  <c r="N258" i="3" s="1"/>
  <c r="K270" i="3"/>
  <c r="M270" i="3" s="1"/>
  <c r="L270" i="3"/>
  <c r="N270" i="3" s="1"/>
  <c r="L282" i="3"/>
  <c r="N282" i="3" s="1"/>
  <c r="K282" i="3"/>
  <c r="M282" i="3" s="1"/>
  <c r="K295" i="3"/>
  <c r="M295" i="3" s="1"/>
  <c r="L295" i="3"/>
  <c r="N295" i="3" s="1"/>
  <c r="K307" i="3"/>
  <c r="M307" i="3" s="1"/>
  <c r="L307" i="3"/>
  <c r="N307" i="3" s="1"/>
  <c r="K320" i="3"/>
  <c r="M320" i="3" s="1"/>
  <c r="L320" i="3"/>
  <c r="N320" i="3" s="1"/>
  <c r="K332" i="3"/>
  <c r="M332" i="3" s="1"/>
  <c r="L332" i="3"/>
  <c r="N332" i="3" s="1"/>
  <c r="K346" i="3"/>
  <c r="M346" i="3" s="1"/>
  <c r="L346" i="3"/>
  <c r="N346" i="3" s="1"/>
  <c r="K358" i="3"/>
  <c r="M358" i="3" s="1"/>
  <c r="L358" i="3"/>
  <c r="N358" i="3" s="1"/>
  <c r="L370" i="3"/>
  <c r="N370" i="3" s="1"/>
  <c r="K370" i="3"/>
  <c r="M370" i="3" s="1"/>
  <c r="L383" i="3"/>
  <c r="N383" i="3" s="1"/>
  <c r="K383" i="3"/>
  <c r="M383" i="3" s="1"/>
  <c r="L396" i="3"/>
  <c r="N396" i="3" s="1"/>
  <c r="K396" i="3"/>
  <c r="M396" i="3" s="1"/>
  <c r="K409" i="3"/>
  <c r="M409" i="3" s="1"/>
  <c r="L409" i="3"/>
  <c r="N409" i="3" s="1"/>
  <c r="K421" i="3"/>
  <c r="M421" i="3" s="1"/>
  <c r="L421" i="3"/>
  <c r="N421" i="3" s="1"/>
  <c r="K433" i="3"/>
  <c r="M433" i="3" s="1"/>
  <c r="L433" i="3"/>
  <c r="N433" i="3" s="1"/>
  <c r="L446" i="3"/>
  <c r="N446" i="3" s="1"/>
  <c r="K446" i="3"/>
  <c r="M446" i="3" s="1"/>
  <c r="L458" i="3"/>
  <c r="N458" i="3" s="1"/>
  <c r="K458" i="3"/>
  <c r="M458" i="3" s="1"/>
  <c r="L470" i="3"/>
  <c r="N470" i="3" s="1"/>
  <c r="K470" i="3"/>
  <c r="M470" i="3" s="1"/>
  <c r="L483" i="3"/>
  <c r="N483" i="3" s="1"/>
  <c r="K483" i="3"/>
  <c r="M483" i="3" s="1"/>
  <c r="K496" i="3"/>
  <c r="M496" i="3" s="1"/>
  <c r="L496" i="3"/>
  <c r="N496" i="3" s="1"/>
  <c r="K508" i="3"/>
  <c r="M508" i="3" s="1"/>
  <c r="L508" i="3"/>
  <c r="N508" i="3" s="1"/>
  <c r="K520" i="3"/>
  <c r="M520" i="3" s="1"/>
  <c r="L520" i="3"/>
  <c r="N520" i="3" s="1"/>
  <c r="K532" i="3"/>
  <c r="M532" i="3" s="1"/>
  <c r="L532" i="3"/>
  <c r="N532" i="3" s="1"/>
  <c r="K545" i="3"/>
  <c r="M545" i="3" s="1"/>
  <c r="L545" i="3"/>
  <c r="N545" i="3" s="1"/>
  <c r="K557" i="3"/>
  <c r="M557" i="3" s="1"/>
  <c r="L557" i="3"/>
  <c r="N557" i="3" s="1"/>
  <c r="K569" i="3"/>
  <c r="M569" i="3" s="1"/>
  <c r="L569" i="3"/>
  <c r="N569" i="3" s="1"/>
  <c r="K582" i="3"/>
  <c r="M582" i="3" s="1"/>
  <c r="L582" i="3"/>
  <c r="N582" i="3" s="1"/>
  <c r="K594" i="3"/>
  <c r="M594" i="3" s="1"/>
  <c r="L594" i="3"/>
  <c r="N594" i="3" s="1"/>
  <c r="L607" i="3"/>
  <c r="N607" i="3" s="1"/>
  <c r="K607" i="3"/>
  <c r="M607" i="3" s="1"/>
  <c r="L619" i="3"/>
  <c r="N619" i="3" s="1"/>
  <c r="K619" i="3"/>
  <c r="M619" i="3" s="1"/>
  <c r="K633" i="3"/>
  <c r="M633" i="3" s="1"/>
  <c r="L633" i="3"/>
  <c r="N633" i="3" s="1"/>
  <c r="L647" i="3"/>
  <c r="N647" i="3" s="1"/>
  <c r="K647" i="3"/>
  <c r="M647" i="3" s="1"/>
  <c r="L659" i="3"/>
  <c r="N659" i="3" s="1"/>
  <c r="K659" i="3"/>
  <c r="M659" i="3" s="1"/>
  <c r="L672" i="3"/>
  <c r="N672" i="3" s="1"/>
  <c r="K672" i="3"/>
  <c r="M672" i="3" s="1"/>
  <c r="K686" i="3"/>
  <c r="M686" i="3" s="1"/>
  <c r="L686" i="3"/>
  <c r="N686" i="3" s="1"/>
  <c r="L699" i="3"/>
  <c r="N699" i="3" s="1"/>
  <c r="K699" i="3"/>
  <c r="M699" i="3" s="1"/>
  <c r="K711" i="3"/>
  <c r="M711" i="3" s="1"/>
  <c r="L711" i="3"/>
  <c r="N711" i="3" s="1"/>
  <c r="L724" i="3"/>
  <c r="N724" i="3" s="1"/>
  <c r="K724" i="3"/>
  <c r="M724" i="3" s="1"/>
  <c r="K736" i="3"/>
  <c r="M736" i="3" s="1"/>
  <c r="L736" i="3"/>
  <c r="N736" i="3" s="1"/>
  <c r="K25" i="3"/>
  <c r="M25" i="3" s="1"/>
  <c r="L25" i="3"/>
  <c r="N25" i="3" s="1"/>
  <c r="L65" i="3"/>
  <c r="N65" i="3" s="1"/>
  <c r="K65" i="3"/>
  <c r="M65" i="3" s="1"/>
  <c r="K16" i="3"/>
  <c r="M16" i="3" s="1"/>
  <c r="L16" i="3"/>
  <c r="N16" i="3" s="1"/>
  <c r="K28" i="3"/>
  <c r="M28" i="3" s="1"/>
  <c r="L28" i="3"/>
  <c r="N28" i="3" s="1"/>
  <c r="L42" i="3"/>
  <c r="N42" i="3" s="1"/>
  <c r="K42" i="3"/>
  <c r="M42" i="3" s="1"/>
  <c r="L54" i="3"/>
  <c r="N54" i="3" s="1"/>
  <c r="K54" i="3"/>
  <c r="M54" i="3" s="1"/>
  <c r="L66" i="3"/>
  <c r="N66" i="3" s="1"/>
  <c r="K66" i="3"/>
  <c r="M66" i="3" s="1"/>
  <c r="L78" i="3"/>
  <c r="N78" i="3" s="1"/>
  <c r="K78" i="3"/>
  <c r="M78" i="3" s="1"/>
  <c r="L90" i="3"/>
  <c r="N90" i="3" s="1"/>
  <c r="K90" i="3"/>
  <c r="M90" i="3" s="1"/>
  <c r="L102" i="3"/>
  <c r="N102" i="3" s="1"/>
  <c r="K102" i="3"/>
  <c r="M102" i="3" s="1"/>
  <c r="L115" i="3"/>
  <c r="N115" i="3" s="1"/>
  <c r="K115" i="3"/>
  <c r="M115" i="3" s="1"/>
  <c r="K128" i="3"/>
  <c r="M128" i="3" s="1"/>
  <c r="L128" i="3"/>
  <c r="N128" i="3" s="1"/>
  <c r="K141" i="3"/>
  <c r="M141" i="3" s="1"/>
  <c r="L141" i="3"/>
  <c r="N141" i="3" s="1"/>
  <c r="K154" i="3"/>
  <c r="M154" i="3" s="1"/>
  <c r="L154" i="3"/>
  <c r="N154" i="3" s="1"/>
  <c r="K166" i="3"/>
  <c r="M166" i="3" s="1"/>
  <c r="L166" i="3"/>
  <c r="N166" i="3" s="1"/>
  <c r="L182" i="3"/>
  <c r="N182" i="3" s="1"/>
  <c r="K182" i="3"/>
  <c r="M182" i="3" s="1"/>
  <c r="L195" i="3"/>
  <c r="N195" i="3" s="1"/>
  <c r="K195" i="3"/>
  <c r="M195" i="3" s="1"/>
  <c r="L209" i="3"/>
  <c r="N209" i="3" s="1"/>
  <c r="K209" i="3"/>
  <c r="M209" i="3" s="1"/>
  <c r="K221" i="3"/>
  <c r="M221" i="3" s="1"/>
  <c r="L221" i="3"/>
  <c r="N221" i="3" s="1"/>
  <c r="K233" i="3"/>
  <c r="M233" i="3" s="1"/>
  <c r="L233" i="3"/>
  <c r="N233" i="3" s="1"/>
  <c r="L246" i="3"/>
  <c r="N246" i="3" s="1"/>
  <c r="K246" i="3"/>
  <c r="M246" i="3" s="1"/>
  <c r="K259" i="3"/>
  <c r="M259" i="3" s="1"/>
  <c r="L259" i="3"/>
  <c r="N259" i="3" s="1"/>
  <c r="K271" i="3"/>
  <c r="M271" i="3" s="1"/>
  <c r="L271" i="3"/>
  <c r="N271" i="3" s="1"/>
  <c r="K283" i="3"/>
  <c r="M283" i="3" s="1"/>
  <c r="L283" i="3"/>
  <c r="N283" i="3" s="1"/>
  <c r="L296" i="3"/>
  <c r="N296" i="3" s="1"/>
  <c r="K296" i="3"/>
  <c r="M296" i="3" s="1"/>
  <c r="L308" i="3"/>
  <c r="N308" i="3" s="1"/>
  <c r="K308" i="3"/>
  <c r="M308" i="3" s="1"/>
  <c r="K321" i="3"/>
  <c r="M321" i="3" s="1"/>
  <c r="L321" i="3"/>
  <c r="N321" i="3" s="1"/>
  <c r="K335" i="3"/>
  <c r="M335" i="3" s="1"/>
  <c r="L335" i="3"/>
  <c r="N335" i="3" s="1"/>
  <c r="K347" i="3"/>
  <c r="M347" i="3" s="1"/>
  <c r="L347" i="3"/>
  <c r="N347" i="3" s="1"/>
  <c r="K359" i="3"/>
  <c r="M359" i="3" s="1"/>
  <c r="L359" i="3"/>
  <c r="N359" i="3" s="1"/>
  <c r="K371" i="3"/>
  <c r="M371" i="3" s="1"/>
  <c r="L371" i="3"/>
  <c r="N371" i="3" s="1"/>
  <c r="L384" i="3"/>
  <c r="N384" i="3" s="1"/>
  <c r="K384" i="3"/>
  <c r="M384" i="3" s="1"/>
  <c r="L397" i="3"/>
  <c r="N397" i="3" s="1"/>
  <c r="K397" i="3"/>
  <c r="M397" i="3" s="1"/>
  <c r="L410" i="3"/>
  <c r="N410" i="3" s="1"/>
  <c r="K410" i="3"/>
  <c r="M410" i="3" s="1"/>
  <c r="L422" i="3"/>
  <c r="N422" i="3" s="1"/>
  <c r="K422" i="3"/>
  <c r="M422" i="3" s="1"/>
  <c r="L434" i="3"/>
  <c r="N434" i="3" s="1"/>
  <c r="K434" i="3"/>
  <c r="M434" i="3" s="1"/>
  <c r="K447" i="3"/>
  <c r="M447" i="3" s="1"/>
  <c r="L447" i="3"/>
  <c r="N447" i="3" s="1"/>
  <c r="K459" i="3"/>
  <c r="M459" i="3" s="1"/>
  <c r="L459" i="3"/>
  <c r="N459" i="3" s="1"/>
  <c r="K471" i="3"/>
  <c r="M471" i="3" s="1"/>
  <c r="L471" i="3"/>
  <c r="N471" i="3" s="1"/>
  <c r="L484" i="3"/>
  <c r="N484" i="3" s="1"/>
  <c r="K484" i="3"/>
  <c r="M484" i="3" s="1"/>
  <c r="L497" i="3"/>
  <c r="N497" i="3" s="1"/>
  <c r="K497" i="3"/>
  <c r="M497" i="3" s="1"/>
  <c r="L509" i="3"/>
  <c r="N509" i="3" s="1"/>
  <c r="K509" i="3"/>
  <c r="M509" i="3" s="1"/>
  <c r="K521" i="3"/>
  <c r="M521" i="3" s="1"/>
  <c r="L521" i="3"/>
  <c r="N521" i="3" s="1"/>
  <c r="L533" i="3"/>
  <c r="N533" i="3" s="1"/>
  <c r="K533" i="3"/>
  <c r="M533" i="3" s="1"/>
  <c r="K546" i="3"/>
  <c r="M546" i="3" s="1"/>
  <c r="L546" i="3"/>
  <c r="N546" i="3" s="1"/>
  <c r="K558" i="3"/>
  <c r="M558" i="3" s="1"/>
  <c r="L558" i="3"/>
  <c r="N558" i="3" s="1"/>
  <c r="K570" i="3"/>
  <c r="M570" i="3" s="1"/>
  <c r="L570" i="3"/>
  <c r="N570" i="3" s="1"/>
  <c r="K583" i="3"/>
  <c r="M583" i="3" s="1"/>
  <c r="L583" i="3"/>
  <c r="N583" i="3" s="1"/>
  <c r="L595" i="3"/>
  <c r="N595" i="3" s="1"/>
  <c r="K595" i="3"/>
  <c r="M595" i="3" s="1"/>
  <c r="L608" i="3"/>
  <c r="N608" i="3" s="1"/>
  <c r="K608" i="3"/>
  <c r="M608" i="3" s="1"/>
  <c r="K620" i="3"/>
  <c r="M620" i="3" s="1"/>
  <c r="L620" i="3"/>
  <c r="N620" i="3" s="1"/>
  <c r="K634" i="3"/>
  <c r="M634" i="3" s="1"/>
  <c r="L634" i="3"/>
  <c r="N634" i="3" s="1"/>
  <c r="L648" i="3"/>
  <c r="N648" i="3" s="1"/>
  <c r="K648" i="3"/>
  <c r="M648" i="3" s="1"/>
  <c r="L660" i="3"/>
  <c r="N660" i="3" s="1"/>
  <c r="K660" i="3"/>
  <c r="M660" i="3" s="1"/>
  <c r="L673" i="3"/>
  <c r="N673" i="3" s="1"/>
  <c r="K673" i="3"/>
  <c r="M673" i="3" s="1"/>
  <c r="K687" i="3"/>
  <c r="M687" i="3" s="1"/>
  <c r="L687" i="3"/>
  <c r="N687" i="3" s="1"/>
  <c r="L700" i="3"/>
  <c r="N700" i="3" s="1"/>
  <c r="K700" i="3"/>
  <c r="M700" i="3" s="1"/>
  <c r="L712" i="3"/>
  <c r="N712" i="3" s="1"/>
  <c r="K712" i="3"/>
  <c r="M712" i="3" s="1"/>
  <c r="L725" i="3"/>
  <c r="N725" i="3" s="1"/>
  <c r="K725" i="3"/>
  <c r="M725" i="3" s="1"/>
  <c r="K737" i="3"/>
  <c r="M737" i="3" s="1"/>
  <c r="L737" i="3"/>
  <c r="N737" i="3" s="1"/>
  <c r="O75" i="6"/>
  <c r="O31" i="8"/>
  <c r="O36" i="8"/>
  <c r="O41" i="8"/>
  <c r="O45" i="8"/>
  <c r="O49" i="8"/>
  <c r="O57" i="8"/>
  <c r="O69" i="8"/>
  <c r="O73" i="8"/>
  <c r="O81" i="8"/>
  <c r="O85" i="8"/>
  <c r="O93" i="8"/>
  <c r="O97" i="8"/>
  <c r="O105" i="8"/>
  <c r="O109" i="8"/>
  <c r="O122" i="8"/>
  <c r="O127" i="8"/>
  <c r="O131" i="8"/>
  <c r="O136" i="8"/>
  <c r="O140" i="8"/>
  <c r="O144" i="8"/>
  <c r="O153" i="8"/>
  <c r="O157" i="8"/>
  <c r="O189" i="8"/>
  <c r="O193" i="8"/>
  <c r="O198" i="8"/>
  <c r="O202" i="8"/>
  <c r="O206" i="8"/>
  <c r="O211" i="8"/>
  <c r="O215" i="8"/>
  <c r="O219" i="8"/>
  <c r="O235" i="8"/>
  <c r="O239" i="8"/>
  <c r="O248" i="8"/>
  <c r="O265" i="8"/>
  <c r="O277" i="8"/>
  <c r="O285" i="8"/>
  <c r="O290" i="8"/>
  <c r="O294" i="8"/>
  <c r="O298" i="8"/>
  <c r="O306" i="8"/>
  <c r="O310" i="8"/>
  <c r="O315" i="8"/>
  <c r="O319" i="8"/>
  <c r="O337" i="8"/>
  <c r="O345" i="8"/>
  <c r="O349" i="8"/>
  <c r="O353" i="8"/>
  <c r="O357" i="8"/>
  <c r="O361" i="8"/>
  <c r="O23" i="8"/>
  <c r="O61" i="8"/>
  <c r="O165" i="8"/>
  <c r="O169" i="8"/>
  <c r="O167" i="6"/>
  <c r="O175" i="6"/>
  <c r="O182" i="6"/>
  <c r="O191" i="6"/>
  <c r="O195" i="6"/>
  <c r="O200" i="6"/>
  <c r="O204" i="6"/>
  <c r="O213" i="6"/>
  <c r="O217" i="6"/>
  <c r="O225" i="6"/>
  <c r="O229" i="6"/>
  <c r="O237" i="6"/>
  <c r="O241" i="6"/>
  <c r="O250" i="6"/>
  <c r="O259" i="6"/>
  <c r="O263" i="6"/>
  <c r="O267" i="6"/>
  <c r="O271" i="6"/>
  <c r="O275" i="6"/>
  <c r="O279" i="6"/>
  <c r="O283" i="6"/>
  <c r="O288" i="6"/>
  <c r="O292" i="6"/>
  <c r="O296" i="6"/>
  <c r="O300" i="6"/>
  <c r="O304" i="6"/>
  <c r="O308" i="6"/>
  <c r="O313" i="6"/>
  <c r="O317" i="6"/>
  <c r="O321" i="6"/>
  <c r="O325" i="6"/>
  <c r="O329" i="6"/>
  <c r="O335" i="6"/>
  <c r="O339" i="6"/>
  <c r="O343" i="6"/>
  <c r="O351" i="6"/>
  <c r="O355" i="6"/>
  <c r="O359" i="6"/>
  <c r="O363" i="6"/>
  <c r="O367" i="6"/>
  <c r="O371" i="6"/>
  <c r="O376" i="6"/>
  <c r="O380" i="6"/>
  <c r="O384" i="6"/>
  <c r="O392" i="6"/>
  <c r="O397" i="6"/>
  <c r="O405" i="6"/>
  <c r="O410" i="6"/>
  <c r="O418" i="6"/>
  <c r="O120" i="6"/>
  <c r="O430" i="6"/>
  <c r="O434" i="6"/>
  <c r="O443" i="6"/>
  <c r="O455" i="6"/>
  <c r="O459" i="6"/>
  <c r="O471" i="6"/>
  <c r="O480" i="6"/>
  <c r="O484" i="6"/>
  <c r="O488" i="6"/>
  <c r="O509" i="6"/>
  <c r="O513" i="6"/>
  <c r="O517" i="6"/>
  <c r="O521" i="6"/>
  <c r="O529" i="6"/>
  <c r="O533" i="6"/>
  <c r="O537" i="6"/>
  <c r="O554" i="6"/>
  <c r="O558" i="6"/>
  <c r="O562" i="6"/>
  <c r="O578" i="6"/>
  <c r="O587" i="6"/>
  <c r="O41" i="6"/>
  <c r="O45" i="6"/>
  <c r="O49" i="6"/>
  <c r="O53" i="6"/>
  <c r="O57" i="6"/>
  <c r="O61" i="6"/>
  <c r="O65" i="6"/>
  <c r="O69" i="6"/>
  <c r="O73" i="6"/>
  <c r="O77" i="6"/>
  <c r="O81" i="6"/>
  <c r="O85" i="6"/>
  <c r="O89" i="6"/>
  <c r="O93" i="6"/>
  <c r="O97" i="6"/>
  <c r="O101" i="6"/>
  <c r="O105" i="6"/>
  <c r="O113" i="6"/>
  <c r="O118" i="6"/>
  <c r="O122" i="6"/>
  <c r="O131" i="6"/>
  <c r="O140" i="6"/>
  <c r="O144" i="6"/>
  <c r="O153" i="6"/>
  <c r="O157" i="6"/>
  <c r="O161" i="6"/>
  <c r="O165" i="6"/>
  <c r="O169" i="6"/>
  <c r="O173" i="6"/>
  <c r="O184" i="6"/>
  <c r="O206" i="6"/>
  <c r="O211" i="6"/>
  <c r="O219" i="6"/>
  <c r="O223" i="6"/>
  <c r="O227" i="6"/>
  <c r="O231" i="6"/>
  <c r="O235" i="6"/>
  <c r="O244" i="6"/>
  <c r="O248" i="6"/>
  <c r="O257" i="6"/>
  <c r="O261" i="6"/>
  <c r="O265" i="6"/>
  <c r="O269" i="6"/>
  <c r="O273" i="6"/>
  <c r="O277" i="6"/>
  <c r="O281" i="6"/>
  <c r="O285" i="6"/>
  <c r="O298" i="6"/>
  <c r="O306" i="6"/>
  <c r="O310" i="6"/>
  <c r="O315" i="6"/>
  <c r="O319" i="6"/>
  <c r="O323" i="6"/>
  <c r="O337" i="6"/>
  <c r="O345" i="6"/>
  <c r="O349" i="6"/>
  <c r="O361" i="6"/>
  <c r="O369" i="6"/>
  <c r="O373" i="6"/>
  <c r="O390" i="6"/>
  <c r="O399" i="6"/>
  <c r="O416" i="6"/>
  <c r="O420" i="6"/>
  <c r="O424" i="6"/>
  <c r="O428" i="6"/>
  <c r="O432" i="6"/>
  <c r="O436" i="6"/>
  <c r="O449" i="6"/>
  <c r="O453" i="6"/>
  <c r="O457" i="6"/>
  <c r="O461" i="6"/>
  <c r="O465" i="6"/>
  <c r="O469" i="6"/>
  <c r="O473" i="6"/>
  <c r="O478" i="6"/>
  <c r="O482" i="6"/>
  <c r="O486" i="6"/>
  <c r="O490" i="6"/>
  <c r="O494" i="6"/>
  <c r="O499" i="6"/>
  <c r="O503" i="6"/>
  <c r="O515" i="6"/>
  <c r="O519" i="6"/>
  <c r="O523" i="6"/>
  <c r="O527" i="6"/>
  <c r="O531" i="6"/>
  <c r="O539" i="6"/>
  <c r="O544" i="6"/>
  <c r="O548" i="6"/>
  <c r="O552" i="6"/>
  <c r="O556" i="6"/>
  <c r="O560" i="6"/>
  <c r="O564" i="6"/>
  <c r="O568" i="6"/>
  <c r="O572" i="6"/>
  <c r="O576" i="6"/>
  <c r="O580" i="6"/>
  <c r="O585" i="6"/>
  <c r="O589" i="6"/>
  <c r="O593" i="6"/>
  <c r="O597" i="6"/>
  <c r="O606" i="6"/>
  <c r="O614" i="6"/>
  <c r="O622" i="6"/>
  <c r="O628" i="6"/>
  <c r="O632" i="6"/>
  <c r="O636" i="6"/>
  <c r="O641" i="6"/>
  <c r="O646" i="6"/>
  <c r="O650" i="6"/>
  <c r="O654" i="6"/>
  <c r="O658" i="6"/>
  <c r="O662" i="6"/>
  <c r="O667" i="6"/>
  <c r="O671" i="6"/>
  <c r="O676" i="6"/>
  <c r="O680" i="6"/>
  <c r="O141" i="12"/>
  <c r="O148" i="12"/>
  <c r="O193" i="6"/>
  <c r="O685" i="6"/>
  <c r="O42" i="6"/>
  <c r="O46" i="6"/>
  <c r="O50" i="6"/>
  <c r="O54" i="6"/>
  <c r="O58" i="6"/>
  <c r="O62" i="6"/>
  <c r="O66" i="6"/>
  <c r="O70" i="6"/>
  <c r="O74" i="6"/>
  <c r="O78" i="6"/>
  <c r="O82" i="6"/>
  <c r="O86" i="6"/>
  <c r="O90" i="6"/>
  <c r="O94" i="6"/>
  <c r="O98" i="6"/>
  <c r="O102" i="6"/>
  <c r="O106" i="6"/>
  <c r="O110" i="6"/>
  <c r="O119" i="6"/>
  <c r="O123" i="6"/>
  <c r="O128" i="6"/>
  <c r="O132" i="6"/>
  <c r="O137" i="6"/>
  <c r="O141" i="6"/>
  <c r="O145" i="6"/>
  <c r="O149" i="6"/>
  <c r="O154" i="6"/>
  <c r="O158" i="6"/>
  <c r="O162" i="6"/>
  <c r="O166" i="6"/>
  <c r="O181" i="6"/>
  <c r="O190" i="6"/>
  <c r="O194" i="6"/>
  <c r="O199" i="6"/>
  <c r="O203" i="6"/>
  <c r="O208" i="6"/>
  <c r="O212" i="6"/>
  <c r="O216" i="6"/>
  <c r="O220" i="6"/>
  <c r="O224" i="6"/>
  <c r="O228" i="6"/>
  <c r="O232" i="6"/>
  <c r="O236" i="6"/>
  <c r="O240" i="6"/>
  <c r="O249" i="6"/>
  <c r="O254" i="6"/>
  <c r="O262" i="6"/>
  <c r="O266" i="6"/>
  <c r="O274" i="6"/>
  <c r="O278" i="6"/>
  <c r="O287" i="6"/>
  <c r="O291" i="6"/>
  <c r="O295" i="6"/>
  <c r="O299" i="6"/>
  <c r="O307" i="6"/>
  <c r="O312" i="6"/>
  <c r="O316" i="6"/>
  <c r="O320" i="6"/>
  <c r="O324" i="6"/>
  <c r="O328" i="6"/>
  <c r="O332" i="6"/>
  <c r="O338" i="6"/>
  <c r="O342" i="6"/>
  <c r="O358" i="6"/>
  <c r="O362" i="6"/>
  <c r="O366" i="6"/>
  <c r="O370" i="6"/>
  <c r="O374" i="6"/>
  <c r="O379" i="6"/>
  <c r="O383" i="6"/>
  <c r="O387" i="6"/>
  <c r="O396" i="6"/>
  <c r="O404" i="6"/>
  <c r="O409" i="6"/>
  <c r="O413" i="6"/>
  <c r="O421" i="6"/>
  <c r="O429" i="6"/>
  <c r="O437" i="6"/>
  <c r="O446" i="6"/>
  <c r="O454" i="6"/>
  <c r="O458" i="6"/>
  <c r="O462" i="6"/>
  <c r="O470" i="6"/>
  <c r="O479" i="6"/>
  <c r="O483" i="6"/>
  <c r="O496" i="6"/>
  <c r="O508" i="6"/>
  <c r="O512" i="6"/>
  <c r="O520" i="6"/>
  <c r="O528" i="6"/>
  <c r="O532" i="6"/>
  <c r="O536" i="6"/>
  <c r="O545" i="6"/>
  <c r="O557" i="6"/>
  <c r="O561" i="6"/>
  <c r="O569" i="6"/>
  <c r="O577" i="6"/>
  <c r="O582" i="6"/>
  <c r="O586" i="6"/>
  <c r="O594" i="6"/>
  <c r="O602" i="6"/>
  <c r="O607" i="6"/>
  <c r="O611" i="6"/>
  <c r="O619" i="6"/>
  <c r="O629" i="6"/>
  <c r="O637" i="6"/>
  <c r="O647" i="6"/>
  <c r="O655" i="6"/>
  <c r="O659" i="6"/>
  <c r="O663" i="6"/>
  <c r="O672" i="6"/>
  <c r="O686" i="6"/>
  <c r="O690" i="6"/>
  <c r="O603" i="6"/>
  <c r="O608" i="6"/>
  <c r="O612" i="6"/>
  <c r="O630" i="6"/>
  <c r="O634" i="6"/>
  <c r="O639" i="6"/>
  <c r="O656" i="6"/>
  <c r="O660" i="6"/>
  <c r="O665" i="6"/>
  <c r="O507" i="6"/>
  <c r="O689" i="6"/>
  <c r="O694" i="6"/>
  <c r="O698" i="6"/>
  <c r="O702" i="6"/>
  <c r="O706" i="6"/>
  <c r="O710" i="6"/>
  <c r="O714" i="6"/>
  <c r="O16" i="6"/>
  <c r="O709" i="6"/>
  <c r="O713" i="6"/>
  <c r="O718" i="6"/>
  <c r="O722" i="6"/>
  <c r="O726" i="6"/>
  <c r="O730" i="6"/>
  <c r="O719" i="6"/>
  <c r="O699" i="6"/>
  <c r="O707" i="6"/>
  <c r="O711" i="6"/>
  <c r="O716" i="6"/>
  <c r="O720" i="6"/>
  <c r="O724" i="6"/>
  <c r="O728" i="6"/>
  <c r="O732" i="6"/>
  <c r="O734" i="6"/>
  <c r="O723" i="6"/>
  <c r="O727" i="6"/>
  <c r="O350" i="6"/>
  <c r="O346" i="6"/>
  <c r="O23" i="6"/>
  <c r="O36" i="6"/>
  <c r="O24" i="6"/>
  <c r="O37" i="6"/>
  <c r="O682" i="6"/>
  <c r="O687" i="6"/>
  <c r="O691" i="6"/>
  <c r="O696" i="6"/>
  <c r="O708" i="6"/>
  <c r="O712" i="6"/>
  <c r="O21" i="6"/>
  <c r="O25" i="6"/>
  <c r="O34" i="6"/>
  <c r="O129" i="4"/>
  <c r="O127" i="4"/>
  <c r="O365" i="8"/>
  <c r="O369" i="8"/>
  <c r="O373" i="8"/>
  <c r="O382" i="8"/>
  <c r="O395" i="8"/>
  <c r="O399" i="8"/>
  <c r="O403" i="8"/>
  <c r="O408" i="8"/>
  <c r="O412" i="8"/>
  <c r="O416" i="8"/>
  <c r="O424" i="8"/>
  <c r="O428" i="8"/>
  <c r="O432" i="8"/>
  <c r="O436" i="8"/>
  <c r="O441" i="8"/>
  <c r="O445" i="8"/>
  <c r="O449" i="8"/>
  <c r="O453" i="8"/>
  <c r="O457" i="8"/>
  <c r="O461" i="8"/>
  <c r="O465" i="8"/>
  <c r="O469" i="8"/>
  <c r="O473" i="8"/>
  <c r="O478" i="8"/>
  <c r="O482" i="8"/>
  <c r="O486" i="8"/>
  <c r="O490" i="8"/>
  <c r="O494" i="8"/>
  <c r="O499" i="8"/>
  <c r="O507" i="8"/>
  <c r="O519" i="8"/>
  <c r="O523" i="8"/>
  <c r="O527" i="8"/>
  <c r="O535" i="8"/>
  <c r="O539" i="8"/>
  <c r="O544" i="8"/>
  <c r="O548" i="8"/>
  <c r="O552" i="8"/>
  <c r="O556" i="8"/>
  <c r="O560" i="8"/>
  <c r="O564" i="8"/>
  <c r="O568" i="8"/>
  <c r="O572" i="8"/>
  <c r="O576" i="8"/>
  <c r="O580" i="8"/>
  <c r="O585" i="8"/>
  <c r="O593" i="8"/>
  <c r="O597" i="8"/>
  <c r="O606" i="8"/>
  <c r="O610" i="8"/>
  <c r="O614" i="8"/>
  <c r="O618" i="8"/>
  <c r="O622" i="8"/>
  <c r="O144" i="4"/>
  <c r="O148" i="4"/>
  <c r="O137" i="4"/>
  <c r="O117" i="4"/>
  <c r="O371" i="4"/>
  <c r="O430" i="4"/>
  <c r="O25" i="8"/>
  <c r="O29" i="8"/>
  <c r="O34" i="8"/>
  <c r="O38" i="8"/>
  <c r="O43" i="8"/>
  <c r="O47" i="8"/>
  <c r="O55" i="8"/>
  <c r="O67" i="8"/>
  <c r="O71" i="8"/>
  <c r="O79" i="8"/>
  <c r="O83" i="8"/>
  <c r="O91" i="8"/>
  <c r="O103" i="8"/>
  <c r="O107" i="8"/>
  <c r="O116" i="8"/>
  <c r="O129" i="8"/>
  <c r="O133" i="8"/>
  <c r="O142" i="8"/>
  <c r="O146" i="8"/>
  <c r="O151" i="8"/>
  <c r="O155" i="8"/>
  <c r="O159" i="8"/>
  <c r="O163" i="8"/>
  <c r="O167" i="8"/>
  <c r="O175" i="8"/>
  <c r="O186" i="8"/>
  <c r="O191" i="8"/>
  <c r="O200" i="8"/>
  <c r="O204" i="8"/>
  <c r="O209" i="8"/>
  <c r="O213" i="8"/>
  <c r="O217" i="8"/>
  <c r="O221" i="8"/>
  <c r="O225" i="8"/>
  <c r="O229" i="8"/>
  <c r="O233" i="8"/>
  <c r="O237" i="8"/>
  <c r="O241" i="8"/>
  <c r="O246" i="8"/>
  <c r="O250" i="8"/>
  <c r="O255" i="8"/>
  <c r="O259" i="8"/>
  <c r="O263" i="8"/>
  <c r="O267" i="8"/>
  <c r="O271" i="8"/>
  <c r="O275" i="8"/>
  <c r="O279" i="8"/>
  <c r="O283" i="8"/>
  <c r="O288" i="8"/>
  <c r="O292" i="8"/>
  <c r="O296" i="8"/>
  <c r="O300" i="8"/>
  <c r="O304" i="8"/>
  <c r="O308" i="8"/>
  <c r="O313" i="8"/>
  <c r="O125" i="4"/>
  <c r="O160" i="4"/>
  <c r="O639" i="4"/>
  <c r="O320" i="4"/>
  <c r="O116" i="4"/>
  <c r="O120" i="4"/>
  <c r="O152" i="4"/>
  <c r="O130" i="4"/>
  <c r="O147" i="4"/>
  <c r="O690" i="4"/>
  <c r="O123" i="4"/>
  <c r="O131" i="4"/>
  <c r="O141" i="4"/>
  <c r="O140" i="4"/>
  <c r="O641" i="4"/>
  <c r="O121" i="4"/>
  <c r="O136" i="4"/>
  <c r="O146" i="4"/>
  <c r="O115" i="4"/>
  <c r="O133" i="4"/>
  <c r="O142" i="4"/>
  <c r="O139" i="4"/>
  <c r="O171" i="4"/>
  <c r="O38" i="4"/>
  <c r="O256" i="4"/>
  <c r="O303" i="8"/>
  <c r="O120" i="8"/>
  <c r="O335" i="8"/>
  <c r="O339" i="8"/>
  <c r="O343" i="8"/>
  <c r="O347" i="8"/>
  <c r="O351" i="8"/>
  <c r="O355" i="8"/>
  <c r="O359" i="8"/>
  <c r="O628" i="8"/>
  <c r="O632" i="8"/>
  <c r="O636" i="8"/>
  <c r="O641" i="8"/>
  <c r="O646" i="8"/>
  <c r="O650" i="8"/>
  <c r="O307" i="8"/>
  <c r="O312" i="8"/>
  <c r="O316" i="8"/>
  <c r="O320" i="8"/>
  <c r="O324" i="8"/>
  <c r="O328" i="8"/>
  <c r="O342" i="8"/>
  <c r="O479" i="8"/>
  <c r="O536" i="8"/>
  <c r="O654" i="8"/>
  <c r="O658" i="8"/>
  <c r="O467" i="8"/>
  <c r="O480" i="8"/>
  <c r="O566" i="8"/>
  <c r="O570" i="8"/>
  <c r="O727" i="8"/>
  <c r="O731" i="8"/>
  <c r="O735" i="8"/>
  <c r="O269" i="8"/>
  <c r="O662" i="8"/>
  <c r="O667" i="8"/>
  <c r="O671" i="8"/>
  <c r="O676" i="8"/>
  <c r="O680" i="8"/>
  <c r="O685" i="8"/>
  <c r="O689" i="8"/>
  <c r="O694" i="8"/>
  <c r="O698" i="8"/>
  <c r="O702" i="8"/>
  <c r="O706" i="8"/>
  <c r="O710" i="8"/>
  <c r="O714" i="8"/>
  <c r="O719" i="8"/>
  <c r="O723" i="8"/>
  <c r="O332" i="8"/>
  <c r="O18" i="8"/>
  <c r="O30" i="8"/>
  <c r="O35" i="8"/>
  <c r="O44" i="8"/>
  <c r="O48" i="8"/>
  <c r="O52" i="8"/>
  <c r="O56" i="8"/>
  <c r="O60" i="8"/>
  <c r="O64" i="8"/>
  <c r="O80" i="8"/>
  <c r="O84" i="8"/>
  <c r="O88" i="8"/>
  <c r="O92" i="8"/>
  <c r="O96" i="8"/>
  <c r="O100" i="8"/>
  <c r="O104" i="8"/>
  <c r="O108" i="8"/>
  <c r="O121" i="8"/>
  <c r="O130" i="8"/>
  <c r="O139" i="8"/>
  <c r="O152" i="8"/>
  <c r="O156" i="8"/>
  <c r="O160" i="8"/>
  <c r="O164" i="8"/>
  <c r="O176" i="8"/>
  <c r="O183" i="8"/>
  <c r="O187" i="8"/>
  <c r="O192" i="8"/>
  <c r="O201" i="8"/>
  <c r="O205" i="8"/>
  <c r="O210" i="8"/>
  <c r="O214" i="8"/>
  <c r="O222" i="8"/>
  <c r="O226" i="8"/>
  <c r="O230" i="8"/>
  <c r="O234" i="8"/>
  <c r="O238" i="8"/>
  <c r="O243" i="8"/>
  <c r="O247" i="8"/>
  <c r="O260" i="8"/>
  <c r="O264" i="8"/>
  <c r="O272" i="8"/>
  <c r="O276" i="8"/>
  <c r="O284" i="8"/>
  <c r="O289" i="8"/>
  <c r="O297" i="8"/>
  <c r="O301" i="8"/>
  <c r="O309" i="8"/>
  <c r="O314" i="8"/>
  <c r="O318" i="8"/>
  <c r="O322" i="8"/>
  <c r="O326" i="8"/>
  <c r="O330" i="8"/>
  <c r="O336" i="8"/>
  <c r="O340" i="8"/>
  <c r="O344" i="8"/>
  <c r="O348" i="8"/>
  <c r="O352" i="8"/>
  <c r="O53" i="8"/>
  <c r="O16" i="8"/>
  <c r="O20" i="8"/>
  <c r="O24" i="8"/>
  <c r="O28" i="8"/>
  <c r="O32" i="8"/>
  <c r="O37" i="8"/>
  <c r="O42" i="8"/>
  <c r="O50" i="8"/>
  <c r="O54" i="8"/>
  <c r="O58" i="8"/>
  <c r="O62" i="8"/>
  <c r="O66" i="8"/>
  <c r="O70" i="8"/>
  <c r="O74" i="8"/>
  <c r="O82" i="8"/>
  <c r="O86" i="8"/>
  <c r="O90" i="8"/>
  <c r="O94" i="8"/>
  <c r="O98" i="8"/>
  <c r="O102" i="8"/>
  <c r="O106" i="8"/>
  <c r="O110" i="8"/>
  <c r="O115" i="8"/>
  <c r="O128" i="8"/>
  <c r="O132" i="8"/>
  <c r="O141" i="8"/>
  <c r="O145" i="8"/>
  <c r="O158" i="8"/>
  <c r="O162" i="8"/>
  <c r="O166" i="8"/>
  <c r="O174" i="8"/>
  <c r="O181" i="8"/>
  <c r="O199" i="8"/>
  <c r="O203" i="8"/>
  <c r="O212" i="8"/>
  <c r="O216" i="8"/>
  <c r="O224" i="8"/>
  <c r="O228" i="8"/>
  <c r="O236" i="8"/>
  <c r="O240" i="8"/>
  <c r="O245" i="8"/>
  <c r="O249" i="8"/>
  <c r="O258" i="8"/>
  <c r="O262" i="8"/>
  <c r="O270" i="8"/>
  <c r="O282" i="8"/>
  <c r="O291" i="8"/>
  <c r="O295" i="8"/>
  <c r="O338" i="8"/>
  <c r="O396" i="8"/>
  <c r="O363" i="8"/>
  <c r="O356" i="8"/>
  <c r="O364" i="8"/>
  <c r="O368" i="8"/>
  <c r="O377" i="8"/>
  <c r="O381" i="8"/>
  <c r="O385" i="8"/>
  <c r="O389" i="8"/>
  <c r="O398" i="8"/>
  <c r="O402" i="8"/>
  <c r="O407" i="8"/>
  <c r="O411" i="8"/>
  <c r="O415" i="8"/>
  <c r="O419" i="8"/>
  <c r="O423" i="8"/>
  <c r="O427" i="8"/>
  <c r="O431" i="8"/>
  <c r="O435" i="8"/>
  <c r="O448" i="8"/>
  <c r="O452" i="8"/>
  <c r="O456" i="8"/>
  <c r="O460" i="8"/>
  <c r="O464" i="8"/>
  <c r="O468" i="8"/>
  <c r="O472" i="8"/>
  <c r="O476" i="8"/>
  <c r="O481" i="8"/>
  <c r="O485" i="8"/>
  <c r="O489" i="8"/>
  <c r="O493" i="8"/>
  <c r="O498" i="8"/>
  <c r="O502" i="8"/>
  <c r="O506" i="8"/>
  <c r="O510" i="8"/>
  <c r="O518" i="8"/>
  <c r="O526" i="8"/>
  <c r="O530" i="8"/>
  <c r="O534" i="8"/>
  <c r="O538" i="8"/>
  <c r="O543" i="8"/>
  <c r="O547" i="8"/>
  <c r="O555" i="8"/>
  <c r="O559" i="8"/>
  <c r="O571" i="8"/>
  <c r="O575" i="8"/>
  <c r="O579" i="8"/>
  <c r="O588" i="8"/>
  <c r="O592" i="8"/>
  <c r="O596" i="8"/>
  <c r="O604" i="8"/>
  <c r="O609" i="8"/>
  <c r="O617" i="8"/>
  <c r="O621" i="8"/>
  <c r="O627" i="8"/>
  <c r="O631" i="8"/>
  <c r="O635" i="8"/>
  <c r="O640" i="8"/>
  <c r="O645" i="8"/>
  <c r="O649" i="8"/>
  <c r="O653" i="8"/>
  <c r="O657" i="8"/>
  <c r="O661" i="8"/>
  <c r="O666" i="8"/>
  <c r="O670" i="8"/>
  <c r="O675" i="8"/>
  <c r="O679" i="8"/>
  <c r="O683" i="8"/>
  <c r="O688" i="8"/>
  <c r="O693" i="8"/>
  <c r="O697" i="8"/>
  <c r="O701" i="8"/>
  <c r="O718" i="8"/>
  <c r="O722" i="8"/>
  <c r="O726" i="8"/>
  <c r="O730" i="8"/>
  <c r="O734" i="8"/>
  <c r="O18" i="6"/>
  <c r="O30" i="6"/>
  <c r="O39" i="6"/>
  <c r="O44" i="6"/>
  <c r="O48" i="6"/>
  <c r="O56" i="6"/>
  <c r="O60" i="6"/>
  <c r="O64" i="6"/>
  <c r="O68" i="6"/>
  <c r="O72" i="6"/>
  <c r="O76" i="6"/>
  <c r="O80" i="6"/>
  <c r="O84" i="6"/>
  <c r="O92" i="6"/>
  <c r="O96" i="6"/>
  <c r="O104" i="6"/>
  <c r="O108" i="6"/>
  <c r="O117" i="6"/>
  <c r="O121" i="6"/>
  <c r="O126" i="6"/>
  <c r="O130" i="6"/>
  <c r="O135" i="6"/>
  <c r="O143" i="6"/>
  <c r="O152" i="6"/>
  <c r="O156" i="6"/>
  <c r="O160" i="6"/>
  <c r="O164" i="6"/>
  <c r="O168" i="6"/>
  <c r="O183" i="6"/>
  <c r="O196" i="6"/>
  <c r="O201" i="6"/>
  <c r="O214" i="6"/>
  <c r="O247" i="6"/>
  <c r="O260" i="6"/>
  <c r="O264" i="6"/>
  <c r="O441" i="6"/>
  <c r="O272" i="6"/>
  <c r="O284" i="6"/>
  <c r="O293" i="6"/>
  <c r="O297" i="6"/>
  <c r="O301" i="6"/>
  <c r="O309" i="6"/>
  <c r="O314" i="6"/>
  <c r="O322" i="6"/>
  <c r="O330" i="6"/>
  <c r="O336" i="6"/>
  <c r="O340" i="6"/>
  <c r="O356" i="6"/>
  <c r="O360" i="6"/>
  <c r="O364" i="6"/>
  <c r="O368" i="6"/>
  <c r="O385" i="6"/>
  <c r="O402" i="6"/>
  <c r="O411" i="6"/>
  <c r="O419" i="6"/>
  <c r="O423" i="6"/>
  <c r="O431" i="6"/>
  <c r="O435" i="6"/>
  <c r="O444" i="6"/>
  <c r="O448" i="6"/>
  <c r="O452" i="6"/>
  <c r="O456" i="6"/>
  <c r="O460" i="6"/>
  <c r="O464" i="6"/>
  <c r="O468" i="6"/>
  <c r="O472" i="6"/>
  <c r="O476" i="6"/>
  <c r="O485" i="6"/>
  <c r="O489" i="6"/>
  <c r="O498" i="6"/>
  <c r="O502" i="6"/>
  <c r="O506" i="6"/>
  <c r="O510" i="6"/>
  <c r="O514" i="6"/>
  <c r="O518" i="6"/>
  <c r="O522" i="6"/>
  <c r="O530" i="6"/>
  <c r="O534" i="6"/>
  <c r="O543" i="6"/>
  <c r="O551" i="6"/>
  <c r="O555" i="6"/>
  <c r="O563" i="6"/>
  <c r="O567" i="6"/>
  <c r="O575" i="6"/>
  <c r="O579" i="6"/>
  <c r="O584" i="6"/>
  <c r="O592" i="6"/>
  <c r="O596" i="6"/>
  <c r="O600" i="6"/>
  <c r="O604" i="6"/>
  <c r="O617" i="6"/>
  <c r="O627" i="6"/>
  <c r="O631" i="6"/>
  <c r="O635" i="6"/>
  <c r="O640" i="6"/>
  <c r="O649" i="6"/>
  <c r="O653" i="6"/>
  <c r="O661" i="6"/>
  <c r="O666" i="6"/>
  <c r="O670" i="6"/>
  <c r="O675" i="6"/>
  <c r="O679" i="6"/>
  <c r="O683" i="6"/>
  <c r="O688" i="6"/>
  <c r="O697" i="6"/>
  <c r="O701" i="6"/>
  <c r="O731" i="6"/>
  <c r="O721" i="6"/>
  <c r="O725" i="6"/>
  <c r="O737" i="6"/>
  <c r="O29" i="6"/>
  <c r="O43" i="6"/>
  <c r="O55" i="6"/>
  <c r="O67" i="6"/>
  <c r="O79" i="6"/>
  <c r="O91" i="6"/>
  <c r="O103" i="6"/>
  <c r="O171" i="6"/>
  <c r="O186" i="6"/>
  <c r="O209" i="6"/>
  <c r="O221" i="6"/>
  <c r="O233" i="6"/>
  <c r="O246" i="6"/>
  <c r="O255" i="6"/>
  <c r="O347" i="6"/>
  <c r="O463" i="6"/>
  <c r="O505" i="6"/>
  <c r="O583" i="6"/>
  <c r="O717" i="6"/>
  <c r="O52" i="6"/>
  <c r="O100" i="6"/>
  <c r="O112" i="6"/>
  <c r="O139" i="6"/>
  <c r="O210" i="6"/>
  <c r="O222" i="6"/>
  <c r="O234" i="6"/>
  <c r="O243" i="6"/>
  <c r="O344" i="6"/>
  <c r="O427" i="6"/>
  <c r="O439" i="6"/>
  <c r="O481" i="6"/>
  <c r="O493" i="6"/>
  <c r="O526" i="6"/>
  <c r="O538" i="6"/>
  <c r="O547" i="6"/>
  <c r="O559" i="6"/>
  <c r="O571" i="6"/>
  <c r="O588" i="6"/>
  <c r="O609" i="6"/>
  <c r="O613" i="6"/>
  <c r="O621" i="6"/>
  <c r="O645" i="6"/>
  <c r="O657" i="6"/>
  <c r="O693" i="6"/>
  <c r="O705" i="6"/>
  <c r="O88" i="6"/>
  <c r="O735" i="6"/>
  <c r="O109" i="6"/>
  <c r="O127" i="6"/>
  <c r="O148" i="6"/>
  <c r="O198" i="6"/>
  <c r="O294" i="6"/>
  <c r="O445" i="6"/>
  <c r="O511" i="6"/>
  <c r="O535" i="6"/>
  <c r="O601" i="6"/>
  <c r="O610" i="6"/>
  <c r="O618" i="6"/>
  <c r="O31" i="6"/>
  <c r="O136" i="6"/>
  <c r="O736" i="6"/>
  <c r="O115" i="6"/>
  <c r="O174" i="6"/>
  <c r="O185" i="6"/>
  <c r="O245" i="6"/>
  <c r="O258" i="6"/>
  <c r="O270" i="6"/>
  <c r="O282" i="6"/>
  <c r="O303" i="6"/>
  <c r="O354" i="6"/>
  <c r="O433" i="6"/>
  <c r="O487" i="6"/>
  <c r="O504" i="6"/>
  <c r="O553" i="6"/>
  <c r="O633" i="6"/>
  <c r="O681" i="6"/>
  <c r="O123" i="8"/>
  <c r="O149" i="8"/>
  <c r="O190" i="8"/>
  <c r="O208" i="8"/>
  <c r="O232" i="8"/>
  <c r="O266" i="8"/>
  <c r="O278" i="8"/>
  <c r="O287" i="8"/>
  <c r="O299" i="8"/>
  <c r="O78" i="8"/>
  <c r="O119" i="8"/>
  <c r="O137" i="8"/>
  <c r="O185" i="8"/>
  <c r="O194" i="8"/>
  <c r="O220" i="8"/>
  <c r="O254" i="8"/>
  <c r="O51" i="8"/>
  <c r="O59" i="8"/>
  <c r="O75" i="8"/>
  <c r="O95" i="8"/>
  <c r="O111" i="8"/>
  <c r="O138" i="8"/>
  <c r="O182" i="8"/>
  <c r="O317" i="8"/>
  <c r="O329" i="8"/>
  <c r="O63" i="8"/>
  <c r="O87" i="8"/>
  <c r="O125" i="8"/>
  <c r="O195" i="8"/>
  <c r="O39" i="8"/>
  <c r="O112" i="8"/>
  <c r="O135" i="8"/>
  <c r="O143" i="8"/>
  <c r="O147" i="8"/>
  <c r="O172" i="8"/>
  <c r="O196" i="8"/>
  <c r="O218" i="8"/>
  <c r="O27" i="8"/>
  <c r="O65" i="8"/>
  <c r="O89" i="8"/>
  <c r="O101" i="8"/>
  <c r="O113" i="8"/>
  <c r="O148" i="8"/>
  <c r="O161" i="8"/>
  <c r="O184" i="8"/>
  <c r="O244" i="8"/>
  <c r="O257" i="8"/>
  <c r="O367" i="8"/>
  <c r="O371" i="8"/>
  <c r="O376" i="8"/>
  <c r="O380" i="8"/>
  <c r="O397" i="8"/>
  <c r="O401" i="8"/>
  <c r="O414" i="8"/>
  <c r="O418" i="8"/>
  <c r="O422" i="8"/>
  <c r="O426" i="8"/>
  <c r="O430" i="8"/>
  <c r="O434" i="8"/>
  <c r="O438" i="8"/>
  <c r="O443" i="8"/>
  <c r="O455" i="8"/>
  <c r="O459" i="8"/>
  <c r="O463" i="8"/>
  <c r="O484" i="8"/>
  <c r="O488" i="8"/>
  <c r="O492" i="8"/>
  <c r="O497" i="8"/>
  <c r="O501" i="8"/>
  <c r="O505" i="8"/>
  <c r="O509" i="8"/>
  <c r="O521" i="8"/>
  <c r="O525" i="8"/>
  <c r="O546" i="8"/>
  <c r="O550" i="8"/>
  <c r="O562" i="8"/>
  <c r="O574" i="8"/>
  <c r="O578" i="8"/>
  <c r="O583" i="8"/>
  <c r="O587" i="8"/>
  <c r="O595" i="8"/>
  <c r="O599" i="8"/>
  <c r="O608" i="8"/>
  <c r="O612" i="8"/>
  <c r="O616" i="8"/>
  <c r="O620" i="8"/>
  <c r="O626" i="8"/>
  <c r="O630" i="8"/>
  <c r="O634" i="8"/>
  <c r="O644" i="8"/>
  <c r="O656" i="8"/>
  <c r="O665" i="8"/>
  <c r="O673" i="8"/>
  <c r="O678" i="8"/>
  <c r="O682" i="8"/>
  <c r="O687" i="8"/>
  <c r="O691" i="8"/>
  <c r="O696" i="8"/>
  <c r="O700" i="8"/>
  <c r="O704" i="8"/>
  <c r="O717" i="8"/>
  <c r="O725" i="8"/>
  <c r="O729" i="8"/>
  <c r="O733" i="8"/>
  <c r="O737" i="8"/>
  <c r="O256" i="8"/>
  <c r="O268" i="8"/>
  <c r="O293" i="8"/>
  <c r="O305" i="8"/>
  <c r="O360" i="8"/>
  <c r="O372" i="8"/>
  <c r="O522" i="8"/>
  <c r="O551" i="8"/>
  <c r="O563" i="8"/>
  <c r="O613" i="8"/>
  <c r="O341" i="8"/>
  <c r="O378" i="8"/>
  <c r="O390" i="8"/>
  <c r="O420" i="8"/>
  <c r="O503" i="8"/>
  <c r="O515" i="8"/>
  <c r="O531" i="8"/>
  <c r="O589" i="8"/>
  <c r="O601" i="8"/>
  <c r="O346" i="8"/>
  <c r="O354" i="8"/>
  <c r="O358" i="8"/>
  <c r="O362" i="8"/>
  <c r="O366" i="8"/>
  <c r="O370" i="8"/>
  <c r="O374" i="8"/>
  <c r="O379" i="8"/>
  <c r="O383" i="8"/>
  <c r="O387" i="8"/>
  <c r="O400" i="8"/>
  <c r="O404" i="8"/>
  <c r="O413" i="8"/>
  <c r="O417" i="8"/>
  <c r="O421" i="8"/>
  <c r="O425" i="8"/>
  <c r="O433" i="8"/>
  <c r="O437" i="8"/>
  <c r="O442" i="8"/>
  <c r="O446" i="8"/>
  <c r="O450" i="8"/>
  <c r="O454" i="8"/>
  <c r="O458" i="8"/>
  <c r="O462" i="8"/>
  <c r="O466" i="8"/>
  <c r="O470" i="8"/>
  <c r="O474" i="8"/>
  <c r="O483" i="8"/>
  <c r="O487" i="8"/>
  <c r="O491" i="8"/>
  <c r="O496" i="8"/>
  <c r="O500" i="8"/>
  <c r="O504" i="8"/>
  <c r="O512" i="8"/>
  <c r="O516" i="8"/>
  <c r="O520" i="8"/>
  <c r="O524" i="8"/>
  <c r="O528" i="8"/>
  <c r="O532" i="8"/>
  <c r="O541" i="8"/>
  <c r="O545" i="8"/>
  <c r="O549" i="8"/>
  <c r="O553" i="8"/>
  <c r="O557" i="8"/>
  <c r="O561" i="8"/>
  <c r="O565" i="8"/>
  <c r="O569" i="8"/>
  <c r="O573" i="8"/>
  <c r="O577" i="8"/>
  <c r="O582" i="8"/>
  <c r="O586" i="8"/>
  <c r="O598" i="8"/>
  <c r="O607" i="8"/>
  <c r="O611" i="8"/>
  <c r="O615" i="8"/>
  <c r="O619" i="8"/>
  <c r="O623" i="8"/>
  <c r="O629" i="8"/>
  <c r="O633" i="8"/>
  <c r="O637" i="8"/>
  <c r="O642" i="8"/>
  <c r="O651" i="8"/>
  <c r="O659" i="8"/>
  <c r="O663" i="8"/>
  <c r="O668" i="8"/>
  <c r="O672" i="8"/>
  <c r="O677" i="8"/>
  <c r="O681" i="8"/>
  <c r="O686" i="8"/>
  <c r="O690" i="8"/>
  <c r="O695" i="8"/>
  <c r="O703" i="8"/>
  <c r="O711" i="8"/>
  <c r="O716" i="8"/>
  <c r="O720" i="8"/>
  <c r="O728" i="8"/>
  <c r="O732" i="8"/>
  <c r="O736" i="8"/>
  <c r="I17" i="14"/>
  <c r="O738" i="4"/>
  <c r="O738" i="7"/>
  <c r="I19" i="13"/>
  <c r="O738" i="6"/>
  <c r="O738" i="12"/>
  <c r="O738" i="10"/>
  <c r="O738" i="8"/>
  <c r="O738" i="9"/>
  <c r="O738" i="3"/>
  <c r="I18" i="15"/>
  <c r="J686" i="1"/>
  <c r="J687" i="1"/>
  <c r="J688" i="1"/>
  <c r="J689" i="1"/>
  <c r="J690" i="1"/>
  <c r="J691" i="1"/>
  <c r="J685" i="1"/>
  <c r="J17" i="1"/>
  <c r="J18" i="1"/>
  <c r="J19" i="1"/>
  <c r="J20" i="1"/>
  <c r="J21" i="1"/>
  <c r="J22" i="1"/>
  <c r="J23" i="1"/>
  <c r="J24" i="1"/>
  <c r="J25" i="1"/>
  <c r="J26" i="1"/>
  <c r="J27" i="1"/>
  <c r="J28" i="1"/>
  <c r="J29" i="1"/>
  <c r="J30" i="1"/>
  <c r="J31" i="1"/>
  <c r="J32" i="1"/>
  <c r="J34" i="1"/>
  <c r="J35" i="1"/>
  <c r="J36" i="1"/>
  <c r="J37" i="1"/>
  <c r="J38" i="1"/>
  <c r="J39"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5" i="1"/>
  <c r="J116" i="1"/>
  <c r="J117" i="1"/>
  <c r="J118" i="1"/>
  <c r="J119" i="1"/>
  <c r="J120" i="1"/>
  <c r="J121" i="1"/>
  <c r="J122" i="1"/>
  <c r="J123" i="1"/>
  <c r="J125" i="1"/>
  <c r="J126" i="1"/>
  <c r="J127" i="1"/>
  <c r="J128" i="1"/>
  <c r="J129" i="1"/>
  <c r="J130" i="1"/>
  <c r="J131" i="1"/>
  <c r="J132" i="1"/>
  <c r="J133" i="1"/>
  <c r="J135" i="1"/>
  <c r="J136" i="1"/>
  <c r="J137" i="1"/>
  <c r="J138" i="1"/>
  <c r="J139" i="1"/>
  <c r="J140" i="1"/>
  <c r="J141" i="1"/>
  <c r="J142" i="1"/>
  <c r="J143" i="1"/>
  <c r="J144" i="1"/>
  <c r="J145" i="1"/>
  <c r="J146" i="1"/>
  <c r="J147" i="1"/>
  <c r="J148" i="1"/>
  <c r="J149" i="1"/>
  <c r="J151" i="1"/>
  <c r="J152" i="1"/>
  <c r="J153" i="1"/>
  <c r="J154" i="1"/>
  <c r="J155" i="1"/>
  <c r="J156" i="1"/>
  <c r="J157" i="1"/>
  <c r="J158" i="1"/>
  <c r="J159" i="1"/>
  <c r="J160" i="1"/>
  <c r="J161" i="1"/>
  <c r="J162" i="1"/>
  <c r="J163" i="1"/>
  <c r="J164" i="1"/>
  <c r="J165" i="1"/>
  <c r="J166" i="1"/>
  <c r="J167" i="1"/>
  <c r="J168" i="1"/>
  <c r="J169" i="1"/>
  <c r="J171" i="1"/>
  <c r="J172" i="1"/>
  <c r="J173" i="1"/>
  <c r="J174" i="1"/>
  <c r="J175" i="1"/>
  <c r="J176" i="1"/>
  <c r="J180" i="1"/>
  <c r="J181" i="1"/>
  <c r="J182" i="1"/>
  <c r="J183" i="1"/>
  <c r="J184" i="1"/>
  <c r="J185" i="1"/>
  <c r="J186" i="1"/>
  <c r="J187" i="1"/>
  <c r="J189" i="1"/>
  <c r="J190" i="1"/>
  <c r="J191" i="1"/>
  <c r="J192" i="1"/>
  <c r="J193" i="1"/>
  <c r="J194" i="1"/>
  <c r="J195" i="1"/>
  <c r="J196" i="1"/>
  <c r="J198" i="1"/>
  <c r="J199" i="1"/>
  <c r="J200" i="1"/>
  <c r="J201" i="1"/>
  <c r="J202" i="1"/>
  <c r="J203" i="1"/>
  <c r="J204" i="1"/>
  <c r="J205" i="1"/>
  <c r="J206"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3" i="1"/>
  <c r="J244" i="1"/>
  <c r="J245" i="1"/>
  <c r="J246" i="1"/>
  <c r="J247" i="1"/>
  <c r="J248" i="1"/>
  <c r="J249" i="1"/>
  <c r="J250" i="1"/>
  <c r="J251" i="1"/>
  <c r="J252"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7" i="1"/>
  <c r="J288" i="1"/>
  <c r="J289" i="1"/>
  <c r="J290" i="1"/>
  <c r="J291" i="1"/>
  <c r="J292" i="1"/>
  <c r="J293" i="1"/>
  <c r="J294" i="1"/>
  <c r="J295" i="1"/>
  <c r="J296" i="1"/>
  <c r="J297" i="1"/>
  <c r="J298" i="1"/>
  <c r="J299" i="1"/>
  <c r="J300" i="1"/>
  <c r="J301" i="1"/>
  <c r="J302" i="1"/>
  <c r="J303" i="1"/>
  <c r="J304" i="1"/>
  <c r="J305" i="1"/>
  <c r="J306" i="1"/>
  <c r="J307" i="1"/>
  <c r="J308" i="1"/>
  <c r="J309" i="1"/>
  <c r="J310" i="1"/>
  <c r="J312" i="1"/>
  <c r="J313" i="1"/>
  <c r="J314" i="1"/>
  <c r="J315" i="1"/>
  <c r="J316" i="1"/>
  <c r="J317" i="1"/>
  <c r="J318" i="1"/>
  <c r="J319" i="1"/>
  <c r="J320" i="1"/>
  <c r="J321" i="1"/>
  <c r="J322" i="1"/>
  <c r="J323" i="1"/>
  <c r="J324" i="1"/>
  <c r="J325" i="1"/>
  <c r="J326" i="1"/>
  <c r="J327" i="1"/>
  <c r="J328" i="1"/>
  <c r="J329" i="1"/>
  <c r="J330" i="1"/>
  <c r="J331" i="1"/>
  <c r="J332"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6" i="1"/>
  <c r="J377" i="1"/>
  <c r="J378" i="1"/>
  <c r="J379" i="1"/>
  <c r="J380" i="1"/>
  <c r="J381" i="1"/>
  <c r="J382" i="1"/>
  <c r="J383" i="1"/>
  <c r="J384" i="1"/>
  <c r="J385" i="1"/>
  <c r="J386" i="1"/>
  <c r="J387" i="1"/>
  <c r="J388" i="1"/>
  <c r="J389" i="1"/>
  <c r="J390" i="1"/>
  <c r="J391" i="1"/>
  <c r="J392" i="1"/>
  <c r="J393" i="1"/>
  <c r="J395" i="1"/>
  <c r="J396" i="1"/>
  <c r="J397" i="1"/>
  <c r="J398" i="1"/>
  <c r="J399" i="1"/>
  <c r="J400" i="1"/>
  <c r="J401" i="1"/>
  <c r="J402" i="1"/>
  <c r="J403" i="1"/>
  <c r="J404" i="1"/>
  <c r="J405"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8" i="1"/>
  <c r="J479" i="1"/>
  <c r="J480" i="1"/>
  <c r="J481" i="1"/>
  <c r="J482" i="1"/>
  <c r="J483" i="1"/>
  <c r="J484" i="1"/>
  <c r="J485" i="1"/>
  <c r="J486" i="1"/>
  <c r="J487" i="1"/>
  <c r="J488" i="1"/>
  <c r="J489" i="1"/>
  <c r="J490" i="1"/>
  <c r="J491" i="1"/>
  <c r="J492" i="1"/>
  <c r="J493" i="1"/>
  <c r="J494"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2" i="1"/>
  <c r="J583" i="1"/>
  <c r="J584" i="1"/>
  <c r="J585" i="1"/>
  <c r="J586" i="1"/>
  <c r="J587" i="1"/>
  <c r="J588" i="1"/>
  <c r="J589" i="1"/>
  <c r="J590" i="1"/>
  <c r="J591" i="1"/>
  <c r="J592" i="1"/>
  <c r="J593" i="1"/>
  <c r="J594" i="1"/>
  <c r="J595" i="1"/>
  <c r="J596" i="1"/>
  <c r="J597" i="1"/>
  <c r="J598" i="1"/>
  <c r="J599" i="1"/>
  <c r="J600" i="1"/>
  <c r="J601" i="1"/>
  <c r="J602" i="1"/>
  <c r="J603" i="1"/>
  <c r="J604" i="1"/>
  <c r="J606" i="1"/>
  <c r="J607" i="1"/>
  <c r="J608" i="1"/>
  <c r="J609" i="1"/>
  <c r="J610" i="1"/>
  <c r="J611" i="1"/>
  <c r="J612" i="1"/>
  <c r="J613" i="1"/>
  <c r="J614" i="1"/>
  <c r="J615" i="1"/>
  <c r="J616" i="1"/>
  <c r="J617" i="1"/>
  <c r="J618" i="1"/>
  <c r="J619" i="1"/>
  <c r="J620" i="1"/>
  <c r="J621" i="1"/>
  <c r="J622" i="1"/>
  <c r="J623" i="1"/>
  <c r="J626" i="1"/>
  <c r="J627" i="1"/>
  <c r="J628" i="1"/>
  <c r="J629" i="1"/>
  <c r="J630" i="1"/>
  <c r="J631" i="1"/>
  <c r="J632" i="1"/>
  <c r="J633" i="1"/>
  <c r="J634" i="1"/>
  <c r="J635" i="1"/>
  <c r="J636" i="1"/>
  <c r="J637" i="1"/>
  <c r="J639" i="1"/>
  <c r="J640" i="1"/>
  <c r="J641" i="1"/>
  <c r="J642" i="1"/>
  <c r="J644" i="1"/>
  <c r="J645" i="1"/>
  <c r="J646" i="1"/>
  <c r="J647" i="1"/>
  <c r="J648" i="1"/>
  <c r="J649" i="1"/>
  <c r="J650" i="1"/>
  <c r="J651" i="1"/>
  <c r="J652" i="1"/>
  <c r="J653" i="1"/>
  <c r="J654" i="1"/>
  <c r="J655" i="1"/>
  <c r="J656" i="1"/>
  <c r="J657" i="1"/>
  <c r="J658" i="1"/>
  <c r="J659" i="1"/>
  <c r="J660" i="1"/>
  <c r="J661" i="1"/>
  <c r="J662" i="1"/>
  <c r="J663" i="1"/>
  <c r="J665" i="1"/>
  <c r="J666" i="1"/>
  <c r="J667" i="1"/>
  <c r="J668" i="1"/>
  <c r="J669" i="1"/>
  <c r="J670" i="1"/>
  <c r="J671" i="1"/>
  <c r="J672" i="1"/>
  <c r="J673" i="1"/>
  <c r="J675" i="1"/>
  <c r="J676" i="1"/>
  <c r="J677" i="1"/>
  <c r="J678" i="1"/>
  <c r="J679" i="1"/>
  <c r="J680" i="1"/>
  <c r="J681" i="1"/>
  <c r="J682" i="1"/>
  <c r="J683" i="1"/>
  <c r="J693" i="1"/>
  <c r="J694" i="1"/>
  <c r="J695" i="1"/>
  <c r="J696" i="1"/>
  <c r="J697" i="1"/>
  <c r="J698" i="1"/>
  <c r="J699" i="1"/>
  <c r="J700" i="1"/>
  <c r="J701" i="1"/>
  <c r="J702" i="1"/>
  <c r="J703" i="1"/>
  <c r="J704" i="1"/>
  <c r="J705" i="1"/>
  <c r="J706" i="1"/>
  <c r="J707" i="1"/>
  <c r="J708" i="1"/>
  <c r="J709" i="1"/>
  <c r="J710" i="1"/>
  <c r="J711" i="1"/>
  <c r="J712" i="1"/>
  <c r="J713" i="1"/>
  <c r="J714" i="1"/>
  <c r="J716" i="1"/>
  <c r="J717" i="1"/>
  <c r="J718" i="1"/>
  <c r="J719" i="1"/>
  <c r="J720" i="1"/>
  <c r="J721" i="1"/>
  <c r="J722" i="1"/>
  <c r="J723" i="1"/>
  <c r="J724" i="1"/>
  <c r="J725" i="1"/>
  <c r="J726" i="1"/>
  <c r="J727" i="1"/>
  <c r="J728" i="1"/>
  <c r="J729" i="1"/>
  <c r="J730" i="1"/>
  <c r="J731" i="1"/>
  <c r="J732" i="1"/>
  <c r="J733" i="1"/>
  <c r="J734" i="1"/>
  <c r="J735" i="1"/>
  <c r="J736" i="1"/>
  <c r="J737" i="1"/>
  <c r="J16" i="1"/>
  <c r="O118" i="7" l="1"/>
  <c r="O321" i="12"/>
  <c r="O131" i="12"/>
  <c r="O117" i="12"/>
  <c r="O172" i="12"/>
  <c r="O147" i="12"/>
  <c r="O173" i="12"/>
  <c r="O172" i="10"/>
  <c r="O137" i="10"/>
  <c r="O119" i="9"/>
  <c r="O145" i="3"/>
  <c r="O130" i="10"/>
  <c r="O144" i="10"/>
  <c r="O322" i="10"/>
  <c r="O690" i="10"/>
  <c r="O116" i="10"/>
  <c r="O117" i="10"/>
  <c r="O324" i="10"/>
  <c r="O129" i="10"/>
  <c r="O118" i="10"/>
  <c r="O119" i="10"/>
  <c r="O142" i="10"/>
  <c r="O129" i="9"/>
  <c r="O116" i="9"/>
  <c r="O142" i="9"/>
  <c r="O121" i="3"/>
  <c r="O135" i="10"/>
  <c r="O144" i="9"/>
  <c r="O117" i="3"/>
  <c r="O118" i="3"/>
  <c r="O139" i="10"/>
  <c r="O142" i="3"/>
  <c r="O37" i="3"/>
  <c r="O320" i="9"/>
  <c r="O173" i="9"/>
  <c r="O115" i="9"/>
  <c r="O639" i="3"/>
  <c r="O371" i="9"/>
  <c r="O146" i="10"/>
  <c r="O143" i="9"/>
  <c r="O143" i="3"/>
  <c r="O125" i="10"/>
  <c r="O641" i="10"/>
  <c r="O160" i="10"/>
  <c r="O316" i="10"/>
  <c r="O122" i="10"/>
  <c r="O430" i="10"/>
  <c r="O320" i="10"/>
  <c r="O126" i="10"/>
  <c r="O37" i="10"/>
  <c r="O128" i="10"/>
  <c r="O148" i="10"/>
  <c r="O115" i="10"/>
  <c r="O127" i="10"/>
  <c r="O319" i="10"/>
  <c r="O123" i="10"/>
  <c r="O121" i="10"/>
  <c r="O639" i="10"/>
  <c r="O120" i="10"/>
  <c r="O171" i="9"/>
  <c r="O131" i="3"/>
  <c r="O147" i="9"/>
  <c r="O147" i="3"/>
  <c r="O131" i="9"/>
  <c r="O319" i="9"/>
  <c r="O125" i="9"/>
  <c r="O136" i="9"/>
  <c r="O126" i="9"/>
  <c r="O130" i="9"/>
  <c r="O133" i="9"/>
  <c r="O139" i="9"/>
  <c r="O152" i="9"/>
  <c r="O128" i="9"/>
  <c r="O141" i="9"/>
  <c r="O330" i="9"/>
  <c r="O322" i="3"/>
  <c r="O160" i="3"/>
  <c r="O172" i="3"/>
  <c r="O129" i="3"/>
  <c r="O171" i="3"/>
  <c r="O144" i="3"/>
  <c r="O516" i="6"/>
  <c r="O115" i="12"/>
  <c r="O322" i="12"/>
  <c r="O121" i="7"/>
  <c r="O128" i="7"/>
  <c r="O321" i="7"/>
  <c r="O322" i="7"/>
  <c r="O148" i="7"/>
  <c r="O175" i="7"/>
  <c r="O125" i="7"/>
  <c r="O152" i="7"/>
  <c r="O467" i="6"/>
  <c r="O160" i="12"/>
  <c r="O327" i="6"/>
  <c r="O125" i="12"/>
  <c r="O117" i="7"/>
  <c r="O290" i="6"/>
  <c r="O176" i="6"/>
  <c r="O377" i="6"/>
  <c r="O391" i="6"/>
  <c r="O37" i="12"/>
  <c r="O145" i="7"/>
  <c r="O422" i="6"/>
  <c r="O438" i="6"/>
  <c r="O353" i="6"/>
  <c r="O382" i="6"/>
  <c r="O144" i="12"/>
  <c r="O371" i="7"/>
  <c r="O137" i="12"/>
  <c r="O116" i="12"/>
  <c r="O130" i="12"/>
  <c r="O37" i="7"/>
  <c r="O137" i="7"/>
  <c r="O205" i="6"/>
  <c r="O218" i="6"/>
  <c r="O276" i="6"/>
  <c r="O372" i="6"/>
  <c r="O733" i="6"/>
  <c r="O475" i="6"/>
  <c r="O256" i="12"/>
  <c r="O319" i="12"/>
  <c r="O388" i="6"/>
  <c r="O414" i="6"/>
  <c r="O147" i="7"/>
  <c r="O426" i="6"/>
  <c r="O550" i="6"/>
  <c r="O574" i="6"/>
  <c r="O591" i="6"/>
  <c r="O135" i="7"/>
  <c r="O180" i="6"/>
  <c r="O202" i="6"/>
  <c r="O357" i="6"/>
  <c r="O365" i="6"/>
  <c r="O378" i="6"/>
  <c r="O386" i="6"/>
  <c r="O138" i="7"/>
  <c r="O139" i="12"/>
  <c r="O143" i="12"/>
  <c r="O641" i="12"/>
  <c r="O690" i="7"/>
  <c r="O127" i="7"/>
  <c r="O123" i="7"/>
  <c r="O319" i="7"/>
  <c r="O171" i="7"/>
  <c r="O417" i="6"/>
  <c r="O425" i="6"/>
  <c r="O172" i="6"/>
  <c r="O226" i="6"/>
  <c r="O280" i="6"/>
  <c r="O381" i="6"/>
  <c r="O398" i="6"/>
  <c r="O415" i="6"/>
  <c r="O151" i="6"/>
  <c r="O118" i="12"/>
  <c r="O172" i="7"/>
  <c r="O131" i="7"/>
  <c r="O451" i="6"/>
  <c r="O525" i="6"/>
  <c r="O542" i="6"/>
  <c r="O566" i="6"/>
  <c r="O252" i="6"/>
  <c r="O412" i="6"/>
  <c r="O123" i="12"/>
  <c r="O324" i="12"/>
  <c r="O371" i="12"/>
  <c r="O140" i="12"/>
  <c r="O430" i="7"/>
  <c r="O130" i="7"/>
  <c r="O187" i="6"/>
  <c r="O393" i="6"/>
  <c r="O595" i="6"/>
  <c r="O497" i="6"/>
  <c r="O570" i="6"/>
  <c r="O17" i="6"/>
  <c r="O239" i="6"/>
  <c r="O341" i="6"/>
  <c r="O120" i="7"/>
  <c r="O116" i="7"/>
  <c r="O146" i="12"/>
  <c r="O140" i="7"/>
  <c r="O316" i="7"/>
  <c r="O729" i="6"/>
  <c r="O403" i="6"/>
  <c r="O401" i="6"/>
  <c r="O133" i="7"/>
  <c r="O501" i="6"/>
  <c r="O144" i="7"/>
  <c r="O302" i="6"/>
  <c r="O395" i="6"/>
  <c r="O126" i="12"/>
  <c r="O129" i="7"/>
  <c r="O160" i="7"/>
  <c r="O348" i="6"/>
  <c r="O703" i="6"/>
  <c r="O450" i="6"/>
  <c r="O466" i="6"/>
  <c r="O474" i="6"/>
  <c r="O491" i="6"/>
  <c r="O500" i="6"/>
  <c r="O524" i="6"/>
  <c r="O541" i="6"/>
  <c r="O549" i="6"/>
  <c r="O565" i="6"/>
  <c r="O573" i="6"/>
  <c r="O590" i="6"/>
  <c r="O598" i="6"/>
  <c r="O615" i="6"/>
  <c r="O623" i="6"/>
  <c r="O642" i="6"/>
  <c r="O668" i="6"/>
  <c r="O599" i="6"/>
  <c r="O616" i="6"/>
  <c r="O620" i="6"/>
  <c r="O626" i="6"/>
  <c r="O644" i="6"/>
  <c r="O648" i="6"/>
  <c r="O652" i="6"/>
  <c r="O27" i="6"/>
  <c r="O32" i="6"/>
  <c r="O447" i="6"/>
  <c r="O673" i="6"/>
  <c r="O700" i="6"/>
  <c r="O704" i="6"/>
  <c r="O22" i="6"/>
  <c r="O26" i="6"/>
  <c r="O35" i="6"/>
  <c r="O352" i="6"/>
  <c r="O407" i="6"/>
  <c r="O163" i="6"/>
  <c r="O28" i="6"/>
  <c r="O37" i="9"/>
  <c r="O431" i="9"/>
  <c r="O687" i="9"/>
  <c r="O608" i="9"/>
  <c r="O533" i="9"/>
  <c r="O459" i="9"/>
  <c r="O384" i="9"/>
  <c r="O154" i="9"/>
  <c r="O659" i="9"/>
  <c r="O433" i="9"/>
  <c r="O208" i="9"/>
  <c r="O127" i="9"/>
  <c r="O53" i="9"/>
  <c r="O698" i="9"/>
  <c r="O618" i="9"/>
  <c r="O164" i="9"/>
  <c r="O722" i="9"/>
  <c r="O330" i="10"/>
  <c r="O256" i="10"/>
  <c r="O149" i="3"/>
  <c r="O126" i="3"/>
  <c r="O641" i="3"/>
  <c r="O146" i="3"/>
  <c r="O650" i="3"/>
  <c r="O499" i="3"/>
  <c r="O349" i="3"/>
  <c r="O273" i="3"/>
  <c r="O17" i="3"/>
  <c r="O566" i="9"/>
  <c r="O418" i="9"/>
  <c r="O343" i="9"/>
  <c r="O191" i="9"/>
  <c r="O110" i="9"/>
  <c r="O602" i="9"/>
  <c r="O528" i="9"/>
  <c r="O379" i="9"/>
  <c r="O228" i="9"/>
  <c r="O148" i="9"/>
  <c r="O73" i="9"/>
  <c r="O641" i="9"/>
  <c r="O564" i="9"/>
  <c r="O341" i="9"/>
  <c r="O544" i="9"/>
  <c r="O116" i="3"/>
  <c r="O175" i="9"/>
  <c r="O323" i="3"/>
  <c r="O690" i="3"/>
  <c r="O128" i="3"/>
  <c r="O127" i="3"/>
  <c r="O137" i="3"/>
  <c r="O135" i="3"/>
  <c r="O669" i="9"/>
  <c r="O292" i="9"/>
  <c r="O629" i="9"/>
  <c r="O553" i="9"/>
  <c r="O404" i="9"/>
  <c r="O328" i="9"/>
  <c r="O254" i="9"/>
  <c r="O174" i="9"/>
  <c r="O97" i="9"/>
  <c r="O23" i="9"/>
  <c r="O589" i="9"/>
  <c r="O515" i="9"/>
  <c r="O290" i="9"/>
  <c r="O627" i="9"/>
  <c r="O551" i="9"/>
  <c r="O476" i="9"/>
  <c r="O326" i="9"/>
  <c r="O172" i="9"/>
  <c r="O95" i="9"/>
  <c r="O21" i="9"/>
  <c r="O587" i="9"/>
  <c r="O132" i="9"/>
  <c r="O703" i="9"/>
  <c r="O324" i="9"/>
  <c r="O19" i="9"/>
  <c r="O436" i="9"/>
  <c r="O361" i="9"/>
  <c r="O285" i="9"/>
  <c r="O555" i="9"/>
  <c r="O571" i="9"/>
  <c r="O498" i="9"/>
  <c r="O423" i="9"/>
  <c r="O348" i="9"/>
  <c r="O43" i="9"/>
  <c r="O268" i="9"/>
  <c r="O634" i="9"/>
  <c r="O558" i="9"/>
  <c r="O335" i="9"/>
  <c r="O28" i="9"/>
  <c r="O686" i="9"/>
  <c r="O607" i="9"/>
  <c r="O532" i="9"/>
  <c r="O458" i="9"/>
  <c r="O232" i="9"/>
  <c r="O153" i="9"/>
  <c r="O77" i="9"/>
  <c r="O646" i="9"/>
  <c r="O568" i="9"/>
  <c r="O494" i="9"/>
  <c r="O345" i="9"/>
  <c r="O112" i="9"/>
  <c r="O39" i="9"/>
  <c r="O243" i="9"/>
  <c r="O608" i="10"/>
  <c r="O384" i="10"/>
  <c r="O233" i="10"/>
  <c r="O154" i="10"/>
  <c r="O582" i="10"/>
  <c r="O433" i="10"/>
  <c r="O136" i="12"/>
  <c r="O122" i="7"/>
  <c r="O146" i="7"/>
  <c r="O119" i="7"/>
  <c r="O324" i="7"/>
  <c r="O676" i="7"/>
  <c r="O143" i="7"/>
  <c r="O142" i="7"/>
  <c r="O681" i="12"/>
  <c r="O602" i="12"/>
  <c r="O528" i="12"/>
  <c r="O379" i="12"/>
  <c r="O73" i="12"/>
  <c r="O719" i="12"/>
  <c r="O564" i="12"/>
  <c r="O416" i="12"/>
  <c r="O265" i="12"/>
  <c r="O189" i="12"/>
  <c r="O108" i="12"/>
  <c r="O35" i="12"/>
  <c r="O452" i="12"/>
  <c r="O377" i="12"/>
  <c r="O418" i="12"/>
  <c r="O665" i="12"/>
  <c r="O438" i="12"/>
  <c r="O363" i="12"/>
  <c r="O213" i="12"/>
  <c r="O132" i="12"/>
  <c r="O474" i="12"/>
  <c r="O400" i="12"/>
  <c r="O249" i="12"/>
  <c r="O93" i="12"/>
  <c r="O662" i="12"/>
  <c r="O622" i="4"/>
  <c r="O548" i="4"/>
  <c r="O473" i="4"/>
  <c r="O323" i="4"/>
  <c r="O248" i="4"/>
  <c r="O679" i="4"/>
  <c r="O452" i="4"/>
  <c r="O377" i="4"/>
  <c r="O226" i="4"/>
  <c r="O729" i="4"/>
  <c r="O574" i="4"/>
  <c r="O200" i="4"/>
  <c r="O119" i="4"/>
  <c r="O46" i="4"/>
  <c r="O703" i="4"/>
  <c r="O324" i="4"/>
  <c r="O675" i="4"/>
  <c r="O596" i="4"/>
  <c r="O448" i="4"/>
  <c r="O21" i="8"/>
  <c r="O584" i="8"/>
  <c r="O652" i="8"/>
  <c r="O542" i="8"/>
  <c r="O392" i="8"/>
  <c r="O660" i="8"/>
  <c r="O558" i="8"/>
  <c r="O410" i="8"/>
  <c r="O537" i="8"/>
  <c r="O388" i="8"/>
  <c r="O517" i="8"/>
  <c r="O708" i="8"/>
  <c r="O648" i="8"/>
  <c r="O533" i="8"/>
  <c r="O384" i="8"/>
  <c r="O513" i="8"/>
  <c r="O737" i="4"/>
  <c r="O583" i="4"/>
  <c r="O509" i="4"/>
  <c r="O434" i="4"/>
  <c r="O283" i="4"/>
  <c r="O128" i="4"/>
  <c r="O724" i="4"/>
  <c r="O647" i="4"/>
  <c r="O421" i="4"/>
  <c r="O346" i="4"/>
  <c r="O113" i="4"/>
  <c r="O618" i="4"/>
  <c r="O544" i="4"/>
  <c r="O244" i="4"/>
  <c r="O88" i="4"/>
  <c r="O518" i="4"/>
  <c r="O444" i="4"/>
  <c r="O218" i="4"/>
  <c r="O63" i="4"/>
  <c r="O721" i="4"/>
  <c r="O644" i="4"/>
  <c r="O37" i="4"/>
  <c r="O695" i="4"/>
  <c r="O466" i="4"/>
  <c r="O391" i="4"/>
  <c r="O161" i="4"/>
  <c r="O85" i="4"/>
  <c r="O589" i="4"/>
  <c r="O515" i="4"/>
  <c r="O290" i="4"/>
  <c r="O215" i="4"/>
  <c r="O662" i="4"/>
  <c r="O476" i="4"/>
  <c r="O402" i="4"/>
  <c r="O326" i="4"/>
  <c r="O521" i="3"/>
  <c r="O447" i="3"/>
  <c r="O371" i="3"/>
  <c r="O221" i="3"/>
  <c r="O141" i="3"/>
  <c r="O25" i="3"/>
  <c r="O594" i="3"/>
  <c r="O520" i="3"/>
  <c r="O295" i="3"/>
  <c r="O140" i="3"/>
  <c r="O618" i="3"/>
  <c r="O544" i="3"/>
  <c r="O469" i="3"/>
  <c r="O319" i="3"/>
  <c r="O244" i="3"/>
  <c r="O657" i="3"/>
  <c r="O506" i="3"/>
  <c r="O431" i="3"/>
  <c r="O280" i="3"/>
  <c r="O205" i="3"/>
  <c r="O51" i="3"/>
  <c r="O682" i="3"/>
  <c r="O603" i="3"/>
  <c r="O529" i="3"/>
  <c r="O455" i="3"/>
  <c r="O304" i="3"/>
  <c r="O229" i="3"/>
  <c r="O74" i="3"/>
  <c r="O720" i="3"/>
  <c r="O491" i="3"/>
  <c r="O342" i="3"/>
  <c r="O109" i="3"/>
  <c r="O36" i="3"/>
  <c r="O680" i="3"/>
  <c r="O453" i="3"/>
  <c r="O227" i="3"/>
  <c r="O640" i="3"/>
  <c r="O563" i="3"/>
  <c r="O489" i="3"/>
  <c r="O415" i="3"/>
  <c r="O264" i="3"/>
  <c r="O187" i="3"/>
  <c r="O34" i="3"/>
  <c r="O704" i="3"/>
  <c r="O550" i="3"/>
  <c r="O401" i="3"/>
  <c r="O325" i="3"/>
  <c r="O20" i="3"/>
  <c r="O598" i="3"/>
  <c r="O524" i="3"/>
  <c r="O450" i="3"/>
  <c r="O374" i="3"/>
  <c r="O69" i="3"/>
  <c r="O689" i="3"/>
  <c r="O610" i="3"/>
  <c r="O535" i="3"/>
  <c r="O461" i="3"/>
  <c r="O235" i="3"/>
  <c r="O156" i="3"/>
  <c r="O596" i="3"/>
  <c r="O149" i="9"/>
  <c r="O145" i="9"/>
  <c r="O358" i="10"/>
  <c r="O608" i="3"/>
  <c r="O533" i="3"/>
  <c r="O384" i="3"/>
  <c r="O308" i="3"/>
  <c r="O78" i="3"/>
  <c r="O65" i="3"/>
  <c r="O607" i="3"/>
  <c r="O458" i="3"/>
  <c r="O383" i="3"/>
  <c r="O232" i="3"/>
  <c r="O153" i="3"/>
  <c r="O710" i="3"/>
  <c r="O632" i="3"/>
  <c r="O482" i="3"/>
  <c r="O257" i="3"/>
  <c r="O180" i="3"/>
  <c r="O100" i="3"/>
  <c r="O670" i="3"/>
  <c r="O444" i="3"/>
  <c r="O218" i="3"/>
  <c r="O138" i="3"/>
  <c r="O392" i="3"/>
  <c r="O655" i="3"/>
  <c r="O577" i="3"/>
  <c r="O504" i="3"/>
  <c r="O429" i="3"/>
  <c r="O278" i="3"/>
  <c r="O122" i="3"/>
  <c r="O694" i="3"/>
  <c r="O390" i="3"/>
  <c r="O84" i="3"/>
  <c r="O730" i="3"/>
  <c r="O653" i="3"/>
  <c r="O352" i="3"/>
  <c r="O717" i="3"/>
  <c r="O488" i="3"/>
  <c r="O339" i="3"/>
  <c r="O263" i="3"/>
  <c r="O186" i="3"/>
  <c r="O106" i="3"/>
  <c r="O536" i="3"/>
  <c r="O387" i="3"/>
  <c r="O713" i="3"/>
  <c r="O522" i="3"/>
  <c r="O423" i="3"/>
  <c r="O696" i="9"/>
  <c r="O542" i="9"/>
  <c r="O392" i="9"/>
  <c r="O317" i="9"/>
  <c r="O577" i="9"/>
  <c r="O504" i="9"/>
  <c r="O429" i="9"/>
  <c r="O354" i="9"/>
  <c r="O278" i="9"/>
  <c r="O122" i="9"/>
  <c r="O49" i="9"/>
  <c r="O614" i="9"/>
  <c r="O539" i="9"/>
  <c r="O465" i="9"/>
  <c r="O390" i="9"/>
  <c r="O315" i="9"/>
  <c r="O160" i="9"/>
  <c r="O653" i="9"/>
  <c r="O575" i="9"/>
  <c r="O120" i="9"/>
  <c r="O47" i="9"/>
  <c r="O691" i="9"/>
  <c r="O158" i="9"/>
  <c r="O82" i="9"/>
  <c r="O573" i="9"/>
  <c r="O425" i="9"/>
  <c r="O274" i="9"/>
  <c r="O118" i="9"/>
  <c r="O386" i="9"/>
  <c r="O310" i="9"/>
  <c r="O80" i="9"/>
  <c r="O709" i="9"/>
  <c r="O356" i="9"/>
  <c r="O138" i="9"/>
  <c r="O596" i="9"/>
  <c r="O522" i="9"/>
  <c r="O448" i="9"/>
  <c r="O372" i="9"/>
  <c r="O697" i="9"/>
  <c r="O530" i="9"/>
  <c r="O583" i="9"/>
  <c r="O509" i="9"/>
  <c r="O434" i="9"/>
  <c r="O359" i="9"/>
  <c r="O283" i="9"/>
  <c r="O711" i="9"/>
  <c r="O483" i="9"/>
  <c r="O332" i="9"/>
  <c r="O101" i="9"/>
  <c r="O27" i="9"/>
  <c r="O671" i="9"/>
  <c r="O593" i="9"/>
  <c r="O445" i="9"/>
  <c r="O38" i="9"/>
  <c r="O714" i="10"/>
  <c r="O30" i="10"/>
  <c r="O120" i="3"/>
  <c r="O125" i="3"/>
  <c r="O347" i="3"/>
  <c r="O115" i="3"/>
  <c r="O496" i="3"/>
  <c r="O346" i="3"/>
  <c r="O113" i="3"/>
  <c r="O671" i="3"/>
  <c r="O519" i="3"/>
  <c r="O445" i="3"/>
  <c r="O369" i="3"/>
  <c r="O219" i="3"/>
  <c r="O139" i="3"/>
  <c r="O256" i="3"/>
  <c r="O595" i="10"/>
  <c r="O521" i="10"/>
  <c r="O447" i="10"/>
  <c r="O371" i="10"/>
  <c r="O141" i="10"/>
  <c r="O647" i="10"/>
  <c r="O569" i="10"/>
  <c r="O685" i="10"/>
  <c r="O606" i="10"/>
  <c r="O531" i="10"/>
  <c r="O457" i="10"/>
  <c r="O306" i="10"/>
  <c r="O231" i="10"/>
  <c r="O152" i="10"/>
  <c r="O493" i="10"/>
  <c r="O419" i="10"/>
  <c r="O268" i="10"/>
  <c r="O192" i="10"/>
  <c r="O38" i="10"/>
  <c r="O682" i="10"/>
  <c r="O529" i="10"/>
  <c r="O455" i="10"/>
  <c r="O304" i="10"/>
  <c r="O229" i="10"/>
  <c r="O149" i="10"/>
  <c r="O74" i="10"/>
  <c r="O565" i="10"/>
  <c r="O491" i="10"/>
  <c r="O266" i="10"/>
  <c r="O109" i="10"/>
  <c r="O36" i="10"/>
  <c r="O680" i="10"/>
  <c r="O601" i="10"/>
  <c r="O527" i="10"/>
  <c r="O147" i="10"/>
  <c r="O640" i="10"/>
  <c r="O563" i="10"/>
  <c r="O187" i="10"/>
  <c r="O678" i="10"/>
  <c r="O525" i="10"/>
  <c r="O376" i="10"/>
  <c r="O225" i="10"/>
  <c r="O145" i="10"/>
  <c r="O637" i="10"/>
  <c r="O413" i="10"/>
  <c r="O262" i="10"/>
  <c r="O185" i="10"/>
  <c r="O31" i="10"/>
  <c r="O676" i="10"/>
  <c r="O597" i="10"/>
  <c r="O523" i="10"/>
  <c r="O449" i="10"/>
  <c r="O373" i="10"/>
  <c r="O298" i="10"/>
  <c r="O223" i="10"/>
  <c r="O570" i="3"/>
  <c r="O271" i="3"/>
  <c r="O569" i="3"/>
  <c r="O421" i="3"/>
  <c r="O270" i="3"/>
  <c r="O27" i="3"/>
  <c r="O466" i="12"/>
  <c r="O316" i="12"/>
  <c r="O240" i="12"/>
  <c r="O277" i="12"/>
  <c r="O121" i="12"/>
  <c r="O693" i="12"/>
  <c r="O613" i="12"/>
  <c r="O538" i="12"/>
  <c r="O314" i="12"/>
  <c r="O159" i="12"/>
  <c r="O83" i="12"/>
  <c r="O484" i="12"/>
  <c r="O182" i="12"/>
  <c r="O28" i="12"/>
  <c r="O255" i="12"/>
  <c r="O607" i="12"/>
  <c r="O458" i="12"/>
  <c r="O126" i="7"/>
  <c r="O256" i="7"/>
  <c r="O149" i="7"/>
  <c r="O662" i="7"/>
  <c r="O436" i="7"/>
  <c r="O713" i="7"/>
  <c r="O635" i="7"/>
  <c r="O284" i="7"/>
  <c r="O210" i="7"/>
  <c r="O55" i="7"/>
  <c r="O712" i="7"/>
  <c r="O634" i="7"/>
  <c r="O182" i="7"/>
  <c r="O133" i="12"/>
  <c r="O119" i="12"/>
  <c r="O690" i="12"/>
  <c r="O127" i="12"/>
  <c r="O496" i="7"/>
  <c r="O122" i="12"/>
  <c r="O120" i="12"/>
  <c r="O639" i="12"/>
  <c r="O442" i="12"/>
  <c r="O628" i="12"/>
  <c r="O96" i="12"/>
  <c r="O439" i="12"/>
  <c r="O652" i="12"/>
  <c r="O351" i="12"/>
  <c r="O200" i="12"/>
  <c r="O462" i="12"/>
  <c r="O236" i="12"/>
  <c r="O727" i="12"/>
  <c r="O572" i="12"/>
  <c r="O424" i="12"/>
  <c r="O273" i="12"/>
  <c r="O668" i="12"/>
  <c r="O516" i="12"/>
  <c r="O61" i="12"/>
  <c r="O552" i="12"/>
  <c r="O514" i="12"/>
  <c r="O364" i="12"/>
  <c r="O574" i="12"/>
  <c r="O275" i="12"/>
  <c r="O387" i="12"/>
  <c r="O312" i="12"/>
  <c r="O81" i="12"/>
  <c r="O650" i="12"/>
  <c r="O499" i="12"/>
  <c r="O349" i="12"/>
  <c r="O590" i="12"/>
  <c r="O403" i="12"/>
  <c r="O666" i="12"/>
  <c r="O729" i="12"/>
  <c r="O198" i="12"/>
  <c r="O486" i="12"/>
  <c r="O337" i="12"/>
  <c r="O184" i="12"/>
  <c r="O595" i="12"/>
  <c r="O447" i="12"/>
  <c r="O221" i="12"/>
  <c r="O405" i="12"/>
  <c r="O724" i="12"/>
  <c r="O647" i="12"/>
  <c r="O569" i="12"/>
  <c r="O496" i="12"/>
  <c r="O421" i="12"/>
  <c r="O346" i="12"/>
  <c r="O270" i="12"/>
  <c r="O113" i="12"/>
  <c r="O41" i="12"/>
  <c r="O710" i="12"/>
  <c r="O632" i="12"/>
  <c r="O556" i="12"/>
  <c r="O482" i="12"/>
  <c r="O408" i="12"/>
  <c r="O331" i="12"/>
  <c r="O257" i="12"/>
  <c r="O100" i="12"/>
  <c r="O480" i="12"/>
  <c r="O734" i="12"/>
  <c r="O657" i="12"/>
  <c r="O506" i="12"/>
  <c r="O205" i="12"/>
  <c r="O479" i="12"/>
  <c r="O174" i="12"/>
  <c r="O60" i="12"/>
  <c r="O705" i="12"/>
  <c r="O627" i="12"/>
  <c r="O551" i="12"/>
  <c r="O476" i="12"/>
  <c r="O402" i="12"/>
  <c r="O95" i="12"/>
  <c r="O691" i="12"/>
  <c r="O612" i="12"/>
  <c r="O537" i="12"/>
  <c r="O463" i="12"/>
  <c r="O388" i="12"/>
  <c r="O82" i="12"/>
  <c r="O500" i="12"/>
  <c r="O199" i="12"/>
  <c r="O310" i="12"/>
  <c r="O235" i="12"/>
  <c r="O492" i="12"/>
  <c r="O676" i="12"/>
  <c r="O597" i="12"/>
  <c r="O523" i="12"/>
  <c r="O449" i="12"/>
  <c r="O373" i="12"/>
  <c r="O369" i="12"/>
  <c r="O294" i="12"/>
  <c r="O219" i="12"/>
  <c r="O617" i="12"/>
  <c r="O468" i="12"/>
  <c r="O393" i="12"/>
  <c r="O163" i="12"/>
  <c r="O661" i="12"/>
  <c r="O584" i="12"/>
  <c r="O510" i="12"/>
  <c r="O435" i="12"/>
  <c r="O284" i="12"/>
  <c r="O210" i="12"/>
  <c r="O55" i="12"/>
  <c r="O656" i="12"/>
  <c r="O380" i="12"/>
  <c r="O648" i="12"/>
  <c r="O570" i="12"/>
  <c r="O497" i="12"/>
  <c r="O271" i="12"/>
  <c r="O42" i="12"/>
  <c r="O619" i="12"/>
  <c r="O545" i="12"/>
  <c r="O245" i="12"/>
  <c r="O89" i="12"/>
  <c r="O721" i="12"/>
  <c r="O685" i="12"/>
  <c r="O606" i="12"/>
  <c r="O306" i="12"/>
  <c r="O682" i="12"/>
  <c r="O367" i="12"/>
  <c r="O709" i="12"/>
  <c r="O631" i="12"/>
  <c r="O481" i="12"/>
  <c r="O407" i="12"/>
  <c r="O330" i="12"/>
  <c r="O99" i="12"/>
  <c r="O25" i="12"/>
  <c r="O529" i="12"/>
  <c r="O74" i="12"/>
  <c r="O678" i="12"/>
  <c r="O599" i="12"/>
  <c r="O525" i="12"/>
  <c r="O300" i="12"/>
  <c r="O145" i="12"/>
  <c r="O70" i="12"/>
  <c r="O716" i="12"/>
  <c r="O637" i="12"/>
  <c r="O561" i="12"/>
  <c r="O262" i="12"/>
  <c r="O185" i="12"/>
  <c r="O383" i="12"/>
  <c r="O153" i="12"/>
  <c r="O298" i="12"/>
  <c r="O68" i="12"/>
  <c r="O726" i="12"/>
  <c r="O649" i="12"/>
  <c r="O571" i="12"/>
  <c r="O498" i="12"/>
  <c r="O348" i="12"/>
  <c r="O196" i="12"/>
  <c r="O43" i="12"/>
  <c r="O669" i="12"/>
  <c r="O279" i="12"/>
  <c r="O62" i="12"/>
  <c r="O585" i="12"/>
  <c r="O511" i="12"/>
  <c r="O436" i="12"/>
  <c r="O361" i="12"/>
  <c r="O285" i="12"/>
  <c r="O56" i="12"/>
  <c r="O713" i="12"/>
  <c r="O635" i="12"/>
  <c r="O559" i="12"/>
  <c r="O485" i="12"/>
  <c r="O411" i="12"/>
  <c r="O29" i="12"/>
  <c r="O566" i="12"/>
  <c r="O700" i="12"/>
  <c r="O620" i="12"/>
  <c r="O546" i="12"/>
  <c r="O90" i="12"/>
  <c r="O672" i="12"/>
  <c r="O594" i="12"/>
  <c r="O520" i="12"/>
  <c r="O295" i="12"/>
  <c r="O220" i="12"/>
  <c r="O65" i="12"/>
  <c r="O206" i="12"/>
  <c r="O591" i="12"/>
  <c r="O604" i="12"/>
  <c r="O456" i="12"/>
  <c r="O381" i="12"/>
  <c r="O305" i="12"/>
  <c r="O230" i="12"/>
  <c r="O151" i="12"/>
  <c r="O75" i="12"/>
  <c r="O392" i="12"/>
  <c r="O50" i="12"/>
  <c r="O91" i="12"/>
  <c r="O267" i="12"/>
  <c r="O384" i="12"/>
  <c r="O233" i="12"/>
  <c r="O154" i="12"/>
  <c r="O736" i="12"/>
  <c r="O659" i="12"/>
  <c r="O508" i="12"/>
  <c r="O433" i="12"/>
  <c r="O282" i="12"/>
  <c r="O208" i="12"/>
  <c r="O53" i="12"/>
  <c r="O723" i="12"/>
  <c r="O646" i="12"/>
  <c r="O568" i="12"/>
  <c r="O494" i="12"/>
  <c r="O345" i="12"/>
  <c r="O269" i="12"/>
  <c r="O229" i="12"/>
  <c r="O592" i="12"/>
  <c r="O518" i="12"/>
  <c r="O217" i="12"/>
  <c r="O44" i="12"/>
  <c r="O732" i="12"/>
  <c r="O655" i="12"/>
  <c r="O577" i="12"/>
  <c r="O504" i="12"/>
  <c r="O278" i="12"/>
  <c r="O203" i="12"/>
  <c r="O694" i="12"/>
  <c r="O614" i="12"/>
  <c r="O539" i="12"/>
  <c r="O390" i="12"/>
  <c r="O239" i="12"/>
  <c r="O84" i="12"/>
  <c r="O575" i="12"/>
  <c r="O717" i="12"/>
  <c r="O562" i="12"/>
  <c r="O339" i="12"/>
  <c r="O186" i="12"/>
  <c r="O32" i="12"/>
  <c r="O524" i="12"/>
  <c r="O450" i="12"/>
  <c r="O374" i="12"/>
  <c r="O299" i="12"/>
  <c r="O224" i="12"/>
  <c r="O69" i="12"/>
  <c r="O417" i="12"/>
  <c r="O266" i="12"/>
  <c r="O378" i="12"/>
  <c r="O718" i="12"/>
  <c r="O640" i="12"/>
  <c r="O489" i="12"/>
  <c r="O415" i="12"/>
  <c r="O340" i="12"/>
  <c r="O264" i="12"/>
  <c r="O187" i="12"/>
  <c r="O475" i="12"/>
  <c r="O401" i="12"/>
  <c r="O325" i="12"/>
  <c r="O250" i="12"/>
  <c r="O94" i="12"/>
  <c r="O663" i="12"/>
  <c r="O586" i="12"/>
  <c r="O323" i="12"/>
  <c r="O248" i="12"/>
  <c r="O168" i="12"/>
  <c r="O522" i="12"/>
  <c r="O142" i="12"/>
  <c r="O430" i="12"/>
  <c r="O359" i="12"/>
  <c r="O209" i="12"/>
  <c r="O128" i="12"/>
  <c r="O711" i="12"/>
  <c r="O633" i="12"/>
  <c r="O483" i="12"/>
  <c r="O258" i="12"/>
  <c r="O181" i="12"/>
  <c r="O27" i="12"/>
  <c r="O544" i="12"/>
  <c r="O244" i="12"/>
  <c r="O164" i="12"/>
  <c r="O493" i="12"/>
  <c r="O192" i="12"/>
  <c r="O38" i="12"/>
  <c r="O162" i="12"/>
  <c r="O90" i="7"/>
  <c r="O330" i="7"/>
  <c r="O421" i="7"/>
  <c r="O270" i="7"/>
  <c r="O194" i="7"/>
  <c r="O113" i="7"/>
  <c r="O41" i="7"/>
  <c r="O698" i="7"/>
  <c r="O395" i="7"/>
  <c r="O244" i="7"/>
  <c r="O164" i="7"/>
  <c r="O592" i="7"/>
  <c r="O444" i="7"/>
  <c r="O368" i="7"/>
  <c r="O218" i="7"/>
  <c r="O63" i="7"/>
  <c r="O721" i="7"/>
  <c r="O566" i="7"/>
  <c r="O492" i="7"/>
  <c r="O418" i="7"/>
  <c r="O615" i="7"/>
  <c r="O240" i="7"/>
  <c r="O365" i="7"/>
  <c r="O290" i="7"/>
  <c r="O215" i="7"/>
  <c r="O718" i="7"/>
  <c r="O563" i="7"/>
  <c r="O415" i="7"/>
  <c r="O340" i="7"/>
  <c r="O264" i="7"/>
  <c r="O34" i="7"/>
  <c r="O612" i="7"/>
  <c r="O463" i="7"/>
  <c r="O388" i="7"/>
  <c r="O313" i="7"/>
  <c r="O237" i="7"/>
  <c r="O82" i="7"/>
  <c r="O485" i="7"/>
  <c r="O663" i="7"/>
  <c r="O586" i="7"/>
  <c r="O437" i="7"/>
  <c r="O362" i="7"/>
  <c r="O287" i="7"/>
  <c r="O212" i="7"/>
  <c r="O57" i="7"/>
  <c r="O560" i="7"/>
  <c r="O486" i="7"/>
  <c r="O412" i="7"/>
  <c r="O688" i="7"/>
  <c r="O609" i="7"/>
  <c r="O260" i="7"/>
  <c r="O422" i="7"/>
  <c r="O335" i="7"/>
  <c r="O141" i="7"/>
  <c r="O409" i="7"/>
  <c r="O181" i="7"/>
  <c r="O101" i="7"/>
  <c r="O27" i="7"/>
  <c r="O606" i="7"/>
  <c r="O231" i="7"/>
  <c r="O76" i="7"/>
  <c r="O734" i="7"/>
  <c r="O51" i="7"/>
  <c r="O480" i="7"/>
  <c r="O405" i="7"/>
  <c r="O228" i="7"/>
  <c r="O654" i="7"/>
  <c r="O428" i="7"/>
  <c r="O353" i="7"/>
  <c r="O202" i="7"/>
  <c r="O48" i="7"/>
  <c r="O402" i="7"/>
  <c r="O251" i="7"/>
  <c r="O95" i="7"/>
  <c r="O21" i="7"/>
  <c r="O599" i="7"/>
  <c r="O728" i="7"/>
  <c r="O500" i="7"/>
  <c r="O350" i="7"/>
  <c r="O45" i="7"/>
  <c r="O548" i="7"/>
  <c r="O399" i="7"/>
  <c r="O248" i="7"/>
  <c r="O596" i="7"/>
  <c r="O522" i="7"/>
  <c r="O247" i="7"/>
  <c r="O410" i="7"/>
  <c r="O42" i="7"/>
  <c r="O434" i="7"/>
  <c r="O699" i="7"/>
  <c r="O470" i="7"/>
  <c r="O396" i="7"/>
  <c r="O320" i="7"/>
  <c r="O245" i="7"/>
  <c r="O89" i="7"/>
  <c r="O372" i="7"/>
  <c r="O519" i="7"/>
  <c r="O294" i="7"/>
  <c r="O139" i="7"/>
  <c r="O64" i="7"/>
  <c r="O722" i="7"/>
  <c r="O645" i="7"/>
  <c r="O493" i="7"/>
  <c r="O419" i="7"/>
  <c r="O268" i="7"/>
  <c r="O111" i="7"/>
  <c r="O696" i="7"/>
  <c r="O392" i="7"/>
  <c r="O216" i="7"/>
  <c r="O136" i="7"/>
  <c r="O719" i="7"/>
  <c r="O641" i="7"/>
  <c r="O416" i="7"/>
  <c r="O341" i="7"/>
  <c r="O265" i="7"/>
  <c r="O464" i="7"/>
  <c r="O314" i="7"/>
  <c r="O159" i="7"/>
  <c r="O587" i="7"/>
  <c r="O363" i="7"/>
  <c r="O132" i="7"/>
  <c r="O58" i="7"/>
  <c r="O716" i="7"/>
  <c r="O637" i="7"/>
  <c r="O561" i="7"/>
  <c r="O487" i="7"/>
  <c r="O413" i="7"/>
  <c r="O338" i="7"/>
  <c r="O185" i="7"/>
  <c r="O105" i="7"/>
  <c r="O689" i="7"/>
  <c r="O610" i="7"/>
  <c r="O498" i="7"/>
  <c r="O584" i="7"/>
  <c r="O234" i="7"/>
  <c r="O296" i="7"/>
  <c r="O660" i="7"/>
  <c r="O308" i="7"/>
  <c r="O209" i="7"/>
  <c r="O28" i="7"/>
  <c r="O672" i="7"/>
  <c r="O520" i="7"/>
  <c r="O370" i="7"/>
  <c r="O568" i="7"/>
  <c r="O345" i="7"/>
  <c r="O193" i="7"/>
  <c r="O112" i="7"/>
  <c r="O697" i="7"/>
  <c r="O243" i="7"/>
  <c r="O87" i="7"/>
  <c r="O669" i="7"/>
  <c r="O367" i="7"/>
  <c r="O292" i="7"/>
  <c r="O217" i="7"/>
  <c r="O62" i="7"/>
  <c r="O642" i="7"/>
  <c r="O565" i="7"/>
  <c r="O417" i="7"/>
  <c r="O342" i="7"/>
  <c r="O109" i="7"/>
  <c r="O539" i="7"/>
  <c r="O465" i="7"/>
  <c r="O435" i="7"/>
  <c r="O666" i="7"/>
  <c r="O588" i="7"/>
  <c r="O364" i="7"/>
  <c r="O214" i="7"/>
  <c r="O59" i="7"/>
  <c r="O639" i="7"/>
  <c r="O562" i="7"/>
  <c r="O488" i="7"/>
  <c r="O339" i="7"/>
  <c r="O186" i="7"/>
  <c r="O106" i="7"/>
  <c r="O32" i="7"/>
  <c r="O611" i="7"/>
  <c r="O387" i="7"/>
  <c r="O157" i="7"/>
  <c r="O472" i="7"/>
  <c r="O433" i="7"/>
  <c r="O282" i="7"/>
  <c r="O208" i="7"/>
  <c r="O710" i="7"/>
  <c r="O632" i="7"/>
  <c r="O556" i="7"/>
  <c r="O408" i="7"/>
  <c r="O331" i="7"/>
  <c r="O257" i="7"/>
  <c r="O100" i="7"/>
  <c r="O683" i="7"/>
  <c r="O604" i="7"/>
  <c r="O456" i="7"/>
  <c r="O305" i="7"/>
  <c r="O230" i="7"/>
  <c r="O151" i="7"/>
  <c r="O75" i="7"/>
  <c r="O578" i="7"/>
  <c r="O505" i="7"/>
  <c r="O707" i="7"/>
  <c r="O629" i="7"/>
  <c r="O479" i="7"/>
  <c r="O404" i="7"/>
  <c r="O328" i="7"/>
  <c r="O254" i="7"/>
  <c r="O23" i="7"/>
  <c r="O680" i="7"/>
  <c r="O378" i="7"/>
  <c r="O227" i="7"/>
  <c r="O72" i="7"/>
  <c r="O352" i="7"/>
  <c r="O276" i="7"/>
  <c r="O201" i="7"/>
  <c r="O626" i="7"/>
  <c r="O401" i="7"/>
  <c r="O325" i="7"/>
  <c r="O94" i="7"/>
  <c r="O677" i="7"/>
  <c r="O598" i="7"/>
  <c r="O374" i="7"/>
  <c r="O299" i="7"/>
  <c r="O224" i="7"/>
  <c r="O572" i="7"/>
  <c r="O424" i="7"/>
  <c r="O198" i="7"/>
  <c r="O621" i="7"/>
  <c r="O272" i="7"/>
  <c r="O196" i="7"/>
  <c r="O700" i="7"/>
  <c r="O620" i="7"/>
  <c r="O359" i="7"/>
  <c r="O78" i="7"/>
  <c r="O608" i="7"/>
  <c r="O686" i="7"/>
  <c r="O532" i="7"/>
  <c r="O458" i="7"/>
  <c r="O307" i="7"/>
  <c r="O153" i="7"/>
  <c r="O77" i="7"/>
  <c r="O357" i="7"/>
  <c r="O206" i="7"/>
  <c r="O631" i="7"/>
  <c r="O481" i="7"/>
  <c r="O407" i="7"/>
  <c r="O176" i="7"/>
  <c r="O99" i="7"/>
  <c r="O682" i="7"/>
  <c r="O603" i="7"/>
  <c r="O455" i="7"/>
  <c r="O278" i="7"/>
  <c r="O628" i="7"/>
  <c r="O478" i="7"/>
  <c r="O252" i="7"/>
  <c r="O96" i="7"/>
  <c r="O22" i="7"/>
  <c r="O679" i="7"/>
  <c r="O377" i="7"/>
  <c r="O301" i="7"/>
  <c r="O226" i="7"/>
  <c r="O71" i="7"/>
  <c r="O729" i="7"/>
  <c r="O426" i="7"/>
  <c r="O351" i="7"/>
  <c r="O200" i="7"/>
  <c r="O549" i="7"/>
  <c r="O474" i="7"/>
  <c r="O400" i="7"/>
  <c r="O169" i="7"/>
  <c r="O298" i="7"/>
  <c r="O223" i="7"/>
  <c r="O726" i="7"/>
  <c r="O649" i="7"/>
  <c r="O571" i="7"/>
  <c r="O737" i="7"/>
  <c r="O648" i="7"/>
  <c r="O384" i="7"/>
  <c r="O283" i="7"/>
  <c r="O16" i="7"/>
  <c r="O442" i="6"/>
  <c r="O21" i="4"/>
  <c r="O599" i="4"/>
  <c r="O70" i="4"/>
  <c r="O500" i="4"/>
  <c r="O560" i="4"/>
  <c r="O486" i="4"/>
  <c r="O412" i="4"/>
  <c r="O337" i="4"/>
  <c r="O261" i="4"/>
  <c r="O44" i="4"/>
  <c r="O693" i="4"/>
  <c r="O613" i="4"/>
  <c r="O538" i="4"/>
  <c r="O83" i="4"/>
  <c r="O702" i="4"/>
  <c r="O665" i="4"/>
  <c r="O438" i="4"/>
  <c r="O213" i="4"/>
  <c r="O132" i="4"/>
  <c r="O637" i="4"/>
  <c r="O561" i="4"/>
  <c r="O413" i="4"/>
  <c r="O262" i="4"/>
  <c r="O105" i="4"/>
  <c r="O31" i="4"/>
  <c r="O712" i="4"/>
  <c r="O410" i="4"/>
  <c r="O335" i="4"/>
  <c r="O102" i="4"/>
  <c r="O699" i="4"/>
  <c r="O619" i="4"/>
  <c r="O545" i="4"/>
  <c r="O245" i="4"/>
  <c r="O89" i="4"/>
  <c r="O671" i="4"/>
  <c r="O519" i="4"/>
  <c r="O445" i="4"/>
  <c r="O369" i="4"/>
  <c r="O595" i="4"/>
  <c r="O521" i="4"/>
  <c r="O296" i="4"/>
  <c r="O221" i="4"/>
  <c r="O659" i="4"/>
  <c r="O433" i="4"/>
  <c r="O208" i="4"/>
  <c r="O710" i="4"/>
  <c r="O632" i="4"/>
  <c r="O556" i="4"/>
  <c r="O482" i="4"/>
  <c r="O683" i="4"/>
  <c r="O530" i="4"/>
  <c r="O456" i="4"/>
  <c r="O381" i="4"/>
  <c r="O230" i="4"/>
  <c r="O151" i="4"/>
  <c r="O75" i="4"/>
  <c r="O733" i="4"/>
  <c r="O656" i="4"/>
  <c r="O578" i="4"/>
  <c r="O707" i="4"/>
  <c r="O404" i="4"/>
  <c r="O254" i="4"/>
  <c r="O97" i="4"/>
  <c r="O23" i="4"/>
  <c r="O680" i="4"/>
  <c r="O601" i="4"/>
  <c r="O527" i="4"/>
  <c r="O302" i="4"/>
  <c r="O585" i="4"/>
  <c r="O184" i="4"/>
  <c r="O68" i="4"/>
  <c r="O415" i="4"/>
  <c r="O340" i="4"/>
  <c r="O537" i="4"/>
  <c r="O313" i="4"/>
  <c r="O437" i="4"/>
  <c r="O362" i="4"/>
  <c r="O212" i="4"/>
  <c r="O57" i="4"/>
  <c r="O713" i="4"/>
  <c r="O411" i="4"/>
  <c r="O260" i="4"/>
  <c r="O103" i="4"/>
  <c r="O300" i="4"/>
  <c r="O45" i="4"/>
  <c r="O725" i="4"/>
  <c r="O570" i="4"/>
  <c r="O497" i="4"/>
  <c r="O422" i="4"/>
  <c r="O271" i="4"/>
  <c r="O409" i="4"/>
  <c r="O332" i="4"/>
  <c r="O101" i="4"/>
  <c r="O27" i="4"/>
  <c r="O606" i="4"/>
  <c r="O306" i="4"/>
  <c r="O431" i="4"/>
  <c r="O205" i="4"/>
  <c r="O554" i="4"/>
  <c r="O329" i="4"/>
  <c r="O681" i="4"/>
  <c r="O602" i="4"/>
  <c r="O454" i="4"/>
  <c r="O379" i="4"/>
  <c r="O73" i="4"/>
  <c r="O576" i="4"/>
  <c r="O503" i="4"/>
  <c r="O428" i="4"/>
  <c r="O688" i="4"/>
  <c r="O460" i="4"/>
  <c r="O385" i="4"/>
  <c r="O155" i="4"/>
  <c r="O79" i="4"/>
  <c r="O294" i="4"/>
  <c r="O219" i="4"/>
  <c r="O64" i="4"/>
  <c r="O722" i="4"/>
  <c r="O645" i="4"/>
  <c r="O567" i="4"/>
  <c r="O419" i="4"/>
  <c r="O268" i="4"/>
  <c r="O467" i="4"/>
  <c r="O241" i="4"/>
  <c r="O162" i="4"/>
  <c r="O86" i="4"/>
  <c r="O689" i="4"/>
  <c r="O668" i="4"/>
  <c r="O442" i="4"/>
  <c r="O291" i="4"/>
  <c r="O216" i="4"/>
  <c r="O61" i="4"/>
  <c r="O719" i="4"/>
  <c r="O490" i="4"/>
  <c r="O341" i="4"/>
  <c r="O189" i="4"/>
  <c r="O108" i="4"/>
  <c r="O620" i="4"/>
  <c r="O546" i="4"/>
  <c r="O321" i="4"/>
  <c r="O246" i="4"/>
  <c r="O16" i="4"/>
  <c r="O686" i="4"/>
  <c r="O458" i="4"/>
  <c r="O383" i="4"/>
  <c r="O232" i="4"/>
  <c r="O153" i="4"/>
  <c r="O735" i="4"/>
  <c r="O580" i="4"/>
  <c r="O281" i="4"/>
  <c r="O206" i="4"/>
  <c r="O126" i="4"/>
  <c r="O481" i="4"/>
  <c r="O330" i="4"/>
  <c r="O603" i="4"/>
  <c r="O529" i="4"/>
  <c r="O380" i="4"/>
  <c r="O304" i="4"/>
  <c r="O229" i="4"/>
  <c r="O149" i="4"/>
  <c r="O429" i="4"/>
  <c r="O354" i="4"/>
  <c r="O278" i="4"/>
  <c r="O203" i="4"/>
  <c r="O122" i="4"/>
  <c r="O628" i="4"/>
  <c r="O552" i="4"/>
  <c r="O252" i="4"/>
  <c r="O173" i="4"/>
  <c r="O535" i="4"/>
  <c r="O386" i="4"/>
  <c r="O310" i="4"/>
  <c r="O18" i="4"/>
  <c r="O666" i="4"/>
  <c r="O439" i="4"/>
  <c r="O364" i="4"/>
  <c r="O214" i="4"/>
  <c r="O562" i="4"/>
  <c r="O488" i="4"/>
  <c r="O106" i="4"/>
  <c r="O32" i="4"/>
  <c r="O536" i="4"/>
  <c r="O462" i="4"/>
  <c r="O387" i="4"/>
  <c r="O236" i="4"/>
  <c r="O157" i="4"/>
  <c r="O81" i="4"/>
  <c r="O584" i="4"/>
  <c r="O360" i="4"/>
  <c r="O475" i="8"/>
  <c r="O393" i="8"/>
  <c r="O471" i="8"/>
  <c r="O712" i="8"/>
  <c r="O603" i="8"/>
  <c r="O554" i="8"/>
  <c r="O405" i="8"/>
  <c r="O143" i="10"/>
  <c r="O412" i="10"/>
  <c r="O68" i="10"/>
  <c r="O282" i="10"/>
  <c r="O208" i="10"/>
  <c r="O698" i="10"/>
  <c r="O618" i="10"/>
  <c r="O544" i="10"/>
  <c r="O509" i="10"/>
  <c r="O359" i="10"/>
  <c r="O283" i="10"/>
  <c r="O711" i="10"/>
  <c r="O483" i="10"/>
  <c r="O258" i="10"/>
  <c r="O181" i="10"/>
  <c r="O101" i="10"/>
  <c r="O593" i="10"/>
  <c r="O294" i="10"/>
  <c r="O219" i="10"/>
  <c r="O709" i="10"/>
  <c r="O631" i="10"/>
  <c r="O555" i="10"/>
  <c r="O407" i="10"/>
  <c r="O25" i="10"/>
  <c r="O517" i="10"/>
  <c r="O443" i="10"/>
  <c r="O367" i="10"/>
  <c r="O292" i="10"/>
  <c r="O62" i="10"/>
  <c r="O707" i="10"/>
  <c r="O553" i="10"/>
  <c r="O479" i="10"/>
  <c r="O97" i="10"/>
  <c r="O589" i="10"/>
  <c r="O515" i="10"/>
  <c r="O441" i="10"/>
  <c r="O215" i="10"/>
  <c r="O476" i="10"/>
  <c r="O95" i="10"/>
  <c r="O665" i="10"/>
  <c r="O288" i="10"/>
  <c r="O132" i="10"/>
  <c r="O703" i="10"/>
  <c r="O623" i="10"/>
  <c r="O549" i="10"/>
  <c r="O400" i="10"/>
  <c r="O249" i="10"/>
  <c r="O169" i="10"/>
  <c r="O19" i="10"/>
  <c r="O701" i="10"/>
  <c r="O621" i="10"/>
  <c r="O547" i="10"/>
  <c r="O472" i="10"/>
  <c r="O725" i="10"/>
  <c r="O648" i="10"/>
  <c r="O422" i="10"/>
  <c r="O271" i="10"/>
  <c r="O195" i="10"/>
  <c r="O42" i="10"/>
  <c r="O545" i="10"/>
  <c r="O165" i="10"/>
  <c r="O658" i="10"/>
  <c r="O432" i="10"/>
  <c r="O357" i="10"/>
  <c r="O206" i="10"/>
  <c r="O52" i="10"/>
  <c r="O543" i="10"/>
  <c r="O468" i="10"/>
  <c r="O87" i="10"/>
  <c r="O578" i="10"/>
  <c r="O279" i="10"/>
  <c r="O204" i="10"/>
  <c r="O615" i="10"/>
  <c r="O466" i="10"/>
  <c r="O391" i="10"/>
  <c r="O240" i="10"/>
  <c r="O85" i="10"/>
  <c r="O731" i="10"/>
  <c r="O654" i="10"/>
  <c r="O428" i="10"/>
  <c r="O353" i="10"/>
  <c r="O277" i="10"/>
  <c r="O693" i="10"/>
  <c r="O538" i="10"/>
  <c r="O464" i="10"/>
  <c r="O238" i="10"/>
  <c r="O159" i="10"/>
  <c r="O83" i="10"/>
  <c r="O729" i="10"/>
  <c r="O652" i="10"/>
  <c r="O574" i="10"/>
  <c r="O501" i="10"/>
  <c r="O275" i="10"/>
  <c r="O46" i="10"/>
  <c r="O611" i="10"/>
  <c r="O536" i="10"/>
  <c r="O236" i="10"/>
  <c r="O309" i="10"/>
  <c r="O234" i="10"/>
  <c r="O700" i="10"/>
  <c r="O620" i="10"/>
  <c r="O321" i="10"/>
  <c r="O246" i="10"/>
  <c r="O166" i="10"/>
  <c r="O90" i="10"/>
  <c r="O594" i="10"/>
  <c r="O520" i="10"/>
  <c r="O446" i="10"/>
  <c r="O295" i="10"/>
  <c r="O220" i="10"/>
  <c r="O140" i="10"/>
  <c r="O65" i="10"/>
  <c r="O710" i="10"/>
  <c r="O632" i="10"/>
  <c r="O556" i="10"/>
  <c r="O331" i="10"/>
  <c r="O100" i="10"/>
  <c r="O26" i="10"/>
  <c r="O670" i="10"/>
  <c r="O592" i="10"/>
  <c r="O518" i="10"/>
  <c r="O444" i="10"/>
  <c r="O368" i="10"/>
  <c r="O218" i="10"/>
  <c r="O138" i="10"/>
  <c r="O708" i="10"/>
  <c r="O175" i="10"/>
  <c r="O668" i="10"/>
  <c r="O590" i="10"/>
  <c r="O366" i="10"/>
  <c r="O216" i="10"/>
  <c r="O136" i="10"/>
  <c r="O61" i="10"/>
  <c r="O628" i="10"/>
  <c r="O327" i="10"/>
  <c r="O173" i="10"/>
  <c r="O96" i="10"/>
  <c r="O588" i="10"/>
  <c r="O514" i="10"/>
  <c r="O289" i="10"/>
  <c r="O214" i="10"/>
  <c r="O133" i="10"/>
  <c r="O59" i="10"/>
  <c r="O704" i="10"/>
  <c r="O626" i="10"/>
  <c r="O550" i="10"/>
  <c r="O250" i="10"/>
  <c r="O171" i="10"/>
  <c r="O94" i="10"/>
  <c r="O20" i="10"/>
  <c r="O663" i="10"/>
  <c r="O512" i="10"/>
  <c r="O212" i="10"/>
  <c r="O131" i="10"/>
  <c r="O585" i="10"/>
  <c r="O17" i="10"/>
  <c r="O727" i="10"/>
  <c r="O650" i="10"/>
  <c r="O499" i="10"/>
  <c r="O424" i="10"/>
  <c r="O349" i="10"/>
  <c r="O273" i="10"/>
  <c r="O44" i="10"/>
  <c r="O712" i="10"/>
  <c r="O634" i="10"/>
  <c r="O558" i="10"/>
  <c r="O484" i="10"/>
  <c r="O335" i="10"/>
  <c r="O259" i="10"/>
  <c r="O102" i="10"/>
  <c r="O28" i="10"/>
  <c r="O607" i="10"/>
  <c r="O458" i="10"/>
  <c r="O307" i="10"/>
  <c r="O232" i="10"/>
  <c r="O153" i="10"/>
  <c r="O77" i="10"/>
  <c r="O723" i="10"/>
  <c r="O568" i="10"/>
  <c r="O420" i="10"/>
  <c r="O269" i="10"/>
  <c r="O193" i="10"/>
  <c r="O112" i="10"/>
  <c r="O683" i="10"/>
  <c r="O530" i="10"/>
  <c r="O456" i="10"/>
  <c r="O305" i="10"/>
  <c r="O644" i="10"/>
  <c r="O492" i="10"/>
  <c r="O418" i="10"/>
  <c r="O343" i="10"/>
  <c r="O267" i="10"/>
  <c r="O110" i="10"/>
  <c r="O681" i="10"/>
  <c r="O454" i="10"/>
  <c r="O379" i="10"/>
  <c r="O303" i="10"/>
  <c r="O73" i="10"/>
  <c r="O564" i="10"/>
  <c r="O490" i="10"/>
  <c r="O341" i="10"/>
  <c r="O189" i="10"/>
  <c r="O679" i="10"/>
  <c r="O600" i="10"/>
  <c r="O526" i="10"/>
  <c r="O452" i="10"/>
  <c r="O226" i="10"/>
  <c r="O717" i="10"/>
  <c r="O414" i="10"/>
  <c r="O263" i="10"/>
  <c r="O186" i="10"/>
  <c r="O32" i="10"/>
  <c r="O677" i="10"/>
  <c r="O524" i="10"/>
  <c r="O450" i="10"/>
  <c r="O299" i="10"/>
  <c r="O522" i="10"/>
  <c r="O448" i="10"/>
  <c r="O297" i="10"/>
  <c r="O67" i="10"/>
  <c r="O473" i="10"/>
  <c r="O399" i="10"/>
  <c r="O323" i="10"/>
  <c r="O168" i="10"/>
  <c r="O92" i="10"/>
  <c r="O18" i="10"/>
  <c r="O661" i="10"/>
  <c r="O55" i="10"/>
  <c r="O88" i="10"/>
  <c r="O579" i="10"/>
  <c r="O506" i="10"/>
  <c r="O280" i="10"/>
  <c r="O205" i="10"/>
  <c r="O616" i="10"/>
  <c r="O467" i="10"/>
  <c r="O317" i="10"/>
  <c r="O241" i="10"/>
  <c r="O162" i="10"/>
  <c r="O86" i="10"/>
  <c r="O732" i="10"/>
  <c r="O577" i="10"/>
  <c r="O504" i="10"/>
  <c r="O278" i="10"/>
  <c r="O49" i="10"/>
  <c r="O694" i="10"/>
  <c r="O539" i="10"/>
  <c r="O465" i="10"/>
  <c r="O239" i="10"/>
  <c r="O730" i="10"/>
  <c r="O653" i="10"/>
  <c r="O575" i="10"/>
  <c r="O201" i="10"/>
  <c r="O691" i="10"/>
  <c r="O237" i="10"/>
  <c r="O500" i="10"/>
  <c r="O350" i="10"/>
  <c r="O274" i="10"/>
  <c r="O199" i="10"/>
  <c r="O689" i="10"/>
  <c r="O610" i="10"/>
  <c r="O535" i="10"/>
  <c r="O461" i="10"/>
  <c r="O310" i="10"/>
  <c r="O235" i="10"/>
  <c r="O156" i="10"/>
  <c r="O80" i="10"/>
  <c r="O649" i="10"/>
  <c r="O571" i="10"/>
  <c r="O498" i="10"/>
  <c r="O272" i="10"/>
  <c r="O43" i="10"/>
  <c r="O635" i="10"/>
  <c r="O411" i="10"/>
  <c r="O336" i="10"/>
  <c r="O260" i="10"/>
  <c r="O183" i="10"/>
  <c r="O103" i="10"/>
  <c r="O29" i="10"/>
  <c r="O690" i="9"/>
  <c r="O490" i="9"/>
  <c r="O35" i="9"/>
  <c r="O679" i="9"/>
  <c r="O600" i="9"/>
  <c r="O526" i="9"/>
  <c r="O452" i="9"/>
  <c r="O377" i="9"/>
  <c r="O226" i="9"/>
  <c r="O146" i="9"/>
  <c r="O71" i="9"/>
  <c r="O639" i="9"/>
  <c r="O562" i="9"/>
  <c r="O488" i="9"/>
  <c r="O339" i="9"/>
  <c r="O106" i="9"/>
  <c r="O677" i="9"/>
  <c r="O524" i="9"/>
  <c r="O374" i="9"/>
  <c r="O299" i="9"/>
  <c r="O412" i="9"/>
  <c r="O261" i="9"/>
  <c r="O184" i="9"/>
  <c r="O104" i="9"/>
  <c r="O30" i="9"/>
  <c r="O701" i="9"/>
  <c r="O547" i="9"/>
  <c r="O398" i="9"/>
  <c r="O322" i="9"/>
  <c r="O247" i="9"/>
  <c r="O167" i="9"/>
  <c r="O91" i="9"/>
  <c r="O708" i="9"/>
  <c r="O480" i="9"/>
  <c r="O24" i="9"/>
  <c r="O668" i="9"/>
  <c r="O590" i="9"/>
  <c r="O516" i="9"/>
  <c r="O442" i="9"/>
  <c r="O366" i="9"/>
  <c r="O628" i="9"/>
  <c r="O327" i="9"/>
  <c r="O22" i="9"/>
  <c r="O666" i="9"/>
  <c r="O588" i="9"/>
  <c r="O514" i="9"/>
  <c r="O439" i="9"/>
  <c r="O364" i="9"/>
  <c r="O214" i="9"/>
  <c r="O59" i="9"/>
  <c r="O626" i="9"/>
  <c r="O550" i="9"/>
  <c r="O137" i="9"/>
  <c r="O135" i="9"/>
  <c r="O123" i="9"/>
  <c r="O250" i="9"/>
  <c r="O94" i="9"/>
  <c r="O663" i="9"/>
  <c r="O512" i="9"/>
  <c r="O437" i="9"/>
  <c r="O362" i="9"/>
  <c r="O287" i="9"/>
  <c r="O57" i="9"/>
  <c r="O548" i="9"/>
  <c r="O323" i="9"/>
  <c r="O92" i="9"/>
  <c r="O18" i="9"/>
  <c r="O419" i="9"/>
  <c r="O176" i="9"/>
  <c r="O534" i="9"/>
  <c r="O460" i="9"/>
  <c r="O385" i="9"/>
  <c r="O234" i="9"/>
  <c r="O79" i="9"/>
  <c r="O734" i="9"/>
  <c r="O567" i="9"/>
  <c r="O595" i="9"/>
  <c r="O521" i="9"/>
  <c r="O380" i="9"/>
  <c r="O304" i="9"/>
  <c r="O74" i="9"/>
  <c r="O565" i="9"/>
  <c r="O417" i="9"/>
  <c r="O266" i="9"/>
  <c r="O109" i="9"/>
  <c r="O680" i="9"/>
  <c r="O601" i="9"/>
  <c r="O527" i="9"/>
  <c r="O453" i="9"/>
  <c r="O563" i="9"/>
  <c r="O489" i="9"/>
  <c r="O415" i="9"/>
  <c r="O264" i="9"/>
  <c r="O107" i="9"/>
  <c r="O678" i="9"/>
  <c r="O599" i="9"/>
  <c r="O451" i="9"/>
  <c r="O70" i="9"/>
  <c r="O716" i="9"/>
  <c r="O637" i="9"/>
  <c r="O561" i="9"/>
  <c r="O487" i="9"/>
  <c r="O413" i="9"/>
  <c r="O262" i="9"/>
  <c r="O185" i="9"/>
  <c r="O373" i="9"/>
  <c r="O298" i="9"/>
  <c r="O318" i="9"/>
  <c r="O87" i="9"/>
  <c r="O584" i="9"/>
  <c r="O510" i="9"/>
  <c r="O435" i="9"/>
  <c r="O360" i="9"/>
  <c r="O670" i="9"/>
  <c r="O518" i="9"/>
  <c r="O570" i="9"/>
  <c r="O497" i="9"/>
  <c r="O422" i="9"/>
  <c r="O619" i="9"/>
  <c r="O545" i="9"/>
  <c r="O470" i="9"/>
  <c r="O89" i="9"/>
  <c r="O735" i="9"/>
  <c r="O658" i="9"/>
  <c r="O580" i="9"/>
  <c r="O507" i="9"/>
  <c r="O357" i="9"/>
  <c r="O543" i="9"/>
  <c r="O579" i="9"/>
  <c r="O25" i="9"/>
  <c r="O578" i="9"/>
  <c r="O355" i="9"/>
  <c r="O279" i="9"/>
  <c r="O204" i="9"/>
  <c r="O695" i="9"/>
  <c r="O541" i="9"/>
  <c r="O391" i="9"/>
  <c r="O161" i="9"/>
  <c r="O85" i="9"/>
  <c r="O731" i="9"/>
  <c r="O576" i="9"/>
  <c r="O503" i="9"/>
  <c r="O428" i="9"/>
  <c r="O277" i="9"/>
  <c r="O202" i="9"/>
  <c r="O613" i="9"/>
  <c r="O538" i="9"/>
  <c r="O464" i="9"/>
  <c r="O314" i="9"/>
  <c r="O83" i="9"/>
  <c r="O729" i="9"/>
  <c r="O652" i="9"/>
  <c r="O574" i="9"/>
  <c r="O46" i="9"/>
  <c r="O462" i="9"/>
  <c r="O387" i="9"/>
  <c r="O236" i="9"/>
  <c r="O727" i="9"/>
  <c r="O572" i="9"/>
  <c r="O424" i="9"/>
  <c r="O349" i="9"/>
  <c r="O273" i="9"/>
  <c r="O198" i="9"/>
  <c r="O506" i="9"/>
  <c r="O635" i="9"/>
  <c r="O559" i="9"/>
  <c r="O411" i="9"/>
  <c r="O336" i="9"/>
  <c r="O260" i="9"/>
  <c r="O103" i="9"/>
  <c r="O631" i="9"/>
  <c r="O620" i="9"/>
  <c r="O546" i="9"/>
  <c r="O471" i="9"/>
  <c r="O397" i="9"/>
  <c r="O16" i="9"/>
  <c r="O672" i="9"/>
  <c r="O520" i="9"/>
  <c r="O370" i="9"/>
  <c r="O220" i="9"/>
  <c r="O65" i="9"/>
  <c r="O710" i="9"/>
  <c r="O556" i="9"/>
  <c r="O482" i="9"/>
  <c r="O180" i="9"/>
  <c r="O26" i="9"/>
  <c r="O99" i="9"/>
  <c r="O393" i="9"/>
  <c r="O407" i="9"/>
  <c r="O447" i="9"/>
  <c r="O296" i="9"/>
  <c r="O569" i="9"/>
  <c r="O496" i="9"/>
  <c r="O421" i="9"/>
  <c r="O194" i="9"/>
  <c r="O113" i="9"/>
  <c r="O41" i="9"/>
  <c r="O76" i="9"/>
  <c r="O368" i="9"/>
  <c r="O148" i="3"/>
  <c r="O64" i="3"/>
  <c r="O709" i="3"/>
  <c r="O481" i="3"/>
  <c r="O407" i="3"/>
  <c r="O330" i="3"/>
  <c r="O176" i="3"/>
  <c r="O99" i="3"/>
  <c r="O733" i="3"/>
  <c r="O578" i="3"/>
  <c r="O430" i="3"/>
  <c r="O204" i="3"/>
  <c r="O123" i="3"/>
  <c r="O50" i="3"/>
  <c r="O615" i="3"/>
  <c r="O541" i="3"/>
  <c r="O466" i="3"/>
  <c r="O316" i="3"/>
  <c r="O161" i="3"/>
  <c r="O85" i="3"/>
  <c r="O731" i="3"/>
  <c r="O576" i="3"/>
  <c r="O353" i="3"/>
  <c r="O277" i="3"/>
  <c r="O538" i="3"/>
  <c r="O314" i="3"/>
  <c r="O238" i="3"/>
  <c r="O19" i="3"/>
  <c r="O678" i="3"/>
  <c r="O599" i="3"/>
  <c r="O525" i="3"/>
  <c r="O376" i="3"/>
  <c r="O70" i="3"/>
  <c r="O651" i="3"/>
  <c r="O425" i="3"/>
  <c r="O350" i="3"/>
  <c r="O274" i="3"/>
  <c r="O199" i="3"/>
  <c r="O45" i="3"/>
  <c r="O585" i="3"/>
  <c r="O511" i="3"/>
  <c r="O436" i="3"/>
  <c r="O211" i="3"/>
  <c r="O56" i="3"/>
  <c r="O634" i="3"/>
  <c r="O558" i="3"/>
  <c r="O335" i="3"/>
  <c r="O259" i="3"/>
  <c r="O28" i="3"/>
  <c r="O711" i="3"/>
  <c r="O633" i="3"/>
  <c r="O557" i="3"/>
  <c r="O409" i="3"/>
  <c r="O332" i="3"/>
  <c r="O258" i="3"/>
  <c r="O181" i="3"/>
  <c r="O658" i="3"/>
  <c r="O580" i="3"/>
  <c r="O507" i="3"/>
  <c r="O432" i="3"/>
  <c r="O52" i="3"/>
  <c r="O697" i="3"/>
  <c r="O617" i="3"/>
  <c r="O543" i="3"/>
  <c r="O468" i="3"/>
  <c r="O393" i="3"/>
  <c r="O721" i="3"/>
  <c r="O566" i="3"/>
  <c r="O492" i="3"/>
  <c r="O418" i="3"/>
  <c r="O191" i="3"/>
  <c r="O110" i="3"/>
  <c r="O681" i="3"/>
  <c r="O602" i="3"/>
  <c r="O454" i="3"/>
  <c r="O379" i="3"/>
  <c r="O73" i="3"/>
  <c r="O564" i="3"/>
  <c r="O341" i="3"/>
  <c r="O265" i="3"/>
  <c r="O35" i="3"/>
  <c r="O679" i="3"/>
  <c r="O600" i="3"/>
  <c r="O526" i="3"/>
  <c r="O301" i="3"/>
  <c r="O18" i="3"/>
  <c r="O665" i="3"/>
  <c r="O587" i="3"/>
  <c r="O513" i="3"/>
  <c r="O363" i="3"/>
  <c r="O213" i="3"/>
  <c r="O58" i="3"/>
  <c r="O635" i="3"/>
  <c r="O336" i="3"/>
  <c r="O726" i="3"/>
  <c r="O91" i="3"/>
  <c r="O487" i="3"/>
  <c r="O312" i="3"/>
  <c r="O236" i="3"/>
  <c r="O222" i="3"/>
  <c r="O702" i="3"/>
  <c r="O737" i="3"/>
  <c r="O583" i="3"/>
  <c r="O359" i="3"/>
  <c r="O283" i="3"/>
  <c r="O736" i="3"/>
  <c r="O582" i="3"/>
  <c r="O508" i="3"/>
  <c r="O433" i="3"/>
  <c r="O358" i="3"/>
  <c r="O685" i="3"/>
  <c r="O606" i="3"/>
  <c r="O531" i="3"/>
  <c r="O457" i="3"/>
  <c r="O382" i="3"/>
  <c r="O76" i="3"/>
  <c r="O645" i="3"/>
  <c r="O493" i="3"/>
  <c r="O419" i="3"/>
  <c r="O268" i="3"/>
  <c r="O192" i="3"/>
  <c r="O111" i="3"/>
  <c r="O669" i="3"/>
  <c r="O591" i="3"/>
  <c r="O517" i="3"/>
  <c r="O217" i="3"/>
  <c r="O62" i="3"/>
  <c r="O707" i="3"/>
  <c r="O553" i="3"/>
  <c r="O479" i="3"/>
  <c r="O174" i="3"/>
  <c r="O97" i="3"/>
  <c r="O589" i="3"/>
  <c r="O441" i="3"/>
  <c r="O365" i="3"/>
  <c r="O705" i="3"/>
  <c r="O627" i="3"/>
  <c r="O551" i="3"/>
  <c r="O326" i="3"/>
  <c r="O691" i="3"/>
  <c r="O612" i="3"/>
  <c r="O537" i="3"/>
  <c r="O388" i="3"/>
  <c r="O313" i="3"/>
  <c r="O82" i="3"/>
  <c r="O31" i="3"/>
  <c r="O586" i="3"/>
  <c r="O437" i="3"/>
  <c r="O362" i="3"/>
  <c r="O287" i="3"/>
  <c r="O212" i="3"/>
  <c r="O57" i="3"/>
  <c r="O676" i="3"/>
  <c r="O597" i="3"/>
  <c r="O523" i="3"/>
  <c r="O449" i="3"/>
  <c r="O373" i="3"/>
  <c r="O223" i="3"/>
  <c r="O68" i="3"/>
  <c r="O675" i="3"/>
  <c r="O485" i="3"/>
  <c r="O183" i="3"/>
  <c r="O67" i="3"/>
  <c r="O559" i="3"/>
  <c r="O472" i="3"/>
  <c r="O272" i="3"/>
  <c r="O510" i="3"/>
  <c r="O210" i="3"/>
  <c r="O413" i="3"/>
  <c r="O262" i="3"/>
  <c r="O105" i="3"/>
  <c r="O700" i="3"/>
  <c r="O397" i="3"/>
  <c r="O321" i="3"/>
  <c r="O246" i="3"/>
  <c r="O90" i="3"/>
  <c r="O699" i="3"/>
  <c r="O619" i="3"/>
  <c r="O470" i="3"/>
  <c r="O396" i="3"/>
  <c r="O245" i="3"/>
  <c r="O165" i="3"/>
  <c r="O89" i="3"/>
  <c r="O723" i="3"/>
  <c r="O494" i="3"/>
  <c r="O345" i="3"/>
  <c r="O193" i="3"/>
  <c r="O39" i="3"/>
  <c r="O683" i="3"/>
  <c r="O530" i="3"/>
  <c r="O381" i="3"/>
  <c r="O305" i="3"/>
  <c r="O151" i="3"/>
  <c r="O75" i="3"/>
  <c r="O708" i="3"/>
  <c r="O630" i="3"/>
  <c r="O329" i="3"/>
  <c r="O255" i="3"/>
  <c r="O175" i="3"/>
  <c r="O668" i="3"/>
  <c r="O516" i="3"/>
  <c r="O442" i="3"/>
  <c r="O291" i="3"/>
  <c r="O216" i="3"/>
  <c r="O136" i="3"/>
  <c r="O706" i="3"/>
  <c r="O628" i="3"/>
  <c r="O478" i="3"/>
  <c r="O327" i="3"/>
  <c r="O96" i="3"/>
  <c r="O22" i="3"/>
  <c r="O666" i="3"/>
  <c r="O289" i="3"/>
  <c r="O214" i="3"/>
  <c r="O133" i="3"/>
  <c r="O729" i="3"/>
  <c r="O351" i="3"/>
  <c r="O275" i="3"/>
  <c r="O200" i="3"/>
  <c r="O119" i="3"/>
  <c r="O474" i="3"/>
  <c r="O324" i="3"/>
  <c r="O249" i="3"/>
  <c r="O169" i="3"/>
  <c r="O636" i="3"/>
  <c r="O337" i="3"/>
  <c r="O184" i="3"/>
  <c r="O368" i="3"/>
  <c r="O81" i="3"/>
  <c r="O399" i="3"/>
  <c r="O92" i="3"/>
  <c r="O309" i="3"/>
  <c r="O695" i="12"/>
  <c r="O615" i="12"/>
  <c r="O541" i="12"/>
  <c r="O391" i="12"/>
  <c r="O161" i="12"/>
  <c r="O85" i="12"/>
  <c r="O731" i="12"/>
  <c r="O654" i="12"/>
  <c r="O576" i="12"/>
  <c r="O503" i="12"/>
  <c r="O428" i="12"/>
  <c r="O353" i="12"/>
  <c r="O202" i="12"/>
  <c r="O48" i="12"/>
  <c r="O464" i="12"/>
  <c r="O389" i="12"/>
  <c r="O238" i="12"/>
  <c r="O616" i="12"/>
  <c r="O451" i="12"/>
  <c r="O376" i="12"/>
  <c r="O225" i="12"/>
  <c r="O487" i="12"/>
  <c r="O413" i="12"/>
  <c r="O338" i="12"/>
  <c r="O105" i="12"/>
  <c r="O31" i="12"/>
  <c r="O689" i="12"/>
  <c r="O610" i="12"/>
  <c r="O535" i="12"/>
  <c r="O461" i="12"/>
  <c r="O386" i="12"/>
  <c r="O156" i="12"/>
  <c r="O80" i="12"/>
  <c r="O675" i="12"/>
  <c r="O596" i="12"/>
  <c r="O448" i="12"/>
  <c r="O372" i="12"/>
  <c r="O297" i="12"/>
  <c r="O222" i="12"/>
  <c r="O67" i="12"/>
  <c r="O696" i="12"/>
  <c r="O737" i="12"/>
  <c r="O660" i="12"/>
  <c r="O583" i="12"/>
  <c r="O509" i="12"/>
  <c r="O434" i="12"/>
  <c r="O283" i="12"/>
  <c r="O54" i="12"/>
  <c r="O343" i="12"/>
  <c r="O557" i="12"/>
  <c r="O409" i="12"/>
  <c r="O332" i="12"/>
  <c r="O101" i="12"/>
  <c r="O698" i="12"/>
  <c r="O618" i="12"/>
  <c r="O469" i="12"/>
  <c r="O395" i="12"/>
  <c r="O88" i="12"/>
  <c r="O708" i="12"/>
  <c r="O443" i="12"/>
  <c r="O722" i="12"/>
  <c r="O645" i="12"/>
  <c r="O567" i="12"/>
  <c r="O419" i="12"/>
  <c r="O344" i="12"/>
  <c r="O268" i="12"/>
  <c r="O111" i="12"/>
  <c r="O554" i="12"/>
  <c r="O86" i="12"/>
  <c r="O454" i="12"/>
  <c r="O303" i="12"/>
  <c r="O228" i="12"/>
  <c r="O490" i="12"/>
  <c r="O341" i="12"/>
  <c r="O679" i="12"/>
  <c r="O600" i="12"/>
  <c r="O526" i="12"/>
  <c r="O301" i="12"/>
  <c r="O226" i="12"/>
  <c r="O71" i="12"/>
  <c r="O587" i="12"/>
  <c r="O513" i="12"/>
  <c r="O288" i="12"/>
  <c r="O58" i="12"/>
  <c r="O703" i="12"/>
  <c r="O623" i="12"/>
  <c r="O549" i="12"/>
  <c r="O169" i="12"/>
  <c r="O19" i="12"/>
  <c r="O223" i="12"/>
  <c r="O360" i="12"/>
  <c r="O725" i="12"/>
  <c r="O422" i="12"/>
  <c r="O347" i="12"/>
  <c r="O195" i="12"/>
  <c r="O304" i="12"/>
  <c r="O699" i="12"/>
  <c r="O470" i="12"/>
  <c r="O396" i="12"/>
  <c r="O165" i="12"/>
  <c r="O531" i="12"/>
  <c r="O457" i="12"/>
  <c r="O382" i="12"/>
  <c r="O231" i="12"/>
  <c r="O152" i="12"/>
  <c r="O76" i="12"/>
  <c r="O555" i="12"/>
  <c r="O176" i="12"/>
  <c r="O366" i="12"/>
  <c r="O291" i="12"/>
  <c r="O216" i="12"/>
  <c r="O706" i="12"/>
  <c r="O478" i="12"/>
  <c r="O327" i="12"/>
  <c r="O252" i="12"/>
  <c r="O22" i="12"/>
  <c r="O588" i="12"/>
  <c r="O289" i="12"/>
  <c r="O214" i="12"/>
  <c r="O59" i="12"/>
  <c r="O501" i="12"/>
  <c r="O426" i="12"/>
  <c r="O46" i="12"/>
  <c r="O611" i="12"/>
  <c r="O536" i="12"/>
  <c r="O157" i="12"/>
  <c r="O211" i="12"/>
  <c r="O423" i="12"/>
  <c r="O272" i="12"/>
  <c r="O77" i="12"/>
  <c r="O671" i="12"/>
  <c r="O593" i="12"/>
  <c r="O519" i="12"/>
  <c r="O445" i="12"/>
  <c r="O64" i="12"/>
  <c r="O630" i="12"/>
  <c r="O329" i="12"/>
  <c r="O697" i="12"/>
  <c r="O543" i="12"/>
  <c r="O318" i="12"/>
  <c r="O243" i="12"/>
  <c r="O87" i="12"/>
  <c r="O603" i="12"/>
  <c r="O355" i="12"/>
  <c r="O712" i="12"/>
  <c r="O634" i="12"/>
  <c r="O558" i="12"/>
  <c r="O410" i="12"/>
  <c r="O335" i="12"/>
  <c r="O259" i="12"/>
  <c r="O102" i="12"/>
  <c r="O686" i="12"/>
  <c r="O532" i="12"/>
  <c r="O307" i="12"/>
  <c r="O232" i="12"/>
  <c r="O455" i="12"/>
  <c r="O429" i="12"/>
  <c r="O354" i="12"/>
  <c r="O49" i="12"/>
  <c r="O465" i="12"/>
  <c r="O315" i="12"/>
  <c r="O730" i="12"/>
  <c r="O653" i="12"/>
  <c r="O502" i="12"/>
  <c r="O427" i="12"/>
  <c r="O352" i="12"/>
  <c r="O276" i="12"/>
  <c r="O201" i="12"/>
  <c r="O47" i="12"/>
  <c r="O488" i="12"/>
  <c r="O414" i="12"/>
  <c r="O263" i="12"/>
  <c r="O106" i="12"/>
  <c r="O677" i="12"/>
  <c r="O598" i="12"/>
  <c r="O336" i="12"/>
  <c r="O260" i="12"/>
  <c r="O183" i="12"/>
  <c r="O103" i="12"/>
  <c r="O317" i="12"/>
  <c r="O471" i="12"/>
  <c r="O397" i="12"/>
  <c r="O246" i="12"/>
  <c r="O166" i="12"/>
  <c r="O16" i="12"/>
  <c r="O191" i="12"/>
  <c r="O446" i="12"/>
  <c r="O370" i="12"/>
  <c r="O735" i="12"/>
  <c r="O658" i="12"/>
  <c r="O580" i="12"/>
  <c r="O507" i="12"/>
  <c r="O432" i="12"/>
  <c r="O357" i="12"/>
  <c r="O281" i="12"/>
  <c r="O52" i="12"/>
  <c r="O292" i="12"/>
  <c r="O683" i="12"/>
  <c r="O530" i="12"/>
  <c r="O241" i="12"/>
  <c r="O720" i="12"/>
  <c r="O642" i="12"/>
  <c r="O565" i="12"/>
  <c r="O491" i="12"/>
  <c r="O342" i="12"/>
  <c r="O190" i="12"/>
  <c r="O109" i="12"/>
  <c r="O36" i="12"/>
  <c r="O680" i="12"/>
  <c r="O601" i="12"/>
  <c r="O527" i="12"/>
  <c r="O453" i="12"/>
  <c r="O302" i="12"/>
  <c r="O227" i="12"/>
  <c r="O72" i="12"/>
  <c r="O563" i="12"/>
  <c r="O107" i="12"/>
  <c r="O34" i="12"/>
  <c r="O704" i="12"/>
  <c r="O626" i="12"/>
  <c r="O550" i="12"/>
  <c r="O20" i="12"/>
  <c r="O512" i="12"/>
  <c r="O437" i="12"/>
  <c r="O362" i="12"/>
  <c r="O287" i="12"/>
  <c r="O212" i="12"/>
  <c r="O57" i="12"/>
  <c r="O714" i="12"/>
  <c r="O636" i="12"/>
  <c r="O560" i="12"/>
  <c r="O412" i="12"/>
  <c r="O261" i="12"/>
  <c r="O104" i="12"/>
  <c r="O30" i="12"/>
  <c r="O701" i="12"/>
  <c r="O621" i="12"/>
  <c r="O547" i="12"/>
  <c r="O472" i="12"/>
  <c r="O398" i="12"/>
  <c r="O247" i="12"/>
  <c r="O167" i="12"/>
  <c r="O17" i="12"/>
  <c r="O505" i="12"/>
  <c r="O687" i="12"/>
  <c r="O608" i="12"/>
  <c r="O533" i="12"/>
  <c r="O459" i="12"/>
  <c r="O308" i="12"/>
  <c r="O78" i="12"/>
  <c r="O542" i="12"/>
  <c r="O582" i="12"/>
  <c r="O358" i="12"/>
  <c r="O420" i="12"/>
  <c r="O193" i="12"/>
  <c r="O112" i="12"/>
  <c r="O39" i="12"/>
  <c r="O517" i="12"/>
  <c r="O670" i="12"/>
  <c r="O444" i="12"/>
  <c r="O368" i="12"/>
  <c r="O293" i="12"/>
  <c r="O218" i="12"/>
  <c r="O63" i="12"/>
  <c r="O644" i="12"/>
  <c r="O110" i="12"/>
  <c r="O707" i="12"/>
  <c r="O629" i="12"/>
  <c r="O553" i="12"/>
  <c r="O404" i="12"/>
  <c r="O328" i="12"/>
  <c r="O254" i="12"/>
  <c r="O97" i="12"/>
  <c r="O23" i="12"/>
  <c r="O667" i="12"/>
  <c r="O589" i="12"/>
  <c r="O515" i="12"/>
  <c r="O441" i="12"/>
  <c r="O365" i="12"/>
  <c r="O290" i="12"/>
  <c r="O215" i="12"/>
  <c r="O326" i="12"/>
  <c r="O251" i="12"/>
  <c r="O21" i="12"/>
  <c r="O313" i="12"/>
  <c r="O237" i="12"/>
  <c r="O158" i="12"/>
  <c r="O728" i="12"/>
  <c r="O651" i="12"/>
  <c r="O573" i="12"/>
  <c r="O425" i="12"/>
  <c r="O350" i="12"/>
  <c r="O274" i="12"/>
  <c r="O45" i="12"/>
  <c r="O702" i="12"/>
  <c r="O622" i="12"/>
  <c r="O548" i="12"/>
  <c r="O473" i="12"/>
  <c r="O399" i="12"/>
  <c r="O92" i="12"/>
  <c r="O18" i="12"/>
  <c r="O688" i="12"/>
  <c r="O609" i="12"/>
  <c r="O534" i="12"/>
  <c r="O460" i="12"/>
  <c r="O385" i="12"/>
  <c r="O309" i="12"/>
  <c r="O234" i="12"/>
  <c r="O155" i="12"/>
  <c r="O79" i="12"/>
  <c r="O733" i="12"/>
  <c r="O467" i="12"/>
  <c r="O204" i="12"/>
  <c r="O673" i="12"/>
  <c r="O521" i="12"/>
  <c r="O296" i="12"/>
  <c r="O66" i="12"/>
  <c r="O194" i="12"/>
  <c r="O180" i="12"/>
  <c r="O26" i="12"/>
  <c r="O579" i="12"/>
  <c r="O431" i="12"/>
  <c r="O356" i="12"/>
  <c r="O280" i="12"/>
  <c r="O51" i="12"/>
  <c r="O578" i="12"/>
  <c r="O175" i="12"/>
  <c r="O98" i="12"/>
  <c r="O24" i="12"/>
  <c r="O619" i="7"/>
  <c r="O545" i="7"/>
  <c r="O165" i="7"/>
  <c r="O671" i="7"/>
  <c r="O593" i="7"/>
  <c r="O445" i="7"/>
  <c r="O369" i="7"/>
  <c r="O219" i="7"/>
  <c r="O567" i="7"/>
  <c r="O344" i="7"/>
  <c r="O192" i="7"/>
  <c r="O38" i="7"/>
  <c r="O616" i="7"/>
  <c r="O542" i="7"/>
  <c r="O467" i="7"/>
  <c r="O317" i="7"/>
  <c r="O241" i="7"/>
  <c r="O162" i="7"/>
  <c r="O86" i="7"/>
  <c r="O411" i="7"/>
  <c r="O668" i="7"/>
  <c r="O590" i="7"/>
  <c r="O516" i="7"/>
  <c r="O442" i="7"/>
  <c r="O366" i="7"/>
  <c r="O291" i="7"/>
  <c r="O61" i="7"/>
  <c r="O564" i="7"/>
  <c r="O490" i="7"/>
  <c r="O189" i="7"/>
  <c r="O108" i="7"/>
  <c r="O35" i="7"/>
  <c r="O693" i="7"/>
  <c r="O613" i="7"/>
  <c r="O538" i="7"/>
  <c r="O389" i="7"/>
  <c r="O238" i="7"/>
  <c r="O83" i="7"/>
  <c r="O460" i="7"/>
  <c r="O665" i="7"/>
  <c r="O513" i="7"/>
  <c r="O438" i="7"/>
  <c r="O288" i="7"/>
  <c r="O213" i="7"/>
  <c r="O262" i="7"/>
  <c r="O31" i="7"/>
  <c r="O702" i="7"/>
  <c r="O622" i="7"/>
  <c r="O473" i="7"/>
  <c r="O323" i="7"/>
  <c r="O168" i="7"/>
  <c r="O92" i="7"/>
  <c r="O18" i="7"/>
  <c r="O534" i="7"/>
  <c r="O336" i="7"/>
  <c r="O183" i="7"/>
  <c r="O103" i="7"/>
  <c r="O29" i="7"/>
  <c r="O687" i="7"/>
  <c r="O595" i="7"/>
  <c r="O521" i="7"/>
  <c r="O233" i="7"/>
  <c r="O54" i="7"/>
  <c r="O509" i="7"/>
  <c r="O607" i="7"/>
  <c r="O383" i="7"/>
  <c r="O232" i="7"/>
  <c r="O735" i="7"/>
  <c r="O658" i="7"/>
  <c r="O580" i="7"/>
  <c r="O507" i="7"/>
  <c r="O432" i="7"/>
  <c r="O281" i="7"/>
  <c r="O52" i="7"/>
  <c r="O709" i="7"/>
  <c r="O555" i="7"/>
  <c r="O25" i="7"/>
  <c r="O529" i="7"/>
  <c r="O380" i="7"/>
  <c r="O304" i="7"/>
  <c r="O229" i="7"/>
  <c r="O74" i="7"/>
  <c r="O732" i="7"/>
  <c r="O655" i="7"/>
  <c r="O577" i="7"/>
  <c r="O504" i="7"/>
  <c r="O429" i="7"/>
  <c r="O354" i="7"/>
  <c r="O203" i="7"/>
  <c r="O49" i="7"/>
  <c r="O706" i="7"/>
  <c r="O552" i="7"/>
  <c r="O403" i="7"/>
  <c r="O327" i="7"/>
  <c r="O173" i="7"/>
  <c r="O600" i="7"/>
  <c r="O526" i="7"/>
  <c r="O452" i="7"/>
  <c r="O652" i="7"/>
  <c r="O574" i="7"/>
  <c r="O501" i="7"/>
  <c r="O275" i="7"/>
  <c r="O46" i="7"/>
  <c r="O703" i="7"/>
  <c r="O623" i="7"/>
  <c r="O249" i="7"/>
  <c r="O93" i="7"/>
  <c r="O19" i="7"/>
  <c r="O535" i="7"/>
  <c r="O461" i="7"/>
  <c r="O386" i="7"/>
  <c r="O310" i="7"/>
  <c r="O235" i="7"/>
  <c r="O156" i="7"/>
  <c r="O80" i="7"/>
  <c r="O675" i="7"/>
  <c r="O167" i="7"/>
  <c r="O91" i="7"/>
  <c r="O17" i="7"/>
  <c r="O673" i="7"/>
  <c r="O583" i="7"/>
  <c r="O497" i="7"/>
  <c r="O221" i="7"/>
  <c r="O594" i="7"/>
  <c r="O446" i="7"/>
  <c r="O295" i="7"/>
  <c r="O220" i="7"/>
  <c r="O65" i="7"/>
  <c r="O723" i="7"/>
  <c r="O646" i="7"/>
  <c r="O494" i="7"/>
  <c r="O420" i="7"/>
  <c r="O269" i="7"/>
  <c r="O39" i="7"/>
  <c r="O617" i="7"/>
  <c r="O543" i="7"/>
  <c r="O468" i="7"/>
  <c r="O393" i="7"/>
  <c r="O318" i="7"/>
  <c r="O163" i="7"/>
  <c r="O398" i="7"/>
  <c r="O591" i="7"/>
  <c r="O517" i="7"/>
  <c r="O443" i="7"/>
  <c r="O720" i="7"/>
  <c r="O491" i="7"/>
  <c r="O266" i="7"/>
  <c r="O190" i="7"/>
  <c r="O36" i="7"/>
  <c r="O694" i="7"/>
  <c r="O614" i="7"/>
  <c r="O390" i="7"/>
  <c r="O315" i="7"/>
  <c r="O239" i="7"/>
  <c r="O84" i="7"/>
  <c r="O514" i="7"/>
  <c r="O439" i="7"/>
  <c r="O289" i="7"/>
  <c r="O717" i="7"/>
  <c r="O414" i="7"/>
  <c r="O263" i="7"/>
  <c r="O536" i="7"/>
  <c r="O462" i="7"/>
  <c r="O312" i="7"/>
  <c r="O236" i="7"/>
  <c r="O81" i="7"/>
  <c r="O597" i="7"/>
  <c r="O523" i="7"/>
  <c r="O449" i="7"/>
  <c r="O373" i="7"/>
  <c r="O68" i="7"/>
  <c r="O661" i="7"/>
  <c r="O510" i="7"/>
  <c r="O309" i="7"/>
  <c r="O155" i="7"/>
  <c r="O79" i="7"/>
  <c r="O570" i="7"/>
  <c r="O484" i="7"/>
  <c r="O397" i="7"/>
  <c r="O347" i="7"/>
  <c r="O736" i="7"/>
  <c r="O659" i="7"/>
  <c r="O582" i="7"/>
  <c r="O508" i="7"/>
  <c r="O358" i="7"/>
  <c r="O53" i="7"/>
  <c r="O482" i="7"/>
  <c r="O180" i="7"/>
  <c r="O26" i="7"/>
  <c r="O530" i="7"/>
  <c r="O381" i="7"/>
  <c r="O733" i="7"/>
  <c r="O656" i="7"/>
  <c r="O355" i="7"/>
  <c r="O279" i="7"/>
  <c r="O204" i="7"/>
  <c r="O50" i="7"/>
  <c r="O553" i="7"/>
  <c r="O174" i="7"/>
  <c r="O97" i="7"/>
  <c r="O601" i="7"/>
  <c r="O527" i="7"/>
  <c r="O453" i="7"/>
  <c r="O302" i="7"/>
  <c r="O730" i="7"/>
  <c r="O653" i="7"/>
  <c r="O575" i="7"/>
  <c r="O502" i="7"/>
  <c r="O427" i="7"/>
  <c r="O47" i="7"/>
  <c r="O704" i="7"/>
  <c r="O550" i="7"/>
  <c r="O475" i="7"/>
  <c r="O250" i="7"/>
  <c r="O20" i="7"/>
  <c r="O524" i="7"/>
  <c r="O450" i="7"/>
  <c r="O69" i="7"/>
  <c r="O585" i="7"/>
  <c r="O511" i="7"/>
  <c r="O361" i="7"/>
  <c r="O285" i="7"/>
  <c r="O211" i="7"/>
  <c r="O56" i="7"/>
  <c r="O448" i="7"/>
  <c r="O297" i="7"/>
  <c r="O222" i="7"/>
  <c r="O67" i="7"/>
  <c r="O558" i="7"/>
  <c r="O471" i="7"/>
  <c r="O195" i="7"/>
  <c r="O102" i="7"/>
  <c r="O259" i="7"/>
  <c r="O724" i="7"/>
  <c r="O647" i="7"/>
  <c r="O569" i="7"/>
  <c r="O346" i="7"/>
  <c r="O618" i="7"/>
  <c r="O544" i="7"/>
  <c r="O469" i="7"/>
  <c r="O88" i="7"/>
  <c r="O385" i="7"/>
  <c r="O670" i="7"/>
  <c r="O518" i="7"/>
  <c r="O293" i="7"/>
  <c r="O644" i="7"/>
  <c r="O343" i="7"/>
  <c r="O267" i="7"/>
  <c r="O191" i="7"/>
  <c r="O110" i="7"/>
  <c r="O695" i="7"/>
  <c r="O541" i="7"/>
  <c r="O466" i="7"/>
  <c r="O391" i="7"/>
  <c r="O161" i="7"/>
  <c r="O85" i="7"/>
  <c r="O423" i="7"/>
  <c r="O667" i="7"/>
  <c r="O589" i="7"/>
  <c r="O515" i="7"/>
  <c r="O441" i="7"/>
  <c r="O60" i="7"/>
  <c r="O640" i="7"/>
  <c r="O489" i="7"/>
  <c r="O187" i="7"/>
  <c r="O107" i="7"/>
  <c r="O691" i="7"/>
  <c r="O537" i="7"/>
  <c r="O158" i="7"/>
  <c r="O512" i="7"/>
  <c r="O727" i="7"/>
  <c r="O650" i="7"/>
  <c r="O499" i="7"/>
  <c r="O349" i="7"/>
  <c r="O273" i="7"/>
  <c r="O44" i="7"/>
  <c r="O559" i="7"/>
  <c r="O360" i="7"/>
  <c r="O546" i="7"/>
  <c r="O459" i="7"/>
  <c r="O271" i="7"/>
  <c r="O725" i="7"/>
  <c r="O166" i="7"/>
  <c r="O711" i="7"/>
  <c r="O633" i="7"/>
  <c r="O557" i="7"/>
  <c r="O483" i="7"/>
  <c r="O332" i="7"/>
  <c r="O258" i="7"/>
  <c r="O685" i="7"/>
  <c r="O531" i="7"/>
  <c r="O457" i="7"/>
  <c r="O382" i="7"/>
  <c r="O306" i="7"/>
  <c r="O657" i="7"/>
  <c r="O579" i="7"/>
  <c r="O506" i="7"/>
  <c r="O431" i="7"/>
  <c r="O356" i="7"/>
  <c r="O280" i="7"/>
  <c r="O205" i="7"/>
  <c r="O708" i="7"/>
  <c r="O630" i="7"/>
  <c r="O554" i="7"/>
  <c r="O329" i="7"/>
  <c r="O255" i="7"/>
  <c r="O98" i="7"/>
  <c r="O24" i="7"/>
  <c r="O681" i="7"/>
  <c r="O602" i="7"/>
  <c r="O528" i="7"/>
  <c r="O454" i="7"/>
  <c r="O379" i="7"/>
  <c r="O303" i="7"/>
  <c r="O73" i="7"/>
  <c r="O731" i="7"/>
  <c r="O576" i="7"/>
  <c r="O503" i="7"/>
  <c r="O277" i="7"/>
  <c r="O705" i="7"/>
  <c r="O627" i="7"/>
  <c r="O551" i="7"/>
  <c r="O476" i="7"/>
  <c r="O326" i="7"/>
  <c r="O678" i="7"/>
  <c r="O525" i="7"/>
  <c r="O451" i="7"/>
  <c r="O376" i="7"/>
  <c r="O300" i="7"/>
  <c r="O225" i="7"/>
  <c r="O70" i="7"/>
  <c r="O651" i="7"/>
  <c r="O573" i="7"/>
  <c r="O425" i="7"/>
  <c r="O274" i="7"/>
  <c r="O199" i="7"/>
  <c r="O714" i="7"/>
  <c r="O636" i="7"/>
  <c r="O337" i="7"/>
  <c r="O261" i="7"/>
  <c r="O184" i="7"/>
  <c r="O104" i="7"/>
  <c r="O30" i="7"/>
  <c r="O701" i="7"/>
  <c r="O547" i="7"/>
  <c r="O348" i="7"/>
  <c r="O43" i="7"/>
  <c r="O533" i="7"/>
  <c r="O447" i="7"/>
  <c r="O246" i="7"/>
  <c r="O154" i="7"/>
  <c r="O66" i="7"/>
  <c r="O38" i="6"/>
  <c r="O20" i="6"/>
  <c r="O19" i="6"/>
  <c r="O700" i="4"/>
  <c r="O471" i="4"/>
  <c r="O397" i="4"/>
  <c r="O166" i="4"/>
  <c r="O90" i="4"/>
  <c r="O607" i="4"/>
  <c r="O532" i="4"/>
  <c r="O307" i="4"/>
  <c r="O77" i="4"/>
  <c r="O658" i="4"/>
  <c r="O507" i="4"/>
  <c r="O432" i="4"/>
  <c r="O357" i="4"/>
  <c r="O52" i="4"/>
  <c r="O709" i="4"/>
  <c r="O631" i="4"/>
  <c r="O555" i="4"/>
  <c r="O407" i="4"/>
  <c r="O176" i="4"/>
  <c r="O99" i="4"/>
  <c r="O25" i="4"/>
  <c r="O682" i="4"/>
  <c r="O455" i="4"/>
  <c r="O74" i="4"/>
  <c r="O732" i="4"/>
  <c r="O655" i="4"/>
  <c r="O577" i="4"/>
  <c r="O504" i="4"/>
  <c r="O49" i="4"/>
  <c r="O706" i="4"/>
  <c r="O478" i="4"/>
  <c r="O403" i="4"/>
  <c r="O327" i="4"/>
  <c r="O96" i="4"/>
  <c r="O22" i="4"/>
  <c r="O399" i="4"/>
  <c r="O30" i="4"/>
  <c r="O600" i="4"/>
  <c r="O526" i="4"/>
  <c r="O301" i="4"/>
  <c r="O71" i="4"/>
  <c r="O652" i="4"/>
  <c r="O501" i="4"/>
  <c r="O426" i="4"/>
  <c r="O351" i="4"/>
  <c r="O275" i="4"/>
  <c r="O623" i="4"/>
  <c r="O549" i="4"/>
  <c r="O474" i="4"/>
  <c r="O400" i="4"/>
  <c r="O249" i="4"/>
  <c r="O169" i="4"/>
  <c r="O93" i="4"/>
  <c r="O19" i="4"/>
  <c r="O609" i="4"/>
  <c r="O534" i="4"/>
  <c r="O309" i="4"/>
  <c r="O234" i="4"/>
  <c r="O687" i="4"/>
  <c r="O459" i="4"/>
  <c r="O384" i="4"/>
  <c r="O233" i="4"/>
  <c r="O154" i="4"/>
  <c r="O78" i="4"/>
  <c r="O594" i="4"/>
  <c r="O520" i="4"/>
  <c r="O295" i="4"/>
  <c r="O494" i="4"/>
  <c r="O420" i="4"/>
  <c r="O345" i="4"/>
  <c r="O269" i="4"/>
  <c r="O193" i="4"/>
  <c r="O112" i="4"/>
  <c r="O697" i="4"/>
  <c r="O617" i="4"/>
  <c r="O543" i="4"/>
  <c r="O393" i="4"/>
  <c r="O318" i="4"/>
  <c r="O243" i="4"/>
  <c r="O163" i="4"/>
  <c r="O636" i="4"/>
  <c r="O517" i="4"/>
  <c r="O443" i="4"/>
  <c r="O367" i="4"/>
  <c r="O62" i="4"/>
  <c r="O720" i="4"/>
  <c r="O642" i="4"/>
  <c r="O565" i="4"/>
  <c r="O491" i="4"/>
  <c r="O342" i="4"/>
  <c r="O266" i="4"/>
  <c r="O109" i="4"/>
  <c r="O36" i="4"/>
  <c r="O694" i="4"/>
  <c r="O465" i="4"/>
  <c r="O390" i="4"/>
  <c r="O239" i="4"/>
  <c r="O610" i="4"/>
  <c r="O461" i="4"/>
  <c r="O235" i="4"/>
  <c r="O104" i="4"/>
  <c r="O588" i="4"/>
  <c r="O514" i="4"/>
  <c r="O289" i="4"/>
  <c r="O59" i="4"/>
  <c r="O717" i="4"/>
  <c r="O414" i="4"/>
  <c r="O339" i="4"/>
  <c r="O263" i="4"/>
  <c r="O186" i="4"/>
  <c r="O611" i="4"/>
  <c r="O312" i="4"/>
  <c r="O156" i="4"/>
  <c r="O522" i="4"/>
  <c r="O372" i="4"/>
  <c r="O297" i="4"/>
  <c r="O222" i="4"/>
  <c r="O67" i="4"/>
  <c r="O673" i="4"/>
  <c r="O447" i="4"/>
  <c r="O66" i="4"/>
  <c r="O736" i="4"/>
  <c r="O582" i="4"/>
  <c r="O508" i="4"/>
  <c r="O358" i="4"/>
  <c r="O282" i="4"/>
  <c r="O53" i="4"/>
  <c r="O408" i="4"/>
  <c r="O331" i="4"/>
  <c r="O257" i="4"/>
  <c r="O180" i="4"/>
  <c r="O100" i="4"/>
  <c r="O26" i="4"/>
  <c r="O604" i="4"/>
  <c r="O305" i="4"/>
  <c r="O505" i="4"/>
  <c r="O355" i="4"/>
  <c r="O279" i="4"/>
  <c r="O204" i="4"/>
  <c r="O50" i="4"/>
  <c r="O629" i="4"/>
  <c r="O553" i="4"/>
  <c r="O479" i="4"/>
  <c r="O328" i="4"/>
  <c r="O174" i="4"/>
  <c r="O453" i="4"/>
  <c r="O378" i="4"/>
  <c r="O227" i="4"/>
  <c r="O72" i="4"/>
  <c r="O523" i="4"/>
  <c r="O449" i="4"/>
  <c r="O373" i="4"/>
  <c r="O80" i="4"/>
  <c r="O730" i="4"/>
  <c r="O575" i="4"/>
  <c r="O502" i="4"/>
  <c r="O276" i="4"/>
  <c r="O201" i="4"/>
  <c r="O704" i="4"/>
  <c r="O475" i="4"/>
  <c r="O401" i="4"/>
  <c r="O325" i="4"/>
  <c r="O20" i="4"/>
  <c r="O598" i="4"/>
  <c r="O374" i="4"/>
  <c r="O299" i="4"/>
  <c r="O224" i="4"/>
  <c r="O69" i="4"/>
  <c r="O661" i="4"/>
  <c r="O510" i="4"/>
  <c r="O435" i="4"/>
  <c r="O284" i="4"/>
  <c r="O210" i="4"/>
  <c r="O55" i="4"/>
  <c r="O660" i="4"/>
  <c r="O359" i="4"/>
  <c r="O209" i="4"/>
  <c r="O54" i="4"/>
  <c r="O569" i="4"/>
  <c r="O496" i="4"/>
  <c r="O270" i="4"/>
  <c r="O194" i="4"/>
  <c r="O41" i="4"/>
  <c r="O698" i="4"/>
  <c r="O469" i="4"/>
  <c r="O395" i="4"/>
  <c r="O164" i="4"/>
  <c r="O198" i="4"/>
  <c r="O670" i="4"/>
  <c r="O592" i="4"/>
  <c r="O368" i="4"/>
  <c r="O293" i="4"/>
  <c r="O566" i="4"/>
  <c r="O492" i="4"/>
  <c r="O418" i="4"/>
  <c r="O343" i="4"/>
  <c r="O267" i="4"/>
  <c r="O191" i="4"/>
  <c r="O110" i="4"/>
  <c r="O615" i="4"/>
  <c r="O541" i="4"/>
  <c r="O240" i="4"/>
  <c r="O168" i="4"/>
  <c r="O667" i="4"/>
  <c r="O441" i="4"/>
  <c r="O365" i="4"/>
  <c r="O60" i="4"/>
  <c r="O676" i="4"/>
  <c r="O511" i="4"/>
  <c r="O436" i="4"/>
  <c r="O361" i="4"/>
  <c r="O285" i="4"/>
  <c r="O718" i="4"/>
  <c r="O640" i="4"/>
  <c r="O563" i="4"/>
  <c r="O489" i="4"/>
  <c r="O264" i="4"/>
  <c r="O187" i="4"/>
  <c r="O107" i="4"/>
  <c r="O34" i="4"/>
  <c r="O691" i="4"/>
  <c r="O612" i="4"/>
  <c r="O463" i="4"/>
  <c r="O388" i="4"/>
  <c r="O237" i="4"/>
  <c r="O158" i="4"/>
  <c r="O82" i="4"/>
  <c r="O92" i="4"/>
  <c r="O663" i="4"/>
  <c r="O586" i="4"/>
  <c r="O512" i="4"/>
  <c r="O287" i="4"/>
  <c r="O726" i="4"/>
  <c r="O649" i="4"/>
  <c r="O571" i="4"/>
  <c r="O498" i="4"/>
  <c r="O43" i="4"/>
  <c r="O648" i="4"/>
  <c r="O347" i="4"/>
  <c r="O195" i="4"/>
  <c r="O42" i="4"/>
  <c r="O711" i="4"/>
  <c r="O633" i="4"/>
  <c r="O557" i="4"/>
  <c r="O483" i="4"/>
  <c r="O258" i="4"/>
  <c r="O181" i="4"/>
  <c r="O685" i="4"/>
  <c r="O531" i="4"/>
  <c r="O457" i="4"/>
  <c r="O382" i="4"/>
  <c r="O231" i="4"/>
  <c r="O76" i="4"/>
  <c r="O734" i="4"/>
  <c r="O657" i="4"/>
  <c r="O579" i="4"/>
  <c r="O506" i="4"/>
  <c r="O356" i="4"/>
  <c r="O280" i="4"/>
  <c r="O51" i="4"/>
  <c r="O708" i="4"/>
  <c r="O630" i="4"/>
  <c r="O480" i="4"/>
  <c r="O405" i="4"/>
  <c r="O255" i="4"/>
  <c r="O175" i="4"/>
  <c r="O98" i="4"/>
  <c r="O24" i="4"/>
  <c r="O528" i="4"/>
  <c r="O303" i="4"/>
  <c r="O228" i="4"/>
  <c r="O731" i="4"/>
  <c r="O654" i="4"/>
  <c r="O353" i="4"/>
  <c r="O277" i="4"/>
  <c r="O202" i="4"/>
  <c r="O48" i="4"/>
  <c r="O572" i="4"/>
  <c r="O499" i="4"/>
  <c r="O424" i="4"/>
  <c r="O349" i="4"/>
  <c r="O273" i="4"/>
  <c r="O56" i="4"/>
  <c r="O705" i="4"/>
  <c r="O627" i="4"/>
  <c r="O551" i="4"/>
  <c r="O251" i="4"/>
  <c r="O95" i="4"/>
  <c r="O678" i="4"/>
  <c r="O525" i="4"/>
  <c r="O451" i="4"/>
  <c r="O376" i="4"/>
  <c r="O225" i="4"/>
  <c r="O728" i="4"/>
  <c r="O651" i="4"/>
  <c r="O573" i="4"/>
  <c r="O425" i="4"/>
  <c r="O350" i="4"/>
  <c r="O274" i="4"/>
  <c r="O199" i="4"/>
  <c r="O635" i="4"/>
  <c r="O559" i="4"/>
  <c r="O485" i="4"/>
  <c r="O336" i="4"/>
  <c r="O183" i="4"/>
  <c r="O29" i="4"/>
  <c r="O634" i="4"/>
  <c r="O558" i="4"/>
  <c r="O484" i="4"/>
  <c r="O259" i="4"/>
  <c r="O182" i="4"/>
  <c r="O28" i="4"/>
  <c r="O470" i="4"/>
  <c r="O396" i="4"/>
  <c r="O165" i="4"/>
  <c r="O727" i="4"/>
  <c r="O593" i="4"/>
  <c r="O493" i="4"/>
  <c r="O344" i="4"/>
  <c r="O192" i="4"/>
  <c r="O111" i="4"/>
  <c r="O696" i="4"/>
  <c r="O616" i="4"/>
  <c r="O542" i="4"/>
  <c r="O392" i="4"/>
  <c r="O317" i="4"/>
  <c r="O590" i="4"/>
  <c r="O516" i="4"/>
  <c r="O366" i="4"/>
  <c r="O564" i="4"/>
  <c r="O416" i="4"/>
  <c r="O265" i="4"/>
  <c r="O35" i="4"/>
  <c r="O650" i="4"/>
  <c r="O464" i="4"/>
  <c r="O389" i="4"/>
  <c r="O314" i="4"/>
  <c r="O238" i="4"/>
  <c r="O159" i="4"/>
  <c r="O587" i="4"/>
  <c r="O513" i="4"/>
  <c r="O363" i="4"/>
  <c r="O288" i="4"/>
  <c r="O58" i="4"/>
  <c r="O716" i="4"/>
  <c r="O487" i="4"/>
  <c r="O338" i="4"/>
  <c r="O185" i="4"/>
  <c r="O701" i="4"/>
  <c r="O472" i="4"/>
  <c r="O398" i="4"/>
  <c r="O167" i="4"/>
  <c r="O91" i="4"/>
  <c r="O19" i="8"/>
  <c r="O724" i="8"/>
  <c r="O546" i="10"/>
  <c r="O471" i="10"/>
  <c r="O397" i="10"/>
  <c r="O16" i="10"/>
  <c r="O672" i="10"/>
  <c r="O370" i="10"/>
  <c r="O482" i="10"/>
  <c r="O408" i="10"/>
  <c r="O257" i="10"/>
  <c r="O180" i="10"/>
  <c r="O293" i="10"/>
  <c r="O63" i="10"/>
  <c r="O630" i="10"/>
  <c r="O554" i="10"/>
  <c r="O480" i="10"/>
  <c r="O405" i="10"/>
  <c r="O329" i="10"/>
  <c r="O255" i="10"/>
  <c r="O98" i="10"/>
  <c r="O24" i="10"/>
  <c r="O516" i="10"/>
  <c r="O442" i="10"/>
  <c r="O291" i="10"/>
  <c r="O706" i="10"/>
  <c r="O552" i="10"/>
  <c r="O478" i="10"/>
  <c r="O403" i="10"/>
  <c r="O252" i="10"/>
  <c r="O22" i="10"/>
  <c r="O666" i="10"/>
  <c r="O439" i="10"/>
  <c r="O364" i="10"/>
  <c r="O475" i="10"/>
  <c r="O401" i="10"/>
  <c r="O325" i="10"/>
  <c r="O586" i="10"/>
  <c r="O437" i="10"/>
  <c r="O362" i="10"/>
  <c r="O287" i="10"/>
  <c r="O57" i="10"/>
  <c r="O636" i="10"/>
  <c r="O560" i="10"/>
  <c r="O486" i="10"/>
  <c r="O337" i="10"/>
  <c r="O261" i="10"/>
  <c r="O184" i="10"/>
  <c r="O104" i="10"/>
  <c r="O688" i="10"/>
  <c r="O609" i="10"/>
  <c r="O534" i="10"/>
  <c r="O460" i="10"/>
  <c r="O385" i="10"/>
  <c r="O155" i="10"/>
  <c r="O79" i="10"/>
  <c r="O469" i="10"/>
  <c r="O395" i="10"/>
  <c r="O244" i="10"/>
  <c r="O164" i="10"/>
  <c r="O734" i="10"/>
  <c r="O657" i="10"/>
  <c r="O431" i="10"/>
  <c r="O356" i="10"/>
  <c r="O51" i="10"/>
  <c r="O696" i="10"/>
  <c r="O542" i="10"/>
  <c r="O392" i="10"/>
  <c r="O655" i="10"/>
  <c r="O429" i="10"/>
  <c r="O354" i="10"/>
  <c r="O203" i="10"/>
  <c r="O614" i="10"/>
  <c r="O390" i="10"/>
  <c r="O315" i="10"/>
  <c r="O84" i="10"/>
  <c r="O502" i="10"/>
  <c r="O427" i="10"/>
  <c r="O352" i="10"/>
  <c r="O276" i="10"/>
  <c r="O47" i="10"/>
  <c r="O612" i="10"/>
  <c r="O537" i="10"/>
  <c r="O463" i="10"/>
  <c r="O388" i="10"/>
  <c r="O313" i="10"/>
  <c r="O158" i="10"/>
  <c r="O82" i="10"/>
  <c r="O728" i="10"/>
  <c r="O651" i="10"/>
  <c r="O573" i="10"/>
  <c r="O425" i="10"/>
  <c r="O45" i="10"/>
  <c r="O702" i="10"/>
  <c r="O622" i="10"/>
  <c r="O548" i="10"/>
  <c r="O248" i="10"/>
  <c r="O596" i="10"/>
  <c r="O372" i="10"/>
  <c r="O222" i="10"/>
  <c r="O687" i="10"/>
  <c r="O533" i="10"/>
  <c r="O459" i="10"/>
  <c r="O308" i="10"/>
  <c r="O78" i="10"/>
  <c r="O736" i="10"/>
  <c r="O659" i="10"/>
  <c r="O508" i="10"/>
  <c r="O53" i="10"/>
  <c r="O675" i="10"/>
  <c r="O673" i="10"/>
  <c r="O296" i="10"/>
  <c r="O221" i="10"/>
  <c r="O66" i="10"/>
  <c r="O724" i="10"/>
  <c r="O496" i="10"/>
  <c r="O421" i="10"/>
  <c r="O346" i="10"/>
  <c r="O270" i="10"/>
  <c r="O194" i="10"/>
  <c r="O113" i="10"/>
  <c r="O41" i="10"/>
  <c r="O382" i="10"/>
  <c r="O76" i="10"/>
  <c r="O722" i="10"/>
  <c r="O645" i="10"/>
  <c r="O567" i="10"/>
  <c r="O344" i="10"/>
  <c r="O111" i="10"/>
  <c r="O603" i="10"/>
  <c r="O380" i="10"/>
  <c r="O720" i="10"/>
  <c r="O642" i="10"/>
  <c r="O417" i="10"/>
  <c r="O342" i="10"/>
  <c r="O190" i="10"/>
  <c r="O453" i="10"/>
  <c r="O378" i="10"/>
  <c r="O302" i="10"/>
  <c r="O227" i="10"/>
  <c r="O72" i="10"/>
  <c r="O718" i="10"/>
  <c r="O489" i="10"/>
  <c r="O415" i="10"/>
  <c r="O340" i="10"/>
  <c r="O264" i="10"/>
  <c r="O107" i="10"/>
  <c r="O34" i="10"/>
  <c r="O599" i="10"/>
  <c r="O451" i="10"/>
  <c r="O300" i="10"/>
  <c r="O70" i="10"/>
  <c r="O716" i="10"/>
  <c r="O561" i="10"/>
  <c r="O487" i="10"/>
  <c r="O338" i="10"/>
  <c r="O105" i="10"/>
  <c r="O386" i="10"/>
  <c r="O584" i="10"/>
  <c r="O510" i="10"/>
  <c r="O435" i="10"/>
  <c r="O360" i="10"/>
  <c r="O284" i="10"/>
  <c r="O210" i="10"/>
  <c r="O737" i="10"/>
  <c r="O660" i="10"/>
  <c r="O583" i="10"/>
  <c r="O434" i="10"/>
  <c r="O209" i="10"/>
  <c r="O54" i="10"/>
  <c r="O633" i="10"/>
  <c r="O557" i="10"/>
  <c r="O409" i="10"/>
  <c r="O332" i="10"/>
  <c r="O27" i="10"/>
  <c r="O671" i="10"/>
  <c r="O519" i="10"/>
  <c r="O445" i="10"/>
  <c r="O369" i="10"/>
  <c r="O64" i="10"/>
  <c r="O481" i="10"/>
  <c r="O176" i="10"/>
  <c r="O99" i="10"/>
  <c r="O669" i="10"/>
  <c r="O591" i="10"/>
  <c r="O217" i="10"/>
  <c r="O629" i="10"/>
  <c r="O404" i="10"/>
  <c r="O328" i="10"/>
  <c r="O254" i="10"/>
  <c r="O174" i="10"/>
  <c r="O23" i="10"/>
  <c r="O667" i="10"/>
  <c r="O365" i="10"/>
  <c r="O290" i="10"/>
  <c r="O60" i="10"/>
  <c r="O705" i="10"/>
  <c r="O627" i="10"/>
  <c r="O551" i="10"/>
  <c r="O402" i="10"/>
  <c r="O326" i="10"/>
  <c r="O251" i="10"/>
  <c r="O21" i="10"/>
  <c r="O587" i="10"/>
  <c r="O513" i="10"/>
  <c r="O438" i="10"/>
  <c r="O363" i="10"/>
  <c r="O213" i="10"/>
  <c r="O58" i="10"/>
  <c r="O474" i="10"/>
  <c r="O93" i="10"/>
  <c r="O726" i="10"/>
  <c r="O423" i="10"/>
  <c r="O348" i="10"/>
  <c r="O196" i="10"/>
  <c r="O570" i="10"/>
  <c r="O497" i="10"/>
  <c r="O347" i="10"/>
  <c r="O699" i="10"/>
  <c r="O619" i="10"/>
  <c r="O470" i="10"/>
  <c r="O396" i="10"/>
  <c r="O245" i="10"/>
  <c r="O89" i="10"/>
  <c r="O735" i="10"/>
  <c r="O580" i="10"/>
  <c r="O507" i="10"/>
  <c r="O281" i="10"/>
  <c r="O697" i="10"/>
  <c r="O617" i="10"/>
  <c r="O393" i="10"/>
  <c r="O318" i="10"/>
  <c r="O243" i="10"/>
  <c r="O163" i="10"/>
  <c r="O733" i="10"/>
  <c r="O656" i="10"/>
  <c r="O505" i="10"/>
  <c r="O355" i="10"/>
  <c r="O50" i="10"/>
  <c r="O695" i="10"/>
  <c r="O541" i="10"/>
  <c r="O161" i="10"/>
  <c r="O576" i="10"/>
  <c r="O503" i="10"/>
  <c r="O202" i="10"/>
  <c r="O48" i="10"/>
  <c r="O613" i="10"/>
  <c r="O389" i="10"/>
  <c r="O314" i="10"/>
  <c r="O426" i="10"/>
  <c r="O351" i="10"/>
  <c r="O200" i="10"/>
  <c r="O462" i="10"/>
  <c r="O387" i="10"/>
  <c r="O312" i="10"/>
  <c r="O157" i="10"/>
  <c r="O81" i="10"/>
  <c r="O662" i="10"/>
  <c r="O511" i="10"/>
  <c r="O436" i="10"/>
  <c r="O361" i="10"/>
  <c r="O285" i="10"/>
  <c r="O211" i="10"/>
  <c r="O56" i="10"/>
  <c r="O713" i="10"/>
  <c r="O559" i="10"/>
  <c r="O485" i="10"/>
  <c r="O410" i="10"/>
  <c r="O182" i="10"/>
  <c r="O686" i="10"/>
  <c r="O532" i="10"/>
  <c r="O383" i="10"/>
  <c r="O646" i="10"/>
  <c r="O494" i="10"/>
  <c r="O345" i="10"/>
  <c r="O39" i="10"/>
  <c r="O604" i="10"/>
  <c r="O381" i="10"/>
  <c r="O230" i="10"/>
  <c r="O151" i="10"/>
  <c r="O75" i="10"/>
  <c r="O721" i="10"/>
  <c r="O566" i="10"/>
  <c r="O191" i="10"/>
  <c r="O602" i="10"/>
  <c r="O528" i="10"/>
  <c r="O228" i="10"/>
  <c r="O719" i="10"/>
  <c r="O416" i="10"/>
  <c r="O265" i="10"/>
  <c r="O108" i="10"/>
  <c r="O35" i="10"/>
  <c r="O377" i="10"/>
  <c r="O301" i="10"/>
  <c r="O71" i="10"/>
  <c r="O562" i="10"/>
  <c r="O488" i="10"/>
  <c r="O339" i="10"/>
  <c r="O106" i="10"/>
  <c r="O598" i="10"/>
  <c r="O374" i="10"/>
  <c r="O224" i="10"/>
  <c r="O69" i="10"/>
  <c r="O572" i="10"/>
  <c r="O198" i="10"/>
  <c r="O398" i="10"/>
  <c r="O247" i="10"/>
  <c r="O167" i="10"/>
  <c r="O91" i="10"/>
  <c r="O616" i="9"/>
  <c r="O467" i="9"/>
  <c r="O241" i="9"/>
  <c r="O162" i="9"/>
  <c r="O86" i="9"/>
  <c r="O732" i="9"/>
  <c r="O655" i="9"/>
  <c r="O203" i="9"/>
  <c r="O694" i="9"/>
  <c r="O239" i="9"/>
  <c r="O84" i="9"/>
  <c r="O730" i="9"/>
  <c r="O502" i="9"/>
  <c r="O427" i="9"/>
  <c r="O352" i="9"/>
  <c r="O276" i="9"/>
  <c r="O201" i="9"/>
  <c r="O612" i="9"/>
  <c r="O537" i="9"/>
  <c r="O463" i="9"/>
  <c r="O388" i="9"/>
  <c r="O313" i="9"/>
  <c r="O237" i="9"/>
  <c r="O728" i="9"/>
  <c r="O651" i="9"/>
  <c r="O500" i="9"/>
  <c r="O350" i="9"/>
  <c r="O199" i="9"/>
  <c r="O45" i="9"/>
  <c r="O702" i="9"/>
  <c r="O622" i="9"/>
  <c r="O473" i="9"/>
  <c r="O399" i="9"/>
  <c r="O248" i="9"/>
  <c r="O168" i="9"/>
  <c r="O621" i="9"/>
  <c r="O472" i="9"/>
  <c r="O17" i="9"/>
  <c r="O592" i="9"/>
  <c r="O192" i="9"/>
  <c r="O308" i="9"/>
  <c r="O233" i="9"/>
  <c r="O78" i="9"/>
  <c r="O736" i="9"/>
  <c r="O582" i="9"/>
  <c r="O508" i="9"/>
  <c r="O358" i="9"/>
  <c r="O282" i="9"/>
  <c r="O469" i="9"/>
  <c r="O395" i="9"/>
  <c r="O244" i="9"/>
  <c r="O88" i="9"/>
  <c r="O163" i="9"/>
  <c r="O63" i="9"/>
  <c r="O682" i="9"/>
  <c r="O603" i="9"/>
  <c r="O529" i="9"/>
  <c r="O455" i="9"/>
  <c r="O229" i="9"/>
  <c r="O720" i="9"/>
  <c r="O642" i="9"/>
  <c r="O491" i="9"/>
  <c r="O342" i="9"/>
  <c r="O190" i="9"/>
  <c r="O36" i="9"/>
  <c r="O378" i="9"/>
  <c r="O302" i="9"/>
  <c r="O227" i="9"/>
  <c r="O72" i="9"/>
  <c r="O718" i="9"/>
  <c r="O640" i="9"/>
  <c r="O340" i="9"/>
  <c r="O187" i="9"/>
  <c r="O34" i="9"/>
  <c r="O525" i="9"/>
  <c r="O376" i="9"/>
  <c r="O300" i="9"/>
  <c r="O225" i="9"/>
  <c r="O338" i="9"/>
  <c r="O105" i="9"/>
  <c r="O31" i="9"/>
  <c r="O689" i="9"/>
  <c r="O610" i="9"/>
  <c r="O535" i="9"/>
  <c r="O461" i="9"/>
  <c r="O235" i="9"/>
  <c r="O156" i="9"/>
  <c r="O688" i="9"/>
  <c r="O609" i="9"/>
  <c r="O309" i="9"/>
  <c r="O155" i="9"/>
  <c r="O381" i="9"/>
  <c r="O151" i="9"/>
  <c r="O673" i="9"/>
  <c r="O221" i="9"/>
  <c r="O66" i="9"/>
  <c r="O724" i="9"/>
  <c r="O647" i="9"/>
  <c r="O346" i="9"/>
  <c r="O270" i="9"/>
  <c r="O685" i="9"/>
  <c r="O606" i="9"/>
  <c r="O531" i="9"/>
  <c r="O457" i="9"/>
  <c r="O382" i="9"/>
  <c r="O306" i="9"/>
  <c r="O231" i="9"/>
  <c r="O657" i="9"/>
  <c r="O111" i="9"/>
  <c r="O51" i="9"/>
  <c r="O591" i="9"/>
  <c r="O517" i="9"/>
  <c r="O443" i="9"/>
  <c r="O367" i="9"/>
  <c r="O217" i="9"/>
  <c r="O62" i="9"/>
  <c r="O707" i="9"/>
  <c r="O479" i="9"/>
  <c r="O667" i="9"/>
  <c r="O441" i="9"/>
  <c r="O365" i="9"/>
  <c r="O215" i="9"/>
  <c r="O60" i="9"/>
  <c r="O705" i="9"/>
  <c r="O402" i="9"/>
  <c r="O251" i="9"/>
  <c r="O665" i="9"/>
  <c r="O513" i="9"/>
  <c r="O438" i="9"/>
  <c r="O363" i="9"/>
  <c r="O288" i="9"/>
  <c r="O213" i="9"/>
  <c r="O58" i="9"/>
  <c r="O623" i="9"/>
  <c r="O549" i="9"/>
  <c r="O474" i="9"/>
  <c r="O400" i="9"/>
  <c r="O249" i="9"/>
  <c r="O169" i="9"/>
  <c r="O93" i="9"/>
  <c r="O676" i="9"/>
  <c r="O597" i="9"/>
  <c r="O523" i="9"/>
  <c r="O449" i="9"/>
  <c r="O223" i="9"/>
  <c r="O68" i="9"/>
  <c r="O617" i="9"/>
  <c r="O675" i="9"/>
  <c r="O297" i="9"/>
  <c r="O222" i="9"/>
  <c r="O67" i="9"/>
  <c r="O344" i="9"/>
  <c r="O737" i="9"/>
  <c r="O660" i="9"/>
  <c r="O209" i="9"/>
  <c r="O54" i="9"/>
  <c r="O633" i="9"/>
  <c r="O557" i="9"/>
  <c r="O409" i="9"/>
  <c r="O258" i="9"/>
  <c r="O181" i="9"/>
  <c r="O519" i="9"/>
  <c r="O369" i="9"/>
  <c r="O294" i="9"/>
  <c r="O219" i="9"/>
  <c r="O64" i="9"/>
  <c r="O604" i="9"/>
  <c r="O75" i="9"/>
  <c r="O733" i="9"/>
  <c r="O656" i="9"/>
  <c r="O505" i="9"/>
  <c r="O50" i="9"/>
  <c r="O615" i="9"/>
  <c r="O466" i="9"/>
  <c r="O240" i="9"/>
  <c r="O654" i="9"/>
  <c r="O353" i="9"/>
  <c r="O48" i="9"/>
  <c r="O693" i="9"/>
  <c r="O389" i="9"/>
  <c r="O238" i="9"/>
  <c r="O159" i="9"/>
  <c r="O501" i="9"/>
  <c r="O426" i="9"/>
  <c r="O351" i="9"/>
  <c r="O275" i="9"/>
  <c r="O200" i="9"/>
  <c r="O611" i="9"/>
  <c r="O536" i="9"/>
  <c r="O312" i="9"/>
  <c r="O157" i="9"/>
  <c r="O81" i="9"/>
  <c r="O662" i="9"/>
  <c r="O585" i="9"/>
  <c r="O511" i="9"/>
  <c r="O211" i="9"/>
  <c r="O56" i="9"/>
  <c r="O280" i="9"/>
  <c r="O661" i="9"/>
  <c r="O284" i="9"/>
  <c r="O210" i="9"/>
  <c r="O55" i="9"/>
  <c r="O305" i="9"/>
  <c r="O725" i="9"/>
  <c r="O648" i="9"/>
  <c r="O347" i="9"/>
  <c r="O271" i="9"/>
  <c r="O195" i="9"/>
  <c r="O42" i="9"/>
  <c r="O699" i="9"/>
  <c r="O396" i="9"/>
  <c r="O245" i="9"/>
  <c r="O165" i="9"/>
  <c r="O432" i="9"/>
  <c r="O281" i="9"/>
  <c r="O206" i="9"/>
  <c r="O52" i="9"/>
  <c r="O293" i="9"/>
  <c r="O721" i="9"/>
  <c r="O644" i="9"/>
  <c r="O492" i="9"/>
  <c r="O267" i="9"/>
  <c r="O681" i="9"/>
  <c r="O454" i="9"/>
  <c r="O303" i="9"/>
  <c r="O719" i="9"/>
  <c r="O416" i="9"/>
  <c r="O265" i="9"/>
  <c r="O189" i="9"/>
  <c r="O108" i="9"/>
  <c r="O301" i="9"/>
  <c r="O717" i="9"/>
  <c r="O414" i="9"/>
  <c r="O263" i="9"/>
  <c r="O186" i="9"/>
  <c r="O32" i="9"/>
  <c r="O598" i="9"/>
  <c r="O450" i="9"/>
  <c r="O224" i="9"/>
  <c r="O69" i="9"/>
  <c r="O650" i="9"/>
  <c r="O499" i="9"/>
  <c r="O44" i="9"/>
  <c r="O726" i="9"/>
  <c r="O649" i="9"/>
  <c r="O272" i="9"/>
  <c r="O196" i="9"/>
  <c r="O645" i="9"/>
  <c r="O481" i="9"/>
  <c r="O712" i="9"/>
  <c r="O484" i="9"/>
  <c r="O410" i="9"/>
  <c r="O259" i="9"/>
  <c r="O182" i="9"/>
  <c r="O102" i="9"/>
  <c r="O383" i="9"/>
  <c r="O307" i="9"/>
  <c r="O723" i="9"/>
  <c r="O420" i="9"/>
  <c r="O269" i="9"/>
  <c r="O193" i="9"/>
  <c r="O493" i="9"/>
  <c r="O683" i="9"/>
  <c r="O630" i="9"/>
  <c r="O554" i="9"/>
  <c r="O405" i="9"/>
  <c r="O329" i="9"/>
  <c r="O255" i="9"/>
  <c r="O98" i="9"/>
  <c r="O291" i="9"/>
  <c r="O216" i="9"/>
  <c r="O61" i="9"/>
  <c r="O706" i="9"/>
  <c r="O552" i="9"/>
  <c r="O478" i="9"/>
  <c r="O403" i="9"/>
  <c r="O252" i="9"/>
  <c r="O96" i="9"/>
  <c r="O289" i="9"/>
  <c r="O704" i="9"/>
  <c r="O475" i="9"/>
  <c r="O401" i="9"/>
  <c r="O325" i="9"/>
  <c r="O20" i="9"/>
  <c r="O586" i="9"/>
  <c r="O212" i="9"/>
  <c r="O714" i="9"/>
  <c r="O636" i="9"/>
  <c r="O560" i="9"/>
  <c r="O486" i="9"/>
  <c r="O337" i="9"/>
  <c r="O456" i="9"/>
  <c r="O218" i="9"/>
  <c r="O713" i="9"/>
  <c r="O485" i="9"/>
  <c r="O183" i="9"/>
  <c r="O29" i="9"/>
  <c r="O468" i="9"/>
  <c r="O230" i="9"/>
  <c r="O700" i="9"/>
  <c r="O321" i="9"/>
  <c r="O246" i="9"/>
  <c r="O166" i="9"/>
  <c r="O90" i="9"/>
  <c r="O594" i="9"/>
  <c r="O446" i="9"/>
  <c r="O295" i="9"/>
  <c r="O632" i="9"/>
  <c r="O408" i="9"/>
  <c r="O331" i="9"/>
  <c r="O257" i="9"/>
  <c r="O100" i="9"/>
  <c r="O444" i="9"/>
  <c r="O205" i="9"/>
  <c r="O620" i="3"/>
  <c r="O546" i="3"/>
  <c r="O471" i="3"/>
  <c r="O166" i="3"/>
  <c r="O16" i="3"/>
  <c r="O545" i="3"/>
  <c r="O320" i="3"/>
  <c r="O646" i="3"/>
  <c r="O568" i="3"/>
  <c r="O420" i="3"/>
  <c r="O269" i="3"/>
  <c r="O112" i="3"/>
  <c r="O604" i="3"/>
  <c r="O456" i="3"/>
  <c r="O230" i="3"/>
  <c r="O554" i="3"/>
  <c r="O480" i="3"/>
  <c r="O405" i="3"/>
  <c r="O98" i="3"/>
  <c r="O24" i="3"/>
  <c r="O590" i="3"/>
  <c r="O366" i="3"/>
  <c r="O61" i="3"/>
  <c r="O552" i="3"/>
  <c r="O403" i="3"/>
  <c r="O252" i="3"/>
  <c r="O173" i="3"/>
  <c r="O588" i="3"/>
  <c r="O514" i="3"/>
  <c r="O439" i="3"/>
  <c r="O364" i="3"/>
  <c r="O59" i="3"/>
  <c r="O652" i="3"/>
  <c r="O574" i="3"/>
  <c r="O501" i="3"/>
  <c r="O426" i="3"/>
  <c r="O46" i="3"/>
  <c r="O703" i="3"/>
  <c r="O623" i="3"/>
  <c r="O549" i="3"/>
  <c r="O400" i="3"/>
  <c r="O93" i="3"/>
  <c r="O727" i="3"/>
  <c r="O572" i="3"/>
  <c r="O424" i="3"/>
  <c r="O198" i="3"/>
  <c r="O44" i="3"/>
  <c r="O661" i="3"/>
  <c r="O372" i="3"/>
  <c r="O155" i="3"/>
  <c r="O43" i="3"/>
  <c r="O687" i="3"/>
  <c r="O459" i="3"/>
  <c r="O233" i="3"/>
  <c r="O154" i="3"/>
  <c r="O686" i="3"/>
  <c r="O532" i="3"/>
  <c r="O307" i="3"/>
  <c r="O77" i="3"/>
  <c r="O556" i="3"/>
  <c r="O408" i="3"/>
  <c r="O331" i="3"/>
  <c r="O26" i="3"/>
  <c r="O592" i="3"/>
  <c r="O518" i="3"/>
  <c r="O293" i="3"/>
  <c r="O63" i="3"/>
  <c r="O696" i="3"/>
  <c r="O616" i="3"/>
  <c r="O542" i="3"/>
  <c r="O467" i="3"/>
  <c r="O317" i="3"/>
  <c r="O241" i="3"/>
  <c r="O162" i="3"/>
  <c r="O86" i="3"/>
  <c r="O732" i="3"/>
  <c r="O354" i="3"/>
  <c r="O203" i="3"/>
  <c r="O49" i="3"/>
  <c r="O614" i="3"/>
  <c r="O539" i="3"/>
  <c r="O465" i="3"/>
  <c r="O315" i="3"/>
  <c r="O239" i="3"/>
  <c r="O575" i="3"/>
  <c r="O502" i="3"/>
  <c r="O427" i="3"/>
  <c r="O276" i="3"/>
  <c r="O201" i="3"/>
  <c r="O47" i="3"/>
  <c r="O562" i="3"/>
  <c r="O414" i="3"/>
  <c r="O32" i="3"/>
  <c r="O611" i="3"/>
  <c r="O462" i="3"/>
  <c r="O157" i="3"/>
  <c r="O714" i="3"/>
  <c r="O560" i="3"/>
  <c r="O486" i="3"/>
  <c r="O412" i="3"/>
  <c r="O261" i="3"/>
  <c r="O104" i="3"/>
  <c r="O30" i="3"/>
  <c r="O649" i="3"/>
  <c r="O547" i="3"/>
  <c r="O448" i="3"/>
  <c r="O348" i="3"/>
  <c r="O247" i="3"/>
  <c r="O460" i="3"/>
  <c r="O167" i="3"/>
  <c r="O673" i="3"/>
  <c r="O595" i="3"/>
  <c r="O296" i="3"/>
  <c r="O66" i="3"/>
  <c r="O672" i="3"/>
  <c r="O446" i="3"/>
  <c r="O370" i="3"/>
  <c r="O220" i="3"/>
  <c r="O53" i="3"/>
  <c r="O698" i="3"/>
  <c r="O395" i="3"/>
  <c r="O164" i="3"/>
  <c r="O88" i="3"/>
  <c r="O734" i="3"/>
  <c r="O579" i="3"/>
  <c r="O356" i="3"/>
  <c r="O380" i="3"/>
  <c r="O642" i="3"/>
  <c r="O565" i="3"/>
  <c r="O417" i="3"/>
  <c r="O266" i="3"/>
  <c r="O190" i="3"/>
  <c r="O601" i="3"/>
  <c r="O527" i="3"/>
  <c r="O378" i="3"/>
  <c r="O302" i="3"/>
  <c r="O72" i="3"/>
  <c r="O718" i="3"/>
  <c r="O340" i="3"/>
  <c r="O107" i="3"/>
  <c r="O626" i="3"/>
  <c r="O475" i="3"/>
  <c r="O250" i="3"/>
  <c r="O94" i="3"/>
  <c r="O677" i="3"/>
  <c r="O299" i="3"/>
  <c r="O224" i="3"/>
  <c r="O622" i="3"/>
  <c r="O548" i="3"/>
  <c r="O473" i="3"/>
  <c r="O248" i="3"/>
  <c r="O168" i="3"/>
  <c r="O534" i="3"/>
  <c r="O435" i="3"/>
  <c r="O234" i="3"/>
  <c r="O411" i="3"/>
  <c r="O660" i="3"/>
  <c r="O509" i="3"/>
  <c r="O434" i="3"/>
  <c r="O209" i="3"/>
  <c r="O54" i="3"/>
  <c r="O659" i="3"/>
  <c r="O282" i="3"/>
  <c r="O208" i="3"/>
  <c r="O41" i="3"/>
  <c r="O306" i="3"/>
  <c r="O231" i="3"/>
  <c r="O152" i="3"/>
  <c r="O722" i="3"/>
  <c r="O567" i="3"/>
  <c r="O344" i="3"/>
  <c r="O38" i="3"/>
  <c r="O443" i="3"/>
  <c r="O367" i="3"/>
  <c r="O292" i="3"/>
  <c r="O629" i="3"/>
  <c r="O404" i="3"/>
  <c r="O328" i="3"/>
  <c r="O254" i="3"/>
  <c r="O23" i="3"/>
  <c r="O667" i="3"/>
  <c r="O515" i="3"/>
  <c r="O290" i="3"/>
  <c r="O215" i="3"/>
  <c r="O60" i="3"/>
  <c r="O476" i="3"/>
  <c r="O402" i="3"/>
  <c r="O251" i="3"/>
  <c r="O95" i="3"/>
  <c r="O21" i="3"/>
  <c r="O463" i="3"/>
  <c r="O237" i="3"/>
  <c r="O158" i="3"/>
  <c r="O663" i="3"/>
  <c r="O512" i="3"/>
  <c r="O386" i="3"/>
  <c r="O310" i="3"/>
  <c r="O80" i="3"/>
  <c r="O609" i="3"/>
  <c r="O103" i="3"/>
  <c r="O688" i="3"/>
  <c r="O360" i="3"/>
  <c r="O79" i="3"/>
  <c r="O725" i="3"/>
  <c r="O648" i="3"/>
  <c r="O497" i="3"/>
  <c r="O422" i="3"/>
  <c r="O195" i="3"/>
  <c r="O42" i="3"/>
  <c r="O724" i="3"/>
  <c r="O647" i="3"/>
  <c r="O194" i="3"/>
  <c r="O593" i="3"/>
  <c r="O294" i="3"/>
  <c r="O631" i="3"/>
  <c r="O555" i="3"/>
  <c r="O656" i="3"/>
  <c r="O505" i="3"/>
  <c r="O355" i="3"/>
  <c r="O279" i="3"/>
  <c r="O695" i="3"/>
  <c r="O391" i="3"/>
  <c r="O240" i="3"/>
  <c r="O654" i="3"/>
  <c r="O503" i="3"/>
  <c r="O428" i="3"/>
  <c r="O202" i="3"/>
  <c r="O48" i="3"/>
  <c r="O693" i="3"/>
  <c r="O613" i="3"/>
  <c r="O464" i="3"/>
  <c r="O389" i="3"/>
  <c r="O159" i="3"/>
  <c r="O83" i="3"/>
  <c r="O451" i="3"/>
  <c r="O300" i="3"/>
  <c r="O225" i="3"/>
  <c r="O728" i="3"/>
  <c r="O573" i="3"/>
  <c r="O500" i="3"/>
  <c r="O298" i="3"/>
  <c r="O701" i="3"/>
  <c r="O498" i="3"/>
  <c r="O398" i="3"/>
  <c r="O297" i="3"/>
  <c r="O196" i="3"/>
  <c r="O621" i="3"/>
  <c r="O55" i="3"/>
  <c r="O712" i="3"/>
  <c r="O484" i="3"/>
  <c r="O410" i="3"/>
  <c r="O182" i="3"/>
  <c r="O102" i="3"/>
  <c r="O483" i="3"/>
  <c r="O101" i="3"/>
  <c r="O735" i="3"/>
  <c r="O357" i="3"/>
  <c r="O281" i="3"/>
  <c r="O206" i="3"/>
  <c r="O318" i="3"/>
  <c r="O243" i="3"/>
  <c r="O163" i="3"/>
  <c r="O87" i="3"/>
  <c r="O644" i="3"/>
  <c r="O343" i="3"/>
  <c r="O267" i="3"/>
  <c r="O528" i="3"/>
  <c r="O303" i="3"/>
  <c r="O228" i="3"/>
  <c r="O719" i="3"/>
  <c r="O490" i="3"/>
  <c r="O416" i="3"/>
  <c r="O189" i="3"/>
  <c r="O108" i="3"/>
  <c r="O452" i="3"/>
  <c r="O377" i="3"/>
  <c r="O226" i="3"/>
  <c r="O71" i="3"/>
  <c r="O438" i="3"/>
  <c r="O288" i="3"/>
  <c r="O132" i="3"/>
  <c r="O716" i="3"/>
  <c r="O637" i="3"/>
  <c r="O561" i="3"/>
  <c r="O338" i="3"/>
  <c r="O185" i="3"/>
  <c r="O662" i="3"/>
  <c r="O361" i="3"/>
  <c r="O285" i="3"/>
  <c r="O584" i="3"/>
  <c r="O385" i="3"/>
  <c r="O284" i="3"/>
  <c r="O571" i="3"/>
  <c r="O260" i="3"/>
  <c r="O29" i="3"/>
  <c r="K96" i="1"/>
  <c r="M96" i="1" s="1"/>
  <c r="L96" i="1"/>
  <c r="N96" i="1" s="1"/>
  <c r="K439" i="1"/>
  <c r="M439" i="1" s="1"/>
  <c r="L439" i="1"/>
  <c r="N439" i="1" s="1"/>
  <c r="L736" i="1"/>
  <c r="N736" i="1" s="1"/>
  <c r="K736" i="1"/>
  <c r="M736" i="1" s="1"/>
  <c r="L724" i="1"/>
  <c r="N724" i="1" s="1"/>
  <c r="K724" i="1"/>
  <c r="M724" i="1" s="1"/>
  <c r="L711" i="1"/>
  <c r="N711" i="1" s="1"/>
  <c r="K711" i="1"/>
  <c r="M711" i="1" s="1"/>
  <c r="L699" i="1"/>
  <c r="N699" i="1" s="1"/>
  <c r="K699" i="1"/>
  <c r="M699" i="1" s="1"/>
  <c r="K678" i="1"/>
  <c r="M678" i="1" s="1"/>
  <c r="L678" i="1"/>
  <c r="N678" i="1" s="1"/>
  <c r="L665" i="1"/>
  <c r="N665" i="1" s="1"/>
  <c r="K665" i="1"/>
  <c r="M665" i="1" s="1"/>
  <c r="L652" i="1"/>
  <c r="N652" i="1" s="1"/>
  <c r="K652" i="1"/>
  <c r="M652" i="1" s="1"/>
  <c r="K639" i="1"/>
  <c r="M639" i="1" s="1"/>
  <c r="L639" i="1"/>
  <c r="N639" i="1" s="1"/>
  <c r="K626" i="1"/>
  <c r="M626" i="1" s="1"/>
  <c r="L626" i="1"/>
  <c r="N626" i="1" s="1"/>
  <c r="K612" i="1"/>
  <c r="M612" i="1" s="1"/>
  <c r="L612" i="1"/>
  <c r="N612" i="1" s="1"/>
  <c r="L599" i="1"/>
  <c r="N599" i="1" s="1"/>
  <c r="K599" i="1"/>
  <c r="M599" i="1" s="1"/>
  <c r="L587" i="1"/>
  <c r="N587" i="1" s="1"/>
  <c r="K587" i="1"/>
  <c r="M587" i="1" s="1"/>
  <c r="L574" i="1"/>
  <c r="N574" i="1" s="1"/>
  <c r="K574" i="1"/>
  <c r="M574" i="1" s="1"/>
  <c r="L562" i="1"/>
  <c r="N562" i="1" s="1"/>
  <c r="K562" i="1"/>
  <c r="M562" i="1" s="1"/>
  <c r="L550" i="1"/>
  <c r="N550" i="1" s="1"/>
  <c r="K550" i="1"/>
  <c r="M550" i="1" s="1"/>
  <c r="K537" i="1"/>
  <c r="M537" i="1" s="1"/>
  <c r="L537" i="1"/>
  <c r="N537" i="1" s="1"/>
  <c r="L525" i="1"/>
  <c r="N525" i="1" s="1"/>
  <c r="K525" i="1"/>
  <c r="M525" i="1" s="1"/>
  <c r="K513" i="1"/>
  <c r="M513" i="1" s="1"/>
  <c r="L513" i="1"/>
  <c r="N513" i="1" s="1"/>
  <c r="K501" i="1"/>
  <c r="M501" i="1" s="1"/>
  <c r="L501" i="1"/>
  <c r="N501" i="1" s="1"/>
  <c r="K488" i="1"/>
  <c r="M488" i="1" s="1"/>
  <c r="L488" i="1"/>
  <c r="N488" i="1" s="1"/>
  <c r="K475" i="1"/>
  <c r="M475" i="1" s="1"/>
  <c r="L475" i="1"/>
  <c r="N475" i="1" s="1"/>
  <c r="K463" i="1"/>
  <c r="M463" i="1" s="1"/>
  <c r="L463" i="1"/>
  <c r="N463" i="1" s="1"/>
  <c r="K451" i="1"/>
  <c r="M451" i="1" s="1"/>
  <c r="L451" i="1"/>
  <c r="N451" i="1" s="1"/>
  <c r="K438" i="1"/>
  <c r="M438" i="1" s="1"/>
  <c r="L438" i="1"/>
  <c r="N438" i="1" s="1"/>
  <c r="K426" i="1"/>
  <c r="M426" i="1" s="1"/>
  <c r="L426" i="1"/>
  <c r="N426" i="1" s="1"/>
  <c r="K414" i="1"/>
  <c r="M414" i="1" s="1"/>
  <c r="L414" i="1"/>
  <c r="N414" i="1" s="1"/>
  <c r="K401" i="1"/>
  <c r="M401" i="1" s="1"/>
  <c r="L401" i="1"/>
  <c r="N401" i="1" s="1"/>
  <c r="K388" i="1"/>
  <c r="M388" i="1" s="1"/>
  <c r="L388" i="1"/>
  <c r="N388" i="1" s="1"/>
  <c r="L376" i="1"/>
  <c r="N376" i="1" s="1"/>
  <c r="K376" i="1"/>
  <c r="M376" i="1" s="1"/>
  <c r="K363" i="1"/>
  <c r="M363" i="1" s="1"/>
  <c r="L363" i="1"/>
  <c r="N363" i="1" s="1"/>
  <c r="K351" i="1"/>
  <c r="M351" i="1" s="1"/>
  <c r="L351" i="1"/>
  <c r="N351" i="1" s="1"/>
  <c r="K339" i="1"/>
  <c r="M339" i="1" s="1"/>
  <c r="L339" i="1"/>
  <c r="N339" i="1" s="1"/>
  <c r="K325" i="1"/>
  <c r="M325" i="1" s="1"/>
  <c r="L325" i="1"/>
  <c r="N325" i="1" s="1"/>
  <c r="K313" i="1"/>
  <c r="M313" i="1" s="1"/>
  <c r="L313" i="1"/>
  <c r="N313" i="1" s="1"/>
  <c r="K300" i="1"/>
  <c r="M300" i="1" s="1"/>
  <c r="L300" i="1"/>
  <c r="N300" i="1" s="1"/>
  <c r="K288" i="1"/>
  <c r="M288" i="1" s="1"/>
  <c r="L288" i="1"/>
  <c r="N288" i="1" s="1"/>
  <c r="K275" i="1"/>
  <c r="M275" i="1" s="1"/>
  <c r="L275" i="1"/>
  <c r="N275" i="1" s="1"/>
  <c r="K263" i="1"/>
  <c r="M263" i="1" s="1"/>
  <c r="L263" i="1"/>
  <c r="N263" i="1" s="1"/>
  <c r="K250" i="1"/>
  <c r="M250" i="1" s="1"/>
  <c r="L250" i="1"/>
  <c r="N250" i="1" s="1"/>
  <c r="L237" i="1"/>
  <c r="N237" i="1" s="1"/>
  <c r="K237" i="1"/>
  <c r="M237" i="1" s="1"/>
  <c r="K225" i="1"/>
  <c r="M225" i="1" s="1"/>
  <c r="L225" i="1"/>
  <c r="N225" i="1" s="1"/>
  <c r="K213" i="1"/>
  <c r="M213" i="1" s="1"/>
  <c r="L213" i="1"/>
  <c r="N213" i="1" s="1"/>
  <c r="K200" i="1"/>
  <c r="M200" i="1" s="1"/>
  <c r="L200" i="1"/>
  <c r="N200" i="1" s="1"/>
  <c r="K186" i="1"/>
  <c r="M186" i="1" s="1"/>
  <c r="L186" i="1"/>
  <c r="N186" i="1" s="1"/>
  <c r="K171" i="1"/>
  <c r="M171" i="1" s="1"/>
  <c r="L171" i="1"/>
  <c r="N171" i="1" s="1"/>
  <c r="K158" i="1"/>
  <c r="M158" i="1" s="1"/>
  <c r="L158" i="1"/>
  <c r="N158" i="1" s="1"/>
  <c r="K145" i="1"/>
  <c r="M145" i="1" s="1"/>
  <c r="L145" i="1"/>
  <c r="N145" i="1" s="1"/>
  <c r="K132" i="1"/>
  <c r="M132" i="1" s="1"/>
  <c r="L132" i="1"/>
  <c r="N132" i="1" s="1"/>
  <c r="K119" i="1"/>
  <c r="M119" i="1" s="1"/>
  <c r="L119" i="1"/>
  <c r="N119" i="1" s="1"/>
  <c r="K106" i="1"/>
  <c r="M106" i="1" s="1"/>
  <c r="L106" i="1"/>
  <c r="N106" i="1" s="1"/>
  <c r="K94" i="1"/>
  <c r="M94" i="1" s="1"/>
  <c r="L94" i="1"/>
  <c r="N94" i="1" s="1"/>
  <c r="K82" i="1"/>
  <c r="M82" i="1" s="1"/>
  <c r="L82" i="1"/>
  <c r="N82" i="1" s="1"/>
  <c r="K70" i="1"/>
  <c r="M70" i="1" s="1"/>
  <c r="L70" i="1"/>
  <c r="N70" i="1" s="1"/>
  <c r="K58" i="1"/>
  <c r="M58" i="1" s="1"/>
  <c r="L58" i="1"/>
  <c r="N58" i="1" s="1"/>
  <c r="K46" i="1"/>
  <c r="M46" i="1" s="1"/>
  <c r="L46" i="1"/>
  <c r="N46" i="1" s="1"/>
  <c r="K32" i="1"/>
  <c r="M32" i="1" s="1"/>
  <c r="L32" i="1"/>
  <c r="N32" i="1" s="1"/>
  <c r="K20" i="1"/>
  <c r="M20" i="1" s="1"/>
  <c r="L20" i="1"/>
  <c r="N20" i="1" s="1"/>
  <c r="K108" i="1"/>
  <c r="M108" i="1" s="1"/>
  <c r="L108" i="1"/>
  <c r="N108" i="1" s="1"/>
  <c r="K146" i="1"/>
  <c r="M146" i="1" s="1"/>
  <c r="L146" i="1"/>
  <c r="N146" i="1" s="1"/>
  <c r="L735" i="1"/>
  <c r="N735" i="1" s="1"/>
  <c r="K735" i="1"/>
  <c r="M735" i="1" s="1"/>
  <c r="L677" i="1"/>
  <c r="N677" i="1" s="1"/>
  <c r="K677" i="1"/>
  <c r="M677" i="1" s="1"/>
  <c r="K663" i="1"/>
  <c r="M663" i="1" s="1"/>
  <c r="L663" i="1"/>
  <c r="N663" i="1" s="1"/>
  <c r="L651" i="1"/>
  <c r="N651" i="1" s="1"/>
  <c r="K651" i="1"/>
  <c r="M651" i="1" s="1"/>
  <c r="K637" i="1"/>
  <c r="M637" i="1" s="1"/>
  <c r="L637" i="1"/>
  <c r="N637" i="1" s="1"/>
  <c r="L623" i="1"/>
  <c r="N623" i="1" s="1"/>
  <c r="K623" i="1"/>
  <c r="M623" i="1" s="1"/>
  <c r="L611" i="1"/>
  <c r="N611" i="1" s="1"/>
  <c r="K611" i="1"/>
  <c r="M611" i="1" s="1"/>
  <c r="L598" i="1"/>
  <c r="N598" i="1" s="1"/>
  <c r="K598" i="1"/>
  <c r="M598" i="1" s="1"/>
  <c r="L586" i="1"/>
  <c r="N586" i="1" s="1"/>
  <c r="K586" i="1"/>
  <c r="M586" i="1" s="1"/>
  <c r="L573" i="1"/>
  <c r="N573" i="1" s="1"/>
  <c r="K573" i="1"/>
  <c r="M573" i="1" s="1"/>
  <c r="L561" i="1"/>
  <c r="N561" i="1" s="1"/>
  <c r="K561" i="1"/>
  <c r="M561" i="1" s="1"/>
  <c r="K549" i="1"/>
  <c r="M549" i="1" s="1"/>
  <c r="L549" i="1"/>
  <c r="N549" i="1" s="1"/>
  <c r="K536" i="1"/>
  <c r="M536" i="1" s="1"/>
  <c r="L536" i="1"/>
  <c r="N536" i="1" s="1"/>
  <c r="K524" i="1"/>
  <c r="M524" i="1" s="1"/>
  <c r="L524" i="1"/>
  <c r="N524" i="1" s="1"/>
  <c r="L512" i="1"/>
  <c r="N512" i="1" s="1"/>
  <c r="K512" i="1"/>
  <c r="M512" i="1" s="1"/>
  <c r="K500" i="1"/>
  <c r="M500" i="1" s="1"/>
  <c r="L500" i="1"/>
  <c r="N500" i="1" s="1"/>
  <c r="K487" i="1"/>
  <c r="M487" i="1" s="1"/>
  <c r="L487" i="1"/>
  <c r="N487" i="1" s="1"/>
  <c r="K474" i="1"/>
  <c r="M474" i="1" s="1"/>
  <c r="L474" i="1"/>
  <c r="N474" i="1" s="1"/>
  <c r="K462" i="1"/>
  <c r="M462" i="1" s="1"/>
  <c r="L462" i="1"/>
  <c r="N462" i="1" s="1"/>
  <c r="K450" i="1"/>
  <c r="M450" i="1" s="1"/>
  <c r="L450" i="1"/>
  <c r="N450" i="1" s="1"/>
  <c r="K437" i="1"/>
  <c r="M437" i="1" s="1"/>
  <c r="L437" i="1"/>
  <c r="N437" i="1" s="1"/>
  <c r="K425" i="1"/>
  <c r="M425" i="1" s="1"/>
  <c r="L425" i="1"/>
  <c r="N425" i="1" s="1"/>
  <c r="K413" i="1"/>
  <c r="M413" i="1" s="1"/>
  <c r="L413" i="1"/>
  <c r="N413" i="1" s="1"/>
  <c r="K400" i="1"/>
  <c r="M400" i="1" s="1"/>
  <c r="L400" i="1"/>
  <c r="N400" i="1" s="1"/>
  <c r="K387" i="1"/>
  <c r="M387" i="1" s="1"/>
  <c r="L387" i="1"/>
  <c r="N387" i="1" s="1"/>
  <c r="K374" i="1"/>
  <c r="M374" i="1" s="1"/>
  <c r="L374" i="1"/>
  <c r="N374" i="1" s="1"/>
  <c r="K362" i="1"/>
  <c r="M362" i="1" s="1"/>
  <c r="L362" i="1"/>
  <c r="N362" i="1" s="1"/>
  <c r="L350" i="1"/>
  <c r="N350" i="1" s="1"/>
  <c r="K350" i="1"/>
  <c r="M350" i="1" s="1"/>
  <c r="K338" i="1"/>
  <c r="M338" i="1" s="1"/>
  <c r="L338" i="1"/>
  <c r="N338" i="1" s="1"/>
  <c r="K324" i="1"/>
  <c r="M324" i="1" s="1"/>
  <c r="L324" i="1"/>
  <c r="N324" i="1" s="1"/>
  <c r="K312" i="1"/>
  <c r="M312" i="1" s="1"/>
  <c r="L312" i="1"/>
  <c r="N312" i="1" s="1"/>
  <c r="K299" i="1"/>
  <c r="M299" i="1" s="1"/>
  <c r="L299" i="1"/>
  <c r="N299" i="1" s="1"/>
  <c r="K287" i="1"/>
  <c r="M287" i="1" s="1"/>
  <c r="L287" i="1"/>
  <c r="N287" i="1" s="1"/>
  <c r="K274" i="1"/>
  <c r="M274" i="1" s="1"/>
  <c r="L274" i="1"/>
  <c r="N274" i="1" s="1"/>
  <c r="K262" i="1"/>
  <c r="M262" i="1" s="1"/>
  <c r="L262" i="1"/>
  <c r="N262" i="1" s="1"/>
  <c r="L249" i="1"/>
  <c r="N249" i="1" s="1"/>
  <c r="K249" i="1"/>
  <c r="M249" i="1" s="1"/>
  <c r="L236" i="1"/>
  <c r="N236" i="1" s="1"/>
  <c r="K236" i="1"/>
  <c r="M236" i="1" s="1"/>
  <c r="L224" i="1"/>
  <c r="N224" i="1" s="1"/>
  <c r="K224" i="1"/>
  <c r="M224" i="1" s="1"/>
  <c r="K212" i="1"/>
  <c r="M212" i="1" s="1"/>
  <c r="L212" i="1"/>
  <c r="N212" i="1" s="1"/>
  <c r="K199" i="1"/>
  <c r="M199" i="1" s="1"/>
  <c r="L199" i="1"/>
  <c r="N199" i="1" s="1"/>
  <c r="K185" i="1"/>
  <c r="M185" i="1" s="1"/>
  <c r="L185" i="1"/>
  <c r="N185" i="1" s="1"/>
  <c r="K169" i="1"/>
  <c r="M169" i="1" s="1"/>
  <c r="L169" i="1"/>
  <c r="N169" i="1" s="1"/>
  <c r="K157" i="1"/>
  <c r="M157" i="1" s="1"/>
  <c r="L157" i="1"/>
  <c r="N157" i="1" s="1"/>
  <c r="K144" i="1"/>
  <c r="M144" i="1" s="1"/>
  <c r="L144" i="1"/>
  <c r="N144" i="1" s="1"/>
  <c r="K131" i="1"/>
  <c r="M131" i="1" s="1"/>
  <c r="L131" i="1"/>
  <c r="N131" i="1" s="1"/>
  <c r="K118" i="1"/>
  <c r="M118" i="1" s="1"/>
  <c r="L118" i="1"/>
  <c r="N118" i="1" s="1"/>
  <c r="K105" i="1"/>
  <c r="M105" i="1" s="1"/>
  <c r="L105" i="1"/>
  <c r="N105" i="1" s="1"/>
  <c r="K93" i="1"/>
  <c r="M93" i="1" s="1"/>
  <c r="L93" i="1"/>
  <c r="N93" i="1" s="1"/>
  <c r="K81" i="1"/>
  <c r="M81" i="1" s="1"/>
  <c r="L81" i="1"/>
  <c r="N81" i="1" s="1"/>
  <c r="K69" i="1"/>
  <c r="M69" i="1" s="1"/>
  <c r="L69" i="1"/>
  <c r="N69" i="1" s="1"/>
  <c r="K57" i="1"/>
  <c r="M57" i="1" s="1"/>
  <c r="L57" i="1"/>
  <c r="N57" i="1" s="1"/>
  <c r="K45" i="1"/>
  <c r="M45" i="1" s="1"/>
  <c r="L45" i="1"/>
  <c r="N45" i="1" s="1"/>
  <c r="K31" i="1"/>
  <c r="M31" i="1" s="1"/>
  <c r="L31" i="1"/>
  <c r="N31" i="1" s="1"/>
  <c r="K19" i="1"/>
  <c r="M19" i="1" s="1"/>
  <c r="L19" i="1"/>
  <c r="N19" i="1" s="1"/>
  <c r="L726" i="1"/>
  <c r="N726" i="1" s="1"/>
  <c r="K726" i="1"/>
  <c r="M726" i="1" s="1"/>
  <c r="K701" i="1"/>
  <c r="M701" i="1" s="1"/>
  <c r="L701" i="1"/>
  <c r="N701" i="1" s="1"/>
  <c r="L667" i="1"/>
  <c r="N667" i="1" s="1"/>
  <c r="K667" i="1"/>
  <c r="M667" i="1" s="1"/>
  <c r="L641" i="1"/>
  <c r="N641" i="1" s="1"/>
  <c r="K641" i="1"/>
  <c r="M641" i="1" s="1"/>
  <c r="K614" i="1"/>
  <c r="M614" i="1" s="1"/>
  <c r="L614" i="1"/>
  <c r="N614" i="1" s="1"/>
  <c r="K589" i="1"/>
  <c r="M589" i="1" s="1"/>
  <c r="L589" i="1"/>
  <c r="N589" i="1" s="1"/>
  <c r="K564" i="1"/>
  <c r="M564" i="1" s="1"/>
  <c r="L564" i="1"/>
  <c r="N564" i="1" s="1"/>
  <c r="K539" i="1"/>
  <c r="M539" i="1" s="1"/>
  <c r="L539" i="1"/>
  <c r="N539" i="1" s="1"/>
  <c r="K515" i="1"/>
  <c r="M515" i="1" s="1"/>
  <c r="L515" i="1"/>
  <c r="N515" i="1" s="1"/>
  <c r="L490" i="1"/>
  <c r="N490" i="1" s="1"/>
  <c r="K490" i="1"/>
  <c r="M490" i="1" s="1"/>
  <c r="K465" i="1"/>
  <c r="M465" i="1" s="1"/>
  <c r="L465" i="1"/>
  <c r="N465" i="1" s="1"/>
  <c r="K441" i="1"/>
  <c r="M441" i="1" s="1"/>
  <c r="L441" i="1"/>
  <c r="N441" i="1" s="1"/>
  <c r="K416" i="1"/>
  <c r="M416" i="1" s="1"/>
  <c r="L416" i="1"/>
  <c r="N416" i="1" s="1"/>
  <c r="K390" i="1"/>
  <c r="M390" i="1" s="1"/>
  <c r="L390" i="1"/>
  <c r="N390" i="1" s="1"/>
  <c r="K365" i="1"/>
  <c r="M365" i="1" s="1"/>
  <c r="L365" i="1"/>
  <c r="N365" i="1" s="1"/>
  <c r="K341" i="1"/>
  <c r="M341" i="1" s="1"/>
  <c r="L341" i="1"/>
  <c r="N341" i="1" s="1"/>
  <c r="K315" i="1"/>
  <c r="M315" i="1" s="1"/>
  <c r="L315" i="1"/>
  <c r="N315" i="1" s="1"/>
  <c r="L290" i="1"/>
  <c r="N290" i="1" s="1"/>
  <c r="K290" i="1"/>
  <c r="M290" i="1" s="1"/>
  <c r="K265" i="1"/>
  <c r="M265" i="1" s="1"/>
  <c r="L265" i="1"/>
  <c r="N265" i="1" s="1"/>
  <c r="K239" i="1"/>
  <c r="M239" i="1" s="1"/>
  <c r="L239" i="1"/>
  <c r="N239" i="1" s="1"/>
  <c r="K215" i="1"/>
  <c r="M215" i="1" s="1"/>
  <c r="L215" i="1"/>
  <c r="N215" i="1" s="1"/>
  <c r="K189" i="1"/>
  <c r="M189" i="1" s="1"/>
  <c r="L189" i="1"/>
  <c r="N189" i="1" s="1"/>
  <c r="K147" i="1"/>
  <c r="M147" i="1" s="1"/>
  <c r="L147" i="1"/>
  <c r="N147" i="1" s="1"/>
  <c r="K22" i="1"/>
  <c r="M22" i="1" s="1"/>
  <c r="L22" i="1"/>
  <c r="N22" i="1" s="1"/>
  <c r="K737" i="1"/>
  <c r="M737" i="1" s="1"/>
  <c r="L737" i="1"/>
  <c r="N737" i="1" s="1"/>
  <c r="L712" i="1"/>
  <c r="N712" i="1" s="1"/>
  <c r="K712" i="1"/>
  <c r="M712" i="1" s="1"/>
  <c r="K679" i="1"/>
  <c r="M679" i="1" s="1"/>
  <c r="L679" i="1"/>
  <c r="N679" i="1" s="1"/>
  <c r="K666" i="1"/>
  <c r="M666" i="1" s="1"/>
  <c r="L666" i="1"/>
  <c r="N666" i="1" s="1"/>
  <c r="L640" i="1"/>
  <c r="N640" i="1" s="1"/>
  <c r="K640" i="1"/>
  <c r="M640" i="1" s="1"/>
  <c r="K627" i="1"/>
  <c r="M627" i="1" s="1"/>
  <c r="L627" i="1"/>
  <c r="N627" i="1" s="1"/>
  <c r="K600" i="1"/>
  <c r="M600" i="1" s="1"/>
  <c r="L600" i="1"/>
  <c r="N600" i="1" s="1"/>
  <c r="L575" i="1"/>
  <c r="N575" i="1" s="1"/>
  <c r="K575" i="1"/>
  <c r="M575" i="1" s="1"/>
  <c r="L563" i="1"/>
  <c r="N563" i="1" s="1"/>
  <c r="K563" i="1"/>
  <c r="M563" i="1" s="1"/>
  <c r="L538" i="1"/>
  <c r="N538" i="1" s="1"/>
  <c r="K538" i="1"/>
  <c r="M538" i="1" s="1"/>
  <c r="K526" i="1"/>
  <c r="M526" i="1" s="1"/>
  <c r="L526" i="1"/>
  <c r="N526" i="1" s="1"/>
  <c r="L502" i="1"/>
  <c r="N502" i="1" s="1"/>
  <c r="K502" i="1"/>
  <c r="M502" i="1" s="1"/>
  <c r="K489" i="1"/>
  <c r="M489" i="1" s="1"/>
  <c r="L489" i="1"/>
  <c r="N489" i="1" s="1"/>
  <c r="L476" i="1"/>
  <c r="N476" i="1" s="1"/>
  <c r="K476" i="1"/>
  <c r="M476" i="1" s="1"/>
  <c r="K452" i="1"/>
  <c r="M452" i="1" s="1"/>
  <c r="L452" i="1"/>
  <c r="N452" i="1" s="1"/>
  <c r="K427" i="1"/>
  <c r="M427" i="1" s="1"/>
  <c r="L427" i="1"/>
  <c r="N427" i="1" s="1"/>
  <c r="K415" i="1"/>
  <c r="M415" i="1" s="1"/>
  <c r="L415" i="1"/>
  <c r="N415" i="1" s="1"/>
  <c r="K389" i="1"/>
  <c r="M389" i="1" s="1"/>
  <c r="L389" i="1"/>
  <c r="N389" i="1" s="1"/>
  <c r="K352" i="1"/>
  <c r="M352" i="1" s="1"/>
  <c r="L352" i="1"/>
  <c r="N352" i="1" s="1"/>
  <c r="L340" i="1"/>
  <c r="N340" i="1" s="1"/>
  <c r="K340" i="1"/>
  <c r="M340" i="1" s="1"/>
  <c r="K326" i="1"/>
  <c r="M326" i="1" s="1"/>
  <c r="L326" i="1"/>
  <c r="N326" i="1" s="1"/>
  <c r="L314" i="1"/>
  <c r="N314" i="1" s="1"/>
  <c r="K314" i="1"/>
  <c r="M314" i="1" s="1"/>
  <c r="K301" i="1"/>
  <c r="M301" i="1" s="1"/>
  <c r="L301" i="1"/>
  <c r="N301" i="1" s="1"/>
  <c r="K264" i="1"/>
  <c r="M264" i="1" s="1"/>
  <c r="L264" i="1"/>
  <c r="N264" i="1" s="1"/>
  <c r="K251" i="1"/>
  <c r="M251" i="1" s="1"/>
  <c r="L251" i="1"/>
  <c r="N251" i="1" s="1"/>
  <c r="K214" i="1"/>
  <c r="M214" i="1" s="1"/>
  <c r="L214" i="1"/>
  <c r="N214" i="1" s="1"/>
  <c r="K187" i="1"/>
  <c r="M187" i="1" s="1"/>
  <c r="L187" i="1"/>
  <c r="N187" i="1" s="1"/>
  <c r="K159" i="1"/>
  <c r="M159" i="1" s="1"/>
  <c r="L159" i="1"/>
  <c r="N159" i="1" s="1"/>
  <c r="K133" i="1"/>
  <c r="M133" i="1" s="1"/>
  <c r="L133" i="1"/>
  <c r="N133" i="1" s="1"/>
  <c r="K120" i="1"/>
  <c r="M120" i="1" s="1"/>
  <c r="L120" i="1"/>
  <c r="N120" i="1" s="1"/>
  <c r="L107" i="1"/>
  <c r="N107" i="1" s="1"/>
  <c r="K107" i="1"/>
  <c r="M107" i="1" s="1"/>
  <c r="K95" i="1"/>
  <c r="M95" i="1" s="1"/>
  <c r="L95" i="1"/>
  <c r="N95" i="1" s="1"/>
  <c r="K83" i="1"/>
  <c r="M83" i="1" s="1"/>
  <c r="L83" i="1"/>
  <c r="N83" i="1" s="1"/>
  <c r="K71" i="1"/>
  <c r="M71" i="1" s="1"/>
  <c r="L71" i="1"/>
  <c r="N71" i="1" s="1"/>
  <c r="K59" i="1"/>
  <c r="M59" i="1" s="1"/>
  <c r="L59" i="1"/>
  <c r="N59" i="1" s="1"/>
  <c r="K47" i="1"/>
  <c r="M47" i="1" s="1"/>
  <c r="L47" i="1"/>
  <c r="N47" i="1" s="1"/>
  <c r="K21" i="1"/>
  <c r="M21" i="1" s="1"/>
  <c r="L21" i="1"/>
  <c r="N21" i="1" s="1"/>
  <c r="K709" i="1"/>
  <c r="M709" i="1" s="1"/>
  <c r="L709" i="1"/>
  <c r="N709" i="1" s="1"/>
  <c r="L622" i="1"/>
  <c r="N622" i="1" s="1"/>
  <c r="K622" i="1"/>
  <c r="M622" i="1" s="1"/>
  <c r="K597" i="1"/>
  <c r="M597" i="1" s="1"/>
  <c r="L597" i="1"/>
  <c r="N597" i="1" s="1"/>
  <c r="K585" i="1"/>
  <c r="M585" i="1" s="1"/>
  <c r="L585" i="1"/>
  <c r="N585" i="1" s="1"/>
  <c r="K572" i="1"/>
  <c r="M572" i="1" s="1"/>
  <c r="L572" i="1"/>
  <c r="N572" i="1" s="1"/>
  <c r="K560" i="1"/>
  <c r="M560" i="1" s="1"/>
  <c r="L560" i="1"/>
  <c r="N560" i="1" s="1"/>
  <c r="K548" i="1"/>
  <c r="M548" i="1" s="1"/>
  <c r="L548" i="1"/>
  <c r="N548" i="1" s="1"/>
  <c r="L535" i="1"/>
  <c r="N535" i="1" s="1"/>
  <c r="K535" i="1"/>
  <c r="M535" i="1" s="1"/>
  <c r="K523" i="1"/>
  <c r="M523" i="1" s="1"/>
  <c r="L523" i="1"/>
  <c r="N523" i="1" s="1"/>
  <c r="K511" i="1"/>
  <c r="M511" i="1" s="1"/>
  <c r="L511" i="1"/>
  <c r="N511" i="1" s="1"/>
  <c r="K499" i="1"/>
  <c r="M499" i="1" s="1"/>
  <c r="L499" i="1"/>
  <c r="N499" i="1" s="1"/>
  <c r="K486" i="1"/>
  <c r="M486" i="1" s="1"/>
  <c r="L486" i="1"/>
  <c r="N486" i="1" s="1"/>
  <c r="K473" i="1"/>
  <c r="M473" i="1" s="1"/>
  <c r="L473" i="1"/>
  <c r="N473" i="1" s="1"/>
  <c r="K461" i="1"/>
  <c r="M461" i="1" s="1"/>
  <c r="L461" i="1"/>
  <c r="N461" i="1" s="1"/>
  <c r="K449" i="1"/>
  <c r="M449" i="1" s="1"/>
  <c r="L449" i="1"/>
  <c r="N449" i="1" s="1"/>
  <c r="K436" i="1"/>
  <c r="M436" i="1" s="1"/>
  <c r="L436" i="1"/>
  <c r="N436" i="1" s="1"/>
  <c r="K424" i="1"/>
  <c r="M424" i="1" s="1"/>
  <c r="L424" i="1"/>
  <c r="N424" i="1" s="1"/>
  <c r="L412" i="1"/>
  <c r="N412" i="1" s="1"/>
  <c r="K412" i="1"/>
  <c r="M412" i="1" s="1"/>
  <c r="K399" i="1"/>
  <c r="M399" i="1" s="1"/>
  <c r="L399" i="1"/>
  <c r="N399" i="1" s="1"/>
  <c r="L386" i="1"/>
  <c r="N386" i="1" s="1"/>
  <c r="K386" i="1"/>
  <c r="M386" i="1" s="1"/>
  <c r="K373" i="1"/>
  <c r="M373" i="1" s="1"/>
  <c r="L373" i="1"/>
  <c r="N373" i="1" s="1"/>
  <c r="K361" i="1"/>
  <c r="M361" i="1" s="1"/>
  <c r="L361" i="1"/>
  <c r="N361" i="1" s="1"/>
  <c r="K349" i="1"/>
  <c r="M349" i="1" s="1"/>
  <c r="L349" i="1"/>
  <c r="N349" i="1" s="1"/>
  <c r="K337" i="1"/>
  <c r="M337" i="1" s="1"/>
  <c r="L337" i="1"/>
  <c r="N337" i="1" s="1"/>
  <c r="K323" i="1"/>
  <c r="M323" i="1" s="1"/>
  <c r="L323" i="1"/>
  <c r="N323" i="1" s="1"/>
  <c r="K310" i="1"/>
  <c r="M310" i="1" s="1"/>
  <c r="L310" i="1"/>
  <c r="N310" i="1" s="1"/>
  <c r="K298" i="1"/>
  <c r="M298" i="1" s="1"/>
  <c r="L298" i="1"/>
  <c r="N298" i="1" s="1"/>
  <c r="L285" i="1"/>
  <c r="N285" i="1" s="1"/>
  <c r="K285" i="1"/>
  <c r="M285" i="1" s="1"/>
  <c r="L273" i="1"/>
  <c r="N273" i="1" s="1"/>
  <c r="K273" i="1"/>
  <c r="M273" i="1" s="1"/>
  <c r="L261" i="1"/>
  <c r="N261" i="1" s="1"/>
  <c r="K261" i="1"/>
  <c r="M261" i="1" s="1"/>
  <c r="K248" i="1"/>
  <c r="M248" i="1" s="1"/>
  <c r="L248" i="1"/>
  <c r="N248" i="1" s="1"/>
  <c r="K235" i="1"/>
  <c r="M235" i="1" s="1"/>
  <c r="L235" i="1"/>
  <c r="N235" i="1" s="1"/>
  <c r="K223" i="1"/>
  <c r="M223" i="1" s="1"/>
  <c r="L223" i="1"/>
  <c r="N223" i="1" s="1"/>
  <c r="K211" i="1"/>
  <c r="M211" i="1" s="1"/>
  <c r="L211" i="1"/>
  <c r="N211" i="1" s="1"/>
  <c r="K198" i="1"/>
  <c r="M198" i="1" s="1"/>
  <c r="L198" i="1"/>
  <c r="N198" i="1" s="1"/>
  <c r="K184" i="1"/>
  <c r="M184" i="1" s="1"/>
  <c r="L184" i="1"/>
  <c r="N184" i="1" s="1"/>
  <c r="K168" i="1"/>
  <c r="M168" i="1" s="1"/>
  <c r="L168" i="1"/>
  <c r="N168" i="1" s="1"/>
  <c r="K156" i="1"/>
  <c r="M156" i="1" s="1"/>
  <c r="L156" i="1"/>
  <c r="N156" i="1" s="1"/>
  <c r="K143" i="1"/>
  <c r="M143" i="1" s="1"/>
  <c r="L143" i="1"/>
  <c r="N143" i="1" s="1"/>
  <c r="K130" i="1"/>
  <c r="M130" i="1" s="1"/>
  <c r="L130" i="1"/>
  <c r="N130" i="1" s="1"/>
  <c r="K117" i="1"/>
  <c r="M117" i="1" s="1"/>
  <c r="L117" i="1"/>
  <c r="N117" i="1" s="1"/>
  <c r="L104" i="1"/>
  <c r="N104" i="1" s="1"/>
  <c r="K104" i="1"/>
  <c r="M104" i="1" s="1"/>
  <c r="L92" i="1"/>
  <c r="N92" i="1" s="1"/>
  <c r="K92" i="1"/>
  <c r="M92" i="1" s="1"/>
  <c r="K80" i="1"/>
  <c r="M80" i="1" s="1"/>
  <c r="L80" i="1"/>
  <c r="N80" i="1" s="1"/>
  <c r="K68" i="1"/>
  <c r="M68" i="1" s="1"/>
  <c r="L68" i="1"/>
  <c r="N68" i="1" s="1"/>
  <c r="K56" i="1"/>
  <c r="M56" i="1" s="1"/>
  <c r="L56" i="1"/>
  <c r="N56" i="1" s="1"/>
  <c r="K44" i="1"/>
  <c r="M44" i="1" s="1"/>
  <c r="L44" i="1"/>
  <c r="N44" i="1" s="1"/>
  <c r="K30" i="1"/>
  <c r="M30" i="1" s="1"/>
  <c r="L30" i="1"/>
  <c r="N30" i="1" s="1"/>
  <c r="K18" i="1"/>
  <c r="M18" i="1" s="1"/>
  <c r="L18" i="1"/>
  <c r="N18" i="1" s="1"/>
  <c r="L713" i="1"/>
  <c r="N713" i="1" s="1"/>
  <c r="K713" i="1"/>
  <c r="M713" i="1" s="1"/>
  <c r="K680" i="1"/>
  <c r="M680" i="1" s="1"/>
  <c r="L680" i="1"/>
  <c r="N680" i="1" s="1"/>
  <c r="K654" i="1"/>
  <c r="M654" i="1" s="1"/>
  <c r="L654" i="1"/>
  <c r="N654" i="1" s="1"/>
  <c r="L628" i="1"/>
  <c r="N628" i="1" s="1"/>
  <c r="K628" i="1"/>
  <c r="M628" i="1" s="1"/>
  <c r="K601" i="1"/>
  <c r="M601" i="1" s="1"/>
  <c r="L601" i="1"/>
  <c r="N601" i="1" s="1"/>
  <c r="K576" i="1"/>
  <c r="M576" i="1" s="1"/>
  <c r="L576" i="1"/>
  <c r="N576" i="1" s="1"/>
  <c r="K552" i="1"/>
  <c r="M552" i="1" s="1"/>
  <c r="L552" i="1"/>
  <c r="N552" i="1" s="1"/>
  <c r="K527" i="1"/>
  <c r="M527" i="1" s="1"/>
  <c r="L527" i="1"/>
  <c r="N527" i="1" s="1"/>
  <c r="K503" i="1"/>
  <c r="M503" i="1" s="1"/>
  <c r="L503" i="1"/>
  <c r="N503" i="1" s="1"/>
  <c r="K478" i="1"/>
  <c r="M478" i="1" s="1"/>
  <c r="L478" i="1"/>
  <c r="N478" i="1" s="1"/>
  <c r="L453" i="1"/>
  <c r="N453" i="1" s="1"/>
  <c r="K453" i="1"/>
  <c r="M453" i="1" s="1"/>
  <c r="K428" i="1"/>
  <c r="M428" i="1" s="1"/>
  <c r="L428" i="1"/>
  <c r="N428" i="1" s="1"/>
  <c r="K403" i="1"/>
  <c r="M403" i="1" s="1"/>
  <c r="L403" i="1"/>
  <c r="N403" i="1" s="1"/>
  <c r="K378" i="1"/>
  <c r="M378" i="1" s="1"/>
  <c r="L378" i="1"/>
  <c r="N378" i="1" s="1"/>
  <c r="K353" i="1"/>
  <c r="M353" i="1" s="1"/>
  <c r="L353" i="1"/>
  <c r="N353" i="1" s="1"/>
  <c r="K327" i="1"/>
  <c r="M327" i="1" s="1"/>
  <c r="L327" i="1"/>
  <c r="N327" i="1" s="1"/>
  <c r="K302" i="1"/>
  <c r="M302" i="1" s="1"/>
  <c r="L302" i="1"/>
  <c r="N302" i="1" s="1"/>
  <c r="K277" i="1"/>
  <c r="M277" i="1" s="1"/>
  <c r="L277" i="1"/>
  <c r="N277" i="1" s="1"/>
  <c r="K252" i="1"/>
  <c r="M252" i="1" s="1"/>
  <c r="L252" i="1"/>
  <c r="N252" i="1" s="1"/>
  <c r="K227" i="1"/>
  <c r="M227" i="1" s="1"/>
  <c r="L227" i="1"/>
  <c r="N227" i="1" s="1"/>
  <c r="K202" i="1"/>
  <c r="M202" i="1" s="1"/>
  <c r="L202" i="1"/>
  <c r="N202" i="1" s="1"/>
  <c r="K173" i="1"/>
  <c r="M173" i="1" s="1"/>
  <c r="L173" i="1"/>
  <c r="N173" i="1" s="1"/>
  <c r="K121" i="1"/>
  <c r="M121" i="1" s="1"/>
  <c r="L121" i="1"/>
  <c r="N121" i="1" s="1"/>
  <c r="K60" i="1"/>
  <c r="M60" i="1" s="1"/>
  <c r="L60" i="1"/>
  <c r="N60" i="1" s="1"/>
  <c r="L686" i="1"/>
  <c r="N686" i="1" s="1"/>
  <c r="K686" i="1"/>
  <c r="M686" i="1" s="1"/>
  <c r="K725" i="1"/>
  <c r="M725" i="1" s="1"/>
  <c r="L725" i="1"/>
  <c r="N725" i="1" s="1"/>
  <c r="L700" i="1"/>
  <c r="N700" i="1" s="1"/>
  <c r="K700" i="1"/>
  <c r="M700" i="1" s="1"/>
  <c r="L653" i="1"/>
  <c r="N653" i="1" s="1"/>
  <c r="K653" i="1"/>
  <c r="M653" i="1" s="1"/>
  <c r="K613" i="1"/>
  <c r="M613" i="1" s="1"/>
  <c r="L613" i="1"/>
  <c r="N613" i="1" s="1"/>
  <c r="K588" i="1"/>
  <c r="M588" i="1" s="1"/>
  <c r="L588" i="1"/>
  <c r="N588" i="1" s="1"/>
  <c r="L551" i="1"/>
  <c r="N551" i="1" s="1"/>
  <c r="K551" i="1"/>
  <c r="M551" i="1" s="1"/>
  <c r="K514" i="1"/>
  <c r="M514" i="1" s="1"/>
  <c r="L514" i="1"/>
  <c r="N514" i="1" s="1"/>
  <c r="K464" i="1"/>
  <c r="M464" i="1" s="1"/>
  <c r="L464" i="1"/>
  <c r="N464" i="1" s="1"/>
  <c r="K377" i="1"/>
  <c r="M377" i="1" s="1"/>
  <c r="L377" i="1"/>
  <c r="N377" i="1" s="1"/>
  <c r="K289" i="1"/>
  <c r="M289" i="1" s="1"/>
  <c r="L289" i="1"/>
  <c r="N289" i="1" s="1"/>
  <c r="K172" i="1"/>
  <c r="M172" i="1" s="1"/>
  <c r="L172" i="1"/>
  <c r="N172" i="1" s="1"/>
  <c r="K34" i="1"/>
  <c r="M34" i="1" s="1"/>
  <c r="L34" i="1"/>
  <c r="N34" i="1" s="1"/>
  <c r="L698" i="1"/>
  <c r="N698" i="1" s="1"/>
  <c r="K698" i="1"/>
  <c r="M698" i="1" s="1"/>
  <c r="L635" i="1"/>
  <c r="N635" i="1" s="1"/>
  <c r="K635" i="1"/>
  <c r="M635" i="1" s="1"/>
  <c r="K596" i="1"/>
  <c r="M596" i="1" s="1"/>
  <c r="L596" i="1"/>
  <c r="N596" i="1" s="1"/>
  <c r="K559" i="1"/>
  <c r="M559" i="1" s="1"/>
  <c r="L559" i="1"/>
  <c r="N559" i="1" s="1"/>
  <c r="L547" i="1"/>
  <c r="N547" i="1" s="1"/>
  <c r="K547" i="1"/>
  <c r="M547" i="1" s="1"/>
  <c r="K534" i="1"/>
  <c r="M534" i="1" s="1"/>
  <c r="L534" i="1"/>
  <c r="N534" i="1" s="1"/>
  <c r="K522" i="1"/>
  <c r="M522" i="1" s="1"/>
  <c r="L522" i="1"/>
  <c r="N522" i="1" s="1"/>
  <c r="K510" i="1"/>
  <c r="M510" i="1" s="1"/>
  <c r="L510" i="1"/>
  <c r="N510" i="1" s="1"/>
  <c r="K498" i="1"/>
  <c r="M498" i="1" s="1"/>
  <c r="L498" i="1"/>
  <c r="N498" i="1" s="1"/>
  <c r="K485" i="1"/>
  <c r="M485" i="1" s="1"/>
  <c r="L485" i="1"/>
  <c r="N485" i="1" s="1"/>
  <c r="K472" i="1"/>
  <c r="M472" i="1" s="1"/>
  <c r="L472" i="1"/>
  <c r="N472" i="1" s="1"/>
  <c r="K460" i="1"/>
  <c r="M460" i="1" s="1"/>
  <c r="L460" i="1"/>
  <c r="N460" i="1" s="1"/>
  <c r="L448" i="1"/>
  <c r="N448" i="1" s="1"/>
  <c r="K448" i="1"/>
  <c r="M448" i="1" s="1"/>
  <c r="K435" i="1"/>
  <c r="M435" i="1" s="1"/>
  <c r="L435" i="1"/>
  <c r="N435" i="1" s="1"/>
  <c r="K423" i="1"/>
  <c r="M423" i="1" s="1"/>
  <c r="L423" i="1"/>
  <c r="N423" i="1" s="1"/>
  <c r="K398" i="1"/>
  <c r="M398" i="1" s="1"/>
  <c r="L398" i="1"/>
  <c r="N398" i="1" s="1"/>
  <c r="K385" i="1"/>
  <c r="M385" i="1" s="1"/>
  <c r="L385" i="1"/>
  <c r="N385" i="1" s="1"/>
  <c r="K372" i="1"/>
  <c r="M372" i="1" s="1"/>
  <c r="L372" i="1"/>
  <c r="N372" i="1" s="1"/>
  <c r="K360" i="1"/>
  <c r="M360" i="1" s="1"/>
  <c r="L360" i="1"/>
  <c r="N360" i="1" s="1"/>
  <c r="K348" i="1"/>
  <c r="M348" i="1" s="1"/>
  <c r="L348" i="1"/>
  <c r="N348" i="1" s="1"/>
  <c r="K336" i="1"/>
  <c r="M336" i="1" s="1"/>
  <c r="L336" i="1"/>
  <c r="N336" i="1" s="1"/>
  <c r="L322" i="1"/>
  <c r="N322" i="1" s="1"/>
  <c r="K322" i="1"/>
  <c r="M322" i="1" s="1"/>
  <c r="K309" i="1"/>
  <c r="M309" i="1" s="1"/>
  <c r="L309" i="1"/>
  <c r="N309" i="1" s="1"/>
  <c r="K297" i="1"/>
  <c r="M297" i="1" s="1"/>
  <c r="L297" i="1"/>
  <c r="N297" i="1" s="1"/>
  <c r="K284" i="1"/>
  <c r="M284" i="1" s="1"/>
  <c r="L284" i="1"/>
  <c r="N284" i="1" s="1"/>
  <c r="K272" i="1"/>
  <c r="M272" i="1" s="1"/>
  <c r="L272" i="1"/>
  <c r="N272" i="1" s="1"/>
  <c r="K260" i="1"/>
  <c r="M260" i="1" s="1"/>
  <c r="L260" i="1"/>
  <c r="N260" i="1" s="1"/>
  <c r="K247" i="1"/>
  <c r="M247" i="1" s="1"/>
  <c r="L247" i="1"/>
  <c r="N247" i="1" s="1"/>
  <c r="K234" i="1"/>
  <c r="M234" i="1" s="1"/>
  <c r="L234" i="1"/>
  <c r="N234" i="1" s="1"/>
  <c r="K222" i="1"/>
  <c r="M222" i="1" s="1"/>
  <c r="L222" i="1"/>
  <c r="N222" i="1" s="1"/>
  <c r="K210" i="1"/>
  <c r="M210" i="1" s="1"/>
  <c r="L210" i="1"/>
  <c r="N210" i="1" s="1"/>
  <c r="K196" i="1"/>
  <c r="M196" i="1" s="1"/>
  <c r="L196" i="1"/>
  <c r="N196" i="1" s="1"/>
  <c r="K183" i="1"/>
  <c r="M183" i="1" s="1"/>
  <c r="L183" i="1"/>
  <c r="N183" i="1" s="1"/>
  <c r="K167" i="1"/>
  <c r="M167" i="1" s="1"/>
  <c r="L167" i="1"/>
  <c r="N167" i="1" s="1"/>
  <c r="K155" i="1"/>
  <c r="M155" i="1" s="1"/>
  <c r="L155" i="1"/>
  <c r="N155" i="1" s="1"/>
  <c r="K142" i="1"/>
  <c r="M142" i="1" s="1"/>
  <c r="L142" i="1"/>
  <c r="N142" i="1" s="1"/>
  <c r="K129" i="1"/>
  <c r="M129" i="1" s="1"/>
  <c r="L129" i="1"/>
  <c r="N129" i="1" s="1"/>
  <c r="K116" i="1"/>
  <c r="M116" i="1" s="1"/>
  <c r="L116" i="1"/>
  <c r="N116" i="1" s="1"/>
  <c r="K103" i="1"/>
  <c r="M103" i="1" s="1"/>
  <c r="L103" i="1"/>
  <c r="N103" i="1" s="1"/>
  <c r="K91" i="1"/>
  <c r="M91" i="1" s="1"/>
  <c r="L91" i="1"/>
  <c r="N91" i="1" s="1"/>
  <c r="K79" i="1"/>
  <c r="M79" i="1" s="1"/>
  <c r="L79" i="1"/>
  <c r="N79" i="1" s="1"/>
  <c r="K67" i="1"/>
  <c r="M67" i="1" s="1"/>
  <c r="L67" i="1"/>
  <c r="N67" i="1" s="1"/>
  <c r="K55" i="1"/>
  <c r="M55" i="1" s="1"/>
  <c r="L55" i="1"/>
  <c r="N55" i="1" s="1"/>
  <c r="K43" i="1"/>
  <c r="M43" i="1" s="1"/>
  <c r="L43" i="1"/>
  <c r="N43" i="1" s="1"/>
  <c r="K29" i="1"/>
  <c r="M29" i="1" s="1"/>
  <c r="L29" i="1"/>
  <c r="N29" i="1" s="1"/>
  <c r="K17" i="1"/>
  <c r="M17" i="1" s="1"/>
  <c r="L17" i="1"/>
  <c r="N17" i="1" s="1"/>
  <c r="K84" i="1"/>
  <c r="M84" i="1" s="1"/>
  <c r="L84" i="1"/>
  <c r="N84" i="1" s="1"/>
  <c r="K201" i="1"/>
  <c r="M201" i="1" s="1"/>
  <c r="L201" i="1"/>
  <c r="N201" i="1" s="1"/>
  <c r="K710" i="1"/>
  <c r="M710" i="1" s="1"/>
  <c r="L710" i="1"/>
  <c r="N710" i="1" s="1"/>
  <c r="K734" i="1"/>
  <c r="M734" i="1" s="1"/>
  <c r="L734" i="1"/>
  <c r="N734" i="1" s="1"/>
  <c r="L676" i="1"/>
  <c r="N676" i="1" s="1"/>
  <c r="K676" i="1"/>
  <c r="M676" i="1" s="1"/>
  <c r="L661" i="1"/>
  <c r="N661" i="1" s="1"/>
  <c r="K661" i="1"/>
  <c r="M661" i="1" s="1"/>
  <c r="K584" i="1"/>
  <c r="M584" i="1" s="1"/>
  <c r="L584" i="1"/>
  <c r="N584" i="1" s="1"/>
  <c r="K411" i="1"/>
  <c r="M411" i="1" s="1"/>
  <c r="L411" i="1"/>
  <c r="N411" i="1" s="1"/>
  <c r="L732" i="1"/>
  <c r="N732" i="1" s="1"/>
  <c r="K732" i="1"/>
  <c r="M732" i="1" s="1"/>
  <c r="L720" i="1"/>
  <c r="N720" i="1" s="1"/>
  <c r="K720" i="1"/>
  <c r="M720" i="1" s="1"/>
  <c r="K707" i="1"/>
  <c r="M707" i="1" s="1"/>
  <c r="L707" i="1"/>
  <c r="N707" i="1" s="1"/>
  <c r="K695" i="1"/>
  <c r="M695" i="1" s="1"/>
  <c r="L695" i="1"/>
  <c r="N695" i="1" s="1"/>
  <c r="K673" i="1"/>
  <c r="M673" i="1" s="1"/>
  <c r="L673" i="1"/>
  <c r="N673" i="1" s="1"/>
  <c r="K660" i="1"/>
  <c r="M660" i="1" s="1"/>
  <c r="L660" i="1"/>
  <c r="N660" i="1" s="1"/>
  <c r="K648" i="1"/>
  <c r="M648" i="1" s="1"/>
  <c r="L648" i="1"/>
  <c r="N648" i="1" s="1"/>
  <c r="L634" i="1"/>
  <c r="N634" i="1" s="1"/>
  <c r="K634" i="1"/>
  <c r="M634" i="1" s="1"/>
  <c r="K620" i="1"/>
  <c r="M620" i="1" s="1"/>
  <c r="L620" i="1"/>
  <c r="N620" i="1" s="1"/>
  <c r="L608" i="1"/>
  <c r="N608" i="1" s="1"/>
  <c r="K608" i="1"/>
  <c r="M608" i="1" s="1"/>
  <c r="K595" i="1"/>
  <c r="M595" i="1" s="1"/>
  <c r="L595" i="1"/>
  <c r="N595" i="1" s="1"/>
  <c r="K583" i="1"/>
  <c r="M583" i="1" s="1"/>
  <c r="L583" i="1"/>
  <c r="N583" i="1" s="1"/>
  <c r="K570" i="1"/>
  <c r="M570" i="1" s="1"/>
  <c r="L570" i="1"/>
  <c r="N570" i="1" s="1"/>
  <c r="K558" i="1"/>
  <c r="M558" i="1" s="1"/>
  <c r="L558" i="1"/>
  <c r="N558" i="1" s="1"/>
  <c r="K546" i="1"/>
  <c r="M546" i="1" s="1"/>
  <c r="L546" i="1"/>
  <c r="N546" i="1" s="1"/>
  <c r="K533" i="1"/>
  <c r="M533" i="1" s="1"/>
  <c r="L533" i="1"/>
  <c r="N533" i="1" s="1"/>
  <c r="K521" i="1"/>
  <c r="M521" i="1" s="1"/>
  <c r="L521" i="1"/>
  <c r="N521" i="1" s="1"/>
  <c r="K509" i="1"/>
  <c r="M509" i="1" s="1"/>
  <c r="L509" i="1"/>
  <c r="N509" i="1" s="1"/>
  <c r="K497" i="1"/>
  <c r="M497" i="1" s="1"/>
  <c r="L497" i="1"/>
  <c r="N497" i="1" s="1"/>
  <c r="L484" i="1"/>
  <c r="N484" i="1" s="1"/>
  <c r="K484" i="1"/>
  <c r="M484" i="1" s="1"/>
  <c r="K471" i="1"/>
  <c r="M471" i="1" s="1"/>
  <c r="L471" i="1"/>
  <c r="N471" i="1" s="1"/>
  <c r="K459" i="1"/>
  <c r="M459" i="1" s="1"/>
  <c r="L459" i="1"/>
  <c r="N459" i="1" s="1"/>
  <c r="K447" i="1"/>
  <c r="M447" i="1" s="1"/>
  <c r="L447" i="1"/>
  <c r="N447" i="1" s="1"/>
  <c r="K434" i="1"/>
  <c r="M434" i="1" s="1"/>
  <c r="L434" i="1"/>
  <c r="N434" i="1" s="1"/>
  <c r="L422" i="1"/>
  <c r="N422" i="1" s="1"/>
  <c r="K422" i="1"/>
  <c r="M422" i="1" s="1"/>
  <c r="K410" i="1"/>
  <c r="M410" i="1" s="1"/>
  <c r="L410" i="1"/>
  <c r="N410" i="1" s="1"/>
  <c r="K397" i="1"/>
  <c r="M397" i="1" s="1"/>
  <c r="L397" i="1"/>
  <c r="N397" i="1" s="1"/>
  <c r="K384" i="1"/>
  <c r="M384" i="1" s="1"/>
  <c r="L384" i="1"/>
  <c r="N384" i="1" s="1"/>
  <c r="K371" i="1"/>
  <c r="M371" i="1" s="1"/>
  <c r="L371" i="1"/>
  <c r="N371" i="1" s="1"/>
  <c r="K359" i="1"/>
  <c r="M359" i="1" s="1"/>
  <c r="L359" i="1"/>
  <c r="N359" i="1" s="1"/>
  <c r="L347" i="1"/>
  <c r="N347" i="1" s="1"/>
  <c r="K347" i="1"/>
  <c r="M347" i="1" s="1"/>
  <c r="K335" i="1"/>
  <c r="M335" i="1" s="1"/>
  <c r="L335" i="1"/>
  <c r="N335" i="1" s="1"/>
  <c r="K321" i="1"/>
  <c r="M321" i="1" s="1"/>
  <c r="L321" i="1"/>
  <c r="N321" i="1" s="1"/>
  <c r="K308" i="1"/>
  <c r="M308" i="1" s="1"/>
  <c r="L308" i="1"/>
  <c r="N308" i="1" s="1"/>
  <c r="K296" i="1"/>
  <c r="M296" i="1" s="1"/>
  <c r="L296" i="1"/>
  <c r="N296" i="1" s="1"/>
  <c r="K283" i="1"/>
  <c r="M283" i="1" s="1"/>
  <c r="L283" i="1"/>
  <c r="N283" i="1" s="1"/>
  <c r="K271" i="1"/>
  <c r="M271" i="1" s="1"/>
  <c r="L271" i="1"/>
  <c r="N271" i="1" s="1"/>
  <c r="K259" i="1"/>
  <c r="M259" i="1" s="1"/>
  <c r="L259" i="1"/>
  <c r="N259" i="1" s="1"/>
  <c r="K246" i="1"/>
  <c r="M246" i="1" s="1"/>
  <c r="L246" i="1"/>
  <c r="N246" i="1" s="1"/>
  <c r="K233" i="1"/>
  <c r="M233" i="1" s="1"/>
  <c r="L233" i="1"/>
  <c r="N233" i="1" s="1"/>
  <c r="K221" i="1"/>
  <c r="M221" i="1" s="1"/>
  <c r="L221" i="1"/>
  <c r="N221" i="1" s="1"/>
  <c r="L209" i="1"/>
  <c r="N209" i="1" s="1"/>
  <c r="K209" i="1"/>
  <c r="M209" i="1" s="1"/>
  <c r="K195" i="1"/>
  <c r="M195" i="1" s="1"/>
  <c r="L195" i="1"/>
  <c r="N195" i="1" s="1"/>
  <c r="K182" i="1"/>
  <c r="M182" i="1" s="1"/>
  <c r="L182" i="1"/>
  <c r="N182" i="1" s="1"/>
  <c r="K166" i="1"/>
  <c r="M166" i="1" s="1"/>
  <c r="L166" i="1"/>
  <c r="N166" i="1" s="1"/>
  <c r="K154" i="1"/>
  <c r="M154" i="1" s="1"/>
  <c r="L154" i="1"/>
  <c r="N154" i="1" s="1"/>
  <c r="K141" i="1"/>
  <c r="M141" i="1" s="1"/>
  <c r="L141" i="1"/>
  <c r="N141" i="1" s="1"/>
  <c r="K128" i="1"/>
  <c r="M128" i="1" s="1"/>
  <c r="L128" i="1"/>
  <c r="N128" i="1" s="1"/>
  <c r="K115" i="1"/>
  <c r="M115" i="1" s="1"/>
  <c r="L115" i="1"/>
  <c r="N115" i="1" s="1"/>
  <c r="K102" i="1"/>
  <c r="M102" i="1" s="1"/>
  <c r="L102" i="1"/>
  <c r="N102" i="1" s="1"/>
  <c r="K90" i="1"/>
  <c r="M90" i="1" s="1"/>
  <c r="L90" i="1"/>
  <c r="N90" i="1" s="1"/>
  <c r="K78" i="1"/>
  <c r="M78" i="1" s="1"/>
  <c r="L78" i="1"/>
  <c r="N78" i="1" s="1"/>
  <c r="K66" i="1"/>
  <c r="M66" i="1" s="1"/>
  <c r="L66" i="1"/>
  <c r="N66" i="1" s="1"/>
  <c r="K54" i="1"/>
  <c r="M54" i="1" s="1"/>
  <c r="L54" i="1"/>
  <c r="N54" i="1" s="1"/>
  <c r="K42" i="1"/>
  <c r="M42" i="1" s="1"/>
  <c r="L42" i="1"/>
  <c r="N42" i="1" s="1"/>
  <c r="K28" i="1"/>
  <c r="M28" i="1" s="1"/>
  <c r="L28" i="1"/>
  <c r="N28" i="1" s="1"/>
  <c r="L685" i="1"/>
  <c r="N685" i="1" s="1"/>
  <c r="K685" i="1"/>
  <c r="M685" i="1" s="1"/>
  <c r="K72" i="1"/>
  <c r="M72" i="1" s="1"/>
  <c r="L72" i="1"/>
  <c r="N72" i="1" s="1"/>
  <c r="K238" i="1"/>
  <c r="M238" i="1" s="1"/>
  <c r="L238" i="1"/>
  <c r="N238" i="1" s="1"/>
  <c r="L723" i="1"/>
  <c r="N723" i="1" s="1"/>
  <c r="K723" i="1"/>
  <c r="M723" i="1" s="1"/>
  <c r="L662" i="1"/>
  <c r="N662" i="1" s="1"/>
  <c r="K662" i="1"/>
  <c r="M662" i="1" s="1"/>
  <c r="L708" i="1"/>
  <c r="N708" i="1" s="1"/>
  <c r="K708" i="1"/>
  <c r="M708" i="1" s="1"/>
  <c r="K571" i="1"/>
  <c r="M571" i="1" s="1"/>
  <c r="L571" i="1"/>
  <c r="N571" i="1" s="1"/>
  <c r="K731" i="1"/>
  <c r="M731" i="1" s="1"/>
  <c r="L731" i="1"/>
  <c r="N731" i="1" s="1"/>
  <c r="K719" i="1"/>
  <c r="M719" i="1" s="1"/>
  <c r="L719" i="1"/>
  <c r="N719" i="1" s="1"/>
  <c r="L706" i="1"/>
  <c r="N706" i="1" s="1"/>
  <c r="K706" i="1"/>
  <c r="M706" i="1" s="1"/>
  <c r="L694" i="1"/>
  <c r="N694" i="1" s="1"/>
  <c r="K694" i="1"/>
  <c r="M694" i="1" s="1"/>
  <c r="K672" i="1"/>
  <c r="M672" i="1" s="1"/>
  <c r="L672" i="1"/>
  <c r="N672" i="1" s="1"/>
  <c r="L659" i="1"/>
  <c r="N659" i="1" s="1"/>
  <c r="K659" i="1"/>
  <c r="M659" i="1" s="1"/>
  <c r="L647" i="1"/>
  <c r="N647" i="1" s="1"/>
  <c r="K647" i="1"/>
  <c r="M647" i="1" s="1"/>
  <c r="L633" i="1"/>
  <c r="N633" i="1" s="1"/>
  <c r="K633" i="1"/>
  <c r="M633" i="1" s="1"/>
  <c r="K619" i="1"/>
  <c r="M619" i="1" s="1"/>
  <c r="L619" i="1"/>
  <c r="N619" i="1" s="1"/>
  <c r="K607" i="1"/>
  <c r="M607" i="1" s="1"/>
  <c r="L607" i="1"/>
  <c r="N607" i="1" s="1"/>
  <c r="K594" i="1"/>
  <c r="M594" i="1" s="1"/>
  <c r="L594" i="1"/>
  <c r="N594" i="1" s="1"/>
  <c r="K582" i="1"/>
  <c r="M582" i="1" s="1"/>
  <c r="L582" i="1"/>
  <c r="N582" i="1" s="1"/>
  <c r="L569" i="1"/>
  <c r="N569" i="1" s="1"/>
  <c r="K569" i="1"/>
  <c r="M569" i="1" s="1"/>
  <c r="L557" i="1"/>
  <c r="N557" i="1" s="1"/>
  <c r="K557" i="1"/>
  <c r="M557" i="1" s="1"/>
  <c r="L545" i="1"/>
  <c r="N545" i="1" s="1"/>
  <c r="K545" i="1"/>
  <c r="M545" i="1" s="1"/>
  <c r="K532" i="1"/>
  <c r="M532" i="1" s="1"/>
  <c r="L532" i="1"/>
  <c r="N532" i="1" s="1"/>
  <c r="L520" i="1"/>
  <c r="N520" i="1" s="1"/>
  <c r="K520" i="1"/>
  <c r="M520" i="1" s="1"/>
  <c r="L508" i="1"/>
  <c r="N508" i="1" s="1"/>
  <c r="K508" i="1"/>
  <c r="M508" i="1" s="1"/>
  <c r="K496" i="1"/>
  <c r="M496" i="1" s="1"/>
  <c r="L496" i="1"/>
  <c r="N496" i="1" s="1"/>
  <c r="K483" i="1"/>
  <c r="M483" i="1" s="1"/>
  <c r="L483" i="1"/>
  <c r="N483" i="1" s="1"/>
  <c r="K470" i="1"/>
  <c r="M470" i="1" s="1"/>
  <c r="L470" i="1"/>
  <c r="N470" i="1" s="1"/>
  <c r="L458" i="1"/>
  <c r="N458" i="1" s="1"/>
  <c r="K458" i="1"/>
  <c r="M458" i="1" s="1"/>
  <c r="K446" i="1"/>
  <c r="M446" i="1" s="1"/>
  <c r="L446" i="1"/>
  <c r="N446" i="1" s="1"/>
  <c r="K433" i="1"/>
  <c r="M433" i="1" s="1"/>
  <c r="L433" i="1"/>
  <c r="N433" i="1" s="1"/>
  <c r="K421" i="1"/>
  <c r="M421" i="1" s="1"/>
  <c r="L421" i="1"/>
  <c r="N421" i="1" s="1"/>
  <c r="K409" i="1"/>
  <c r="M409" i="1" s="1"/>
  <c r="L409" i="1"/>
  <c r="N409" i="1" s="1"/>
  <c r="K396" i="1"/>
  <c r="M396" i="1" s="1"/>
  <c r="L396" i="1"/>
  <c r="N396" i="1" s="1"/>
  <c r="K383" i="1"/>
  <c r="M383" i="1" s="1"/>
  <c r="L383" i="1"/>
  <c r="N383" i="1" s="1"/>
  <c r="K370" i="1"/>
  <c r="M370" i="1" s="1"/>
  <c r="L370" i="1"/>
  <c r="N370" i="1" s="1"/>
  <c r="L358" i="1"/>
  <c r="N358" i="1" s="1"/>
  <c r="K358" i="1"/>
  <c r="M358" i="1" s="1"/>
  <c r="K346" i="1"/>
  <c r="M346" i="1" s="1"/>
  <c r="L346" i="1"/>
  <c r="N346" i="1" s="1"/>
  <c r="L332" i="1"/>
  <c r="N332" i="1" s="1"/>
  <c r="K332" i="1"/>
  <c r="M332" i="1" s="1"/>
  <c r="K320" i="1"/>
  <c r="M320" i="1" s="1"/>
  <c r="L320" i="1"/>
  <c r="N320" i="1" s="1"/>
  <c r="K307" i="1"/>
  <c r="M307" i="1" s="1"/>
  <c r="L307" i="1"/>
  <c r="N307" i="1" s="1"/>
  <c r="K295" i="1"/>
  <c r="M295" i="1" s="1"/>
  <c r="L295" i="1"/>
  <c r="N295" i="1" s="1"/>
  <c r="K282" i="1"/>
  <c r="M282" i="1" s="1"/>
  <c r="L282" i="1"/>
  <c r="N282" i="1" s="1"/>
  <c r="K270" i="1"/>
  <c r="M270" i="1" s="1"/>
  <c r="L270" i="1"/>
  <c r="N270" i="1" s="1"/>
  <c r="K258" i="1"/>
  <c r="M258" i="1" s="1"/>
  <c r="L258" i="1"/>
  <c r="N258" i="1" s="1"/>
  <c r="K245" i="1"/>
  <c r="M245" i="1" s="1"/>
  <c r="L245" i="1"/>
  <c r="N245" i="1" s="1"/>
  <c r="K232" i="1"/>
  <c r="M232" i="1" s="1"/>
  <c r="L232" i="1"/>
  <c r="N232" i="1" s="1"/>
  <c r="K220" i="1"/>
  <c r="M220" i="1" s="1"/>
  <c r="L220" i="1"/>
  <c r="N220" i="1" s="1"/>
  <c r="K208" i="1"/>
  <c r="M208" i="1" s="1"/>
  <c r="L208" i="1"/>
  <c r="N208" i="1" s="1"/>
  <c r="L194" i="1"/>
  <c r="N194" i="1" s="1"/>
  <c r="K194" i="1"/>
  <c r="M194" i="1" s="1"/>
  <c r="K181" i="1"/>
  <c r="M181" i="1" s="1"/>
  <c r="L181" i="1"/>
  <c r="N181" i="1" s="1"/>
  <c r="K165" i="1"/>
  <c r="M165" i="1" s="1"/>
  <c r="L165" i="1"/>
  <c r="N165" i="1" s="1"/>
  <c r="K153" i="1"/>
  <c r="M153" i="1" s="1"/>
  <c r="L153" i="1"/>
  <c r="N153" i="1" s="1"/>
  <c r="K140" i="1"/>
  <c r="M140" i="1" s="1"/>
  <c r="L140" i="1"/>
  <c r="N140" i="1" s="1"/>
  <c r="K127" i="1"/>
  <c r="M127" i="1" s="1"/>
  <c r="L127" i="1"/>
  <c r="N127" i="1" s="1"/>
  <c r="K113" i="1"/>
  <c r="M113" i="1" s="1"/>
  <c r="L113" i="1"/>
  <c r="N113" i="1" s="1"/>
  <c r="K101" i="1"/>
  <c r="M101" i="1" s="1"/>
  <c r="L101" i="1"/>
  <c r="N101" i="1" s="1"/>
  <c r="K89" i="1"/>
  <c r="M89" i="1" s="1"/>
  <c r="L89" i="1"/>
  <c r="N89" i="1" s="1"/>
  <c r="K77" i="1"/>
  <c r="M77" i="1" s="1"/>
  <c r="L77" i="1"/>
  <c r="N77" i="1" s="1"/>
  <c r="K65" i="1"/>
  <c r="M65" i="1" s="1"/>
  <c r="L65" i="1"/>
  <c r="N65" i="1" s="1"/>
  <c r="K53" i="1"/>
  <c r="M53" i="1" s="1"/>
  <c r="L53" i="1"/>
  <c r="N53" i="1" s="1"/>
  <c r="K41" i="1"/>
  <c r="M41" i="1" s="1"/>
  <c r="L41" i="1"/>
  <c r="N41" i="1" s="1"/>
  <c r="K27" i="1"/>
  <c r="M27" i="1" s="1"/>
  <c r="L27" i="1"/>
  <c r="N27" i="1" s="1"/>
  <c r="K691" i="1"/>
  <c r="M691" i="1" s="1"/>
  <c r="L691" i="1"/>
  <c r="N691" i="1" s="1"/>
  <c r="K48" i="1"/>
  <c r="M48" i="1" s="1"/>
  <c r="L48" i="1"/>
  <c r="N48" i="1" s="1"/>
  <c r="K226" i="1"/>
  <c r="M226" i="1" s="1"/>
  <c r="L226" i="1"/>
  <c r="N226" i="1" s="1"/>
  <c r="L610" i="1"/>
  <c r="N610" i="1" s="1"/>
  <c r="K610" i="1"/>
  <c r="M610" i="1" s="1"/>
  <c r="L696" i="1"/>
  <c r="N696" i="1" s="1"/>
  <c r="K696" i="1"/>
  <c r="M696" i="1" s="1"/>
  <c r="L730" i="1"/>
  <c r="N730" i="1" s="1"/>
  <c r="K730" i="1"/>
  <c r="M730" i="1" s="1"/>
  <c r="L671" i="1"/>
  <c r="N671" i="1" s="1"/>
  <c r="K671" i="1"/>
  <c r="M671" i="1" s="1"/>
  <c r="L646" i="1"/>
  <c r="N646" i="1" s="1"/>
  <c r="K646" i="1"/>
  <c r="M646" i="1" s="1"/>
  <c r="K606" i="1"/>
  <c r="M606" i="1" s="1"/>
  <c r="L606" i="1"/>
  <c r="N606" i="1" s="1"/>
  <c r="L593" i="1"/>
  <c r="N593" i="1" s="1"/>
  <c r="K593" i="1"/>
  <c r="M593" i="1" s="1"/>
  <c r="L580" i="1"/>
  <c r="N580" i="1" s="1"/>
  <c r="K580" i="1"/>
  <c r="M580" i="1" s="1"/>
  <c r="L568" i="1"/>
  <c r="N568" i="1" s="1"/>
  <c r="K568" i="1"/>
  <c r="M568" i="1" s="1"/>
  <c r="L556" i="1"/>
  <c r="N556" i="1" s="1"/>
  <c r="K556" i="1"/>
  <c r="M556" i="1" s="1"/>
  <c r="L544" i="1"/>
  <c r="N544" i="1" s="1"/>
  <c r="K544" i="1"/>
  <c r="M544" i="1" s="1"/>
  <c r="K531" i="1"/>
  <c r="M531" i="1" s="1"/>
  <c r="L531" i="1"/>
  <c r="N531" i="1" s="1"/>
  <c r="K507" i="1"/>
  <c r="M507" i="1" s="1"/>
  <c r="L507" i="1"/>
  <c r="N507" i="1" s="1"/>
  <c r="L494" i="1"/>
  <c r="N494" i="1" s="1"/>
  <c r="K494" i="1"/>
  <c r="M494" i="1" s="1"/>
  <c r="K482" i="1"/>
  <c r="M482" i="1" s="1"/>
  <c r="L482" i="1"/>
  <c r="N482" i="1" s="1"/>
  <c r="K469" i="1"/>
  <c r="M469" i="1" s="1"/>
  <c r="L469" i="1"/>
  <c r="N469" i="1" s="1"/>
  <c r="K457" i="1"/>
  <c r="M457" i="1" s="1"/>
  <c r="L457" i="1"/>
  <c r="N457" i="1" s="1"/>
  <c r="K445" i="1"/>
  <c r="M445" i="1" s="1"/>
  <c r="L445" i="1"/>
  <c r="N445" i="1" s="1"/>
  <c r="K432" i="1"/>
  <c r="M432" i="1" s="1"/>
  <c r="L432" i="1"/>
  <c r="N432" i="1" s="1"/>
  <c r="K420" i="1"/>
  <c r="M420" i="1" s="1"/>
  <c r="L420" i="1"/>
  <c r="N420" i="1" s="1"/>
  <c r="K408" i="1"/>
  <c r="M408" i="1" s="1"/>
  <c r="L408" i="1"/>
  <c r="N408" i="1" s="1"/>
  <c r="K395" i="1"/>
  <c r="M395" i="1" s="1"/>
  <c r="L395" i="1"/>
  <c r="N395" i="1" s="1"/>
  <c r="K382" i="1"/>
  <c r="M382" i="1" s="1"/>
  <c r="L382" i="1"/>
  <c r="N382" i="1" s="1"/>
  <c r="K369" i="1"/>
  <c r="M369" i="1" s="1"/>
  <c r="L369" i="1"/>
  <c r="N369" i="1" s="1"/>
  <c r="K357" i="1"/>
  <c r="M357" i="1" s="1"/>
  <c r="L357" i="1"/>
  <c r="N357" i="1" s="1"/>
  <c r="K345" i="1"/>
  <c r="M345" i="1" s="1"/>
  <c r="L345" i="1"/>
  <c r="N345" i="1" s="1"/>
  <c r="K331" i="1"/>
  <c r="M331" i="1" s="1"/>
  <c r="L331" i="1"/>
  <c r="N331" i="1" s="1"/>
  <c r="K319" i="1"/>
  <c r="M319" i="1" s="1"/>
  <c r="L319" i="1"/>
  <c r="N319" i="1" s="1"/>
  <c r="K306" i="1"/>
  <c r="M306" i="1" s="1"/>
  <c r="L306" i="1"/>
  <c r="N306" i="1" s="1"/>
  <c r="K294" i="1"/>
  <c r="M294" i="1" s="1"/>
  <c r="L294" i="1"/>
  <c r="N294" i="1" s="1"/>
  <c r="K281" i="1"/>
  <c r="M281" i="1" s="1"/>
  <c r="L281" i="1"/>
  <c r="N281" i="1" s="1"/>
  <c r="K269" i="1"/>
  <c r="M269" i="1" s="1"/>
  <c r="L269" i="1"/>
  <c r="N269" i="1" s="1"/>
  <c r="K257" i="1"/>
  <c r="M257" i="1" s="1"/>
  <c r="L257" i="1"/>
  <c r="N257" i="1" s="1"/>
  <c r="K244" i="1"/>
  <c r="M244" i="1" s="1"/>
  <c r="L244" i="1"/>
  <c r="N244" i="1" s="1"/>
  <c r="L231" i="1"/>
  <c r="N231" i="1" s="1"/>
  <c r="K231" i="1"/>
  <c r="M231" i="1" s="1"/>
  <c r="K219" i="1"/>
  <c r="M219" i="1" s="1"/>
  <c r="L219" i="1"/>
  <c r="N219" i="1" s="1"/>
  <c r="K206" i="1"/>
  <c r="M206" i="1" s="1"/>
  <c r="L206" i="1"/>
  <c r="N206" i="1" s="1"/>
  <c r="K193" i="1"/>
  <c r="M193" i="1" s="1"/>
  <c r="L193" i="1"/>
  <c r="N193" i="1" s="1"/>
  <c r="K180" i="1"/>
  <c r="M180" i="1" s="1"/>
  <c r="L180" i="1"/>
  <c r="N180" i="1" s="1"/>
  <c r="K164" i="1"/>
  <c r="M164" i="1" s="1"/>
  <c r="L164" i="1"/>
  <c r="N164" i="1" s="1"/>
  <c r="L152" i="1"/>
  <c r="N152" i="1" s="1"/>
  <c r="K152" i="1"/>
  <c r="M152" i="1" s="1"/>
  <c r="K139" i="1"/>
  <c r="M139" i="1" s="1"/>
  <c r="L139" i="1"/>
  <c r="N139" i="1" s="1"/>
  <c r="K126" i="1"/>
  <c r="M126" i="1" s="1"/>
  <c r="L126" i="1"/>
  <c r="N126" i="1" s="1"/>
  <c r="K112" i="1"/>
  <c r="M112" i="1" s="1"/>
  <c r="L112" i="1"/>
  <c r="N112" i="1" s="1"/>
  <c r="K100" i="1"/>
  <c r="M100" i="1" s="1"/>
  <c r="L100" i="1"/>
  <c r="N100" i="1" s="1"/>
  <c r="K88" i="1"/>
  <c r="M88" i="1" s="1"/>
  <c r="L88" i="1"/>
  <c r="N88" i="1" s="1"/>
  <c r="K76" i="1"/>
  <c r="M76" i="1" s="1"/>
  <c r="L76" i="1"/>
  <c r="N76" i="1" s="1"/>
  <c r="K64" i="1"/>
  <c r="M64" i="1" s="1"/>
  <c r="L64" i="1"/>
  <c r="N64" i="1" s="1"/>
  <c r="K52" i="1"/>
  <c r="M52" i="1" s="1"/>
  <c r="L52" i="1"/>
  <c r="N52" i="1" s="1"/>
  <c r="K39" i="1"/>
  <c r="M39" i="1" s="1"/>
  <c r="L39" i="1"/>
  <c r="N39" i="1" s="1"/>
  <c r="K26" i="1"/>
  <c r="M26" i="1" s="1"/>
  <c r="L26" i="1"/>
  <c r="N26" i="1" s="1"/>
  <c r="L690" i="1"/>
  <c r="N690" i="1" s="1"/>
  <c r="K690" i="1"/>
  <c r="M690" i="1" s="1"/>
  <c r="K135" i="1"/>
  <c r="M135" i="1" s="1"/>
  <c r="L135" i="1"/>
  <c r="N135" i="1" s="1"/>
  <c r="K402" i="1"/>
  <c r="M402" i="1" s="1"/>
  <c r="L402" i="1"/>
  <c r="N402" i="1" s="1"/>
  <c r="K697" i="1"/>
  <c r="M697" i="1" s="1"/>
  <c r="L697" i="1"/>
  <c r="N697" i="1" s="1"/>
  <c r="K733" i="1"/>
  <c r="M733" i="1" s="1"/>
  <c r="L733" i="1"/>
  <c r="N733" i="1" s="1"/>
  <c r="K649" i="1"/>
  <c r="M649" i="1" s="1"/>
  <c r="L649" i="1"/>
  <c r="N649" i="1" s="1"/>
  <c r="L693" i="1"/>
  <c r="N693" i="1" s="1"/>
  <c r="K693" i="1"/>
  <c r="M693" i="1" s="1"/>
  <c r="K618" i="1"/>
  <c r="M618" i="1" s="1"/>
  <c r="L618" i="1"/>
  <c r="N618" i="1" s="1"/>
  <c r="K519" i="1"/>
  <c r="M519" i="1" s="1"/>
  <c r="L519" i="1"/>
  <c r="N519" i="1" s="1"/>
  <c r="L729" i="1"/>
  <c r="N729" i="1" s="1"/>
  <c r="K729" i="1"/>
  <c r="M729" i="1" s="1"/>
  <c r="K717" i="1"/>
  <c r="M717" i="1" s="1"/>
  <c r="L717" i="1"/>
  <c r="N717" i="1" s="1"/>
  <c r="K704" i="1"/>
  <c r="M704" i="1" s="1"/>
  <c r="L704" i="1"/>
  <c r="N704" i="1" s="1"/>
  <c r="L683" i="1"/>
  <c r="N683" i="1" s="1"/>
  <c r="K683" i="1"/>
  <c r="M683" i="1" s="1"/>
  <c r="L670" i="1"/>
  <c r="N670" i="1" s="1"/>
  <c r="K670" i="1"/>
  <c r="M670" i="1" s="1"/>
  <c r="K657" i="1"/>
  <c r="M657" i="1" s="1"/>
  <c r="L657" i="1"/>
  <c r="N657" i="1" s="1"/>
  <c r="K645" i="1"/>
  <c r="M645" i="1" s="1"/>
  <c r="L645" i="1"/>
  <c r="N645" i="1" s="1"/>
  <c r="K631" i="1"/>
  <c r="M631" i="1" s="1"/>
  <c r="L631" i="1"/>
  <c r="N631" i="1" s="1"/>
  <c r="L617" i="1"/>
  <c r="N617" i="1" s="1"/>
  <c r="K617" i="1"/>
  <c r="M617" i="1" s="1"/>
  <c r="L604" i="1"/>
  <c r="N604" i="1" s="1"/>
  <c r="K604" i="1"/>
  <c r="M604" i="1" s="1"/>
  <c r="L592" i="1"/>
  <c r="N592" i="1" s="1"/>
  <c r="K592" i="1"/>
  <c r="M592" i="1" s="1"/>
  <c r="L579" i="1"/>
  <c r="N579" i="1" s="1"/>
  <c r="K579" i="1"/>
  <c r="M579" i="1" s="1"/>
  <c r="K567" i="1"/>
  <c r="M567" i="1" s="1"/>
  <c r="L567" i="1"/>
  <c r="N567" i="1" s="1"/>
  <c r="L555" i="1"/>
  <c r="N555" i="1" s="1"/>
  <c r="K555" i="1"/>
  <c r="M555" i="1" s="1"/>
  <c r="K543" i="1"/>
  <c r="M543" i="1" s="1"/>
  <c r="L543" i="1"/>
  <c r="N543" i="1" s="1"/>
  <c r="L530" i="1"/>
  <c r="N530" i="1" s="1"/>
  <c r="K530" i="1"/>
  <c r="M530" i="1" s="1"/>
  <c r="K518" i="1"/>
  <c r="M518" i="1" s="1"/>
  <c r="L518" i="1"/>
  <c r="N518" i="1" s="1"/>
  <c r="K506" i="1"/>
  <c r="M506" i="1" s="1"/>
  <c r="L506" i="1"/>
  <c r="N506" i="1" s="1"/>
  <c r="K493" i="1"/>
  <c r="M493" i="1" s="1"/>
  <c r="L493" i="1"/>
  <c r="N493" i="1" s="1"/>
  <c r="K481" i="1"/>
  <c r="M481" i="1" s="1"/>
  <c r="L481" i="1"/>
  <c r="N481" i="1" s="1"/>
  <c r="K468" i="1"/>
  <c r="M468" i="1" s="1"/>
  <c r="L468" i="1"/>
  <c r="N468" i="1" s="1"/>
  <c r="K456" i="1"/>
  <c r="M456" i="1" s="1"/>
  <c r="L456" i="1"/>
  <c r="N456" i="1" s="1"/>
  <c r="K444" i="1"/>
  <c r="M444" i="1" s="1"/>
  <c r="L444" i="1"/>
  <c r="N444" i="1" s="1"/>
  <c r="K431" i="1"/>
  <c r="M431" i="1" s="1"/>
  <c r="L431" i="1"/>
  <c r="N431" i="1" s="1"/>
  <c r="L419" i="1"/>
  <c r="N419" i="1" s="1"/>
  <c r="K419" i="1"/>
  <c r="M419" i="1" s="1"/>
  <c r="L407" i="1"/>
  <c r="N407" i="1" s="1"/>
  <c r="K407" i="1"/>
  <c r="M407" i="1" s="1"/>
  <c r="L393" i="1"/>
  <c r="N393" i="1" s="1"/>
  <c r="K393" i="1"/>
  <c r="M393" i="1" s="1"/>
  <c r="L381" i="1"/>
  <c r="N381" i="1" s="1"/>
  <c r="K381" i="1"/>
  <c r="M381" i="1" s="1"/>
  <c r="L368" i="1"/>
  <c r="N368" i="1" s="1"/>
  <c r="K368" i="1"/>
  <c r="M368" i="1" s="1"/>
  <c r="K356" i="1"/>
  <c r="M356" i="1" s="1"/>
  <c r="L356" i="1"/>
  <c r="N356" i="1" s="1"/>
  <c r="K344" i="1"/>
  <c r="M344" i="1" s="1"/>
  <c r="L344" i="1"/>
  <c r="N344" i="1" s="1"/>
  <c r="K330" i="1"/>
  <c r="M330" i="1" s="1"/>
  <c r="L330" i="1"/>
  <c r="N330" i="1" s="1"/>
  <c r="K318" i="1"/>
  <c r="M318" i="1" s="1"/>
  <c r="L318" i="1"/>
  <c r="N318" i="1" s="1"/>
  <c r="K305" i="1"/>
  <c r="M305" i="1" s="1"/>
  <c r="L305" i="1"/>
  <c r="N305" i="1" s="1"/>
  <c r="K293" i="1"/>
  <c r="M293" i="1" s="1"/>
  <c r="L293" i="1"/>
  <c r="N293" i="1" s="1"/>
  <c r="K280" i="1"/>
  <c r="M280" i="1" s="1"/>
  <c r="L280" i="1"/>
  <c r="N280" i="1" s="1"/>
  <c r="K268" i="1"/>
  <c r="M268" i="1" s="1"/>
  <c r="L268" i="1"/>
  <c r="N268" i="1" s="1"/>
  <c r="K256" i="1"/>
  <c r="M256" i="1" s="1"/>
  <c r="L256" i="1"/>
  <c r="N256" i="1" s="1"/>
  <c r="L243" i="1"/>
  <c r="N243" i="1" s="1"/>
  <c r="K243" i="1"/>
  <c r="M243" i="1" s="1"/>
  <c r="K230" i="1"/>
  <c r="M230" i="1" s="1"/>
  <c r="L230" i="1"/>
  <c r="N230" i="1" s="1"/>
  <c r="K218" i="1"/>
  <c r="M218" i="1" s="1"/>
  <c r="L218" i="1"/>
  <c r="N218" i="1" s="1"/>
  <c r="K205" i="1"/>
  <c r="M205" i="1" s="1"/>
  <c r="L205" i="1"/>
  <c r="N205" i="1" s="1"/>
  <c r="K192" i="1"/>
  <c r="M192" i="1" s="1"/>
  <c r="L192" i="1"/>
  <c r="N192" i="1" s="1"/>
  <c r="L176" i="1"/>
  <c r="N176" i="1" s="1"/>
  <c r="K176" i="1"/>
  <c r="M176" i="1" s="1"/>
  <c r="K163" i="1"/>
  <c r="M163" i="1" s="1"/>
  <c r="L163" i="1"/>
  <c r="N163" i="1" s="1"/>
  <c r="K151" i="1"/>
  <c r="M151" i="1" s="1"/>
  <c r="L151" i="1"/>
  <c r="N151" i="1" s="1"/>
  <c r="K138" i="1"/>
  <c r="M138" i="1" s="1"/>
  <c r="L138" i="1"/>
  <c r="N138" i="1" s="1"/>
  <c r="K125" i="1"/>
  <c r="M125" i="1" s="1"/>
  <c r="L125" i="1"/>
  <c r="N125" i="1" s="1"/>
  <c r="K111" i="1"/>
  <c r="M111" i="1" s="1"/>
  <c r="L111" i="1"/>
  <c r="N111" i="1" s="1"/>
  <c r="K99" i="1"/>
  <c r="M99" i="1" s="1"/>
  <c r="L99" i="1"/>
  <c r="N99" i="1" s="1"/>
  <c r="K87" i="1"/>
  <c r="M87" i="1" s="1"/>
  <c r="L87" i="1"/>
  <c r="N87" i="1" s="1"/>
  <c r="K75" i="1"/>
  <c r="M75" i="1" s="1"/>
  <c r="L75" i="1"/>
  <c r="N75" i="1" s="1"/>
  <c r="K63" i="1"/>
  <c r="M63" i="1" s="1"/>
  <c r="L63" i="1"/>
  <c r="N63" i="1" s="1"/>
  <c r="K51" i="1"/>
  <c r="M51" i="1" s="1"/>
  <c r="L51" i="1"/>
  <c r="N51" i="1" s="1"/>
  <c r="K38" i="1"/>
  <c r="M38" i="1" s="1"/>
  <c r="L38" i="1"/>
  <c r="N38" i="1" s="1"/>
  <c r="K25" i="1"/>
  <c r="M25" i="1" s="1"/>
  <c r="L25" i="1"/>
  <c r="N25" i="1" s="1"/>
  <c r="K689" i="1"/>
  <c r="M689" i="1" s="1"/>
  <c r="L689" i="1"/>
  <c r="N689" i="1" s="1"/>
  <c r="K35" i="1"/>
  <c r="M35" i="1" s="1"/>
  <c r="L35" i="1"/>
  <c r="N35" i="1" s="1"/>
  <c r="K276" i="1"/>
  <c r="M276" i="1" s="1"/>
  <c r="L276" i="1"/>
  <c r="N276" i="1" s="1"/>
  <c r="L722" i="1"/>
  <c r="N722" i="1" s="1"/>
  <c r="K722" i="1"/>
  <c r="M722" i="1" s="1"/>
  <c r="K636" i="1"/>
  <c r="M636" i="1" s="1"/>
  <c r="L636" i="1"/>
  <c r="N636" i="1" s="1"/>
  <c r="K675" i="1"/>
  <c r="M675" i="1" s="1"/>
  <c r="L675" i="1"/>
  <c r="N675" i="1" s="1"/>
  <c r="K609" i="1"/>
  <c r="M609" i="1" s="1"/>
  <c r="L609" i="1"/>
  <c r="N609" i="1" s="1"/>
  <c r="K705" i="1"/>
  <c r="M705" i="1" s="1"/>
  <c r="L705" i="1"/>
  <c r="N705" i="1" s="1"/>
  <c r="K703" i="1"/>
  <c r="M703" i="1" s="1"/>
  <c r="L703" i="1"/>
  <c r="N703" i="1" s="1"/>
  <c r="K669" i="1"/>
  <c r="M669" i="1" s="1"/>
  <c r="L669" i="1"/>
  <c r="N669" i="1" s="1"/>
  <c r="L644" i="1"/>
  <c r="N644" i="1" s="1"/>
  <c r="K644" i="1"/>
  <c r="M644" i="1" s="1"/>
  <c r="K630" i="1"/>
  <c r="M630" i="1" s="1"/>
  <c r="L630" i="1"/>
  <c r="N630" i="1" s="1"/>
  <c r="K603" i="1"/>
  <c r="M603" i="1" s="1"/>
  <c r="L603" i="1"/>
  <c r="N603" i="1" s="1"/>
  <c r="K591" i="1"/>
  <c r="M591" i="1" s="1"/>
  <c r="L591" i="1"/>
  <c r="N591" i="1" s="1"/>
  <c r="K578" i="1"/>
  <c r="M578" i="1" s="1"/>
  <c r="L578" i="1"/>
  <c r="N578" i="1" s="1"/>
  <c r="K566" i="1"/>
  <c r="M566" i="1" s="1"/>
  <c r="L566" i="1"/>
  <c r="N566" i="1" s="1"/>
  <c r="K554" i="1"/>
  <c r="M554" i="1" s="1"/>
  <c r="L554" i="1"/>
  <c r="N554" i="1" s="1"/>
  <c r="K542" i="1"/>
  <c r="M542" i="1" s="1"/>
  <c r="L542" i="1"/>
  <c r="N542" i="1" s="1"/>
  <c r="K529" i="1"/>
  <c r="M529" i="1" s="1"/>
  <c r="L529" i="1"/>
  <c r="N529" i="1" s="1"/>
  <c r="K517" i="1"/>
  <c r="M517" i="1" s="1"/>
  <c r="L517" i="1"/>
  <c r="N517" i="1" s="1"/>
  <c r="K505" i="1"/>
  <c r="M505" i="1" s="1"/>
  <c r="L505" i="1"/>
  <c r="N505" i="1" s="1"/>
  <c r="K492" i="1"/>
  <c r="M492" i="1" s="1"/>
  <c r="L492" i="1"/>
  <c r="N492" i="1" s="1"/>
  <c r="K480" i="1"/>
  <c r="M480" i="1" s="1"/>
  <c r="L480" i="1"/>
  <c r="N480" i="1" s="1"/>
  <c r="K467" i="1"/>
  <c r="M467" i="1" s="1"/>
  <c r="L467" i="1"/>
  <c r="N467" i="1" s="1"/>
  <c r="K455" i="1"/>
  <c r="M455" i="1" s="1"/>
  <c r="L455" i="1"/>
  <c r="N455" i="1" s="1"/>
  <c r="K443" i="1"/>
  <c r="M443" i="1" s="1"/>
  <c r="L443" i="1"/>
  <c r="N443" i="1" s="1"/>
  <c r="L430" i="1"/>
  <c r="N430" i="1" s="1"/>
  <c r="K430" i="1"/>
  <c r="M430" i="1" s="1"/>
  <c r="L418" i="1"/>
  <c r="N418" i="1" s="1"/>
  <c r="K418" i="1"/>
  <c r="M418" i="1" s="1"/>
  <c r="K405" i="1"/>
  <c r="M405" i="1" s="1"/>
  <c r="L405" i="1"/>
  <c r="N405" i="1" s="1"/>
  <c r="K392" i="1"/>
  <c r="M392" i="1" s="1"/>
  <c r="L392" i="1"/>
  <c r="N392" i="1" s="1"/>
  <c r="K380" i="1"/>
  <c r="M380" i="1" s="1"/>
  <c r="L380" i="1"/>
  <c r="N380" i="1" s="1"/>
  <c r="K367" i="1"/>
  <c r="M367" i="1" s="1"/>
  <c r="L367" i="1"/>
  <c r="N367" i="1" s="1"/>
  <c r="K355" i="1"/>
  <c r="M355" i="1" s="1"/>
  <c r="L355" i="1"/>
  <c r="N355" i="1" s="1"/>
  <c r="K343" i="1"/>
  <c r="M343" i="1" s="1"/>
  <c r="L343" i="1"/>
  <c r="N343" i="1" s="1"/>
  <c r="K329" i="1"/>
  <c r="M329" i="1" s="1"/>
  <c r="L329" i="1"/>
  <c r="N329" i="1" s="1"/>
  <c r="K317" i="1"/>
  <c r="M317" i="1" s="1"/>
  <c r="L317" i="1"/>
  <c r="N317" i="1" s="1"/>
  <c r="K304" i="1"/>
  <c r="M304" i="1" s="1"/>
  <c r="L304" i="1"/>
  <c r="N304" i="1" s="1"/>
  <c r="K292" i="1"/>
  <c r="M292" i="1" s="1"/>
  <c r="L292" i="1"/>
  <c r="N292" i="1" s="1"/>
  <c r="L279" i="1"/>
  <c r="N279" i="1" s="1"/>
  <c r="K279" i="1"/>
  <c r="M279" i="1" s="1"/>
  <c r="L267" i="1"/>
  <c r="N267" i="1" s="1"/>
  <c r="K267" i="1"/>
  <c r="M267" i="1" s="1"/>
  <c r="L255" i="1"/>
  <c r="N255" i="1" s="1"/>
  <c r="K255" i="1"/>
  <c r="M255" i="1" s="1"/>
  <c r="K241" i="1"/>
  <c r="M241" i="1" s="1"/>
  <c r="L241" i="1"/>
  <c r="N241" i="1" s="1"/>
  <c r="K229" i="1"/>
  <c r="M229" i="1" s="1"/>
  <c r="L229" i="1"/>
  <c r="N229" i="1" s="1"/>
  <c r="K217" i="1"/>
  <c r="M217" i="1" s="1"/>
  <c r="L217" i="1"/>
  <c r="N217" i="1" s="1"/>
  <c r="K204" i="1"/>
  <c r="M204" i="1" s="1"/>
  <c r="L204" i="1"/>
  <c r="N204" i="1" s="1"/>
  <c r="L191" i="1"/>
  <c r="N191" i="1" s="1"/>
  <c r="K191" i="1"/>
  <c r="M191" i="1" s="1"/>
  <c r="K175" i="1"/>
  <c r="M175" i="1" s="1"/>
  <c r="L175" i="1"/>
  <c r="N175" i="1" s="1"/>
  <c r="K162" i="1"/>
  <c r="M162" i="1" s="1"/>
  <c r="L162" i="1"/>
  <c r="N162" i="1" s="1"/>
  <c r="K149" i="1"/>
  <c r="M149" i="1" s="1"/>
  <c r="L149" i="1"/>
  <c r="N149" i="1" s="1"/>
  <c r="K137" i="1"/>
  <c r="M137" i="1" s="1"/>
  <c r="L137" i="1"/>
  <c r="N137" i="1" s="1"/>
  <c r="K123" i="1"/>
  <c r="M123" i="1" s="1"/>
  <c r="L123" i="1"/>
  <c r="N123" i="1" s="1"/>
  <c r="K110" i="1"/>
  <c r="M110" i="1" s="1"/>
  <c r="L110" i="1"/>
  <c r="N110" i="1" s="1"/>
  <c r="K98" i="1"/>
  <c r="M98" i="1" s="1"/>
  <c r="L98" i="1"/>
  <c r="N98" i="1" s="1"/>
  <c r="K86" i="1"/>
  <c r="M86" i="1" s="1"/>
  <c r="L86" i="1"/>
  <c r="N86" i="1" s="1"/>
  <c r="L74" i="1"/>
  <c r="N74" i="1" s="1"/>
  <c r="K74" i="1"/>
  <c r="M74" i="1" s="1"/>
  <c r="K62" i="1"/>
  <c r="M62" i="1" s="1"/>
  <c r="L62" i="1"/>
  <c r="N62" i="1" s="1"/>
  <c r="K50" i="1"/>
  <c r="M50" i="1" s="1"/>
  <c r="L50" i="1"/>
  <c r="N50" i="1" s="1"/>
  <c r="K37" i="1"/>
  <c r="M37" i="1" s="1"/>
  <c r="L37" i="1"/>
  <c r="N37" i="1" s="1"/>
  <c r="K24" i="1"/>
  <c r="M24" i="1" s="1"/>
  <c r="L24" i="1"/>
  <c r="N24" i="1" s="1"/>
  <c r="L688" i="1"/>
  <c r="N688" i="1" s="1"/>
  <c r="K688" i="1"/>
  <c r="M688" i="1" s="1"/>
  <c r="K160" i="1"/>
  <c r="M160" i="1" s="1"/>
  <c r="L160" i="1"/>
  <c r="N160" i="1" s="1"/>
  <c r="L364" i="1"/>
  <c r="N364" i="1" s="1"/>
  <c r="K364" i="1"/>
  <c r="M364" i="1" s="1"/>
  <c r="K650" i="1"/>
  <c r="M650" i="1" s="1"/>
  <c r="L650" i="1"/>
  <c r="N650" i="1" s="1"/>
  <c r="L721" i="1"/>
  <c r="N721" i="1" s="1"/>
  <c r="K721" i="1"/>
  <c r="M721" i="1" s="1"/>
  <c r="K621" i="1"/>
  <c r="M621" i="1" s="1"/>
  <c r="L621" i="1"/>
  <c r="N621" i="1" s="1"/>
  <c r="L718" i="1"/>
  <c r="N718" i="1" s="1"/>
  <c r="K718" i="1"/>
  <c r="M718" i="1" s="1"/>
  <c r="L658" i="1"/>
  <c r="N658" i="1" s="1"/>
  <c r="K658" i="1"/>
  <c r="M658" i="1" s="1"/>
  <c r="K632" i="1"/>
  <c r="M632" i="1" s="1"/>
  <c r="L632" i="1"/>
  <c r="N632" i="1" s="1"/>
  <c r="L16" i="1"/>
  <c r="N16" i="1" s="1"/>
  <c r="K16" i="1"/>
  <c r="M16" i="1" s="1"/>
  <c r="L728" i="1"/>
  <c r="N728" i="1" s="1"/>
  <c r="K728" i="1"/>
  <c r="M728" i="1" s="1"/>
  <c r="K716" i="1"/>
  <c r="M716" i="1" s="1"/>
  <c r="L716" i="1"/>
  <c r="N716" i="1" s="1"/>
  <c r="L682" i="1"/>
  <c r="N682" i="1" s="1"/>
  <c r="K682" i="1"/>
  <c r="M682" i="1" s="1"/>
  <c r="K656" i="1"/>
  <c r="M656" i="1" s="1"/>
  <c r="L656" i="1"/>
  <c r="N656" i="1" s="1"/>
  <c r="L616" i="1"/>
  <c r="N616" i="1" s="1"/>
  <c r="K616" i="1"/>
  <c r="M616" i="1" s="1"/>
  <c r="L727" i="1"/>
  <c r="N727" i="1" s="1"/>
  <c r="K727" i="1"/>
  <c r="M727" i="1" s="1"/>
  <c r="L714" i="1"/>
  <c r="N714" i="1" s="1"/>
  <c r="K714" i="1"/>
  <c r="M714" i="1" s="1"/>
  <c r="L702" i="1"/>
  <c r="N702" i="1" s="1"/>
  <c r="K702" i="1"/>
  <c r="M702" i="1" s="1"/>
  <c r="L681" i="1"/>
  <c r="N681" i="1" s="1"/>
  <c r="K681" i="1"/>
  <c r="M681" i="1" s="1"/>
  <c r="K668" i="1"/>
  <c r="M668" i="1" s="1"/>
  <c r="L668" i="1"/>
  <c r="N668" i="1" s="1"/>
  <c r="K655" i="1"/>
  <c r="M655" i="1" s="1"/>
  <c r="L655" i="1"/>
  <c r="N655" i="1" s="1"/>
  <c r="K642" i="1"/>
  <c r="M642" i="1" s="1"/>
  <c r="L642" i="1"/>
  <c r="N642" i="1" s="1"/>
  <c r="L629" i="1"/>
  <c r="N629" i="1" s="1"/>
  <c r="K629" i="1"/>
  <c r="M629" i="1" s="1"/>
  <c r="K615" i="1"/>
  <c r="M615" i="1" s="1"/>
  <c r="L615" i="1"/>
  <c r="N615" i="1" s="1"/>
  <c r="K602" i="1"/>
  <c r="M602" i="1" s="1"/>
  <c r="L602" i="1"/>
  <c r="N602" i="1" s="1"/>
  <c r="K590" i="1"/>
  <c r="M590" i="1" s="1"/>
  <c r="L590" i="1"/>
  <c r="N590" i="1" s="1"/>
  <c r="K577" i="1"/>
  <c r="M577" i="1" s="1"/>
  <c r="L577" i="1"/>
  <c r="N577" i="1" s="1"/>
  <c r="L565" i="1"/>
  <c r="N565" i="1" s="1"/>
  <c r="K565" i="1"/>
  <c r="M565" i="1" s="1"/>
  <c r="K553" i="1"/>
  <c r="M553" i="1" s="1"/>
  <c r="L553" i="1"/>
  <c r="N553" i="1" s="1"/>
  <c r="K541" i="1"/>
  <c r="M541" i="1" s="1"/>
  <c r="L541" i="1"/>
  <c r="N541" i="1" s="1"/>
  <c r="K528" i="1"/>
  <c r="M528" i="1" s="1"/>
  <c r="L528" i="1"/>
  <c r="N528" i="1" s="1"/>
  <c r="K516" i="1"/>
  <c r="M516" i="1" s="1"/>
  <c r="L516" i="1"/>
  <c r="N516" i="1" s="1"/>
  <c r="K504" i="1"/>
  <c r="M504" i="1" s="1"/>
  <c r="L504" i="1"/>
  <c r="N504" i="1" s="1"/>
  <c r="K491" i="1"/>
  <c r="M491" i="1" s="1"/>
  <c r="L491" i="1"/>
  <c r="N491" i="1" s="1"/>
  <c r="K479" i="1"/>
  <c r="M479" i="1" s="1"/>
  <c r="L479" i="1"/>
  <c r="N479" i="1" s="1"/>
  <c r="L466" i="1"/>
  <c r="N466" i="1" s="1"/>
  <c r="K466" i="1"/>
  <c r="M466" i="1" s="1"/>
  <c r="K454" i="1"/>
  <c r="M454" i="1" s="1"/>
  <c r="L454" i="1"/>
  <c r="N454" i="1" s="1"/>
  <c r="K442" i="1"/>
  <c r="M442" i="1" s="1"/>
  <c r="L442" i="1"/>
  <c r="N442" i="1" s="1"/>
  <c r="K429" i="1"/>
  <c r="M429" i="1" s="1"/>
  <c r="L429" i="1"/>
  <c r="N429" i="1" s="1"/>
  <c r="K417" i="1"/>
  <c r="M417" i="1" s="1"/>
  <c r="L417" i="1"/>
  <c r="N417" i="1" s="1"/>
  <c r="L404" i="1"/>
  <c r="N404" i="1" s="1"/>
  <c r="K404" i="1"/>
  <c r="M404" i="1" s="1"/>
  <c r="K391" i="1"/>
  <c r="M391" i="1" s="1"/>
  <c r="L391" i="1"/>
  <c r="N391" i="1" s="1"/>
  <c r="K379" i="1"/>
  <c r="M379" i="1" s="1"/>
  <c r="L379" i="1"/>
  <c r="N379" i="1" s="1"/>
  <c r="K366" i="1"/>
  <c r="M366" i="1" s="1"/>
  <c r="L366" i="1"/>
  <c r="N366" i="1" s="1"/>
  <c r="K354" i="1"/>
  <c r="M354" i="1" s="1"/>
  <c r="L354" i="1"/>
  <c r="N354" i="1" s="1"/>
  <c r="K342" i="1"/>
  <c r="M342" i="1" s="1"/>
  <c r="L342" i="1"/>
  <c r="N342" i="1" s="1"/>
  <c r="K328" i="1"/>
  <c r="M328" i="1" s="1"/>
  <c r="L328" i="1"/>
  <c r="N328" i="1" s="1"/>
  <c r="K316" i="1"/>
  <c r="M316" i="1" s="1"/>
  <c r="L316" i="1"/>
  <c r="N316" i="1" s="1"/>
  <c r="L303" i="1"/>
  <c r="N303" i="1" s="1"/>
  <c r="K303" i="1"/>
  <c r="M303" i="1" s="1"/>
  <c r="K291" i="1"/>
  <c r="M291" i="1" s="1"/>
  <c r="L291" i="1"/>
  <c r="N291" i="1" s="1"/>
  <c r="K278" i="1"/>
  <c r="M278" i="1" s="1"/>
  <c r="L278" i="1"/>
  <c r="N278" i="1" s="1"/>
  <c r="K266" i="1"/>
  <c r="M266" i="1" s="1"/>
  <c r="L266" i="1"/>
  <c r="N266" i="1" s="1"/>
  <c r="L254" i="1"/>
  <c r="N254" i="1" s="1"/>
  <c r="K254" i="1"/>
  <c r="M254" i="1" s="1"/>
  <c r="K240" i="1"/>
  <c r="M240" i="1" s="1"/>
  <c r="L240" i="1"/>
  <c r="N240" i="1" s="1"/>
  <c r="K228" i="1"/>
  <c r="M228" i="1" s="1"/>
  <c r="L228" i="1"/>
  <c r="N228" i="1" s="1"/>
  <c r="K216" i="1"/>
  <c r="M216" i="1" s="1"/>
  <c r="L216" i="1"/>
  <c r="N216" i="1" s="1"/>
  <c r="K203" i="1"/>
  <c r="M203" i="1" s="1"/>
  <c r="L203" i="1"/>
  <c r="N203" i="1" s="1"/>
  <c r="K190" i="1"/>
  <c r="M190" i="1" s="1"/>
  <c r="L190" i="1"/>
  <c r="N190" i="1" s="1"/>
  <c r="K174" i="1"/>
  <c r="M174" i="1" s="1"/>
  <c r="L174" i="1"/>
  <c r="N174" i="1" s="1"/>
  <c r="K161" i="1"/>
  <c r="M161" i="1" s="1"/>
  <c r="L161" i="1"/>
  <c r="N161" i="1" s="1"/>
  <c r="K148" i="1"/>
  <c r="M148" i="1" s="1"/>
  <c r="L148" i="1"/>
  <c r="N148" i="1" s="1"/>
  <c r="K136" i="1"/>
  <c r="M136" i="1" s="1"/>
  <c r="L136" i="1"/>
  <c r="N136" i="1" s="1"/>
  <c r="L122" i="1"/>
  <c r="N122" i="1" s="1"/>
  <c r="K122" i="1"/>
  <c r="M122" i="1" s="1"/>
  <c r="K109" i="1"/>
  <c r="M109" i="1" s="1"/>
  <c r="L109" i="1"/>
  <c r="N109" i="1" s="1"/>
  <c r="K97" i="1"/>
  <c r="M97" i="1" s="1"/>
  <c r="L97" i="1"/>
  <c r="N97" i="1" s="1"/>
  <c r="K85" i="1"/>
  <c r="M85" i="1" s="1"/>
  <c r="L85" i="1"/>
  <c r="N85" i="1" s="1"/>
  <c r="K73" i="1"/>
  <c r="M73" i="1" s="1"/>
  <c r="L73" i="1"/>
  <c r="N73" i="1" s="1"/>
  <c r="K61" i="1"/>
  <c r="M61" i="1" s="1"/>
  <c r="L61" i="1"/>
  <c r="N61" i="1" s="1"/>
  <c r="K49" i="1"/>
  <c r="M49" i="1" s="1"/>
  <c r="L49" i="1"/>
  <c r="N49" i="1" s="1"/>
  <c r="K36" i="1"/>
  <c r="M36" i="1" s="1"/>
  <c r="L36" i="1"/>
  <c r="N36" i="1" s="1"/>
  <c r="K23" i="1"/>
  <c r="M23" i="1" s="1"/>
  <c r="L23" i="1"/>
  <c r="N23" i="1" s="1"/>
  <c r="K687" i="1"/>
  <c r="M687" i="1" s="1"/>
  <c r="L687" i="1"/>
  <c r="N687" i="1" s="1"/>
  <c r="N741" i="12"/>
  <c r="M741" i="12"/>
  <c r="N741" i="10"/>
  <c r="M741" i="10"/>
  <c r="N741" i="8"/>
  <c r="M741" i="8"/>
  <c r="P124" i="6"/>
  <c r="N741" i="6"/>
  <c r="M741" i="6"/>
  <c r="N741" i="4"/>
  <c r="M741" i="4"/>
  <c r="N741" i="7"/>
  <c r="M741" i="7"/>
  <c r="N741" i="9"/>
  <c r="M741" i="9"/>
  <c r="N741" i="3"/>
  <c r="M741" i="3"/>
  <c r="O380" i="1" l="1"/>
  <c r="O529" i="1"/>
  <c r="O304" i="1"/>
  <c r="O455" i="1"/>
  <c r="O603" i="1"/>
  <c r="O609" i="1"/>
  <c r="O689" i="1"/>
  <c r="O87" i="1"/>
  <c r="O163" i="1"/>
  <c r="O318" i="1"/>
  <c r="O468" i="1"/>
  <c r="O543" i="1"/>
  <c r="O704" i="1"/>
  <c r="O649" i="1"/>
  <c r="O26" i="1"/>
  <c r="O100" i="1"/>
  <c r="O180" i="1"/>
  <c r="O257" i="1"/>
  <c r="O331" i="1"/>
  <c r="O408" i="1"/>
  <c r="O482" i="1"/>
  <c r="O27" i="1"/>
  <c r="O101" i="1"/>
  <c r="O181" i="1"/>
  <c r="O258" i="1"/>
  <c r="O409" i="1"/>
  <c r="O483" i="1"/>
  <c r="O719" i="1"/>
  <c r="O238" i="1"/>
  <c r="O66" i="1"/>
  <c r="O141" i="1"/>
  <c r="O221" i="1"/>
  <c r="O296" i="1"/>
  <c r="O371" i="1"/>
  <c r="O447" i="1"/>
  <c r="O521" i="1"/>
  <c r="O595" i="1"/>
  <c r="O673" i="1"/>
  <c r="O584" i="1"/>
  <c r="O84" i="1"/>
  <c r="O79" i="1"/>
  <c r="O155" i="1"/>
  <c r="O234" i="1"/>
  <c r="O309" i="1"/>
  <c r="O385" i="1"/>
  <c r="O472" i="1"/>
  <c r="O172" i="1"/>
  <c r="O588" i="1"/>
  <c r="O60" i="1"/>
  <c r="O277" i="1"/>
  <c r="O428" i="1"/>
  <c r="O149" i="1"/>
  <c r="O560" i="1"/>
  <c r="O21" i="1"/>
  <c r="O352" i="1"/>
  <c r="O489" i="1"/>
  <c r="O600" i="1"/>
  <c r="O737" i="1"/>
  <c r="O265" i="1"/>
  <c r="O416" i="1"/>
  <c r="O81" i="1"/>
  <c r="O160" i="1"/>
  <c r="O229" i="1"/>
  <c r="O251" i="1"/>
  <c r="O716" i="1"/>
  <c r="O24" i="1"/>
  <c r="O175" i="1"/>
  <c r="O405" i="1"/>
  <c r="O554" i="1"/>
  <c r="O636" i="1"/>
  <c r="O192" i="1"/>
  <c r="O344" i="1"/>
  <c r="O567" i="1"/>
  <c r="O645" i="1"/>
  <c r="O697" i="1"/>
  <c r="O52" i="1"/>
  <c r="O206" i="1"/>
  <c r="O281" i="1"/>
  <c r="O357" i="1"/>
  <c r="O432" i="1"/>
  <c r="O507" i="1"/>
  <c r="O53" i="1"/>
  <c r="O127" i="1"/>
  <c r="O208" i="1"/>
  <c r="O282" i="1"/>
  <c r="O433" i="1"/>
  <c r="O582" i="1"/>
  <c r="O571" i="1"/>
  <c r="O90" i="1"/>
  <c r="O166" i="1"/>
  <c r="O246" i="1"/>
  <c r="O621" i="1"/>
  <c r="O98" i="1"/>
  <c r="O329" i="1"/>
  <c r="O480" i="1"/>
  <c r="O38" i="1"/>
  <c r="O111" i="1"/>
  <c r="O268" i="1"/>
  <c r="O493" i="1"/>
  <c r="O126" i="1"/>
  <c r="O576" i="1"/>
  <c r="O80" i="1"/>
  <c r="O156" i="1"/>
  <c r="O321" i="1"/>
  <c r="O397" i="1"/>
  <c r="O471" i="1"/>
  <c r="O546" i="1"/>
  <c r="O620" i="1"/>
  <c r="O707" i="1"/>
  <c r="O29" i="1"/>
  <c r="O103" i="1"/>
  <c r="O183" i="1"/>
  <c r="O260" i="1"/>
  <c r="O336" i="1"/>
  <c r="O423" i="1"/>
  <c r="O498" i="1"/>
  <c r="O596" i="1"/>
  <c r="O377" i="1"/>
  <c r="O173" i="1"/>
  <c r="O327" i="1"/>
  <c r="O478" i="1"/>
  <c r="O44" i="1"/>
  <c r="O117" i="1"/>
  <c r="O198" i="1"/>
  <c r="O349" i="1"/>
  <c r="O424" i="1"/>
  <c r="O499" i="1"/>
  <c r="O572" i="1"/>
  <c r="O47" i="1"/>
  <c r="O120" i="1"/>
  <c r="O264" i="1"/>
  <c r="O389" i="1"/>
  <c r="O627" i="1"/>
  <c r="O22" i="1"/>
  <c r="O441" i="1"/>
  <c r="O589" i="1"/>
  <c r="O19" i="1"/>
  <c r="O93" i="1"/>
  <c r="O169" i="1"/>
  <c r="O97" i="1"/>
  <c r="O479" i="1"/>
  <c r="O669" i="1"/>
  <c r="O125" i="1"/>
  <c r="O356" i="1"/>
  <c r="O402" i="1"/>
  <c r="O139" i="1"/>
  <c r="O369" i="1"/>
  <c r="O606" i="1"/>
  <c r="O65" i="1"/>
  <c r="O220" i="1"/>
  <c r="O295" i="1"/>
  <c r="O370" i="1"/>
  <c r="O594" i="1"/>
  <c r="O23" i="1"/>
  <c r="O174" i="1"/>
  <c r="O328" i="1"/>
  <c r="O553" i="1"/>
  <c r="O37" i="1"/>
  <c r="O110" i="1"/>
  <c r="O343" i="1"/>
  <c r="O492" i="1"/>
  <c r="O566" i="1"/>
  <c r="O51" i="1"/>
  <c r="O205" i="1"/>
  <c r="O280" i="1"/>
  <c r="O431" i="1"/>
  <c r="O506" i="1"/>
  <c r="O657" i="1"/>
  <c r="O519" i="1"/>
  <c r="O64" i="1"/>
  <c r="O219" i="1"/>
  <c r="O294" i="1"/>
  <c r="O445" i="1"/>
  <c r="O531" i="1"/>
  <c r="O226" i="1"/>
  <c r="O140" i="1"/>
  <c r="O446" i="1"/>
  <c r="O672" i="1"/>
  <c r="O28" i="1"/>
  <c r="O102" i="1"/>
  <c r="O368" i="1"/>
  <c r="O592" i="1"/>
  <c r="O670" i="1"/>
  <c r="O656" i="1"/>
  <c r="O152" i="1"/>
  <c r="O231" i="1"/>
  <c r="O544" i="1"/>
  <c r="O646" i="1"/>
  <c r="O458" i="1"/>
  <c r="O694" i="1"/>
  <c r="O662" i="1"/>
  <c r="O422" i="1"/>
  <c r="O732" i="1"/>
  <c r="O448" i="1"/>
  <c r="O597" i="1"/>
  <c r="O314" i="1"/>
  <c r="O538" i="1"/>
  <c r="O490" i="1"/>
  <c r="O641" i="1"/>
  <c r="O350" i="1"/>
  <c r="O573" i="1"/>
  <c r="O651" i="1"/>
  <c r="O550" i="1"/>
  <c r="O711" i="1"/>
  <c r="M741" i="1"/>
  <c r="O73" i="1"/>
  <c r="O528" i="1"/>
  <c r="O564" i="1"/>
  <c r="O228" i="1"/>
  <c r="O454" i="1"/>
  <c r="O602" i="1"/>
  <c r="O30" i="1"/>
  <c r="O184" i="1"/>
  <c r="O337" i="1"/>
  <c r="O486" i="1"/>
  <c r="O148" i="1"/>
  <c r="O379" i="1"/>
  <c r="O285" i="1"/>
  <c r="O59" i="1"/>
  <c r="O640" i="1"/>
  <c r="O338" i="1"/>
  <c r="O237" i="1"/>
  <c r="O699" i="1"/>
  <c r="O347" i="1"/>
  <c r="O698" i="1"/>
  <c r="O611" i="1"/>
  <c r="O587" i="1"/>
  <c r="O665" i="1"/>
  <c r="O182" i="1"/>
  <c r="O259" i="1"/>
  <c r="O335" i="1"/>
  <c r="O410" i="1"/>
  <c r="O558" i="1"/>
  <c r="O734" i="1"/>
  <c r="O43" i="1"/>
  <c r="O116" i="1"/>
  <c r="O196" i="1"/>
  <c r="O272" i="1"/>
  <c r="O348" i="1"/>
  <c r="O435" i="1"/>
  <c r="O510" i="1"/>
  <c r="O464" i="1"/>
  <c r="O202" i="1"/>
  <c r="O353" i="1"/>
  <c r="O503" i="1"/>
  <c r="O654" i="1"/>
  <c r="O491" i="1"/>
  <c r="O642" i="1"/>
  <c r="O122" i="1"/>
  <c r="O616" i="1"/>
  <c r="O364" i="1"/>
  <c r="O381" i="1"/>
  <c r="O530" i="1"/>
  <c r="O604" i="1"/>
  <c r="O683" i="1"/>
  <c r="O693" i="1"/>
  <c r="O690" i="1"/>
  <c r="O556" i="1"/>
  <c r="O671" i="1"/>
  <c r="O545" i="1"/>
  <c r="O706" i="1"/>
  <c r="O723" i="1"/>
  <c r="O209" i="1"/>
  <c r="O551" i="1"/>
  <c r="O686" i="1"/>
  <c r="O713" i="1"/>
  <c r="O109" i="1"/>
  <c r="O417" i="1"/>
  <c r="O466" i="1"/>
  <c r="O702" i="1"/>
  <c r="O682" i="1"/>
  <c r="O718" i="1"/>
  <c r="O688" i="1"/>
  <c r="O176" i="1"/>
  <c r="O407" i="1"/>
  <c r="O555" i="1"/>
  <c r="O494" i="1"/>
  <c r="O580" i="1"/>
  <c r="O696" i="1"/>
  <c r="O194" i="1"/>
  <c r="O569" i="1"/>
  <c r="O647" i="1"/>
  <c r="O608" i="1"/>
  <c r="O661" i="1"/>
  <c r="O322" i="1"/>
  <c r="O453" i="1"/>
  <c r="O92" i="1"/>
  <c r="O340" i="1"/>
  <c r="O476" i="1"/>
  <c r="O575" i="1"/>
  <c r="O712" i="1"/>
  <c r="O224" i="1"/>
  <c r="O598" i="1"/>
  <c r="O677" i="1"/>
  <c r="O574" i="1"/>
  <c r="O652" i="1"/>
  <c r="O736" i="1"/>
  <c r="O190" i="1"/>
  <c r="O157" i="1"/>
  <c r="O312" i="1"/>
  <c r="O387" i="1"/>
  <c r="O623" i="1"/>
  <c r="O376" i="1"/>
  <c r="O525" i="1"/>
  <c r="O599" i="1"/>
  <c r="O561" i="1"/>
  <c r="O266" i="1"/>
  <c r="O36" i="1"/>
  <c r="O342" i="1"/>
  <c r="O324" i="1"/>
  <c r="O400" i="1"/>
  <c r="O16" i="1"/>
  <c r="O279" i="1"/>
  <c r="O430" i="1"/>
  <c r="O522" i="1"/>
  <c r="O725" i="1"/>
  <c r="O386" i="1"/>
  <c r="O535" i="1"/>
  <c r="O622" i="1"/>
  <c r="O563" i="1"/>
  <c r="O667" i="1"/>
  <c r="O512" i="1"/>
  <c r="O586" i="1"/>
  <c r="O488" i="1"/>
  <c r="O562" i="1"/>
  <c r="O724" i="1"/>
  <c r="O505" i="1"/>
  <c r="O514" i="1"/>
  <c r="O203" i="1"/>
  <c r="O578" i="1"/>
  <c r="O382" i="1"/>
  <c r="O227" i="1"/>
  <c r="O49" i="1"/>
  <c r="O577" i="1"/>
  <c r="O123" i="1"/>
  <c r="O138" i="1"/>
  <c r="O135" i="1"/>
  <c r="O383" i="1"/>
  <c r="O527" i="1"/>
  <c r="O532" i="1"/>
  <c r="O130" i="1"/>
  <c r="O429" i="1"/>
  <c r="O218" i="1"/>
  <c r="O457" i="1"/>
  <c r="O680" i="1"/>
  <c r="O278" i="1"/>
  <c r="O650" i="1"/>
  <c r="O703" i="1"/>
  <c r="O444" i="1"/>
  <c r="O232" i="1"/>
  <c r="O42" i="1"/>
  <c r="O570" i="1"/>
  <c r="O655" i="1"/>
  <c r="O355" i="1"/>
  <c r="O293" i="1"/>
  <c r="O618" i="1"/>
  <c r="O306" i="1"/>
  <c r="O77" i="1"/>
  <c r="O115" i="1"/>
  <c r="O497" i="1"/>
  <c r="O210" i="1"/>
  <c r="O56" i="1"/>
  <c r="O354" i="1"/>
  <c r="O204" i="1"/>
  <c r="O63" i="1"/>
  <c r="O518" i="1"/>
  <c r="O48" i="1"/>
  <c r="O307" i="1"/>
  <c r="O271" i="1"/>
  <c r="O55" i="1"/>
  <c r="O360" i="1"/>
  <c r="O211" i="1"/>
  <c r="O504" i="1"/>
  <c r="O50" i="1"/>
  <c r="O276" i="1"/>
  <c r="O76" i="1"/>
  <c r="O153" i="1"/>
  <c r="O607" i="1"/>
  <c r="O195" i="1"/>
  <c r="O648" i="1"/>
  <c r="O710" i="1"/>
  <c r="O129" i="1"/>
  <c r="O284" i="1"/>
  <c r="O378" i="1"/>
  <c r="O511" i="1"/>
  <c r="O465" i="1"/>
  <c r="O413" i="1"/>
  <c r="O82" i="1"/>
  <c r="O361" i="1"/>
  <c r="O463" i="1"/>
  <c r="O136" i="1"/>
  <c r="O291" i="1"/>
  <c r="O516" i="1"/>
  <c r="O668" i="1"/>
  <c r="O137" i="1"/>
  <c r="O367" i="1"/>
  <c r="O517" i="1"/>
  <c r="O705" i="1"/>
  <c r="O75" i="1"/>
  <c r="O151" i="1"/>
  <c r="O230" i="1"/>
  <c r="O456" i="1"/>
  <c r="O88" i="1"/>
  <c r="O164" i="1"/>
  <c r="O244" i="1"/>
  <c r="O319" i="1"/>
  <c r="O395" i="1"/>
  <c r="O469" i="1"/>
  <c r="O691" i="1"/>
  <c r="O89" i="1"/>
  <c r="O165" i="1"/>
  <c r="O245" i="1"/>
  <c r="O320" i="1"/>
  <c r="O396" i="1"/>
  <c r="O470" i="1"/>
  <c r="O619" i="1"/>
  <c r="O54" i="1"/>
  <c r="O128" i="1"/>
  <c r="O283" i="1"/>
  <c r="O359" i="1"/>
  <c r="O434" i="1"/>
  <c r="O509" i="1"/>
  <c r="O583" i="1"/>
  <c r="O660" i="1"/>
  <c r="O411" i="1"/>
  <c r="O201" i="1"/>
  <c r="O67" i="1"/>
  <c r="O142" i="1"/>
  <c r="O222" i="1"/>
  <c r="O297" i="1"/>
  <c r="O372" i="1"/>
  <c r="O460" i="1"/>
  <c r="O534" i="1"/>
  <c r="O34" i="1"/>
  <c r="O252" i="1"/>
  <c r="O403" i="1"/>
  <c r="O552" i="1"/>
  <c r="O68" i="1"/>
  <c r="O143" i="1"/>
  <c r="O223" i="1"/>
  <c r="O298" i="1"/>
  <c r="O373" i="1"/>
  <c r="O449" i="1"/>
  <c r="O523" i="1"/>
  <c r="O71" i="1"/>
  <c r="O159" i="1"/>
  <c r="O427" i="1"/>
  <c r="O666" i="1"/>
  <c r="O189" i="1"/>
  <c r="O341" i="1"/>
  <c r="O45" i="1"/>
  <c r="O118" i="1"/>
  <c r="O199" i="1"/>
  <c r="O274" i="1"/>
  <c r="O425" i="1"/>
  <c r="O500" i="1"/>
  <c r="O20" i="1"/>
  <c r="O94" i="1"/>
  <c r="O171" i="1"/>
  <c r="O250" i="1"/>
  <c r="O325" i="1"/>
  <c r="O401" i="1"/>
  <c r="O475" i="1"/>
  <c r="O626" i="1"/>
  <c r="O133" i="1"/>
  <c r="O315" i="1"/>
  <c r="O185" i="1"/>
  <c r="O637" i="1"/>
  <c r="O388" i="1"/>
  <c r="O61" i="1"/>
  <c r="O216" i="1"/>
  <c r="O366" i="1"/>
  <c r="O442" i="1"/>
  <c r="O590" i="1"/>
  <c r="O632" i="1"/>
  <c r="O62" i="1"/>
  <c r="O217" i="1"/>
  <c r="O292" i="1"/>
  <c r="O443" i="1"/>
  <c r="O591" i="1"/>
  <c r="O35" i="1"/>
  <c r="O305" i="1"/>
  <c r="O303" i="1"/>
  <c r="O681" i="1"/>
  <c r="O658" i="1"/>
  <c r="O74" i="1"/>
  <c r="O243" i="1"/>
  <c r="O393" i="1"/>
  <c r="O617" i="1"/>
  <c r="O568" i="1"/>
  <c r="O730" i="1"/>
  <c r="O332" i="1"/>
  <c r="O557" i="1"/>
  <c r="O633" i="1"/>
  <c r="O547" i="1"/>
  <c r="O585" i="1"/>
  <c r="O31" i="1"/>
  <c r="O487" i="1"/>
  <c r="O235" i="1"/>
  <c r="O310" i="1"/>
  <c r="O461" i="1"/>
  <c r="O83" i="1"/>
  <c r="O187" i="1"/>
  <c r="O326" i="1"/>
  <c r="O452" i="1"/>
  <c r="O679" i="1"/>
  <c r="O215" i="1"/>
  <c r="O365" i="1"/>
  <c r="O515" i="1"/>
  <c r="O57" i="1"/>
  <c r="O131" i="1"/>
  <c r="O212" i="1"/>
  <c r="O287" i="1"/>
  <c r="O362" i="1"/>
  <c r="O437" i="1"/>
  <c r="O663" i="1"/>
  <c r="O32" i="1"/>
  <c r="O106" i="1"/>
  <c r="O186" i="1"/>
  <c r="O263" i="1"/>
  <c r="O339" i="1"/>
  <c r="O414" i="1"/>
  <c r="O639" i="1"/>
  <c r="O526" i="1"/>
  <c r="O262" i="1"/>
  <c r="O537" i="1"/>
  <c r="O415" i="1"/>
  <c r="O612" i="1"/>
  <c r="O85" i="1"/>
  <c r="O240" i="1"/>
  <c r="O391" i="1"/>
  <c r="O541" i="1"/>
  <c r="O615" i="1"/>
  <c r="O86" i="1"/>
  <c r="O162" i="1"/>
  <c r="O241" i="1"/>
  <c r="O317" i="1"/>
  <c r="O392" i="1"/>
  <c r="O467" i="1"/>
  <c r="O542" i="1"/>
  <c r="O630" i="1"/>
  <c r="O675" i="1"/>
  <c r="O25" i="1"/>
  <c r="O99" i="1"/>
  <c r="O256" i="1"/>
  <c r="O330" i="1"/>
  <c r="O481" i="1"/>
  <c r="O631" i="1"/>
  <c r="O717" i="1"/>
  <c r="O733" i="1"/>
  <c r="O39" i="1"/>
  <c r="O112" i="1"/>
  <c r="O193" i="1"/>
  <c r="O269" i="1"/>
  <c r="O345" i="1"/>
  <c r="O420" i="1"/>
  <c r="O41" i="1"/>
  <c r="O113" i="1"/>
  <c r="O270" i="1"/>
  <c r="O346" i="1"/>
  <c r="O421" i="1"/>
  <c r="O496" i="1"/>
  <c r="O731" i="1"/>
  <c r="O72" i="1"/>
  <c r="O78" i="1"/>
  <c r="O154" i="1"/>
  <c r="O233" i="1"/>
  <c r="O308" i="1"/>
  <c r="O384" i="1"/>
  <c r="O459" i="1"/>
  <c r="O533" i="1"/>
  <c r="O695" i="1"/>
  <c r="O17" i="1"/>
  <c r="O91" i="1"/>
  <c r="O167" i="1"/>
  <c r="O247" i="1"/>
  <c r="O398" i="1"/>
  <c r="O485" i="1"/>
  <c r="O559" i="1"/>
  <c r="O289" i="1"/>
  <c r="O613" i="1"/>
  <c r="O121" i="1"/>
  <c r="O302" i="1"/>
  <c r="O601" i="1"/>
  <c r="O18" i="1"/>
  <c r="O168" i="1"/>
  <c r="O248" i="1"/>
  <c r="O323" i="1"/>
  <c r="O399" i="1"/>
  <c r="O473" i="1"/>
  <c r="O548" i="1"/>
  <c r="O709" i="1"/>
  <c r="O95" i="1"/>
  <c r="O214" i="1"/>
  <c r="O239" i="1"/>
  <c r="O390" i="1"/>
  <c r="O539" i="1"/>
  <c r="O701" i="1"/>
  <c r="O69" i="1"/>
  <c r="O144" i="1"/>
  <c r="O299" i="1"/>
  <c r="O374" i="1"/>
  <c r="O450" i="1"/>
  <c r="O524" i="1"/>
  <c r="O46" i="1"/>
  <c r="O119" i="1"/>
  <c r="O200" i="1"/>
  <c r="O275" i="1"/>
  <c r="O351" i="1"/>
  <c r="O426" i="1"/>
  <c r="O501" i="1"/>
  <c r="O436" i="1"/>
  <c r="O614" i="1"/>
  <c r="O687" i="1"/>
  <c r="O161" i="1"/>
  <c r="O316" i="1"/>
  <c r="O254" i="1"/>
  <c r="O404" i="1"/>
  <c r="O629" i="1"/>
  <c r="O714" i="1"/>
  <c r="O255" i="1"/>
  <c r="O644" i="1"/>
  <c r="O419" i="1"/>
  <c r="O729" i="1"/>
  <c r="O593" i="1"/>
  <c r="O610" i="1"/>
  <c r="O358" i="1"/>
  <c r="O508" i="1"/>
  <c r="O659" i="1"/>
  <c r="O685" i="1"/>
  <c r="O676" i="1"/>
  <c r="O653" i="1"/>
  <c r="O628" i="1"/>
  <c r="O104" i="1"/>
  <c r="O261" i="1"/>
  <c r="O412" i="1"/>
  <c r="O107" i="1"/>
  <c r="O726" i="1"/>
  <c r="O236" i="1"/>
  <c r="O735" i="1"/>
  <c r="O301" i="1"/>
  <c r="O105" i="1"/>
  <c r="O158" i="1"/>
  <c r="O462" i="1"/>
  <c r="O536" i="1"/>
  <c r="O58" i="1"/>
  <c r="O132" i="1"/>
  <c r="O213" i="1"/>
  <c r="O288" i="1"/>
  <c r="O363" i="1"/>
  <c r="O438" i="1"/>
  <c r="O513" i="1"/>
  <c r="O439" i="1"/>
  <c r="O147" i="1"/>
  <c r="O313" i="1"/>
  <c r="O565" i="1"/>
  <c r="O727" i="1"/>
  <c r="O728" i="1"/>
  <c r="O721" i="1"/>
  <c r="O191" i="1"/>
  <c r="O267" i="1"/>
  <c r="O418" i="1"/>
  <c r="O722" i="1"/>
  <c r="O579" i="1"/>
  <c r="O520" i="1"/>
  <c r="O708" i="1"/>
  <c r="O484" i="1"/>
  <c r="O634" i="1"/>
  <c r="O720" i="1"/>
  <c r="O635" i="1"/>
  <c r="O700" i="1"/>
  <c r="O273" i="1"/>
  <c r="O502" i="1"/>
  <c r="O290" i="1"/>
  <c r="O249" i="1"/>
  <c r="O108" i="1"/>
  <c r="O474" i="1"/>
  <c r="O549" i="1"/>
  <c r="O146" i="1"/>
  <c r="O70" i="1"/>
  <c r="O145" i="1"/>
  <c r="O225" i="1"/>
  <c r="O300" i="1"/>
  <c r="O451" i="1"/>
  <c r="O678" i="1"/>
  <c r="O96" i="1"/>
  <c r="P33" i="12"/>
  <c r="P170" i="8"/>
  <c r="P188" i="6"/>
  <c r="P197" i="4"/>
  <c r="P170" i="12"/>
  <c r="P170" i="10"/>
  <c r="P170" i="6"/>
  <c r="P114" i="4"/>
  <c r="P170" i="4"/>
  <c r="P170" i="7"/>
  <c r="P170" i="9"/>
  <c r="P170" i="3"/>
  <c r="P114" i="12"/>
  <c r="P124" i="4"/>
  <c r="P188" i="12"/>
  <c r="P114" i="8"/>
  <c r="P197" i="8"/>
  <c r="P33" i="8"/>
  <c r="P33" i="6"/>
  <c r="P179" i="3"/>
  <c r="P692" i="10"/>
  <c r="P188" i="10"/>
  <c r="P33" i="10"/>
  <c r="P124" i="8"/>
  <c r="P311" i="6"/>
  <c r="P134" i="6"/>
  <c r="P242" i="6"/>
  <c r="P150" i="6"/>
  <c r="P179" i="7"/>
  <c r="P124" i="7"/>
  <c r="P197" i="7"/>
  <c r="P179" i="9"/>
  <c r="P114" i="3"/>
  <c r="P188" i="3"/>
  <c r="P134" i="4"/>
  <c r="P715" i="4"/>
  <c r="P684" i="4"/>
  <c r="P605" i="4"/>
  <c r="P33" i="4"/>
  <c r="P311" i="4"/>
  <c r="P179" i="4"/>
  <c r="P188" i="4"/>
  <c r="P715" i="9"/>
  <c r="P197" i="9"/>
  <c r="P253" i="9"/>
  <c r="P311" i="9"/>
  <c r="P114" i="6"/>
  <c r="P179" i="6"/>
  <c r="P684" i="3"/>
  <c r="P179" i="8"/>
  <c r="P114" i="10"/>
  <c r="P684" i="10"/>
  <c r="P179" i="10"/>
  <c r="P311" i="12"/>
  <c r="P33" i="7"/>
  <c r="P188" i="7"/>
  <c r="P150" i="7"/>
  <c r="P684" i="7"/>
  <c r="P207" i="12"/>
  <c r="P715" i="12"/>
  <c r="P134" i="12"/>
  <c r="P124" i="10"/>
  <c r="P715" i="8"/>
  <c r="P242" i="8"/>
  <c r="P253" i="6"/>
  <c r="P692" i="4"/>
  <c r="P15" i="4"/>
  <c r="P253" i="4"/>
  <c r="P197" i="3"/>
  <c r="P15" i="12"/>
  <c r="P692" i="6"/>
  <c r="P15" i="6"/>
  <c r="P624" i="6"/>
  <c r="P197" i="6"/>
  <c r="P40" i="6"/>
  <c r="P207" i="4"/>
  <c r="P253" i="7"/>
  <c r="P692" i="7"/>
  <c r="P15" i="7"/>
  <c r="P179" i="12"/>
  <c r="P684" i="12"/>
  <c r="P242" i="12"/>
  <c r="P253" i="12"/>
  <c r="P197" i="12"/>
  <c r="P197" i="10"/>
  <c r="P150" i="10"/>
  <c r="P134" i="10"/>
  <c r="P684" i="8"/>
  <c r="P692" i="8"/>
  <c r="P150" i="8"/>
  <c r="P15" i="8"/>
  <c r="P40" i="8"/>
  <c r="P188" i="8"/>
  <c r="P684" i="6"/>
  <c r="P40" i="7"/>
  <c r="P242" i="7"/>
  <c r="P286" i="7"/>
  <c r="P207" i="7"/>
  <c r="P581" i="7"/>
  <c r="P114" i="7"/>
  <c r="P134" i="9"/>
  <c r="P286" i="9"/>
  <c r="P692" i="9"/>
  <c r="P188" i="9"/>
  <c r="P605" i="9"/>
  <c r="P33" i="9"/>
  <c r="P114" i="9"/>
  <c r="P207" i="9"/>
  <c r="P242" i="3"/>
  <c r="P692" i="3"/>
  <c r="P150" i="3"/>
  <c r="P715" i="3"/>
  <c r="P33" i="3"/>
  <c r="P624" i="12"/>
  <c r="P715" i="10"/>
  <c r="P581" i="6"/>
  <c r="P150" i="4"/>
  <c r="P286" i="4"/>
  <c r="P624" i="4"/>
  <c r="P624" i="7"/>
  <c r="P605" i="7"/>
  <c r="P311" i="7"/>
  <c r="P124" i="9"/>
  <c r="P124" i="3"/>
  <c r="P286" i="12"/>
  <c r="P150" i="12"/>
  <c r="P311" i="10"/>
  <c r="P253" i="8"/>
  <c r="P134" i="8"/>
  <c r="P40" i="4"/>
  <c r="P242" i="4"/>
  <c r="P333" i="7"/>
  <c r="P150" i="9"/>
  <c r="P134" i="3"/>
  <c r="P605" i="3"/>
  <c r="P495" i="12"/>
  <c r="P124" i="12"/>
  <c r="P692" i="12"/>
  <c r="P605" i="12"/>
  <c r="P581" i="12"/>
  <c r="P333" i="12"/>
  <c r="O741" i="12"/>
  <c r="P40" i="12"/>
  <c r="P605" i="10"/>
  <c r="P286" i="10"/>
  <c r="P581" i="10"/>
  <c r="P15" i="10"/>
  <c r="P333" i="10"/>
  <c r="P624" i="10"/>
  <c r="P40" i="10"/>
  <c r="P253" i="10"/>
  <c r="P495" i="10"/>
  <c r="P207" i="10"/>
  <c r="O741" i="10"/>
  <c r="P242" i="10"/>
  <c r="P311" i="8"/>
  <c r="P286" i="8"/>
  <c r="P581" i="8"/>
  <c r="P624" i="8"/>
  <c r="P207" i="8"/>
  <c r="P605" i="8"/>
  <c r="P333" i="8"/>
  <c r="P495" i="8"/>
  <c r="O741" i="8"/>
  <c r="P207" i="6"/>
  <c r="P286" i="6"/>
  <c r="P715" i="6"/>
  <c r="O741" i="6"/>
  <c r="P495" i="6"/>
  <c r="P605" i="6"/>
  <c r="P333" i="6"/>
  <c r="P581" i="4"/>
  <c r="P495" i="4"/>
  <c r="O741" i="4"/>
  <c r="P333" i="4"/>
  <c r="P715" i="7"/>
  <c r="P495" i="7"/>
  <c r="O741" i="7"/>
  <c r="P134" i="7"/>
  <c r="P242" i="9"/>
  <c r="P495" i="9"/>
  <c r="P40" i="9"/>
  <c r="P333" i="9"/>
  <c r="P684" i="9"/>
  <c r="P581" i="9"/>
  <c r="O741" i="9"/>
  <c r="P15" i="9"/>
  <c r="P624" i="9"/>
  <c r="P207" i="3"/>
  <c r="P40" i="3"/>
  <c r="P286" i="3"/>
  <c r="P495" i="3"/>
  <c r="P581" i="3"/>
  <c r="P253" i="3"/>
  <c r="P311" i="3"/>
  <c r="O741" i="3"/>
  <c r="P333" i="3"/>
  <c r="P624" i="3"/>
  <c r="P15" i="3"/>
  <c r="N738" i="1"/>
  <c r="N741" i="1" s="1"/>
  <c r="M738" i="1"/>
  <c r="O6" i="12" l="1"/>
  <c r="K16" i="15"/>
  <c r="O6" i="7"/>
  <c r="K15" i="15"/>
  <c r="O6" i="6"/>
  <c r="K14" i="15"/>
  <c r="O6" i="4"/>
  <c r="K15" i="14"/>
  <c r="O6" i="8"/>
  <c r="K14" i="14"/>
  <c r="O6" i="10"/>
  <c r="K17" i="13"/>
  <c r="O6" i="9"/>
  <c r="K16" i="13"/>
  <c r="O6" i="3"/>
  <c r="K15" i="13"/>
  <c r="P170" i="1"/>
  <c r="P33" i="1"/>
  <c r="P124" i="1"/>
  <c r="P114" i="1"/>
  <c r="P741" i="4"/>
  <c r="P253" i="1"/>
  <c r="P715" i="1"/>
  <c r="P684" i="1"/>
  <c r="P179" i="1"/>
  <c r="P286" i="1"/>
  <c r="P581" i="1"/>
  <c r="P311" i="1"/>
  <c r="P150" i="1"/>
  <c r="P741" i="12"/>
  <c r="P40" i="1"/>
  <c r="P207" i="1"/>
  <c r="P605" i="1"/>
  <c r="P741" i="7"/>
  <c r="P242" i="1"/>
  <c r="P197" i="1"/>
  <c r="P624" i="1"/>
  <c r="P692" i="1"/>
  <c r="P188" i="1"/>
  <c r="P333" i="1"/>
  <c r="P495" i="1"/>
  <c r="P134" i="1"/>
  <c r="P741" i="10"/>
  <c r="P741" i="8"/>
  <c r="P741" i="6"/>
  <c r="P741" i="9"/>
  <c r="P741" i="3"/>
  <c r="O738" i="1"/>
  <c r="K17" i="14" l="1"/>
  <c r="K18" i="15"/>
  <c r="J17" i="14"/>
  <c r="J18" i="15"/>
  <c r="P15" i="1"/>
  <c r="O741" i="1"/>
  <c r="K14" i="13" s="1"/>
  <c r="K19" i="13" l="1"/>
  <c r="O6" i="1"/>
  <c r="P741" i="1"/>
  <c r="J19" i="13" l="1"/>
</calcChain>
</file>

<file path=xl/sharedStrings.xml><?xml version="1.0" encoding="utf-8"?>
<sst xmlns="http://schemas.openxmlformats.org/spreadsheetml/2006/main" count="30841" uniqueCount="1854">
  <si>
    <t>GESES – Gerência Executiva de Operações de Serviços, Patrimônio e Suprimentos</t>
  </si>
  <si>
    <t>COMAP – Coordenadoria de Manutenção Patrimonial e Predial</t>
  </si>
  <si>
    <t>Orçamento Sintético Global</t>
  </si>
  <si>
    <t>OBRA :</t>
  </si>
  <si>
    <t>valor global</t>
  </si>
  <si>
    <t>ORÇAMENTO :</t>
  </si>
  <si>
    <t xml:space="preserve">LOCAL : </t>
  </si>
  <si>
    <t>PREÇO(R$) UNIT</t>
  </si>
  <si>
    <t>PREÇO TOTAL (R$)</t>
  </si>
  <si>
    <t>ITEM</t>
  </si>
  <si>
    <t>BASE</t>
  </si>
  <si>
    <t>CÓDIGO</t>
  </si>
  <si>
    <t>DESCRIÇÃO</t>
  </si>
  <si>
    <t>UNID</t>
  </si>
  <si>
    <t>QUANT.</t>
  </si>
  <si>
    <t>MAT. (R$)</t>
  </si>
  <si>
    <t>M.O.  (R$)</t>
  </si>
  <si>
    <t>M.O. (R$)</t>
  </si>
  <si>
    <t>TOTAL POR ITEM (R$)</t>
  </si>
  <si>
    <t>1.0</t>
  </si>
  <si>
    <t>SERVIÇOS GERAIS</t>
  </si>
  <si>
    <t>-</t>
  </si>
  <si>
    <t/>
  </si>
  <si>
    <t>2.0</t>
  </si>
  <si>
    <t>SERVIÇOS PRELIMINARES</t>
  </si>
  <si>
    <t>3.0</t>
  </si>
  <si>
    <t>DEMOLIÇÕES E REMOÇÕES</t>
  </si>
  <si>
    <t>4.0</t>
  </si>
  <si>
    <t>5.0</t>
  </si>
  <si>
    <t>MOVIMENTAÇÃO DE TERRA</t>
  </si>
  <si>
    <t>6.0</t>
  </si>
  <si>
    <t>FUNDAÇÕES</t>
  </si>
  <si>
    <t>7.0</t>
  </si>
  <si>
    <t>ESTRUTURA</t>
  </si>
  <si>
    <t>8.0</t>
  </si>
  <si>
    <t>9.0</t>
  </si>
  <si>
    <t>REVESTIMENTO</t>
  </si>
  <si>
    <t>10.0</t>
  </si>
  <si>
    <t xml:space="preserve">FORRO  </t>
  </si>
  <si>
    <t>11.0</t>
  </si>
  <si>
    <t>PAVIMENTAÇÃO</t>
  </si>
  <si>
    <t>12.0</t>
  </si>
  <si>
    <t>RODAPÉS, SOLEIRAS E PEITORIS</t>
  </si>
  <si>
    <t>13.0</t>
  </si>
  <si>
    <t>ESQUADRIAS E SERRALHERIA</t>
  </si>
  <si>
    <t>14.0</t>
  </si>
  <si>
    <t>FERRAGENS</t>
  </si>
  <si>
    <t>15.0</t>
  </si>
  <si>
    <t>16.0</t>
  </si>
  <si>
    <t>17.0</t>
  </si>
  <si>
    <t>18.0</t>
  </si>
  <si>
    <t>ACESSIBILIDADE</t>
  </si>
  <si>
    <t>19.0</t>
  </si>
  <si>
    <t>PINTURA</t>
  </si>
  <si>
    <t>20.0</t>
  </si>
  <si>
    <t>SISTEMA ELÉTRICO E AFINS</t>
  </si>
  <si>
    <t>21.0</t>
  </si>
  <si>
    <t>22.0</t>
  </si>
  <si>
    <t>23.0</t>
  </si>
  <si>
    <t>SISTEMA DE COMBATE A INCÊNDIO</t>
  </si>
  <si>
    <t>SISTEMA DE CLIMATIZAÇÃO</t>
  </si>
  <si>
    <t>SERVIÇOS DIVERSOS</t>
  </si>
  <si>
    <t>SERVIÇOS FINAIS</t>
  </si>
  <si>
    <t>TOTAL C/ BDI</t>
  </si>
  <si>
    <t>AGENCIAS DO BANCO DA AMAZÔNIA</t>
  </si>
  <si>
    <t>ESTADO DO ACRE</t>
  </si>
  <si>
    <t>ESTADO</t>
  </si>
  <si>
    <t xml:space="preserve">VALOR TOTAL </t>
  </si>
  <si>
    <t>AC</t>
  </si>
  <si>
    <t>AM</t>
  </si>
  <si>
    <t>AP</t>
  </si>
  <si>
    <t>MA</t>
  </si>
  <si>
    <t>MT</t>
  </si>
  <si>
    <t>PA</t>
  </si>
  <si>
    <t>RO</t>
  </si>
  <si>
    <t>RR</t>
  </si>
  <si>
    <t>TO</t>
  </si>
  <si>
    <t>TOTAL</t>
  </si>
  <si>
    <t>Desconto Ofertado pela Empresa:</t>
  </si>
  <si>
    <t>ESTADO DO AMAZONAS</t>
  </si>
  <si>
    <t>ESTADO DO MARANHÃO</t>
  </si>
  <si>
    <t>ESTADO DO PARÁ</t>
  </si>
  <si>
    <t>ESTADO DO RORAIMA</t>
  </si>
  <si>
    <t>ESTADO DO TOCANTINS</t>
  </si>
  <si>
    <t>VALOR TOTAL C/ DESCONTO OFERTADO</t>
  </si>
  <si>
    <t>PAREDES E PAINEIS</t>
  </si>
  <si>
    <t>COBERTURA E IMPERMEABILIZAÇÕES</t>
  </si>
  <si>
    <t>SISTEMA HIDROSSANITÁRIAS</t>
  </si>
  <si>
    <t>ADEQUAÇÃO DA APLICAÇÃO DA MARCA DO BANCO</t>
  </si>
  <si>
    <t>DATA</t>
  </si>
  <si>
    <t>BDI</t>
  </si>
  <si>
    <t>PREÇO TOTAL C/ BDI (R$)</t>
  </si>
  <si>
    <t>GESES - Gerência Executiva de Operações de Serviços, Patrimônio e Suprimentos</t>
  </si>
  <si>
    <t>COMAP - Coordenadoria de Manutenção Patrimonial e Predial</t>
  </si>
  <si>
    <t>SERVIÇOS / OBRA:</t>
  </si>
  <si>
    <t>EQUIPAMENTOS :</t>
  </si>
  <si>
    <t>1.1</t>
  </si>
  <si>
    <t>BASA</t>
  </si>
  <si>
    <t xml:space="preserve">C04-BB-SEDOP-011170 </t>
  </si>
  <si>
    <t xml:space="preserve">DESPESAS LEGAIS ACIMA DE R$ 15.000,00 (CREA E PREFEITURA) </t>
  </si>
  <si>
    <t>VB</t>
  </si>
  <si>
    <t>1.2</t>
  </si>
  <si>
    <t>C317-BB</t>
  </si>
  <si>
    <t xml:space="preserve">DESPESAS LEGAIS ATÉ DE R$ 15.000,00 (CREA E PREFEITURA) </t>
  </si>
  <si>
    <t>UND</t>
  </si>
  <si>
    <t>1.3</t>
  </si>
  <si>
    <t>C315-BB</t>
  </si>
  <si>
    <t>ART / RRT- ANOTAÇÃO DE RESPONSABILIDADE TÉCNICA / REGISTRO DE RESPONSABILIDADE TÉCNICA PARA EXECUÇÃO DE OBRA OU SERVIÇO ACIMA DE R$ 15.000,00</t>
  </si>
  <si>
    <t>1.4</t>
  </si>
  <si>
    <t>C319-BASA-SINAPI</t>
  </si>
  <si>
    <t xml:space="preserve">ADMINISTRAÇÃO DIRETA (NO LOCAL) DE OBRA OU SERVIÇO DE ENGENHARIA - ENGENHEIRO OU ARQUITETO RESIDENTE, COM CARGA HORÁRIA SEMANAL MÍNIMA DE QUARENTA E QUATRO (44) HORAS </t>
  </si>
  <si>
    <t>MÊS</t>
  </si>
  <si>
    <t>1.5</t>
  </si>
  <si>
    <t>C320-BASA-SINAPI</t>
  </si>
  <si>
    <t>ADMINISTRAÇÃO DIRETA (NO LOCAL) DE OBRA OU SERVIÇO DE ENGENHARIA - MESTRE DE OBRA, COM CARGA HORÁRIA SEMANAL MÍNIMA DE QUARENTA E QUATRO (44) HORAS</t>
  </si>
  <si>
    <t>1.6</t>
  </si>
  <si>
    <t>C01-BASA</t>
  </si>
  <si>
    <t>ADMINISTRAÇÃO DIRETA (NO LOCAL) DE OBRA OU SERVIÇO DE ENGENHARIA DE PEQUENO PORTE - ENCARREGADO DE OBRA E PROFISSIONAL COM FORMAÇÃO EM ENGENHARIA OU ARQUITETURA</t>
  </si>
  <si>
    <t>1.7</t>
  </si>
  <si>
    <t>C78-BASA</t>
  </si>
  <si>
    <t>Projeto Arquitetônico de Aprovação</t>
  </si>
  <si>
    <t>M2</t>
  </si>
  <si>
    <t>1.8</t>
  </si>
  <si>
    <t>C79-BASA</t>
  </si>
  <si>
    <t>Projeto de Instalações Hidráulicas, Sanitárias e Pluviais</t>
  </si>
  <si>
    <t>1.9</t>
  </si>
  <si>
    <t>C82-BASA</t>
  </si>
  <si>
    <t>PROJETO DE INSTALAÇÕES ELÉTRICAS DE BAIXA TENSÃO</t>
  </si>
  <si>
    <t>1.10</t>
  </si>
  <si>
    <t>C83-BASA</t>
  </si>
  <si>
    <t>PROJETO DE INSTALAÇÕES DE SISTEMA DE CLIMATIZAÇÃO E RENOVAÇÃO DE AR</t>
  </si>
  <si>
    <t>1.11</t>
  </si>
  <si>
    <t>C84-BASA</t>
  </si>
  <si>
    <t>PROJETO DE INSTALAÇÕES DE COMBATE A INCÊNDIO E PÂNICO</t>
  </si>
  <si>
    <t>1.12</t>
  </si>
  <si>
    <t>SINAPI</t>
  </si>
  <si>
    <t>ARQUITETO DE OBRA PLENO COM ENCARGOS COMPLEMENTARES</t>
  </si>
  <si>
    <t>H</t>
  </si>
  <si>
    <t>1.13</t>
  </si>
  <si>
    <t>ENGENHEIRO CIVIL DE OBRA PLENO COM ENCARGOS COMPLEMENTARES</t>
  </si>
  <si>
    <t>1.14</t>
  </si>
  <si>
    <t>C318-BASA-SINAPI</t>
  </si>
  <si>
    <t>TÉCNICO DE SEGURANÇA DO TRABALHO, COM CARGA HORÁRIA SEMANAL MÍNIMA DE SEIS (06) HORAS</t>
  </si>
  <si>
    <t>1.15</t>
  </si>
  <si>
    <t>C02-BASA</t>
  </si>
  <si>
    <t>MOBILIZAÇÃO - (PEQUENA DISTÂNCIA)</t>
  </si>
  <si>
    <t>1.16</t>
  </si>
  <si>
    <t>C323-BASA</t>
  </si>
  <si>
    <t>MOBILIZAÇÃO - (MÉDIA DISTÂNCIA - ATÉ 30KM)</t>
  </si>
  <si>
    <t>1.17</t>
  </si>
  <si>
    <t>C324-BASA</t>
  </si>
  <si>
    <t>MOBILIZAÇÃO - (GRANDE DISTÂNCIA -ACIMA DE 30KM)</t>
  </si>
  <si>
    <t>2.1</t>
  </si>
  <si>
    <t>FORNECIMENTO E INSTALAÇÃO DE PLACA DE OBRA COM CHAPA GALVANIZADA E ESTRUTURA DE MADEIRA. AF_03/2022_PS</t>
  </si>
  <si>
    <t>2.2</t>
  </si>
  <si>
    <t>C91-SINAPI-10527</t>
  </si>
  <si>
    <t>LOCACAO DE ANDAIME METALICO TUBULAR DE ENCAIXE, TIPO DE TORRE, CADA PAINEL COM LARGURA DE 1 ATE 1,5 M E ALTURA DE *1,00* M, INCLUINDO DIAGONAL, BARRAS DE LIGACAO, SAPATAS OU RODIZIOS E DEMAIS ITENS NECESSARIOS A MONTAGEM (NAO INCLUI INSTALACAO)</t>
  </si>
  <si>
    <t xml:space="preserve">MXMES </t>
  </si>
  <si>
    <t>2.3</t>
  </si>
  <si>
    <t>MONTAGEM E DESMONTAGEM DE ANDAIME MODULAR FACHADEIRO, COM PISO METÁLICO, PARA EDIFÍCIOS COM MULTIPLOS PAVIMENTOS (EXCLUSIVE ANDAIME E LIMPEZA). AF_03/2024</t>
  </si>
  <si>
    <t>2.4</t>
  </si>
  <si>
    <t>M3</t>
  </si>
  <si>
    <t>2.5</t>
  </si>
  <si>
    <t>M3XKM</t>
  </si>
  <si>
    <t>2.6</t>
  </si>
  <si>
    <t>PINI</t>
  </si>
  <si>
    <t>02.101.000030.SER</t>
  </si>
  <si>
    <t>Abrigo provisório de madeira para alojamento e/ou depósito de materiais e ferramentas</t>
  </si>
  <si>
    <t>m²</t>
  </si>
  <si>
    <t>3.1</t>
  </si>
  <si>
    <t>DEMOLIÇÃO DE ALVENARIA DE BLOCO FURADO, DE FORMA MANUAL, SEM REAPROVEITAMENTO. AF_09/2023</t>
  </si>
  <si>
    <t>3.2</t>
  </si>
  <si>
    <t>DEMOLIÇÃO DE ALVENARIA DE TIJOLO MACIÇO, DE FORMA MANUAL, SEM REAPROVEITAMENTO. AF_09/2023</t>
  </si>
  <si>
    <t>3.3</t>
  </si>
  <si>
    <t>DEMOLIÇÃO DE ALVENARIA PARA QUALQUER TIPO DE BLOCO, DE FORMA MECANIZADA, SEM REAPROVEITAMENTO. AF_09/2023</t>
  </si>
  <si>
    <t>3.4</t>
  </si>
  <si>
    <t>DEMOLIÇÃO DE PILARES E VIGAS EM CONCRETO ARMADO, DE FORMA MANUAL, SEM REAPROVEITAMENTO. AF_09/2023</t>
  </si>
  <si>
    <t>3.5</t>
  </si>
  <si>
    <t>DEMOLIÇÃO DE LAJES, EM CONCRETO ARMADO, DE FORMA MANUAL, SEM REAPROVEITAMENTO. AF_09/2023</t>
  </si>
  <si>
    <t>3.6</t>
  </si>
  <si>
    <t>02.102.000007.SER</t>
  </si>
  <si>
    <t>Demolição de concreto com ferramentas manuais</t>
  </si>
  <si>
    <t>m³</t>
  </si>
  <si>
    <t>3.7</t>
  </si>
  <si>
    <t>DEMOLIÇÃO DE ARGAMASSAS, DE FORMA MANUAL, SEM REAPROVEITAMENTO. AF_09/2023</t>
  </si>
  <si>
    <t>3.8</t>
  </si>
  <si>
    <t>DEMOLIÇÃO DE RODAPÉ CERÂMICO, DE FORMA MANUAL, SEM REAPROVEITAMENTO. AF_09/2023</t>
  </si>
  <si>
    <t>M</t>
  </si>
  <si>
    <t>3.9</t>
  </si>
  <si>
    <t>DEMOLIÇÃO DE REVESTIMENTO CERÂMICO, DE FORMA MANUAL, SEM REAPROVEITAMENTO. AF_09/2023</t>
  </si>
  <si>
    <t>3.10</t>
  </si>
  <si>
    <t>02.102.000046.SER</t>
  </si>
  <si>
    <t>Demolição de revestimento de azulejo ou lambris</t>
  </si>
  <si>
    <t>3.11</t>
  </si>
  <si>
    <t>DEMOLIÇÃO DE PILARES E VIGAS EM CONCRETO ARMADO, DE FORMA MECANIZADA COM MARTELETE, SEM REAPROVEITAMENTO. AF_09/2023</t>
  </si>
  <si>
    <t>3.12</t>
  </si>
  <si>
    <t>02.102.000024.SER</t>
  </si>
  <si>
    <t>Demolição de piso cimentado sobre lastro de concreto</t>
  </si>
  <si>
    <t>3.13</t>
  </si>
  <si>
    <t>02.102.000017.SER</t>
  </si>
  <si>
    <t>Demolição de pavimentação com pré-moldado de concreto espessura até 10 cm</t>
  </si>
  <si>
    <t>3.14</t>
  </si>
  <si>
    <t>02.102.000019.SER</t>
  </si>
  <si>
    <t>Demolição de piso de tacos de madeira</t>
  </si>
  <si>
    <t>3.15</t>
  </si>
  <si>
    <t>02.102.000021.SER</t>
  </si>
  <si>
    <t>Demolição de piso cerâmico inclusive retirada da camada de regularização sobre lastro de concreto com espessura até 3 cm</t>
  </si>
  <si>
    <t>3.16</t>
  </si>
  <si>
    <t>3.17</t>
  </si>
  <si>
    <t>REMOÇÃO DE METAIS SANITÁRIOS, DE FORMA MANUAL, SEM REAPROVEITAMENTO. AF_09/2023</t>
  </si>
  <si>
    <t>UN</t>
  </si>
  <si>
    <t>3.18</t>
  </si>
  <si>
    <t>REMOÇÃO DE PISO DE BLOCO INTERTRAVADO OU DE PEDRA PORTUGUESA, DE FORMA MANUAL, COM REAPROVEITAMENTO. AF_09/2023</t>
  </si>
  <si>
    <t>3.19</t>
  </si>
  <si>
    <t>REMOÇÃO DE PISO DE MADEIRA (ASSOALHO E BARROTE), DE FORMA MANUAL, SEM REAPROVEITAMENTO. AF_09/2023</t>
  </si>
  <si>
    <t>3.20</t>
  </si>
  <si>
    <t>02.102.000043.SER</t>
  </si>
  <si>
    <t>Remoção de revestimento de piso de carpete têxtil</t>
  </si>
  <si>
    <t>3.21</t>
  </si>
  <si>
    <t>02.102.000044.SER</t>
  </si>
  <si>
    <t>Remoção de revestimento de piso vinílico</t>
  </si>
  <si>
    <t>3.22</t>
  </si>
  <si>
    <t>REMOÇÃO DE FORRO DE GESSO, DE FORMA MANUAL, SEM REAPROVEITAMENTO. AF_09/2023</t>
  </si>
  <si>
    <t>3.23</t>
  </si>
  <si>
    <t>REMOÇÃO DE FORROS DE DRYWALL, PVC E FIBROMINERAL, DE FORMA MANUAL, SEM REAPROVEITAMENTO. AF_09/2023</t>
  </si>
  <si>
    <t>3.24</t>
  </si>
  <si>
    <t>REMOÇÃO DE LOUÇAS, DE FORMA MANUAL, SEM REAPROVEITAMENTO. AF_09/2023</t>
  </si>
  <si>
    <t>3.25</t>
  </si>
  <si>
    <t>REMOÇÃO DE CHAPAS E PERFIS DE DRYWALL, DE FORMA MANUAL, SEM REAPROVEITAMENTO. AF_09/2023</t>
  </si>
  <si>
    <t>3.26</t>
  </si>
  <si>
    <t>REMOÇÃO DE TRAMA METÁLICA OU DE MADEIRA PARA FORRO, DE FORMA MANUAL, SEM REAPROVEITAMENTO. AF_09/2023</t>
  </si>
  <si>
    <t>3.27</t>
  </si>
  <si>
    <t>REMOÇÃO DE TRAMA DE MADEIRA PARA COBERTURA, DE FORMA MANUAL, SEM REAPROVEITAMENTO. AF_09/2023</t>
  </si>
  <si>
    <t>3.28</t>
  </si>
  <si>
    <t>REMOÇÃO DE TAPUME/ CHAPAS METÁLICAS E DE MADEIRA, DE FORMA MANUAL, SEM REAPROVEITAMENTO. AF_09/2023</t>
  </si>
  <si>
    <t>3.29</t>
  </si>
  <si>
    <t>REMOÇÃO DE PORTAS, DE FORMA MANUAL, SEM REAPROVEITAMENTO. AF_09/2023</t>
  </si>
  <si>
    <t>3.30</t>
  </si>
  <si>
    <t>REMOÇÃO DE JANELAS, DE FORMA MANUAL, SEM REAPROVEITAMENTO. AF_09/2023</t>
  </si>
  <si>
    <t>3.31</t>
  </si>
  <si>
    <t>REMOÇÃO DE TELHAS DE FIBROCIMENTO METÁLICA E CERÂMICA, DE FORMA MANUAL, SEM REAPROVEITAMENTO. AF_09/2023</t>
  </si>
  <si>
    <t>3.32</t>
  </si>
  <si>
    <t>C206 -SEDOP-020023</t>
  </si>
  <si>
    <t>REMOÇÃO DE IMPERMEABILIZAÇÃO E PROTEÇÃO MECÂNICA DAS CALHAS E LAJES</t>
  </si>
  <si>
    <t>3.33</t>
  </si>
  <si>
    <t>REMOÇÃO DE TRAMA METÁLICA PARA COBERTURA, DE FORMA MANUAL, SEM REAPROVEITAMENTO. AF_09/2023</t>
  </si>
  <si>
    <t>3.34</t>
  </si>
  <si>
    <t>C339-BASA-SINAPI-102182</t>
  </si>
  <si>
    <t>REMOÇÃO DE PORTA DE VIDRO TEMPERADO, INCLUSIVE DESMONTAGEM DE FERRAGENS E ACESSÓRIOS</t>
  </si>
  <si>
    <t>3.35</t>
  </si>
  <si>
    <t>3.36</t>
  </si>
  <si>
    <t>REMOÇÃO DE TUBULAÇÕES (TUBOS E CONEXÕES) DE ÁGUA FRIA, DE FORMA MANUAL, SEM REAPROVEITAMENTO. AF_09/2023</t>
  </si>
  <si>
    <t>3.37</t>
  </si>
  <si>
    <t>REMOÇÃO DE ACESSÓRIOS, DE FORMA MANUAL, SEM REAPROVEITAMENTO. AF_09/2023</t>
  </si>
  <si>
    <t>3.38</t>
  </si>
  <si>
    <t>C263-BASA</t>
  </si>
  <si>
    <t>REMOÇÃO DE PERSIANAS OU CORTINA EXISTENTES</t>
  </si>
  <si>
    <t>3.39</t>
  </si>
  <si>
    <t>C254-ORSE-08387</t>
  </si>
  <si>
    <t>REMOÇÃO DE BANCADA EM GRANITO COM REAPROVEITAMENTO</t>
  </si>
  <si>
    <t>3.40</t>
  </si>
  <si>
    <t>C326-BASA-SEDOP-020864</t>
  </si>
  <si>
    <t>REMOÇÃO DE SOLEIRA E PEITORIL</t>
  </si>
  <si>
    <t>3.41</t>
  </si>
  <si>
    <t>C65-BASA</t>
  </si>
  <si>
    <t>REMOÇÃO DE CAIXA COLETORA EM ACRÍLICO FIXADA EM VIDRO</t>
  </si>
  <si>
    <t>3.42</t>
  </si>
  <si>
    <t>C96-BASA</t>
  </si>
  <si>
    <t>REMOÇÃO DE TOTEM METÁLICO INTERNO DO BANCO</t>
  </si>
  <si>
    <t>3.43</t>
  </si>
  <si>
    <t>C98-BASA</t>
  </si>
  <si>
    <t>REMOÇÃO DE PORTA CARTAZ DE PAREDE</t>
  </si>
  <si>
    <t>3.44</t>
  </si>
  <si>
    <t>C99-BASA</t>
  </si>
  <si>
    <t>REMOÇÃO DE PLACA DE PORTA</t>
  </si>
  <si>
    <t>3.45</t>
  </si>
  <si>
    <t>C100-BASA</t>
  </si>
  <si>
    <t>REMOÇÃO DE PLACA AÉREA EM PVC INDICATIVO DE GERÊNCIA</t>
  </si>
  <si>
    <t>3.46</t>
  </si>
  <si>
    <t>C244- BASA</t>
  </si>
  <si>
    <t>REMOÇÃO DE TOTEM METÁLICO EXTERNO DE APROX. 5,40 M DE ALTURA</t>
  </si>
  <si>
    <t>3.47</t>
  </si>
  <si>
    <t>C92-BASA</t>
  </si>
  <si>
    <t>REMOÇÃO DE PLACA DE IDENTIFICAÇÃO HORIZONTAL METÁLICA DA FACHADA DO BANCO</t>
  </si>
  <si>
    <t>3.48</t>
  </si>
  <si>
    <t>C94-BASA</t>
  </si>
  <si>
    <t>REMOÇÃO DE PLACA METÁLICA DE IDENTIFICAÇÃO VISUAL DOS CASH'S DO BANCO</t>
  </si>
  <si>
    <t>3.49</t>
  </si>
  <si>
    <t>C95-BASA</t>
  </si>
  <si>
    <t>REMOÇÃO DE BIOMBO DE PRIVACIDADE METÁLICO DOS CASH'S DO BANCO</t>
  </si>
  <si>
    <t>3.50</t>
  </si>
  <si>
    <t>3.51</t>
  </si>
  <si>
    <t>C248-BASA</t>
  </si>
  <si>
    <t>REMOÇÃO DE PLACA TIPO HORIZONTAL METÁLICA  OU PLACA DE IDENTIFICAÇÃO HORIZONTAL EXISTENTE</t>
  </si>
  <si>
    <t>3.52</t>
  </si>
  <si>
    <t>C270-BASA-PINI</t>
  </si>
  <si>
    <t>REMOÇÃO DE ESPELHO</t>
  </si>
  <si>
    <t>3.53</t>
  </si>
  <si>
    <t>C312-BASA</t>
  </si>
  <si>
    <t>DESMONTAGEM E REMOÇÃO DE BIOMBOS DE PRIVACIDADE DOS CAIXAS E GERENCIA EM VIDRO TEMPERADO, INCLUINDO PERFIL METÁLICO E SEUS ACESSÓRIOS.</t>
  </si>
  <si>
    <t>3.54</t>
  </si>
  <si>
    <t>C325-BASA</t>
  </si>
  <si>
    <t>REMOÇÃO DE BARRAS DE APOIO  OU PUXADOR DE PORTA DE BANHEIRO PCD</t>
  </si>
  <si>
    <t>3.55</t>
  </si>
  <si>
    <t>C327-BASA-ORSE-12504</t>
  </si>
  <si>
    <t>REMOÇÃO DE DIVISÓRIA DE GRANITO (OU MARMORE)</t>
  </si>
  <si>
    <t>3.56</t>
  </si>
  <si>
    <t xml:space="preserve">C329-BASA-SEDOP-020847 </t>
  </si>
  <si>
    <t>REMOÇÃO DE CAIXA DE AR CONDICIONADO</t>
  </si>
  <si>
    <t>3.57</t>
  </si>
  <si>
    <t>C93-BASA</t>
  </si>
  <si>
    <t>REMOÇÃO DE ADESIVOS NA VIDRAÇARIA</t>
  </si>
  <si>
    <t>3.58</t>
  </si>
  <si>
    <t>C331-BASA-ORSE-11101</t>
  </si>
  <si>
    <t>REMOÇÃO DE CAIXA DE INCÊNDIO, INCLUSIVE REGISTROS, MANGUEIRAS E ACESSÓRIOS</t>
  </si>
  <si>
    <t>3.59</t>
  </si>
  <si>
    <t>C332-BASA-ORSE-04859</t>
  </si>
  <si>
    <t>REMOÇÃO DE FECHADURA OU FECHO</t>
  </si>
  <si>
    <t>3.60</t>
  </si>
  <si>
    <t>C333-BASA-ORSE-04860</t>
  </si>
  <si>
    <t>REMOÇÃO DE FITA DE PISO (INCLUSIVE LIMPEZA)</t>
  </si>
  <si>
    <t>3.61</t>
  </si>
  <si>
    <t>C334-BASA-SEDOP-021527</t>
  </si>
  <si>
    <t>REMOÇÃO DE GRADE DE FERRO</t>
  </si>
  <si>
    <t>3.62</t>
  </si>
  <si>
    <t>C335-BASA-SEDOP-021528</t>
  </si>
  <si>
    <t>REMOÇÃO DE MOLA AÉREA HIDRÁULICA DE PORTA</t>
  </si>
  <si>
    <t>3.63</t>
  </si>
  <si>
    <t>C336-BASA-SINAPI-102188</t>
  </si>
  <si>
    <t>REMOÇÃO DE MOLA HIDRÁULICA DE PISO</t>
  </si>
  <si>
    <t>3.64</t>
  </si>
  <si>
    <t>C338-BASA</t>
  </si>
  <si>
    <t>REMOÇÃO DE PGDM, INCLUSIVE DESMONTAGEM E EMBALAGEM</t>
  </si>
  <si>
    <t>3.65</t>
  </si>
  <si>
    <t>C107-BASA</t>
  </si>
  <si>
    <t>REMOÇÃO DE PAINEL ELETRÔNICO DE SENHA OU TV PLANA</t>
  </si>
  <si>
    <t>3.66</t>
  </si>
  <si>
    <t>C194 - BASA</t>
  </si>
  <si>
    <t>Remoção de mobiliários e armários</t>
  </si>
  <si>
    <t>3.67</t>
  </si>
  <si>
    <t>3.68</t>
  </si>
  <si>
    <t>FURO MANUAL EM ALVENARIA, PARA INSTALAÇÕES HIDRÁULICAS, DIÂMETROS MENORES OU IGUAIS A 40 MM. AF_09/2023</t>
  </si>
  <si>
    <t>3.69</t>
  </si>
  <si>
    <t>FURO MANUAL EM ALVENARIA, PARA INSTALAÇÕES HIDRÁULICAS, DIÂMETROS MAIORES QUE 40 MM E MENORES OU IGUAIS A 75 MM. AF_09/2023</t>
  </si>
  <si>
    <t>3.70</t>
  </si>
  <si>
    <t>FURO MANUAL EM ALVENARIA, PARA INSTALAÇÕES HIDRÁULICAS, DIÂMETROS MAIORES QUE 75 MM E MENORES OU IGUAIS A 100 MM. AF_09/2023</t>
  </si>
  <si>
    <t>3.71</t>
  </si>
  <si>
    <t>FURO MECANIZADO EM CONCRETO, COM MARTELO DEMOLIDOR, PARA INSTALAÇÕES HIDRÁULICAS, DIÂMETROS MENORES OU IGUAIS A 40 MM. AF_09/2023</t>
  </si>
  <si>
    <t>3.72</t>
  </si>
  <si>
    <t>FURO MECANIZADO EM CONCRETO, COM MARTELO DEMOLIDOR, PARA INSTALAÇÕES HIDRÁULICAS, DIÂMETROS MAIORES QUE 40 MM E MENORES OU IGUAIS A 75 MM. AF_09/2023</t>
  </si>
  <si>
    <t>3.73</t>
  </si>
  <si>
    <t>FURO MECANIZADO EM CONCRETO, COM MARTELO DEMOLIDOR, PARA INSTALAÇÕES HIDRÁULICAS, DIÂMETROS MAIORES QUE 75 MM E MENORES OU IGUAIS A 150 MM. AF_09/2023</t>
  </si>
  <si>
    <t>4.1</t>
  </si>
  <si>
    <t>ATERRO MANUAL DE VALAS COM SOLO ARGILO-ARENOSO. AF_08/2023</t>
  </si>
  <si>
    <t>4.2</t>
  </si>
  <si>
    <t>ATERRO MANUAL DE VALAS COM AREIA PARA ATERRO. AF_08/2023</t>
  </si>
  <si>
    <t>4.3</t>
  </si>
  <si>
    <t>02.105.000050.SER</t>
  </si>
  <si>
    <t>Aterro mecanizado com reaproveitamento de solo escavado no local</t>
  </si>
  <si>
    <t>4.4</t>
  </si>
  <si>
    <t>02.105.000074.SER</t>
  </si>
  <si>
    <t>Carga manual de terra em caminhão basculante</t>
  </si>
  <si>
    <t>4.5</t>
  </si>
  <si>
    <t>ESCAVAÇÃO MANUAL DE VALA. AF_09/2024</t>
  </si>
  <si>
    <t>4.6</t>
  </si>
  <si>
    <t>02.105.000060.SER</t>
  </si>
  <si>
    <t>Escavação manual de vala em solo de 1ª categoria profundidade até 2 m</t>
  </si>
  <si>
    <t>4.7</t>
  </si>
  <si>
    <t>02.105.000072.SER</t>
  </si>
  <si>
    <t>Reaterro manual de vala</t>
  </si>
  <si>
    <t>4.8</t>
  </si>
  <si>
    <t>02.105.000073.SER</t>
  </si>
  <si>
    <t>Reaterro e compactação manual de vala por apiloamento com soquete</t>
  </si>
  <si>
    <t>4.9</t>
  </si>
  <si>
    <t>02.105.000070.SER</t>
  </si>
  <si>
    <t>Regularização de fundo de vala com soquete</t>
  </si>
  <si>
    <t>5.1</t>
  </si>
  <si>
    <t>CONCRETO MAGRO PARA LASTRO, TRAÇO 1:4,5:4,5 (EM MASSA SECA DE CIMENTO/ AREIA MÉDIA/ BRITA 1) - PREPARO MECÂNICO COM BETONEIRA 400 L. AF_05/2021</t>
  </si>
  <si>
    <t>5.2</t>
  </si>
  <si>
    <t>CONCRETO FCK = 15MPA, TRAÇO 1:3,4:3,5 (EM MASSA SECA DE CIMENTO/ AREIA MÉDIA/ BRITA 1) - PREPARO MECÂNICO COM BETONEIRA 400 L. AF_05/2021</t>
  </si>
  <si>
    <t>5.3</t>
  </si>
  <si>
    <t>CONCRETO FCK = 20MPA, TRAÇO 1:2,7:3 (EM MASSA SECA DE CIMENTO/ AREIA MÉDIA/ BRITA 1) - PREPARO MECÂNICO COM BETONEIRA 400 L. AF_05/2021</t>
  </si>
  <si>
    <t>5.4</t>
  </si>
  <si>
    <t>CONCRETO FCK = 25MPA, TRAÇO 1:2,3:2,7 (EM MASSA SECA DE CIMENTO/ AREIA MÉDIA/ BRITA 1) - PREPARO MECÂNICO COM BETONEIRA 400 L. AF_05/2021</t>
  </si>
  <si>
    <t>5.5</t>
  </si>
  <si>
    <t>CONCRETO CICLÓPICO FCK = 15MPA, 30% PEDRA DE MÃO EM VOLUME REAL, INCLUSIVE LANÇAMENTO. AF_05/2021</t>
  </si>
  <si>
    <t>5.6</t>
  </si>
  <si>
    <t>04.107.000030.SER</t>
  </si>
  <si>
    <t>Forma para fundação com tábuas e sarrafos</t>
  </si>
  <si>
    <t>5.7</t>
  </si>
  <si>
    <t>LANÇAMENTO COM USO DE BALDES, ADENSAMENTO E ACABAMENTO DE CONCRETO EM ESTRUTURAS. AF_02/2022</t>
  </si>
  <si>
    <t>5.8</t>
  </si>
  <si>
    <t>LASTRO DE CONCRETO MAGRO, APLICADO EM PISOS, LAJES SOBRE SOLO OU RADIERS, ESPESSURA DE 3 CM. AF_01/2024</t>
  </si>
  <si>
    <t>5.9</t>
  </si>
  <si>
    <t>C341-BASA-SEDOP-040025</t>
  </si>
  <si>
    <t>FUNDAÇÃO CORRIDA COM SEIXO</t>
  </si>
  <si>
    <t>6.1</t>
  </si>
  <si>
    <t>ARMAÇÃO DE BLOCO UTILIZANDO AÇO CA-60 DE 5 MM - MONTAGEM. AF_01/2024</t>
  </si>
  <si>
    <t>KG</t>
  </si>
  <si>
    <t>6.2</t>
  </si>
  <si>
    <t>05.101.000020.SER</t>
  </si>
  <si>
    <t>Armadura de aço CA-50 para estruturas de concreto armado, Ø até 12,5 mm, corte, dobra e montagem</t>
  </si>
  <si>
    <t>kg</t>
  </si>
  <si>
    <t>6.3</t>
  </si>
  <si>
    <t>05.101.000031.SER</t>
  </si>
  <si>
    <t>Armadura de aço CA-60 para estruturas de concreto armado, Ø de 5,00 até 7,00 mm, corte, dobra e montagem</t>
  </si>
  <si>
    <t>6.4</t>
  </si>
  <si>
    <t>05.101.000032.SER</t>
  </si>
  <si>
    <t>Armadura de aço CA-60 para estruturas de concreto armado, Ø de 8,00 até 9,50 mm, corte, dobra e montagem</t>
  </si>
  <si>
    <t>6.5</t>
  </si>
  <si>
    <t>05.101.000050.SER</t>
  </si>
  <si>
    <t>Armadura de tela de aço CA-60 Ø 4,20 mm, malha de 10 x 10 cm</t>
  </si>
  <si>
    <t>6.6</t>
  </si>
  <si>
    <t>CONCRETO FCK = 20MPA, TRAÇO 1:2,6:2,9 (EM MASSA SECA DE CIMENTO/ AREIA MÉDIA/ SEIXO ROLADO) - PREPARO MECÂNICO COM BETONEIRA 400 L. AF_05/2021</t>
  </si>
  <si>
    <t>6.7</t>
  </si>
  <si>
    <t>05.103.000015.SER</t>
  </si>
  <si>
    <t>Escoramento em madeira para lajes de edificação, com pontaletes 7,5 x 7,5cm para altura de 2,7 a 3 m</t>
  </si>
  <si>
    <t>6.8</t>
  </si>
  <si>
    <t>CONCRETO FCK = 15MPA, TRAÇO 1:3,4:3,5 (EM MASSA SECA DE CIMENTO/ AREIA MÉDIA/ BRITA 1) - PREPARO MECÂNICO COM BETONEIRA 600 L. AF_05/2021</t>
  </si>
  <si>
    <t>6.9</t>
  </si>
  <si>
    <t>FABRICAÇÃO DE FÔRMA PARA PILARES E ESTRUTURAS SIMILARES, EM CHAPA DE MADEIRA COMPENSADA RESINADA, E = 17 MM. AF_09/2020</t>
  </si>
  <si>
    <t>6.10</t>
  </si>
  <si>
    <t>MONTAGEM E DESMONTAGEM DE FÔRMA DE PILARES RETANGULARES E ESTRUTURAS SIMILARES, PÉ-DIREITO SIMPLES, EM MADEIRA SERRADA, 1 UTILIZAÇÃO. AF_09/2020</t>
  </si>
  <si>
    <t>6.11</t>
  </si>
  <si>
    <t>MONTAGEM E DESMONTAGEM DE FÔRMA DE LAJE MACIÇA, PÉ-DIREITO SIMPLES, EM MADEIRA SERRADA, 1 UTILIZAÇÃO. AF_09/2020</t>
  </si>
  <si>
    <t>6.12</t>
  </si>
  <si>
    <t>LAJE PRÉ-MOLDADA UNIDIRECIONAL, BIAPOIADA, PARA PISO, ENCHIMENTO EM CERÂMICA, VIGOTA CONVENCIONAL, ALTURA TOTAL DA LAJE "LT" = 12 CM (ENCHIMENTO+CAPA) = (8+4). AF_08/2025</t>
  </si>
  <si>
    <t>6.13</t>
  </si>
  <si>
    <t>6.14</t>
  </si>
  <si>
    <t>VERGA PRÉ-FABRICADA COM ATÉ 1,5 M DE VÃO, ESPESSURA DE *15* CM. AF_03/2024</t>
  </si>
  <si>
    <t>6.15</t>
  </si>
  <si>
    <t>CONTRAMARCO DE AÇO, FIXAÇÃO COM PARAFUSO - FORNECIMENTO E INSTALAÇÃO. AF_11/2024</t>
  </si>
  <si>
    <t>7.1</t>
  </si>
  <si>
    <t>TAPUME COM COMPENSADO DE MADEIRA. AF_03/2024</t>
  </si>
  <si>
    <t>7.2</t>
  </si>
  <si>
    <t>ALVENARIA DE VEDAÇÃO DE BLOCOS CERÂMICOS FURADOS NA HORIZONTAL DE 9X19X19 CM (ESPESSURA 9 CM) E ARGAMASSA DE ASSENTAMENTO COM PREPARO MANUAL. AF_12/2021</t>
  </si>
  <si>
    <t>7.3</t>
  </si>
  <si>
    <t>ALVENARIA DE VEDAÇÃO DE BLOCOS CERÂMICOS FURADOS NA HORIZONTAL DE 11,5X19X19 CM (ESPESSURA 11,5 CM) E ARGAMASSA DE ASSENTAMENTO COM PREPARO MANUAL. AF_12/2021</t>
  </si>
  <si>
    <t>7.4</t>
  </si>
  <si>
    <t>PAREDE COM SISTEMA EM CHAPAS DE GESSO PARA DRYWALL, USO INTERNO, COM DUAS FACES SIMPLES E ESTRUTURA METÁLICA COM GUIAS SIMPLES, SEM VÃOS. AF_07/2023_PS</t>
  </si>
  <si>
    <t>7.5</t>
  </si>
  <si>
    <t>PAREDE COM SISTEMA EM CHAPAS DE GESSO PARA DRYWALL, USO INTERNO, COM DUAS FACES SIMPLES E ESTRUTURA METÁLICA COM GUIAS SIMPLES PARA PAREDES COM ÁREA LÍQUIDA MAIOR OU IGUAL A 6 M2, COM VÃOS. AF_07/2023_PS</t>
  </si>
  <si>
    <t>7.6</t>
  </si>
  <si>
    <t>C240-BASA-SINAPI-102235</t>
  </si>
  <si>
    <t xml:space="preserve">DIVISÓRIA FIXA EM VIDRO TEMPERADO 8 MM, COM ESTRUTURA EM PERFIL DE ALUMÍNIO ANODIZADO COR N/B/P  </t>
  </si>
  <si>
    <t>7.7</t>
  </si>
  <si>
    <t>7.8</t>
  </si>
  <si>
    <t>7.9</t>
  </si>
  <si>
    <t>C233-SINAPI-102181</t>
  </si>
  <si>
    <t>REINSTALAÇÃO DA DIVISÓRIA EM VIDRO TEMPERADO INCOLOR, ESPESSURA 10MM, COM SUBSTITUIÇÃO DE FERRAGENS</t>
  </si>
  <si>
    <t>7.10</t>
  </si>
  <si>
    <t>7.11</t>
  </si>
  <si>
    <t>06.102.000005.SER</t>
  </si>
  <si>
    <t>Divisória estruturada em perfil de alumínio duplo, com painel em laminado melamínico colméia # 35mm</t>
  </si>
  <si>
    <t>7.12</t>
  </si>
  <si>
    <t>06.102.000010.SER</t>
  </si>
  <si>
    <t>Divisória estruturada em perfil de alumínio duplo, com painel em laminado melamínico miolo maciço semi-acústico e incombustível # 35mm</t>
  </si>
  <si>
    <t>7.13</t>
  </si>
  <si>
    <t>C302-BASA-SEDOP</t>
  </si>
  <si>
    <t>FORNECIMENTO E INSTALAÇÃO DE DIVISÓRIA DIVILUX PEFIL ALUMÍNIO / MIOLO CELULAR (PAINEL / VIDRO / PAINEL)</t>
  </si>
  <si>
    <t>7.14</t>
  </si>
  <si>
    <t>C303-BASA-SEDOP</t>
  </si>
  <si>
    <t>FORNECIMENTO E INSTALAÇÃO DE DIVISÓRIA DIVILUX PEFIL ALUMÍNIO / MIOLO CELULAR (PAINEL CEGO)</t>
  </si>
  <si>
    <t>7.15</t>
  </si>
  <si>
    <t>C167-BASA-ORSE-12630</t>
  </si>
  <si>
    <t>REINSTALAÇÃO DE DIVISÓRIA TIPO CHAPA EM MADEIRA</t>
  </si>
  <si>
    <t>7.16</t>
  </si>
  <si>
    <t>C279-SEDOP-061458</t>
  </si>
  <si>
    <t>Painel em alumínio composto (acm) constituído por chapas de alumínio, pintadas em ambas as faces, e núcleo de polietileno, espessura total 3,00 mm, incluindo estrutura de fixação</t>
  </si>
  <si>
    <t>7.17</t>
  </si>
  <si>
    <t>7.18</t>
  </si>
  <si>
    <t>7.19</t>
  </si>
  <si>
    <t>8.1</t>
  </si>
  <si>
    <t>CHAPISCO APLICADO EM ALVENARIA (SEM PRESENÇA DE VÃOS) E ESTRUTURAS DE CONCRETO DE FACHADA, COM COLHER DE PEDREIRO. ARGAMASSA TRAÇO 1:3 COM PREPARO MANUAL. AF_10/2022</t>
  </si>
  <si>
    <t>8.2</t>
  </si>
  <si>
    <t>MASSA ÚNICA, EM ARGAMASSA TRAÇO 1:2:8, PREPARO MANUAL, APLICADA MANUALMENTE EM PAREDES INTERNAS DE AMBIENTES COM ÁREA ENTRE 5M² E 10M², E = 17,5MM, COM TALISCAS. AF_03/2024</t>
  </si>
  <si>
    <t>8.3</t>
  </si>
  <si>
    <t>EMBOÇO, EM ARGAMASSA TRAÇO 1:2:8, PREPARO MANUAL, APLICADO MANUALMENTE EM PAREDES INTERNAS DE AMBIENTES COM ÁREA MENOR QUE 5M², E = 17,5MM, COM TALISCAS. AF_03/2024</t>
  </si>
  <si>
    <t>8.4</t>
  </si>
  <si>
    <t>REVESTIMENTO CERÂMICO PARA PAREDES EXTERNAS EM PASTILHAS DE PORCELANA 5 X 5 CM (PLACAS DE 30 X 30 CM), ALINHADAS A PRUMO. AF_02/2023</t>
  </si>
  <si>
    <t>8.5</t>
  </si>
  <si>
    <t>REVESTIMENTO CERÂMICO PARA PAREDES INTERNAS COM PLACAS TIPO ESMALTADA DE DIMENSÕES 20X20 CM APLICADAS NA ALTURA INTEIRA DAS PAREDES. AF_02/2023_PE</t>
  </si>
  <si>
    <t>8.6</t>
  </si>
  <si>
    <t>REVESTIMENTO CERÂMICO PARA PISO COM PLACAS TIPO ESMALTADA DE DIMENSÕES 45X45 CM APLICADA EM AMBIENTES DE ÁREA MAIOR QUE 10 M2. AF_02/2023_PE</t>
  </si>
  <si>
    <t>9.1</t>
  </si>
  <si>
    <t>C256-SINAPI-96114</t>
  </si>
  <si>
    <t>SERVIÇO DE INSTALAÇÃO DE FORRO MODULAR REMOVÍVEL EXISTENTE  COM SUPORTE EM PERFIL "T" LEVE 24MM, EM ALUMÍNIO COM COMPLEMENTO
DE ATÉ 20%</t>
  </si>
  <si>
    <t>9.2</t>
  </si>
  <si>
    <t>21.102.000015.SER</t>
  </si>
  <si>
    <t>Forro removível de gesso acartonado apoiados em perfis metálicos suspensos 125 x 62 cm x 12,5 mm</t>
  </si>
  <si>
    <t>9.3</t>
  </si>
  <si>
    <t>FORRO EM PLACAS DE GESSO, PARA AMBIENTES COMERCIAIS. AF_08/2023_PS</t>
  </si>
  <si>
    <t>9.4</t>
  </si>
  <si>
    <t>ACABAMENTOS PARA FORRO (SANCA DE GESSO, MONTADA NA OBRA). AF_08/2023_PS</t>
  </si>
  <si>
    <t>9.5</t>
  </si>
  <si>
    <t>ACABAMENTOS PARA FORRO (MOLDURA DE GESSO). AF_08/2023</t>
  </si>
  <si>
    <t>9.6</t>
  </si>
  <si>
    <t>FORRO EM RÉGUAS DE PVC, LISO, PARA AMBIENTES COMERCIAIS, INCLUSIVE ESTRUTURA BIDIRECIONAL DE FIXAÇÃO. AF_08/2023_PS</t>
  </si>
  <si>
    <t>9.7</t>
  </si>
  <si>
    <t>FORRO EM DRYWALL, PARA AMBIENTES COMERCIAIS, INCLUSIVE ESTRUTURA BIRECIONAL DE FIXAÇÃO. AF_08/2023_PS</t>
  </si>
  <si>
    <t>9.8</t>
  </si>
  <si>
    <t>ACABAMENTOS PARA FORRO (MOLDURA EM DRYWALL, COM LARGURA DE 15 CM). AF_08/2023_PS</t>
  </si>
  <si>
    <t>10.1</t>
  </si>
  <si>
    <t>CONTRAPISO EM ARGAMASSA TRAÇO 1:4 (CIMENTO E AREIA), PREPARO MANUAL, APLICADO EM ÁREAS SECAS SOBRE LAJE, ADERIDO, ACABAMENTO NÃO REFORÇADO, ESPESSURA 3CM. AF_07/2021</t>
  </si>
  <si>
    <t>10.2</t>
  </si>
  <si>
    <t>10.4</t>
  </si>
  <si>
    <t>C168-BASA-SINAPI-104598</t>
  </si>
  <si>
    <t>PISO CERÂMICO EM PORCELANATO 120X120CM, RETIFICADO, NÃO ESMALTADO, CERTIFICADO PELA ABNT NBR 15463, COM ABSORÇÃO DE ÁGUA ≤ 0,1, RESISTÊNCIA AO MANCHAMENTO CLASSE 5, LOCAL DE TRÁFEGO INDICADO PELO FABRICANTE PARA AMBIENTE COMERCIAL INTERNO MOLHADO, MUNARI, MARFIN ACETINADO (ELIANE)</t>
  </si>
  <si>
    <t>10.5</t>
  </si>
  <si>
    <t>C459BASA-SINAPI-104598</t>
  </si>
  <si>
    <t xml:space="preserve">PISO CERÂMICO EM PORCELANATO 120X120CM, RETIFICADO, NÃO ESMALTADO, CERTIFICADO PELA ABNT NBR 15463, COM ABSORÇÃO DE ÁGUA ≤ 0,1, RESISTÊNCIA AO MANCHAMENTO CLASSE 5, LOCAL DE TRÁFEGO INDICADO PELO FABRICANTE PARA AMBIENTE COMERCIAL INTERNO MOLHADO, GUACHE AGAVE MA 120X120 ELIANE, VERDE, RETIFICADO </t>
  </si>
  <si>
    <t>10.6</t>
  </si>
  <si>
    <t>10.7</t>
  </si>
  <si>
    <t>10.8</t>
  </si>
  <si>
    <t>22.150.000130.SER</t>
  </si>
  <si>
    <t>Rejuntamento de piso cerâmico com argamassa pré-fabricada junta: 6 mm</t>
  </si>
  <si>
    <t>10.9</t>
  </si>
  <si>
    <t>C198 -SINAPI</t>
  </si>
  <si>
    <t>Rejuntamento de paredes e piso</t>
  </si>
  <si>
    <t>M²</t>
  </si>
  <si>
    <t>11.1</t>
  </si>
  <si>
    <t>RODAPÉ CERÂMICO DE 7CM DE ALTURA COM PLACAS TIPO ESMALTADA DE DIMENSÕES 35X35CM. AF_02/2023</t>
  </si>
  <si>
    <t>11.2</t>
  </si>
  <si>
    <t>RODAPÉ CERÂMICO DE 7CM DE ALTURA COM PLACAS TIPO ESMALTADA DE DIMENSÕES 60X60CM. AF_02/2023</t>
  </si>
  <si>
    <t>11.3</t>
  </si>
  <si>
    <t>C307-BASA-SINAPI-88650</t>
  </si>
  <si>
    <t>RODAPÉ EM CERÂMICO PORCELANATO RETIFICADO, NÃO ESMALTADO, CERTIFICADO PELA ABNT NBR 15463, COM ABSORÇÃO DE ÁGUA ≤ 0,1, RESISTÊNCIA AO MANCHAMENTO CLASSE 5, LOCAL DE TRÁFEGO INDICADO PELO FABRICANTE PARA AMBIENTE COMERCIAL INTERNO MOLHADO, TAMANHO MÍNIMO DE 120X120CM</t>
  </si>
  <si>
    <t>11.4</t>
  </si>
  <si>
    <t>11.5</t>
  </si>
  <si>
    <t>22.148.000065.SER</t>
  </si>
  <si>
    <t>Rodapé vinílico com 5 cm de altura, fixado com cola à base de neoprene</t>
  </si>
  <si>
    <t>m</t>
  </si>
  <si>
    <t>11.6</t>
  </si>
  <si>
    <t>11.7</t>
  </si>
  <si>
    <t>11.8</t>
  </si>
  <si>
    <t>11.9</t>
  </si>
  <si>
    <t>22.136.000135.SER</t>
  </si>
  <si>
    <t>Peitoril de granito natural 25 cm, assentado com argamassa mista de cimento, cal e areia</t>
  </si>
  <si>
    <t>12.1</t>
  </si>
  <si>
    <t>C242-SINAPI-102182</t>
  </si>
  <si>
    <t xml:space="preserve">DESINSTALAÇÃO E INSTALAÇÃO DE PORTA PIVOTANTE EM VIDRO TEMPERADO EXISTENTE </t>
  </si>
  <si>
    <t>12.2</t>
  </si>
  <si>
    <t>C68-SINAPI-102184</t>
  </si>
  <si>
    <t>AJUSTE DA PORTA DE VIDRO TEMPERADO EXISTENTE</t>
  </si>
  <si>
    <t>12.3</t>
  </si>
  <si>
    <t>12.4</t>
  </si>
  <si>
    <t>12.5</t>
  </si>
  <si>
    <t>12.6</t>
  </si>
  <si>
    <t>12.7</t>
  </si>
  <si>
    <t>C74- SINAPI-90822</t>
  </si>
  <si>
    <t>INSTALAÇÃO DE PORTA DE MADEIRA EM MELAMINICO</t>
  </si>
  <si>
    <t>12.8</t>
  </si>
  <si>
    <t>12.9</t>
  </si>
  <si>
    <t>12.10</t>
  </si>
  <si>
    <t>12.11</t>
  </si>
  <si>
    <t>12.12</t>
  </si>
  <si>
    <t>12.13</t>
  </si>
  <si>
    <t>12.104.000058.SER</t>
  </si>
  <si>
    <t>Porta de madeira 0,80 x 2,10 m, interna, com batente, guarnição e ferragem</t>
  </si>
  <si>
    <t>un</t>
  </si>
  <si>
    <t>12.14</t>
  </si>
  <si>
    <t>12.104.000060.SER</t>
  </si>
  <si>
    <t>Porta de madeira 0,90 x 2,10 m, externa, com batente, guarnição e ferragem</t>
  </si>
  <si>
    <t>12.15</t>
  </si>
  <si>
    <t>12.16</t>
  </si>
  <si>
    <t>C384-BASA-SINAPI-100659/90806</t>
  </si>
  <si>
    <t>Kit Porta Pronta, de 80x210cm, Concrem Lacca Touch Bianco Alto Padrão Batente Regulável até de 15 até 21cm com Guarnições 2 Lados Fechadura Arouca e Dobradiças</t>
  </si>
  <si>
    <t>12.17</t>
  </si>
  <si>
    <t>C247- SEDOP-91377</t>
  </si>
  <si>
    <t>Porta divilux 0.80x2.10m c/ferragens - c/ perfil de aluminio</t>
  </si>
  <si>
    <t>12.18</t>
  </si>
  <si>
    <t>12.19</t>
  </si>
  <si>
    <t>12.20</t>
  </si>
  <si>
    <t>12.21</t>
  </si>
  <si>
    <t>12.22</t>
  </si>
  <si>
    <t>JANELA DE ALUMÍNIO TIPO MAXIM-AR, BATENTE/ REQUADRO 3 A 14 CM, VIDRO INCLUSO, FIXAÇÃO COM PARAFUSO, SEM GUARNIÇÃO/ ALIZAR, DIMENSÕES 60X80 (A X L) CM, SEM ACABAMENTO, VEDAÇÃO COM SILICONE, EXCLUSIVE CONTRAMARCO - FORNECIMENTO E INSTALAÇÃO. AF_11/2024</t>
  </si>
  <si>
    <t>12.23</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</si>
  <si>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</si>
  <si>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12.24</t>
  </si>
  <si>
    <t>CAIXILHO FIXO DE ALUMÍNIO PARA VIDRO (VIDRO INCLUSO), BATENTE/ REQUADRO DE 4 A 14 CM, SEM GUARNIÇÃO/ ALIZAR, FIXAÇÃO COM PARAFUSOS, VEDAÇÃO COM SILICONE, EXCLUSIVE CONTRAMARCO - FORNECIMENTO E INSTALAÇÃO. AF_11/2024</t>
  </si>
  <si>
    <t>12.25</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</si>
  <si>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</si>
  <si>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12.26</t>
  </si>
  <si>
    <t>12.102.000005.SER</t>
  </si>
  <si>
    <t>Grade de proteção de ferro chato 1" x 1/4", colocação e acabamento</t>
  </si>
  <si>
    <t>12.27</t>
  </si>
  <si>
    <t>12.28</t>
  </si>
  <si>
    <t>C186-SEDOP-240618</t>
  </si>
  <si>
    <t>Escada de marinheiro c/ proteçao</t>
  </si>
  <si>
    <t>12.29</t>
  </si>
  <si>
    <t>30.148.000155.SER</t>
  </si>
  <si>
    <t>Paraciclo modulado de chão em aço galvanizado, 0,6 x 1,5 m, para até 5 bicicletas</t>
  </si>
  <si>
    <t>12.30</t>
  </si>
  <si>
    <t>C72-SEDOP-250643/ORSE -10528</t>
  </si>
  <si>
    <t xml:space="preserve">Concertina simples em aco galvanizado de alta resistencia, com espiral de 300 m 12,16mm, d =2,76 mm </t>
  </si>
  <si>
    <t>12.31</t>
  </si>
  <si>
    <t>13.121.000532.SER</t>
  </si>
  <si>
    <t>Grelha reta de ferro fundido largura 20 cm</t>
  </si>
  <si>
    <t>12.32</t>
  </si>
  <si>
    <t>13.121.000500.SER</t>
  </si>
  <si>
    <t>Grelha hemisférica de ferro fundido Ø 75 mm - 3"</t>
  </si>
  <si>
    <t>12.33</t>
  </si>
  <si>
    <t>C53-BASA</t>
  </si>
  <si>
    <t>TELA ARAME GALVANIZADO, MALHA 1MM, MALHA 15X15MM E MOLDURA DE ACO</t>
  </si>
  <si>
    <t>12.34</t>
  </si>
  <si>
    <t>C314-BASA</t>
  </si>
  <si>
    <t>PERFIL EM ALUMÍNIO ANODIZADO COR PRETO FOSCO 3" x 1.1/2" NA COR N/P/B</t>
  </si>
  <si>
    <t>13.1</t>
  </si>
  <si>
    <t>13.2</t>
  </si>
  <si>
    <t>13.3</t>
  </si>
  <si>
    <t>13.4</t>
  </si>
  <si>
    <t>13.5</t>
  </si>
  <si>
    <t>C183-BASA</t>
  </si>
  <si>
    <t>Fechadura em metal cromado de embutir tipo tetra-chave</t>
  </si>
  <si>
    <t>13.6</t>
  </si>
  <si>
    <t>13.7</t>
  </si>
  <si>
    <t>13.8</t>
  </si>
  <si>
    <t>13.9</t>
  </si>
  <si>
    <t>C273-BASA-SINAPI</t>
  </si>
  <si>
    <t>PUXADOR REDONDO EM AÇO INOX DE 45CM  PARA PORTA  DE VIDRO TEMPERADO</t>
  </si>
  <si>
    <t>13.10</t>
  </si>
  <si>
    <t>C110-BASA</t>
  </si>
  <si>
    <t>FORNECIMENTO E INSTALAÇÃO DE FECHADURA ELETROMAGNÉTICA 150 KGF (KIT ATM) AUTOMATIZA OU SIMILAR, COM INTERRUPTOR PARA PROGRAMAÇÃO DE HORÁRIO MARCA COEL OU SIMILAR. PARA PORTA DO AUTO-ATENDIMENTO.</t>
  </si>
  <si>
    <t>14.1</t>
  </si>
  <si>
    <t>C216-SINAPI</t>
  </si>
  <si>
    <t>Revisão geral em sistema de cobertura em telha de fibrocimento e estrutura de madeira, com substituição de telhas e peças de madeira danificadas e recomposição de parafusos de fixação (20% de substituição no máximo)</t>
  </si>
  <si>
    <t>14.2</t>
  </si>
  <si>
    <t>14.3</t>
  </si>
  <si>
    <t>14.4</t>
  </si>
  <si>
    <t>TELHAMENTO COM TELHA ONDULADA DE FIBROCIMENTO E = 6 MM, COM RECOBRIMENTO LATERAL DE 1/4 DE ONDA PARA TELHADO COM INCLINAÇÃO MAIOR QUE 10°, COM ATÉ 2 ÁGUAS, INCLUSO IÇAMENTO. AF_07/2019</t>
  </si>
  <si>
    <t>14.5</t>
  </si>
  <si>
    <t>TELHAMENTO COM TELHA METÁLICA TERMOACÚSTICA E = 30 MM, COM ATÉ 2 ÁGUAS, INCLUSO IÇAMENTO. AF_07/2019</t>
  </si>
  <si>
    <t>14.6</t>
  </si>
  <si>
    <t>TELHAMENTO COM TELHA DE AÇO/ALUMÍNIO E = 0,5 MM, COM ATÉ 2 ÁGUAS, INCLUSO IÇAMENTO. AF_07/2019</t>
  </si>
  <si>
    <t>14.7</t>
  </si>
  <si>
    <t>CALHA EM CHAPA DE AÇO GALVANIZADO NÚMERO 24, DESENVOLVIMENTO DE 33 CM, INCLUSO TRANSPORTE VERTICAL. AF_07/2019</t>
  </si>
  <si>
    <t>14.8</t>
  </si>
  <si>
    <t>CALHA EM CHAPA DE AÇO GALVANIZADO NÚMERO 24, DESENVOLVIMENTO DE 50 CM, INCLUSO TRANSPORTE VERTICAL. AF_07/2019</t>
  </si>
  <si>
    <t>14.9</t>
  </si>
  <si>
    <t>CALHA EM CHAPA DE AÇO GALVANIZADO NÚMERO 24, DESENVOLVIMENTO DE 100 CM, INCLUSO TRANSPORTE VERTICAL. AF_07/2019</t>
  </si>
  <si>
    <t>14.10</t>
  </si>
  <si>
    <t>CUMEEIRA PARA TELHA DE FIBROCIMENTO ONDULADA E = 6 MM, INCLUSO ACESSÓRIOS DE FIXAÇÃO E IÇAMENTO. AF_07/2019</t>
  </si>
  <si>
    <t>14.11</t>
  </si>
  <si>
    <t>09.105.000085.SER</t>
  </si>
  <si>
    <t>Cumeeira de alumínio termoacústica, perfil trapezoidal</t>
  </si>
  <si>
    <t>14.12</t>
  </si>
  <si>
    <t>C288-BASA-SEDOP-071466</t>
  </si>
  <si>
    <t>CUMEEIRA EM AÇO GALVANIZADO</t>
  </si>
  <si>
    <t>14.13</t>
  </si>
  <si>
    <t>RUFO EXTERNO/INTERNO EM CHAPA DE AÇO GALVANIZADO NÚMERO 26, CORTE DE 33 CM, INCLUSO IÇAMENTO. AF_07/2019</t>
  </si>
  <si>
    <t>14.14</t>
  </si>
  <si>
    <t>RUFO EM FIBROCIMENTO PARA TELHA ONDULADA E = 6 MM, ABA DE 26 CM, INCLUSO TRANSPORTE VERTICAL, EXCETO CONTRARRUFO. AF_07/2019</t>
  </si>
  <si>
    <t>14.15</t>
  </si>
  <si>
    <t>RUFO EM CHAPA DE AÇO GALVANIZADO NÚMERO 24, CORTE DE 25 CM, INCLUSO TRANSPORTE VERTICAL. AF_07/2019</t>
  </si>
  <si>
    <t>14.16</t>
  </si>
  <si>
    <t>C208 -SEDOP-050353</t>
  </si>
  <si>
    <t>RECUPERAÇÃO DE RUFO EM CONCRETO ARMADO</t>
  </si>
  <si>
    <t>14.17</t>
  </si>
  <si>
    <t>IMPERMEABILIZAÇÃO DE SUPERFÍCIE COM ARGAMASSA DE CIMENTO E AREIA, COM ADITIVO IMPERMEABILIZANTE, E = 1,5CM. AF_09/2023</t>
  </si>
  <si>
    <t>14.18</t>
  </si>
  <si>
    <t>IMPERMEABILIZAÇÃO DE SUPERFÍCIE COM ARGAMASSA POLIMÉRICA / MEMBRANA ACRÍLICA, 3 DEMÃOS. AF_09/2023</t>
  </si>
  <si>
    <t>14.19</t>
  </si>
  <si>
    <t>14.20</t>
  </si>
  <si>
    <t>IMPERMEABILIZAÇÃO DE SUPERFÍCIE COM MANTA ASFÁLTICA, DUAS CAMADAS, INCLUSIVE APLICAÇÃO DE PRIMER ASFÁLTICO, E=3MM E E=4MM. AF_09/2023</t>
  </si>
  <si>
    <t>14.21</t>
  </si>
  <si>
    <t>IMPERMEABILIZAÇÃO DE SUPERFÍCIE COM MEMBRANA À BASE DE POLIURETANO, 2 DEMÃOS. AF_09/2023</t>
  </si>
  <si>
    <t>14.22</t>
  </si>
  <si>
    <t>IMPERMEABILIZAÇÃO DE SUPERFÍCIE COM EMULSÃO ASFÁLTICA, 2 DEMÃOS. AF_09/2023</t>
  </si>
  <si>
    <t>14.23</t>
  </si>
  <si>
    <t>IMPERMEABILIZAÇÃO DE SUPERFÍCIE COM MEMBRANA À BASE DE RESINA ACRÍLICA, 3 DEMÃOS. AF_09/2023</t>
  </si>
  <si>
    <t>14.24</t>
  </si>
  <si>
    <t>10.101.000005.SER</t>
  </si>
  <si>
    <t>Impermeabilização de alicerce com tinta betuminosa em parede de 1 1/2 tijolo</t>
  </si>
  <si>
    <t>14.25</t>
  </si>
  <si>
    <t>10.102.000005.SER</t>
  </si>
  <si>
    <t>Impermeabilização de calha, viga-calha e jardineira com impermeabilizante estrutural e proteção mecânica</t>
  </si>
  <si>
    <t>14.26</t>
  </si>
  <si>
    <t>10.104.000115.SER</t>
  </si>
  <si>
    <t>Impermeabilização de reservatório elevado, composta de revestimento com argamassa rígida e de manta asfáltica</t>
  </si>
  <si>
    <t>14.27</t>
  </si>
  <si>
    <t>10.104.000035.SER</t>
  </si>
  <si>
    <t>Impermeabilização com argamassa polimérica impermeabilizante</t>
  </si>
  <si>
    <t>14.28</t>
  </si>
  <si>
    <t>C197 -ORSE-
04283</t>
  </si>
  <si>
    <t>Fornecimentor e instalação de ralos hemisféricos, tipo abacaxi,  Ø 100mm nas descidas de águas pluviais</t>
  </si>
  <si>
    <t>14.29</t>
  </si>
  <si>
    <t>C39-SINAPI</t>
  </si>
  <si>
    <t>FORNECIMENTO/INSTALACAO LONA PLASTICA PRETA, PARA PROTEÇÃO DA COBERTURA.</t>
  </si>
  <si>
    <t>14.30</t>
  </si>
  <si>
    <t>C41-SEINFRA-C3894</t>
  </si>
  <si>
    <t xml:space="preserve">LIMPEZA E DESOBSTRUÇÃO DE DESCIDA DÁGUA PLUVIAL </t>
  </si>
  <si>
    <t>14.31</t>
  </si>
  <si>
    <t>C42-SEINFRA-C4212</t>
  </si>
  <si>
    <t>LIMPEZA DE CAIXAS DE INSPEÇÃO</t>
  </si>
  <si>
    <t>14.32</t>
  </si>
  <si>
    <t>C205 -ORSE-6411</t>
  </si>
  <si>
    <t>TAMPA EM CONCRETO ARMADO PARA CAIXA DE INSPEÇÃO 60X60X7CM</t>
  </si>
  <si>
    <t>15.1</t>
  </si>
  <si>
    <t>15.2</t>
  </si>
  <si>
    <t>C451-BASA-ORSE11902</t>
  </si>
  <si>
    <t>Piso tátil alerta pinado- Elementos em em ABS revestido de inox</t>
  </si>
  <si>
    <t>15.3</t>
  </si>
  <si>
    <t>C452-BASA-ORSE11903</t>
  </si>
  <si>
    <t>Piso tátil direcional pinado- Elementos em em ABS revestido de inox</t>
  </si>
  <si>
    <t>15.4</t>
  </si>
  <si>
    <t>30.138.000055.SER</t>
  </si>
  <si>
    <t>Piso podotátil direcional ladrilho hidráulico 25 x 25 cm, # 2 cm, assentado com argamassa</t>
  </si>
  <si>
    <t>15.5</t>
  </si>
  <si>
    <t>PISO PODOTÁTIL DE ALERTA OU DIRECIONAL, DE CONCRETO, ASSENTADO SOBRE ARGAMASSA. AF_03/2024</t>
  </si>
  <si>
    <t>15.6</t>
  </si>
  <si>
    <t>C114-BASA</t>
  </si>
  <si>
    <t>FORNECIMENTO E INSTALAÇÃO DE SINALIZAÇÃO TÁTIL, C/ INSCRIÇÕES EM BRAILLE E RELEVO SOBRE CHAPA METÁLICA, TIPO 2g (18X30) CM, EM SUPORTE DE ACESSO DO AUTO-ATENDIMENTO</t>
  </si>
  <si>
    <t>15.7</t>
  </si>
  <si>
    <t>C20-BASA</t>
  </si>
  <si>
    <t>FORNECIMENTO E INSTALAÇÃO DE PELÍCULA ADESIVA OPACA, DIM. 12X12CM, CONTENDO SÍMBOLO INTERNACIONAL DE ACESSO,TIPO 1a</t>
  </si>
  <si>
    <t>15.8</t>
  </si>
  <si>
    <t>C70-BASA</t>
  </si>
  <si>
    <t>FORNECIMENTO E INSTALAÇÃO DE PLACA DE PAREDE TÁTIL (TIPO 2b E 2c) PARA SANITÁRIO PÚBLICO MAS/FEM (20X10CM) EM ACRÍLICO 5MM, INCLUSIVE FITA DESIVADA DUPLA FACE</t>
  </si>
  <si>
    <t>15.9</t>
  </si>
  <si>
    <t>C25-BASA-ORSE-07317</t>
  </si>
  <si>
    <t>FORNECIMENTO E INSTALAÇÃO DE PLACA TÁTIL BRAILE/RELEVO AÇO INOX 60X15CM - PERSONALIZADO USO CORRIMÃO., TIPO 2j</t>
  </si>
  <si>
    <t>15.10</t>
  </si>
  <si>
    <t>C26-BASA-07318</t>
  </si>
  <si>
    <t>FORNECIMENTO E INSTALAÇÃO DE ANEL DE TEXTURA PARA CORRIMÃO EM BORRACHA FLEXÍVEL PRETO, TIPO 2k</t>
  </si>
  <si>
    <t>15.11</t>
  </si>
  <si>
    <t>15.12</t>
  </si>
  <si>
    <t>15.13</t>
  </si>
  <si>
    <t>15.14</t>
  </si>
  <si>
    <t>C33-BASA-ORSE-11961</t>
  </si>
  <si>
    <t xml:space="preserve">FORNECIMENTO E INSTALAÇÃO DE ALARME AUDIOVISUAL SEM FIO BIVOLT 110/220V PARA SANITÁRIO ACESSÍVEL DEF. AUDITIVOS E VISUAIS, PLACA TÁTIL EM ALTO RELEVO E BRAILLE ESCRITO: "EMERGÊNCIA: ACIONE O BOTÃO" ) CONFORME NORMA NBR9050. KIT COMPLETO </t>
  </si>
  <si>
    <t>15.15</t>
  </si>
  <si>
    <t>C237-BASA</t>
  </si>
  <si>
    <t>TAPETE VINLICO PARA SINALIZAR ESPAÇO RESERVADO Á CADEIRANTES PCD (1,20X0,80M)</t>
  </si>
  <si>
    <t>15.16</t>
  </si>
  <si>
    <t>C15-BASA</t>
  </si>
  <si>
    <t>SUPORTE TIPO PEDESTAL PARA MAPA TÁTIL, EM AÇO ESCOVADO E PLANO DE MAPA TÁTIL EM BRAILLE, PADRÃO BASA</t>
  </si>
  <si>
    <t>15.17</t>
  </si>
  <si>
    <t>C245- BASA</t>
  </si>
  <si>
    <t xml:space="preserve">MAPA TÁTIL  EM ACRÍLICO 40X40CM </t>
  </si>
  <si>
    <t>15.18</t>
  </si>
  <si>
    <t>C16-BASA</t>
  </si>
  <si>
    <t>COLETE EM NYLON 600 PARA CADEIRAS COM INDICATIVOS DE ATENDIMENTO PRIORITÁRIOS</t>
  </si>
  <si>
    <t>15.19</t>
  </si>
  <si>
    <t>C116-BASA</t>
  </si>
  <si>
    <t>FORNECIMENTO E INSTALAÇÃO DE PLACA DE PAREDE TÁTIL BOTÃO DE ALARME/SAÍDA DE EMERGÊNCIA (20X10CM), TIPO 3a ou 3b, EM ACRÍLICO 5MM, INCLUSIVE FITA DESIVADA DUPLA FACE</t>
  </si>
  <si>
    <t>15.20</t>
  </si>
  <si>
    <t>C115-BASA</t>
  </si>
  <si>
    <t>PLACA DE MESA EM ACRÍLICO CRISTAL E=5MM, TIPO 1b (15X15X5) CM, EM ESTAÇÕES ADAPTADAS DE ATENDIMENTOCOM TINTA ACRÍLICA NITROCELULOSE PRÉ-MISTURADA, CONTENDO SÍMBOLO INTERNACIONAL DE ACESSO.</t>
  </si>
  <si>
    <t>15.21</t>
  </si>
  <si>
    <t>C180-BASA</t>
  </si>
  <si>
    <t>Porta em chapa de compensado naval, revestida em todas as faces com laminado melamínico tipo Fórmica Texturizada (90x210) cm, movimento de charneira, com chapa de proteção em aço inox na parte inferior, interna, com batente, guarnição e ferragem</t>
  </si>
  <si>
    <t>15.22</t>
  </si>
  <si>
    <t>C37-ORSE-13417</t>
  </si>
  <si>
    <t>BATEDOR PARA PORTA EM CHAPA DE ALUMÍNIO TIPO XADREZ LAVRADA ESP. 3mm C/ FIXAÇÃO SOBRE MADEIRA LISA OU REVESTIMENTO MELAMÍNICO COM FITA DUPLA FACE</t>
  </si>
  <si>
    <t>15.23</t>
  </si>
  <si>
    <t>C342-BASA-ORSE-08759</t>
  </si>
  <si>
    <t>CORRIMÃO EM AÇO INOX Ø=1 1/2", DUPLO, H=90CM</t>
  </si>
  <si>
    <t>15.24</t>
  </si>
  <si>
    <t>C112-BASA</t>
  </si>
  <si>
    <t>FORNECIMENTO E INSTALAÇÃO DE PLACA AÉREA TIPO 1K (50X70) CM, EM CHAPA DE FERRO GALVANIZADA, PARA INDICAÇÃO DE ESTACIONAMENTO, COM POSTE METÁLICODE 3" DE DIAMETRO, COM 1,60M DE ALTURA TOTAL</t>
  </si>
  <si>
    <t>16.1</t>
  </si>
  <si>
    <t>02.102.000035.SER</t>
  </si>
  <si>
    <t>Remoção de pintura a látex</t>
  </si>
  <si>
    <t>16.2</t>
  </si>
  <si>
    <t>02.102.000037.SER</t>
  </si>
  <si>
    <t>Remoção de pintura a óleo ou esmalte</t>
  </si>
  <si>
    <t>16.3</t>
  </si>
  <si>
    <t>LIXAMENTO MANUAL EM SUPERFÍCIES METÁLICAS EM OBRA. AF_01/2020</t>
  </si>
  <si>
    <t>16.4</t>
  </si>
  <si>
    <t>PINTURA FUNDO NIVELADOR ALQUÍDICO BRANCO EM MADEIRA. AF_01/2021</t>
  </si>
  <si>
    <t>16.5</t>
  </si>
  <si>
    <t>APLICAÇÃO MANUAL DE FUNDO SELADOR ACRÍLICO EM PANOS CEGOS DE FACHADA (SEM PRESENÇA DE VÃOS) DE EDIFÍCIOS DE MÚLTIPLOS PAVIMENTOS. AF_03/2024</t>
  </si>
  <si>
    <t>16.6</t>
  </si>
  <si>
    <t>FUNDO SELADOR ACRÍLICO, APLICAÇÃO MANUAL EM TETO, UMA DEMÃO. AF_04/2023</t>
  </si>
  <si>
    <t>16.7</t>
  </si>
  <si>
    <t>FUNDO SELADOR ACRÍLICO, APLICAÇÃO MANUAL EM PAREDE, UMA DEMÃO. AF_04/2023</t>
  </si>
  <si>
    <t>16.8</t>
  </si>
  <si>
    <t>EMASSAMENTO COM MASSA LÁTEX, APLICAÇÃO EM PAREDE, UMA DEMÃO, LIXAMENTO MANUAL. AF_04/2023</t>
  </si>
  <si>
    <t>16.9</t>
  </si>
  <si>
    <t>EMASSAMENTO COM MASSA LÁTEX, APLICAÇÃO EM PAREDE, DUAS DEMÃOS, LIXAMENTO MANUAL. AF_04/2023</t>
  </si>
  <si>
    <t>16.10</t>
  </si>
  <si>
    <t>EMASSAMENTO COM MASSA LÁTEX, APLICAÇÃO EM TETO, UMA DEMÃO, LIXAMENTO MANUAL. AF_04/2023</t>
  </si>
  <si>
    <t>16.11</t>
  </si>
  <si>
    <t>EMASSAMENTO COM MASSA LÁTEX, APLICAÇÃO EM TETO, DUAS DEMÃOS, LIXAMENTO MANUAL. AF_04/2023</t>
  </si>
  <si>
    <t>16.12</t>
  </si>
  <si>
    <t>APLICAÇÃO MANUAL DE MASSA ACRÍLICA EM PANOS DE FACHADA SEM PRESENÇA DE VÃOS, DE EDIFÍCIOS DE MÚLTIPLOS PAVIMENTOS, DUAS DEMÃOS. AF_03/2024</t>
  </si>
  <si>
    <t>16.13</t>
  </si>
  <si>
    <t>PINTURA LÁTEX ACRÍLICA PREMIUM, APLICAÇÃO MANUAL EM PAREDES, DUAS DEMÃOS. AF_04/2023</t>
  </si>
  <si>
    <t>16.14</t>
  </si>
  <si>
    <t>PINTURA DE PISO COM TINTA ACRÍLICA, APLICAÇÃO MANUAL, 2 DEMÃOS, INCLUSO FUNDO PREPARADOR. AF_05/2021</t>
  </si>
  <si>
    <t>16.15</t>
  </si>
  <si>
    <t>PINTURA DE SÍMBOLOS E TEXTOS COM TINTA ACRÍLICA, DEMARCAÇÃO COM FITA ADESIVA E APLICAÇÃO COM ROLO. AF_05/2021</t>
  </si>
  <si>
    <t>16.16</t>
  </si>
  <si>
    <t>PINTURA DE FAIXA DE PEDESTRE OU ZEBRADA COM TINTA ACRÍLICA, E = 30 CM, APLICAÇÃO MANUAL. AF_05/2021</t>
  </si>
  <si>
    <t>16.17</t>
  </si>
  <si>
    <t>PINTURA COM TINTA ALQUÍDICA DE FUNDO E ACABAMENTO (ESMALTE SINTÉTICO GRAFITE) APLICADA A ROLO OU PINCEL SOBRE SUPERFÍCIES METÁLICAS (EXCETO PERFIL) EXECUTADO EM OBRA (POR DEMÃO). AF_01/2020</t>
  </si>
  <si>
    <t>16.18</t>
  </si>
  <si>
    <t>PINTURA IMUNIZANTE PARA MADEIRA, 2 DEMÃOS. AF_01/2021</t>
  </si>
  <si>
    <t>16.19</t>
  </si>
  <si>
    <t>PINTURA COM TINTA ALQUÍDICA DE ACABAMENTO (ESMALTE SINTÉTICO FOSCO) PULVERIZADA SOBRE SUPERFÍCIES METÁLICAS (EXCETO PERFIL) EXECUTADO EM OBRA (POR DEMÃO). AF_01/2020_PE</t>
  </si>
  <si>
    <t>16.20</t>
  </si>
  <si>
    <t>APLICAÇÃO MANUAL DE PINTURA COM TINTA TEXTURIZADA ACRÍLICA EM SUPERFÍCIES INTERNAS DA SACADA DE EDIFÍCIOS DE MÚLTIPLOS PAVIMENTOS, DUAS CORES. AF_03/2024</t>
  </si>
  <si>
    <t>16.21</t>
  </si>
  <si>
    <t>C366-BASA</t>
  </si>
  <si>
    <t xml:space="preserve">APLICAÇÃO MANUAL DE PINTURA COM TINTA TEXTURIZADA ACRÍLICA EM SUPERFÍCIES, COR CIMENTO QUEIMADO FOSCO DIA DE CHUVA </t>
  </si>
  <si>
    <t>17.1</t>
  </si>
  <si>
    <t>ILUMINAÇÃO E TOMADAS DE USO COMUM/ILUMINAÇÃO DE EMERGÊNCIA</t>
  </si>
  <si>
    <t>17.1.1</t>
  </si>
  <si>
    <t>RASGO LINEAR MANUAL EM ALVENARIA, PARA RAMAIS/ DISTRIBUIÇÃO DE INSTALAÇÕES HIDRÁULICAS, DIÂMETROS MENORES OU IGUAIS A 40 MM. AF_09/2023</t>
  </si>
  <si>
    <t>17.1.2</t>
  </si>
  <si>
    <t>RASGO LINEAR MECANIZADO EM CONTRAPISO, PARA RAMAIS/ DISTRIBUIÇÃO DE INSTALAÇÕES HIDRÁULICAS, DIÂMETROS MENORES OU IGUAIS A 40 MM. AF_09/2023_PS</t>
  </si>
  <si>
    <t>17.1.3</t>
  </si>
  <si>
    <t>REMOÇÃO DE CABOS ELÉTRICOS, COM SEÇÃO DE 25 MM², FORMA MANUAL, SEM REAPROVEITAMENTO. AF_09/2023</t>
  </si>
  <si>
    <t>17.1.4</t>
  </si>
  <si>
    <t>REMOÇÃO DE CABOS ELÉTRICOS, COM SEÇÃO DE ATÉ 2,5 MM², DE FORMA MANUAL, SEM REAPROVEITAMENTO. AF_09/2023</t>
  </si>
  <si>
    <t>17.1.5</t>
  </si>
  <si>
    <t>REMOÇÃO DE CABOS ELÉTRICOS, COM SEÇÃO DE 10 MM², FORMA MANUAL, SEM REAPROVEITAMENTO. AF_09/2023</t>
  </si>
  <si>
    <t>17.1.6</t>
  </si>
  <si>
    <t>C328-BASA</t>
  </si>
  <si>
    <t>REMOÇÃO DE ELETRODUTOS/ELETROCALHAS</t>
  </si>
  <si>
    <t>17.1.7</t>
  </si>
  <si>
    <t>C274-BASA-SINAPI</t>
  </si>
  <si>
    <t xml:space="preserve">PONTO ELÉTRICO COM 02 ELETRODUTOS GALVANIZADOS DE 3/4' E CURVA NA ALTURA DE 2,15 M DO PISO </t>
  </si>
  <si>
    <t>17.1.8</t>
  </si>
  <si>
    <t>16.125.000070.SER</t>
  </si>
  <si>
    <t>Ponto de tomada com eletroduto PVC rígido, sem placa, Ø 3/4"</t>
  </si>
  <si>
    <t>17.1.9</t>
  </si>
  <si>
    <t>16.125.000010.SER</t>
  </si>
  <si>
    <t>Ponto seco para instalação de som, tv, alarme e lógica, incluindo eletroduto PVC rígido e caixa com espelho</t>
  </si>
  <si>
    <t>17.1.10</t>
  </si>
  <si>
    <t>16.125.000050.SER</t>
  </si>
  <si>
    <t>Ponto de luz com eletroduto PVC rígido, Ø 3/4"</t>
  </si>
  <si>
    <t>17.1.11</t>
  </si>
  <si>
    <t>C181-BASA</t>
  </si>
  <si>
    <t>Adaptação das Instalações elétricas no Mobiliário</t>
  </si>
  <si>
    <t>17.1.12</t>
  </si>
  <si>
    <t>ELETRODUTO RÍGIDO ROSCÁVEL, PVC, DN 25 MM (3/4"), PARA CIRCUITOS TERMINAIS, INSTALADO EM FORRO - FORNECIMENTO E INSTALAÇÃO. AF_03/2023</t>
  </si>
  <si>
    <t>17.1.13</t>
  </si>
  <si>
    <t>ELETRODUTO RÍGIDO ROSCÁVEL, PVC, DN 32 MM (1"), PARA CIRCUITOS TERMINAIS, INSTALADO EM FORRO - FORNECIMENTO E INSTALAÇÃO. AF_03/2023</t>
  </si>
  <si>
    <t>17.1.14</t>
  </si>
  <si>
    <t>CABO DE COBRE FLEXÍVEL ISOLADO, 2,5 MM², ANTI-CHAMA 450/750 V, PARA CIRCUITOS TERMINAIS - FORNECIMENTO E INSTALAÇÃO. AF_03/2023</t>
  </si>
  <si>
    <t>17.1.15</t>
  </si>
  <si>
    <t>CABO DE COBRE FLEXÍVEL ISOLADO, 1,5 MM², ANTI-CHAMA 450/750 V, PARA CIRCUITOS TERMINAIS - FORNECIMENTO E INSTALAÇÃO. AF_03/2023</t>
  </si>
  <si>
    <t>17.1.16</t>
  </si>
  <si>
    <t>CABO DE COBRE FLEXÍVEL ISOLADO, 4 MM², ANTI-CHAMA 450/750 V, PARA CIRCUITOS TERMINAIS - FORNECIMENTO E INSTALAÇÃO. AF_03/2023</t>
  </si>
  <si>
    <t>17.1.17</t>
  </si>
  <si>
    <t>INTERRUPTOR SIMPLES (1 MÓDULO), 10A/250V, SEM SUPORTE E SEM PLACA - FORNECIMENTO E INSTALAÇÃO. AF_03/2023</t>
  </si>
  <si>
    <t>17.1.18</t>
  </si>
  <si>
    <t>INTERRUPTOR SIMPLES (2 MÓDULOS), 10A/250V, INCLUINDO SUPORTE E PLACA - FORNECIMENTO E INSTALAÇÃO. AF_03/2023</t>
  </si>
  <si>
    <t>17.1.19</t>
  </si>
  <si>
    <t>INTERRUPTOR SIMPLES (3 MÓDULOS), 10A/250V, INCLUINDO SUPORTE E PLACA - FORNECIMENTO E INSTALAÇÃO. AF_03/2023</t>
  </si>
  <si>
    <t>17.1.20</t>
  </si>
  <si>
    <t>TOMADA MÉDIA DE EMBUTIR (2 MÓDULOS), 2P+T 20 A, INCLUINDO SUPORTE E PLACA - FORNECIMENTO E INSTALAÇÃO. AF_03/2023</t>
  </si>
  <si>
    <t>17.1.21</t>
  </si>
  <si>
    <t>TOMADA BAIXA DE EMBUTIR (2 MÓDULOS), 2P+T 10 A, INCLUINDO SUPORTE E PLACA - FORNECIMENTO E INSTALAÇÃO. AF_03/2023</t>
  </si>
  <si>
    <t>17.1.22</t>
  </si>
  <si>
    <t>TOMADA BAIXA DE EMBUTIR (1 MÓDULO), 2P+T 10 A, INCLUINDO SUPORTE E PLACA - FORNECIMENTO E INSTALAÇÃO. AF_03/2023</t>
  </si>
  <si>
    <t>17.1.23</t>
  </si>
  <si>
    <t>C165-BASA-ORSE-13528/13529</t>
  </si>
  <si>
    <t>PLUGUE MACHO E FÊMEA,10A, 2P+T PARA
LIGAÇÃO DAS LUMINÁRIAS</t>
  </si>
  <si>
    <t>17.1.24</t>
  </si>
  <si>
    <t>C66-SINAPI39390</t>
  </si>
  <si>
    <t>PROJETOR DE LED 30W, COMPLETA CONFORME A ESPECIFICAÇÃO</t>
  </si>
  <si>
    <t>17.1.25</t>
  </si>
  <si>
    <t>C203 -SEDOP-170781</t>
  </si>
  <si>
    <t>LUMINÁRIA COM LÂMPADA DE LED 2X18W, DE EMBUTIR, COM REFLETOR PARABÓLICO ESPELHADO, ALETAS ESPELHADAS, LAMPADAS E DEMAIS ACESSÓRIOS, CONFORME ESPECIFICAÇÃO</t>
  </si>
  <si>
    <t>17.1.26</t>
  </si>
  <si>
    <t>C202 -SEDOP-170781</t>
  </si>
  <si>
    <t>Luminária para lâmpada de Aletada 62x62 de embutir, com refletor parabólico espelhado, COM LÂMPADA DE LED 4X10W, DE EMBUTIR, COM REFLETOR PARABÓLICO ESPELHADO, ALETAS ESPELHADAS, LAMPADAS E DEMAIS ACESSÓRIOS, CONFORME ESPECIFICAÇÃO</t>
  </si>
  <si>
    <t>17.1.27</t>
  </si>
  <si>
    <t>LUMINÁRIA ARANDELA TIPO TARTARUGA, DE SOBREPOR, COM 1 LÂMPADA LED DE 6 W, SEM REATOR - FORNECIMENTO E INSTALAÇÃO. AF_09/2024</t>
  </si>
  <si>
    <t>17.1.28</t>
  </si>
  <si>
    <t>16.123.000012.SER</t>
  </si>
  <si>
    <t>Luminária fluorescente completa industrial com 4 lâmpadas de 20 W, tipo calha de sobrepor</t>
  </si>
  <si>
    <t>17.1.29</t>
  </si>
  <si>
    <t>LÂMPADA TUBULAR LED DE 18/20 W, COM SOQUETE, BASE G13 - FORNECIMENTO E INSTALAÇÃO. AF_09/2024_PS</t>
  </si>
  <si>
    <t>17.1.30</t>
  </si>
  <si>
    <t>LUMINÁRIA DE EMERGÊNCIA, COM 30 LÂMPADAS LED DE 2 W, SEM REATOR - FORNECIMENTO E INSTALAÇÃO. AF_09/2024</t>
  </si>
  <si>
    <t>17.1.31</t>
  </si>
  <si>
    <t>C283-BASA -SINAPI</t>
  </si>
  <si>
    <t>LUMINÁRIA TIPO PLAFON ALUMINIO , 9,6X9,6CM PAR 20 10W</t>
  </si>
  <si>
    <t>und</t>
  </si>
  <si>
    <t>17.1.32</t>
  </si>
  <si>
    <t>C282-BASA -SINAPI</t>
  </si>
  <si>
    <t>Plafon De Embutir Microborda 13xø8,8cm Imo</t>
  </si>
  <si>
    <t>17.1.33</t>
  </si>
  <si>
    <t>C446-BASA</t>
  </si>
  <si>
    <t>LUMINÁRIA DE EMBUTIR FOCO FIXO DIFUSA ACAB. COR BRANCA P/01 LED, INCLUINDO LAMPADA DE LED</t>
  </si>
  <si>
    <t>17.1.34</t>
  </si>
  <si>
    <t>C447-BASA</t>
  </si>
  <si>
    <t>PENDENTE LED UP LIGHT ALUMÍNIO 53,4W, 3000K (2M)</t>
  </si>
  <si>
    <t>17.1.35</t>
  </si>
  <si>
    <t>C448-BASA</t>
  </si>
  <si>
    <t>PENDENTE LED UP LIGHT ALUMÍNIO 53,4W, 3000K (1,7M)</t>
  </si>
  <si>
    <t>17.1.36</t>
  </si>
  <si>
    <t>C449-BASA</t>
  </si>
  <si>
    <t xml:space="preserve">PENDENTE LED LINEAR 3000K 18W BIVOLT 300CM ALUMÍNIO PRETO - </t>
  </si>
  <si>
    <t>17.1.37</t>
  </si>
  <si>
    <t>C399-BASA-SEDOP-170778</t>
  </si>
  <si>
    <t>FITA LED 9,6W/M 8MM 120 LEDS/M12V 4000K 980LM/M IP20 120° 5MTS IRC80 CORTE A CADA 03 LEDS OPUS LED (FT 80013).</t>
  </si>
  <si>
    <t>17.1.38</t>
  </si>
  <si>
    <t>C450-BASA</t>
  </si>
  <si>
    <t>TRILHO SUIÇO COR BRANCA EMBUTIDO NO FORRO</t>
  </si>
  <si>
    <t>17.1.39</t>
  </si>
  <si>
    <t>C163-BASA-ORSE-13451</t>
  </si>
  <si>
    <t>PROGRAMADOR HORÁRIO COEL BIFÁSICO 16A PARA ACIONAMENTO DA ILUMINAÇÃO DO AUTO-ATENDIMENTO</t>
  </si>
  <si>
    <t>17.1.40</t>
  </si>
  <si>
    <t>C164-BASA</t>
  </si>
  <si>
    <t>CONTATOR 20A PARA ACIONAMENTO DA ILUMINAÇÃO DO AUTO-ATENDIMENTO</t>
  </si>
  <si>
    <t>17.2</t>
  </si>
  <si>
    <t>INSTALAÇÕES ELÉTRICAS PARA SISTEMA DE REFRIGERAÇÃO (NORMAL E ESSENCIAL)</t>
  </si>
  <si>
    <t>17.2.1</t>
  </si>
  <si>
    <t>DISJUNTOR BIPOLAR TIPO DIN, CORRENTE NOMINAL DE 16A - FORNECIMENTO E INSTALAÇÃO. AF_07/2025</t>
  </si>
  <si>
    <t>17.2.2</t>
  </si>
  <si>
    <t>DISJUNTOR BIPOLAR TIPO DIN, CORRENTE NOMINAL DE 20A - FORNECIMENTO E INSTALAÇÃO. AF_07/2025</t>
  </si>
  <si>
    <t>17.2.3</t>
  </si>
  <si>
    <t>DISJUNTOR BIPOLAR TIPO DIN, CORRENTE NOMINAL DE 25A - FORNECIMENTO E INSTALAÇÃO. AF_07/2025</t>
  </si>
  <si>
    <t>17.2.4</t>
  </si>
  <si>
    <t>DISJUNTOR TERMOMAGNÉTICO TRIPOLAR, CORRENTE NOMINAL DE 200A - FORNECIMENTO E INSTALAÇÃO. AF_07/2025</t>
  </si>
  <si>
    <t>17.2.5</t>
  </si>
  <si>
    <t>16.109.000104.SER</t>
  </si>
  <si>
    <t>Disjuntor tripolar compacto &gt; 100 A até 160 A com acionamento na porta do quadro de distribuição</t>
  </si>
  <si>
    <t>17.2.6</t>
  </si>
  <si>
    <t>C159-BASA</t>
  </si>
  <si>
    <t>ELETROCALHA 50X50X3000MM PERFURADA C/ 01 VIA, COM TAMPA, INCLUINDO ACESSÓRIOS E CONEX., SUPORTES DE FIXAÇÃO, ETC</t>
  </si>
  <si>
    <t xml:space="preserve">M     </t>
  </si>
  <si>
    <t>17.2.7</t>
  </si>
  <si>
    <t>ELETRODUTO RÍGIDO ROSCÁVEL, PVC, DN 25 MM (3/4"), PARA CIRCUITOS TERMINAIS, INSTALADO EM LAJE - FORNECIMENTO E INSTALAÇÃO. AF_03/2023</t>
  </si>
  <si>
    <t>17.2.8</t>
  </si>
  <si>
    <t>17.2.9</t>
  </si>
  <si>
    <t>16.113.000921.SER</t>
  </si>
  <si>
    <t>Perfilado liso em chapa de aço galvanizado # 22, largura 38 mm x altura 38 mm, com tampa, instalação superior</t>
  </si>
  <si>
    <t>17.2.10</t>
  </si>
  <si>
    <t>17.2.11</t>
  </si>
  <si>
    <t>17.2.12</t>
  </si>
  <si>
    <t>CAIXA RETANGULAR 4" X 4" BAIXA (0,30 M DO PISO), PVC, INSTALADA EM PAREDE - FORNECIMENTO E INSTALAÇÃO. AF_03/2023</t>
  </si>
  <si>
    <t>17.2.13</t>
  </si>
  <si>
    <t>17.2.14</t>
  </si>
  <si>
    <t>17.2.15</t>
  </si>
  <si>
    <t>CABO DE COBRE FLEXÍVEL ISOLADO, 6 MM², ANTI-CHAMA 450/750 V, PARA CIRCUITOS TERMINAIS - FORNECIMENTO E INSTALAÇÃO. AF_03/2023</t>
  </si>
  <si>
    <t>17.2.16</t>
  </si>
  <si>
    <t>17.2.17</t>
  </si>
  <si>
    <t>17.2.18</t>
  </si>
  <si>
    <t>CONTATOR TRIPOLAR I NOMINAL 38A - FORNECIMENTO E INSTALAÇÃO. AF_07/2025</t>
  </si>
  <si>
    <t>17.3</t>
  </si>
  <si>
    <t>SISTEMA DE PROTEÇÃO CONTRA DESCARGAS ATMOSFÉRICAS (SPDA) E ATERRAMENTO</t>
  </si>
  <si>
    <t>17.3.1</t>
  </si>
  <si>
    <t>ELETRODUTO PVC RÍGIDO, DIÂMETRO 40MM, COM 3 METROS, PARA SPDA - FORNECIMENTO E INSTALAÇÃO. AF_08/2023</t>
  </si>
  <si>
    <t>17.3.2</t>
  </si>
  <si>
    <t>C347-BASA-SEOP/PA-001.19.08.05</t>
  </si>
  <si>
    <t>ABRACADEIRA EM ACO PARA AMARRACAO DE ELETRODUTOS, TIPO D, COM 3/4" E CUNHA DE FIXACAO</t>
  </si>
  <si>
    <t>17.3.3</t>
  </si>
  <si>
    <t>HASTE DE ATERRAMENTO, DIÂMETRO 5/8", COM 3 METROS - FORNECIMENTO E INSTALAÇÃO. AF_08/2023</t>
  </si>
  <si>
    <t>17.3.4</t>
  </si>
  <si>
    <t>CAIXA DE INSPEÇÃO PARA ATERRAMENTO, CIRCULAR, EM POLIETILENO, DIÂMETRO INTERNO = 0,3 M. AF_12/2020</t>
  </si>
  <si>
    <t>17.3.5</t>
  </si>
  <si>
    <t>C139-BASA</t>
  </si>
  <si>
    <t>FORNECIMENTO E INSTALAÇÃO DE CABO #50 MM² NÚ</t>
  </si>
  <si>
    <t>17.3.6</t>
  </si>
  <si>
    <t>CORDOALHA DE COBRE NU 50 MM², ENTERRADA - FORNECIMENTO E INSTALAÇÃO. AF_08/2023</t>
  </si>
  <si>
    <t>17.3.7</t>
  </si>
  <si>
    <t>C351-BASA-ORSE-12740</t>
  </si>
  <si>
    <t>FORNECIMENTO E ASSENTAMENTO DE BARRA CHATA DE ALUMÍNIO DE 7/8" X 1/8"</t>
  </si>
  <si>
    <t>17.3.8</t>
  </si>
  <si>
    <t xml:space="preserve">C348-BASA-SEDOP-171125 </t>
  </si>
  <si>
    <t>CONECTOR DE MEDIÇÃO E EMENDA #50MM², FAB. TERMOTÉCNICA OU SIMILAR</t>
  </si>
  <si>
    <t>17.3.9</t>
  </si>
  <si>
    <t>C349-BASA-SEDOP-171299</t>
  </si>
  <si>
    <t>PONTO DE SOLDA EXOTÉRMICA</t>
  </si>
  <si>
    <t>17.3.10</t>
  </si>
  <si>
    <t>C145-BASA</t>
  </si>
  <si>
    <t>CAIXA DE ATERRAMENTO EM CONCRETO PRÉ-MOLDADO, DIAMETRO DE 0,30 M E ALTURA DE 0,35 M, SEM FUNDO E COM TAMPA</t>
  </si>
  <si>
    <t>17.3.11</t>
  </si>
  <si>
    <t>C350-BASA</t>
  </si>
  <si>
    <t>MEDIÇÃO DA RESISTÊNCIA DE TERRA
EQUIVALENTE DA MALHA DE ATERRAMENTO E
EMISSÃO DE RELATÓRIO</t>
  </si>
  <si>
    <t>17.4</t>
  </si>
  <si>
    <t>LÓGICA (CABEAMENTO ESTRUTURADO)</t>
  </si>
  <si>
    <t>17.4.1</t>
  </si>
  <si>
    <t>C177-BASA</t>
  </si>
  <si>
    <t>Rack fechado 19" 44Ux800mm, de profundidade em aço SAE 1010/1020, ref. RTS40870 (Triunfo ou similar), com 1 porta, 03 bandejas de apoio, 02  réguas de tomadas 2P+T c/chicote, 6 anéis de guia vertical, exaustor, etc., conforme padrão do Banco (P/ REDE)</t>
  </si>
  <si>
    <t>17.4.2</t>
  </si>
  <si>
    <t>C71-SINAPI</t>
  </si>
  <si>
    <t>ORGANIZAÇÃO DA FIAÇÃO INTERNA DO RACK NO CPD (REMOÇÃO DE PAT CORDS, TESTE DE CONTINUIDADE,DENT. DE CABOS, ETC)</t>
  </si>
  <si>
    <t>17.4.3</t>
  </si>
  <si>
    <t>C131-BASA</t>
  </si>
  <si>
    <t>INSTALAÇÃO DE RACK FECHADO 19",  P/ REDE OU SERVIDOR</t>
  </si>
  <si>
    <t>17.4.4</t>
  </si>
  <si>
    <t>C261-BASA</t>
  </si>
  <si>
    <t>FRENTE FALSA PAINEL DE FECHAMENTO FURUKAWA 1U PARA RACK 19 P</t>
  </si>
  <si>
    <t>17.4.5</t>
  </si>
  <si>
    <t>C262- SEDOP-171056</t>
  </si>
  <si>
    <t xml:space="preserve"> REGUA PARA RACK, COM 6 TOMADAS 2P+T 10A</t>
  </si>
  <si>
    <t>17.4.6</t>
  </si>
  <si>
    <t>QUADRO DE DISTRIBUICÃO PARA TELEFONE N.3, 40X40X12CM EM CHAPA METÁLICA, DE EMBUTIR, SEM ACESSÓRIOS, PADRÃO TELEBRAS - FORNECIMENTO E INSTALAÇÃO. AF_08/2025</t>
  </si>
  <si>
    <t>17.4.7</t>
  </si>
  <si>
    <t>QUADRO DE DISTRIBUIÇÃO DE ENERGIA EM CHAPA DE AÇO GALVANIZADO, DE EMBUTIR, COM BARRAMENTO TRIFÁSICO, PARA 12 DISJUNTORES DIN 100A - FORNECIMENTO E INSTALAÇÃO. AF_07/2025</t>
  </si>
  <si>
    <t>17.4.8</t>
  </si>
  <si>
    <t>C169-BASA (SEDOP-170690)</t>
  </si>
  <si>
    <t>PONTO DE LÓGICA COMPLETO-UTP (INCLUINDO CABO, CONEXÕES, TOMADA, CAIXA ELÉTRICA, ELETRODUTO PVC, RASGO, QUEBRA E CHUMBAMENTO)</t>
  </si>
  <si>
    <t>PT</t>
  </si>
  <si>
    <t>17.4.9</t>
  </si>
  <si>
    <t>CABO ELETRÔNICO CATEGORIA 5E, INSTALADO EM EDIFICAÇÃO INSTITUCIONAL - FORNECIMENTO E INSTALAÇÃO. AF_08/2025</t>
  </si>
  <si>
    <t>17.4.10</t>
  </si>
  <si>
    <t>PATCH PANEL 24 PORTAS, CATEGORIA 5E - FORNECIMENTO E INSTALAÇÃO. AF_08/2025</t>
  </si>
  <si>
    <t>17.4.11</t>
  </si>
  <si>
    <t>C204 -SEDOP-171189</t>
  </si>
  <si>
    <t>PATCH CABLE M8V CAT 5E 1,5M</t>
  </si>
  <si>
    <t>17.4.12</t>
  </si>
  <si>
    <t>C211-SEDOP-171189</t>
  </si>
  <si>
    <t>Patch cable M8V cat 5e 3,00m</t>
  </si>
  <si>
    <t>17.4.13</t>
  </si>
  <si>
    <t>C178-BASA</t>
  </si>
  <si>
    <t>Adaptação das Instalações de lógica no Mobiliário</t>
  </si>
  <si>
    <t>17.4.14</t>
  </si>
  <si>
    <t>CABO TELEFÔNICO CI-50 20 PARES INSTALADO EM ENTRADA DE EDIFICAÇÃO - FORNECIMENTO E INSTALAÇÃO. AF_08/2025</t>
  </si>
  <si>
    <t>17.4.15</t>
  </si>
  <si>
    <t>TOMADA DE REDE RJ45 - FORNECIMENTO E INSTALAÇÃO. AF_08/2025</t>
  </si>
  <si>
    <t>17.4.16</t>
  </si>
  <si>
    <t>C251-BASA</t>
  </si>
  <si>
    <t>FORNECIMENTO E INSTALAÇÃO DE BLOCO BARGOA 10P</t>
  </si>
  <si>
    <t>17.4.17</t>
  </si>
  <si>
    <t>CAIXA RETANGULAR 4" X 2" BAIXA (0,30 M DO PISO), PVC, INSTALADA EM PAREDE - FORNECIMENTO E INSTALAÇÃO. AF_03/2023</t>
  </si>
  <si>
    <t>17.4.18</t>
  </si>
  <si>
    <t>17.4.19</t>
  </si>
  <si>
    <t>CAIXA ENTERRADA ELÉTRICA RETANGULAR, EM ALVENARIA COM TIJOLOS CERÂMICOS MACIÇOS, FUNDO COM BRITA, DIMENSÕES INTERNAS: 0,4X0,4X0,4 M. AF_12/2020</t>
  </si>
  <si>
    <t>17.4.20</t>
  </si>
  <si>
    <t>ELETRODUTO RÍGIDO ROSCÁVEL, PVC, DN 60 MM (2"), PARA REDE ENTERRADA DE DISTRIBUIÇÃO DE ENERGIA ELÉTRICA - FORNECIMENTO E INSTALAÇÃO. AF_12/2021</t>
  </si>
  <si>
    <t>17.4.21</t>
  </si>
  <si>
    <t>16.111.001104.SER</t>
  </si>
  <si>
    <t>Eletroduto de aço carbono com costura galvanização eletrolítica inclusive conexões Ø 40 mm 1 1/2"</t>
  </si>
  <si>
    <t>17.4.22</t>
  </si>
  <si>
    <t>17.4.23</t>
  </si>
  <si>
    <t>17.4.24</t>
  </si>
  <si>
    <t>16.111.000902.SER</t>
  </si>
  <si>
    <t>Eletroduto de aço carbono com costura galvanização a fogo inclusive conexões Ø 25 mm 1"</t>
  </si>
  <si>
    <t>17.4.25</t>
  </si>
  <si>
    <t>16.111.000901.SER</t>
  </si>
  <si>
    <t>Eletroduto de aço carbono com costura galvanização a fogo inclusive conexões Ø 20 mm 3/4"</t>
  </si>
  <si>
    <t>17.4.26</t>
  </si>
  <si>
    <t>C158-BASA</t>
  </si>
  <si>
    <t>ELETROCALHA 100X50X3000MM PERFURADA C/ 01 VIA, COM TAMPA, INCLUINDO ACESSÓRIOS E CONEX., SUPORTES DE FIXAÇÃO, ETC</t>
  </si>
  <si>
    <t>17.4.27</t>
  </si>
  <si>
    <t>16.113.000341.SER</t>
  </si>
  <si>
    <t>Eletrocalha lisa em chapa de aço galvanizado # 22, tipo "U", com tampa largura 50 mm x altura 25 mm, instalação superior</t>
  </si>
  <si>
    <t>17.4.28</t>
  </si>
  <si>
    <t>C260-ORSE-11402</t>
  </si>
  <si>
    <t>CANALETA VETILADA EM PVC 80X100X2000MM</t>
  </si>
  <si>
    <t>17.4.29</t>
  </si>
  <si>
    <t>C199 -SINAPI</t>
  </si>
  <si>
    <t>CURVA FG 135° Ø3"</t>
  </si>
  <si>
    <t>17.4.30</t>
  </si>
  <si>
    <t>C200 -SINAPI</t>
  </si>
  <si>
    <t>BUCHA E ARRUELA DE ALUMÍNIO Ø3"</t>
  </si>
  <si>
    <t>17.4.31</t>
  </si>
  <si>
    <t>C201 -SINAPI</t>
  </si>
  <si>
    <t>LUVA FG Ø3"</t>
  </si>
  <si>
    <t>17.4.32</t>
  </si>
  <si>
    <t>C171-BASA</t>
  </si>
  <si>
    <t>ARAME RECOZIDO</t>
  </si>
  <si>
    <t xml:space="preserve">KG    </t>
  </si>
  <si>
    <t>17.4.33</t>
  </si>
  <si>
    <t xml:space="preserve">C142-BASA-SEDOP-171034 </t>
  </si>
  <si>
    <t>Proteção contra surto Classe II,1P,20KA,175V</t>
  </si>
  <si>
    <t>17.5</t>
  </si>
  <si>
    <t>ELÉTRICA DA LÓGICA (QD-BEM, QD-EST, QD-NB)</t>
  </si>
  <si>
    <t>17.5.1</t>
  </si>
  <si>
    <t>QUADRO DE DISTRIBUIÇÃO DE ENERGIA EM CHAPA DE AÇO GALVANIZADO, DE SOBREPOR, COM BARRAMENTO TRIFÁSICO, PARA 18 DISJUNTORES DIN 100A - FORNECIMENTO E INSTALAÇÃO. AF_07/2025</t>
  </si>
  <si>
    <t>17.5.2</t>
  </si>
  <si>
    <t>QUADRO DE DISTRIBUIÇÃO DE ENERGIA EM CHAPA DE AÇO GALVANIZADO, DE EMBUTIR, COM BARRAMENTO TRIFÁSICO, PARA 24 DISJUNTORES DIN 100A - FORNECIMENTO E INSTALAÇÃO. AF_07/2025</t>
  </si>
  <si>
    <t>17.5.3</t>
  </si>
  <si>
    <t>QUADRO DE DISTRIBUIÇÃO DE ENERGIA EM CHAPA DE AÇO GALVANIZADO, DE EMBUTIR, COM BARRAMENTO TRIFÁSICO, PARA 30 DISJUNTORES DIN 150A - FORNECIMENTO E INSTALAÇÃO. AF_07/2025</t>
  </si>
  <si>
    <t>17.5.4</t>
  </si>
  <si>
    <t>QUADRO DE DISTRIBUIÇÃO DE ENERGIA EM CHAPA DE AÇO GALVANIZADO, DE EMBUTIR, COM BARRAMENTO TRIFÁSICO, PARA 30 DISJUNTORES DIN 225A - FORNECIMENTO E INSTALAÇÃO. AF_07/2025</t>
  </si>
  <si>
    <t>17.5.5</t>
  </si>
  <si>
    <t>QUADRO DE DISTRIBUIÇÃO DE ENERGIA EM CHAPA DE AÇO GALVANIZADO, DE EMBUTIR, COM BARRAMENTO TRIFÁSICO, PARA 40 DISJUNTORES DIN 100A - FORNECIMENTO E INSTALAÇÃO. AF_07/2025</t>
  </si>
  <si>
    <t>17.5.6</t>
  </si>
  <si>
    <t>DISJUNTOR MONOPOLAR TIPO DIN, CORRENTE NOMINAL DE 10A - FORNECIMENTO E INSTALAÇÃO. AF_07/2025</t>
  </si>
  <si>
    <t>17.5.7</t>
  </si>
  <si>
    <t>DISJUNTOR MONOPOLAR TIPO DIN, CORRENTE NOMINAL DE 16A - FORNECIMENTO E INSTALAÇÃO. AF_07/2025</t>
  </si>
  <si>
    <t>17.5.8</t>
  </si>
  <si>
    <t>DISJUNTOR MONOPOLAR TIPO DIN, CORRENTE NOMINAL DE 20A - FORNECIMENTO E INSTALAÇÃO. AF_07/2025</t>
  </si>
  <si>
    <t>17.5.9</t>
  </si>
  <si>
    <t>17.5.10</t>
  </si>
  <si>
    <t>DISJUNTOR BIPOLAR TIPO DIN, CORRENTE NOMINAL DE 50A - FORNECIMENTO E INSTALAÇÃO. AF_07/2025</t>
  </si>
  <si>
    <t>17.5.11</t>
  </si>
  <si>
    <t>DISJUNTOR TRIPOLAR TIPO DIN, CORRENTE NOMINAL DE 40A - FORNECIMENTO E INSTALAÇÃO. AF_07/2025</t>
  </si>
  <si>
    <t>17.5.12</t>
  </si>
  <si>
    <t>DISJUNTOR TRIPOLAR TIPO NEMA, CORRENTE NOMINAL DE 60 ATÉ 100A - FORNECIMENTO E INSTALAÇÃO. AF_07/2025</t>
  </si>
  <si>
    <t>17.5.13</t>
  </si>
  <si>
    <t>CABO DE COBRE FLEXÍVEL ISOLADO, 10 MM², ANTI-CHAMA 450/750 V, PARA CIRCUITOS TERMINAIS - FORNECIMENTO E INSTALAÇÃO. AF_03/2023</t>
  </si>
  <si>
    <t>17.5.14</t>
  </si>
  <si>
    <t>17.5.15</t>
  </si>
  <si>
    <t>17.5.16</t>
  </si>
  <si>
    <t>CABO DE COBRE FLEXÍVEL ISOLADO, 2,5 MM², ANTI-CHAMA 0,6/1,0 KV, PARA CIRCUITOS TERMINAIS - FORNECIMENTO E INSTALAÇÃO. AF_03/2023</t>
  </si>
  <si>
    <t>17.5.17</t>
  </si>
  <si>
    <t>C229-BASA</t>
  </si>
  <si>
    <t>CHAVE COMUTADORA 63A, 4 POLOS DE 3 POSIÇÕES</t>
  </si>
  <si>
    <t>17.5.18</t>
  </si>
  <si>
    <t>16.109.000204.SER</t>
  </si>
  <si>
    <t>Chave seccionadora tripolar 63 A, manobra com carga, acionamento frontal rotativo, montado na porta do quadro de distribuição</t>
  </si>
  <si>
    <t>17.5.19</t>
  </si>
  <si>
    <t>16.109.000203.SER</t>
  </si>
  <si>
    <t>Chave seccionadora tripolar 50 A, manobra com carga, acionamento frontal rotativo, montado na porta do quadro de distribuição</t>
  </si>
  <si>
    <t>17.5.20</t>
  </si>
  <si>
    <t>16.109.000201.SER</t>
  </si>
  <si>
    <t>Chave seccionadora tripolar 25 A, manobra com carga, acionamento frontal rotativo, montado na porta do quadro de distribuição</t>
  </si>
  <si>
    <t>17.5.21</t>
  </si>
  <si>
    <t>C155-BASA</t>
  </si>
  <si>
    <t>CHAVE SELETORA P/ INSTRUMENTO DE MEDIÇÃO 03 POSIÇÕES</t>
  </si>
  <si>
    <t>17.5.22</t>
  </si>
  <si>
    <t>C150-BASA</t>
  </si>
  <si>
    <t>SUPRESSOR DE TRANSIENTE TIPO VCL 175 40KA, FAB. CLAMPER OU SIMILAR (03 FASES+NEUTRO)</t>
  </si>
  <si>
    <t>17.5.23</t>
  </si>
  <si>
    <t>C151-BASA-ORSE-11847</t>
  </si>
  <si>
    <t>TRANSFORMADOR DE CORRENTE (TC) 400:5A PARA INSTRUMENTOS DE MEDIÇÃO</t>
  </si>
  <si>
    <t>17.5.24</t>
  </si>
  <si>
    <t>C152-BASA</t>
  </si>
  <si>
    <t>TRANSFORMADOR DE CORRENTE (TC) 200:5A PARA INSTRUMENTOS DE MEDIÇÃO</t>
  </si>
  <si>
    <t>17.5.25</t>
  </si>
  <si>
    <t>C153-BASA</t>
  </si>
  <si>
    <t>VOLTÍMETRO 0-500V RS,ST,TR</t>
  </si>
  <si>
    <t>17.5.26</t>
  </si>
  <si>
    <t>C154-BASA</t>
  </si>
  <si>
    <t>AMPERÍMETRO 0-300A R,S,T</t>
  </si>
  <si>
    <t>17.5.27</t>
  </si>
  <si>
    <t>17.5.28</t>
  </si>
  <si>
    <t>17.5.29</t>
  </si>
  <si>
    <t>17.5.30</t>
  </si>
  <si>
    <t>17.5.31</t>
  </si>
  <si>
    <t>16.111.000015.SER</t>
  </si>
  <si>
    <t>Canaleta em PVC para instalação elétrica aparente inclusive conexões 50 x 20 mm</t>
  </si>
  <si>
    <t>17.5.32</t>
  </si>
  <si>
    <t>C172-BASA</t>
  </si>
  <si>
    <t>Conduíte flexível "seal tubes" 3/4" e
acessórios</t>
  </si>
  <si>
    <t>17.5.33</t>
  </si>
  <si>
    <t>17.5.34</t>
  </si>
  <si>
    <t>17.5.35</t>
  </si>
  <si>
    <t>17.5.36</t>
  </si>
  <si>
    <t>SERVIÇOS FINAIS DAS INSTALAÇÕES ELÉTRICAS</t>
  </si>
  <si>
    <t>17.6.1</t>
  </si>
  <si>
    <t>C174-BASA-ORSE-00698</t>
  </si>
  <si>
    <t>IDENTIFICAÇÃO DE TODOS OS ELEMENTOS DO SISTEMA ELÉTRICO, COM ETIQUETAS DE LONGA DURABILIDADE, ANILHAS E ETC</t>
  </si>
  <si>
    <t>17.6.2</t>
  </si>
  <si>
    <t>C104-BASA</t>
  </si>
  <si>
    <t>DESINSTAÇÃO E EMBALAGEM DE CENTRAL TELEFONICA</t>
  </si>
  <si>
    <t>17.6.3</t>
  </si>
  <si>
    <t>C106-BASA</t>
  </si>
  <si>
    <t>DESINSTALAÇÃO DE RACK DO CPD</t>
  </si>
  <si>
    <t>17.6.4</t>
  </si>
  <si>
    <t>C103-SEDOP-170510</t>
  </si>
  <si>
    <t>DESINSTALAÇÃO DE GRUPO GERADOR, TANQUE E QUADRO DE COMANDO - USCA</t>
  </si>
  <si>
    <t>17.6.5</t>
  </si>
  <si>
    <t>C89-BASA</t>
  </si>
  <si>
    <t>DESINSTALAÇÃO DE NO-BREAKS</t>
  </si>
  <si>
    <t>17.6.6</t>
  </si>
  <si>
    <t>C133-BASA</t>
  </si>
  <si>
    <t>REMANEJAMENTO DO GERENCIADOR DE ENERGIA, INCLUINDO SUA INSTALAÇÃO NO CPD E OS TC'S NO ABRIGO DO GRUPO GERADOR</t>
  </si>
  <si>
    <t>17.6.7</t>
  </si>
  <si>
    <t>C134-BASA</t>
  </si>
  <si>
    <t>DESINSTALAÇÃO, TRANSPORTE E REINSTALAÇÃO DE GRUPO GERADOR 60KVA E QUADRO DE COMANDO (USCA) NA NOVA SEDE</t>
  </si>
  <si>
    <t>17.6.8</t>
  </si>
  <si>
    <t>C219-BASA</t>
  </si>
  <si>
    <t>Manutenção preventiva e corretiva do Grupo gerador com troca de óleo 15W40, filtro lubrificante, aditivo p/ tanque, aditivo radiador, sensor de temperatura,filtros de combustível, filtro de ar</t>
  </si>
  <si>
    <t>17.6.9</t>
  </si>
  <si>
    <t>C367-BASA</t>
  </si>
  <si>
    <t>FORNECIMENTO INSTALAÇÃO DE BATERIA SELADA, VRLA, 12V/7AH</t>
  </si>
  <si>
    <t>17.6.10</t>
  </si>
  <si>
    <t>C368-BASA</t>
  </si>
  <si>
    <t>FORNECIMENTO INSTALAÇÃO DE BATERIA SELADA, VRLA, 12V/9AH</t>
  </si>
  <si>
    <t>17.6.11</t>
  </si>
  <si>
    <t>C369-BASA</t>
  </si>
  <si>
    <t>FORNECIMENTO INSTALAÇÃO DE BATERIA SELADA, VRLA, 12V/18AH</t>
  </si>
  <si>
    <t>17.6.12</t>
  </si>
  <si>
    <t>C370-BASA</t>
  </si>
  <si>
    <t xml:space="preserve">FORNECIMENTO E INSTALAÇÃO DE PLACA SNMP DE GERENCIAMENTO REMOTO DE NO-BREAK DE 6 E 8 KVA VIA REDE ETHERNET </t>
  </si>
  <si>
    <t>17.6.13</t>
  </si>
  <si>
    <t>C371-BASA</t>
  </si>
  <si>
    <t>FORNECIMENTO E INSTALAÇÃO DE PLACA ELETRÔNICA DO CARREGADOR/RETIFICADOR DE NO-BREAK DE 6 KVA</t>
  </si>
  <si>
    <t>17.6.14</t>
  </si>
  <si>
    <t>C372-BASA</t>
  </si>
  <si>
    <t>FORNECIMENTO E INSTALAÇÃO DE PLACA ELETRÔNICA DO CARREGADOR/RETIFICADOR DE NO-BREAK DE 8 KVA</t>
  </si>
  <si>
    <t>17.6.15</t>
  </si>
  <si>
    <t>C373-BASA</t>
  </si>
  <si>
    <t>FORNECIMENTO E INSTALAÇÃO DE KIT DE POTÊNCIA (PLACA DE POTÊNCIA+PLACA LÓGICA) DE NO-BREAK DE 6 KVA</t>
  </si>
  <si>
    <t>17.6.16</t>
  </si>
  <si>
    <t>C374-BASA</t>
  </si>
  <si>
    <t>FORNECIMENTO E INSTALAÇÃO DE KIT DE POTÊNCIA (PLACA DE POTÊNCIA+PLACA LÓGICA) DE NO-BREAK DE 8 KVA</t>
  </si>
  <si>
    <t>17.6.17</t>
  </si>
  <si>
    <t>C212-SEDOP-171057</t>
  </si>
  <si>
    <t xml:space="preserve"> Regua para as estações de trabalho 3m, com 4 tomadas 2P+T 10A</t>
  </si>
  <si>
    <t>18.1.1</t>
  </si>
  <si>
    <t>RASGO LINEAR MANUAL EM ALVENARIA, PARA ELETRODUTOS, DIÂMETROS MENORES OU IGUAIS A 40 MM. AF_09/2023</t>
  </si>
  <si>
    <t>18.1.2</t>
  </si>
  <si>
    <t>RASGO LINEAR MANUAL EM ALVENARIA, PARA RAMAIS/ DISTRIBUIÇÃO DE INSTALAÇÕES HIDRÁULICAS, DIÂMETROS MAIORES QUE 40 MM E MENORES OU IGUAIS A 75 MM. AF_09/2023</t>
  </si>
  <si>
    <t>18.1.3</t>
  </si>
  <si>
    <t>RASGO LINEAR MECANIZADO EM CONTRAPISO, PARA RAMAIS/ DISTRIBUIÇÃO DE INSTALAÇÕES HIDRÁULICAS, DIÂMETROS MAIORES QUE 40 MM E MENORES OU IGUAIS A 75 MM. AF_09/2023_PS</t>
  </si>
  <si>
    <t>18.1.4</t>
  </si>
  <si>
    <t>C218-SEDOP-180299</t>
  </si>
  <si>
    <t>Ponto de agua fria (incl. tubos e conexoes)</t>
  </si>
  <si>
    <t>18.1.5</t>
  </si>
  <si>
    <t>C214-SEDOP-180214</t>
  </si>
  <si>
    <t>Ponto de esgoto (incl. tubos, conexoes,cx. e ralos)</t>
  </si>
  <si>
    <t>18.1.6</t>
  </si>
  <si>
    <t>C375-BASA-SINAPI-104660-Mai/24</t>
  </si>
  <si>
    <t>CONJUNTO DE PONTOS HIDRÁULICOS DE ÁGUA FRIA PARA BANHEIRO (RAMAL/SUB-RAMAL E DISTRIBUIÇÃO) EM PVC, COM TUBOS, CONEXÕES, REGISTROS, CORTES E FIXAÇÕES EM PRÉDIO COM TUBULAÇÕES EMBUTIDAS COM RASGO.</t>
  </si>
  <si>
    <t>18.1.7</t>
  </si>
  <si>
    <t>18.1.8</t>
  </si>
  <si>
    <t>13.119.000138.SER</t>
  </si>
  <si>
    <t>Registro de pressão com canopla Ø 15 mm - 1/2"</t>
  </si>
  <si>
    <t>18.1.9</t>
  </si>
  <si>
    <t>13.119.000142.SER</t>
  </si>
  <si>
    <t>Registro de pressão com canopla Ø 20 mm - 3/4"</t>
  </si>
  <si>
    <t>18.1.10</t>
  </si>
  <si>
    <t>JOELHO 90 GRAUS, PVC, SOLDÁVEL, DN 20MM, INSTALADO EM RAMAL OU SUB-RAMAL DE ÁGUA - FORNECIMENTO E INSTALAÇÃO. AF_06/2022</t>
  </si>
  <si>
    <t>18.1.11</t>
  </si>
  <si>
    <t>JOELHO 90 GRAUS, PVC, SOLDÁVEL, DN 25MM, INSTALADO EM RAMAL OU SUB-RAMAL DE ÁGUA - FORNECIMENTO E INSTALAÇÃO. AF_06/2022</t>
  </si>
  <si>
    <t>18.1.12</t>
  </si>
  <si>
    <t>JOELHO 90 GRAUS COM BUCHA DE LATÃO, PVC, SOLDÁVEL, DN 25MM, X 3/4 INSTALADO EM RAMAL OU SUB-RAMAL DE ÁGUA - FORNECIMENTO E INSTALAÇÃO. AF_06/2022</t>
  </si>
  <si>
    <t>18.1.13</t>
  </si>
  <si>
    <t>18.1.14</t>
  </si>
  <si>
    <t>JOELHO 90 GRAUS, PVC, SOLDÁVEL, DN 32MM, INSTALADO EM RAMAL OU SUB-RAMAL DE ÁGUA - FORNECIMENTO E INSTALAÇÃO. AF_06/2022</t>
  </si>
  <si>
    <t>18.1.15</t>
  </si>
  <si>
    <t>JOELHO 90 GRAUS, PVC, SOLDÁVEL, DN 40MM, INSTALADO EM PRUMADA DE ÁGUA - FORNECIMENTO E INSTALAÇÃO. AF_06/2022</t>
  </si>
  <si>
    <t>18.1.16</t>
  </si>
  <si>
    <t>JOELHO 90 GRAUS, ROSCA FÊMEA TERMINAL, PARA INSTALAÇÕES EM PEX ÁGUA, DN 20MM X 1/2", CONEXÃO POR CRIMPAGEM - FORNECIMENTO E INSTALAÇÃO. AF_02/2023</t>
  </si>
  <si>
    <t>18.1.17</t>
  </si>
  <si>
    <t>JOELHO 90 GRAUS COM BUCHA DE LATÃO, PVC, SOLDÁVEL, DN 25MM, X 1/2 INSTALADO EM RAMAL OU SUB-RAMAL DE ÁGUA - FORNECIMENTO E INSTALAÇÃO. AF_06/2022</t>
  </si>
  <si>
    <t>18.1.18</t>
  </si>
  <si>
    <t>CURVA 90 GRAUS, PVC, SOLDÁVEL, DN 32MM, INSTALADO EM RAMAL OU SUB-RAMAL DE ÁGUA - FORNECIMENTO E INSTALAÇÃO. AF_06/2022</t>
  </si>
  <si>
    <t>18.1.19</t>
  </si>
  <si>
    <t>ADAPTADOR CURTO COM BOLSA E ROSCA PARA REGISTRO, PVC, SOLDÁVEL, DN 32MM X 1, INSTALADO EM RAMAL OU SUB-RAMAL DE ÁGUA - FORNECIMENTO E INSTALAÇÃO. AF_06/2022</t>
  </si>
  <si>
    <t>18.1.20</t>
  </si>
  <si>
    <t>TUBO, PVC, SOLDÁVEL, DE 20MM, INSTALADO EM RAMAL DE DISTRIBUIÇÃO DE ÁGUA - FORNECIMENTO E INSTALAÇÃO. AF_06/2022</t>
  </si>
  <si>
    <t>18.1.21</t>
  </si>
  <si>
    <t>TUBO, PVC, SOLDÁVEL, DE 25MM, INSTALADO EM RAMAL DE DISTRIBUIÇÃO DE ÁGUA - FORNECIMENTO E INSTALAÇÃO. AF_06/2022</t>
  </si>
  <si>
    <t>18.1.22</t>
  </si>
  <si>
    <t>TUBO, PVC, SOLDÁVEL, DE 32MM, INSTALADO EM RAMAL DE DISTRIBUIÇÃO DE ÁGUA - FORNECIMENTO E INSTALAÇÃO. AF_06/2022</t>
  </si>
  <si>
    <t>18.1.23</t>
  </si>
  <si>
    <t>TUBO, PVC, SOLDÁVEL, DE 40MM, INSTALADO EM PRUMADA DE ÁGUA - FORNECIMENTO E INSTALAÇÃO. AF_06/2022</t>
  </si>
  <si>
    <t>18.1.24</t>
  </si>
  <si>
    <t>TUBO PVC, SERIE NORMAL, ESGOTO PREDIAL, DN 40 MM, FORNECIDO E INSTALADO EM RAMAL DE DESCARGA OU RAMAL DE ESGOTO SANITÁRIO. AF_08/2022</t>
  </si>
  <si>
    <t>18.1.25</t>
  </si>
  <si>
    <t>TUBO PVC, SERIE NORMAL, ESGOTO PREDIAL, DN 50 MM, FORNECIDO E INSTALADO EM RAMAL DE DESCARGA OU RAMAL DE ESGOTO SANITÁRIO. AF_08/2022</t>
  </si>
  <si>
    <t>18.1.26</t>
  </si>
  <si>
    <t>TUBO PVC, SERIE NORMAL, ESGOTO PREDIAL, DN 100 MM, FORNECIDO E INSTALADO EM RAMAL DE DESCARGA OU RAMAL DE ESGOTO SANITÁRIO. AF_08/2022</t>
  </si>
  <si>
    <t>18.1.27</t>
  </si>
  <si>
    <t>BUCHA DE REDUÇÃO, CPVC, SOLDÁVEL, DN35MM X 28MM, INSTALADO EM RAMAL OU SUB-RAMAL DE ÁGUA FORNECIMENTO E INSTALAÇÃO. AF_06/2022</t>
  </si>
  <si>
    <t>18.1.28</t>
  </si>
  <si>
    <t>BUCHA DE REDUÇÃO, CPVC, SOLDÁVEL, DN 28MM X 22MM, INSTALADO EM RAMAL DE DISTRIBUIÇÃO DE ÁGUA - FORNECIMENTO E INSTALAÇÃO. AF_06/2022</t>
  </si>
  <si>
    <t>18.1.29</t>
  </si>
  <si>
    <t>BUCHA DE REDUÇÃO, LONGA, PVC, SOLDÁVEL, DN 40 X 25 MM, INSTALADO EM PRUMADA DE ÁGUA - FORNECIMENTO E INSTALAÇÃO. AF_06/2022</t>
  </si>
  <si>
    <t>18.1.30</t>
  </si>
  <si>
    <t>RALO SIFONADO, PVC, DN 100 X 40 MM, JUNTA SOLDÁVEL, FORNECIDO E INSTALADO EM RAMAL DE DESCARGA OU EM RAMAL DE ESGOTO SANITÁRIO. AF_08/2022</t>
  </si>
  <si>
    <t>18.1.31</t>
  </si>
  <si>
    <t>CAIXA SIFONADA, PVC, DN 150 X 185 X 75 MM, FORNECIDA E INSTALADA EM RAMAIS DE ENCAMINHAMENTO DE ÁGUA PLUVIAL. AF_06/2022</t>
  </si>
  <si>
    <t>18.1.32</t>
  </si>
  <si>
    <t>18.1.33</t>
  </si>
  <si>
    <t>REGISTRO DE GAVETA BRUTO, LATÃO, ROSCÁVEL, 1/2", COM ACABAMENTO E CANOPLA CROMADOS - FORNECIMENTO E INSTALAÇÃO. AF_08/2021</t>
  </si>
  <si>
    <t>18.1.34</t>
  </si>
  <si>
    <t>13.119.000060.SER</t>
  </si>
  <si>
    <t>Registro de gaveta com canopla Ø 20 mm - 3/4"</t>
  </si>
  <si>
    <t>18.1.35</t>
  </si>
  <si>
    <t>REGISTRO DE GAVETA BRUTO, LATÃO, ROSCÁVEL, 1 1/4" - FORNECIMENTO E INSTALAÇÃO. AF_08/2021</t>
  </si>
  <si>
    <t>18.1.36</t>
  </si>
  <si>
    <t>TÊ DE REDUÇÃO, PVC, SOLDÁVEL, DN 32 MM X 25 MM, INSTALADO EM RESERVAÇÃO PREDIAL DE ÁGUA - FORNECIMENTO E INSTALAÇÃO. AF_04/2024</t>
  </si>
  <si>
    <t>18.1.37</t>
  </si>
  <si>
    <t>TÊ DE REDUÇÃO, PVC, SOLDÁVEL, DN 40 MM X 32 MM, INSTALADO EM RESERVAÇÃO PREDIAL DE ÁGUA - FORNECIMENTO E INSTALAÇÃO. AF_04/2024</t>
  </si>
  <si>
    <t>18.1.38</t>
  </si>
  <si>
    <t>13.102.000370.SER</t>
  </si>
  <si>
    <t>Tê 90° de redução soldável PVC Ø 25 x 20 mm</t>
  </si>
  <si>
    <t>18.1.39</t>
  </si>
  <si>
    <t>13.102.000451.SER</t>
  </si>
  <si>
    <t>Tê 90° soldável/rosca PVC Ø 25 mm x 25 mm x 1/2"</t>
  </si>
  <si>
    <t>18.1.40</t>
  </si>
  <si>
    <t>TE, PVC, SOLDÁVEL, DN 25MM, INSTALADO EM RAMAL OU SUB-RAMAL DE ÁGUA - FORNECIMENTO E INSTALAÇÃO. AF_06/2022</t>
  </si>
  <si>
    <t>18.1.41</t>
  </si>
  <si>
    <t>BUCHA DE REDUÇÃO LONGA, PVC, SERIE R, ÁGUA PLUVIAL, DN 50 X 40 MM, JUNTA ELÁSTICA, FORNECIDO E INSTALADO EM RAMAL DE ENCAMINHAMENTO. AF_06/2022</t>
  </si>
  <si>
    <t>18.1.42</t>
  </si>
  <si>
    <t>C236-BASA</t>
  </si>
  <si>
    <t xml:space="preserve">ANEL DE VEDAÇÃO PARA VASO SANITÁRIO </t>
  </si>
  <si>
    <t>18.1.43</t>
  </si>
  <si>
    <t>CAIXA SIFONADA, PVC, DN 100 X 100 X 50 MM, JUNTA ELÁSTICA, FORNECIDA E INSTALADA EM RAMAL DE DESCARGA OU EM RAMAL DE ESGOTO SANITÁRIO. AF_08/2022</t>
  </si>
  <si>
    <t>18.1.44</t>
  </si>
  <si>
    <t>C59-BASA-ORSE-12637</t>
  </si>
  <si>
    <t>LIMPEZA E ESGOTAMENTO DE FOSSA EXISTENTE ATÉ 5M³</t>
  </si>
  <si>
    <t>18.2</t>
  </si>
  <si>
    <t>EQUIPAMENTOS SANITÁRIOS E DE COZINHA</t>
  </si>
  <si>
    <t>18.2.1</t>
  </si>
  <si>
    <t>C337-BASA-ORSE-07215</t>
  </si>
  <si>
    <t>REMOÇÃO DE METAIS SANITÁRIOS (TORNEIRA, REGISTROS, CHUVEIROS, ETC.)</t>
  </si>
  <si>
    <t>18.2.2</t>
  </si>
  <si>
    <t>C35-BASA</t>
  </si>
  <si>
    <t>FIXAÇÃO DE PAPELEIRA DE PAREDE NA ALTURA CORRETA</t>
  </si>
  <si>
    <t>18.2.3</t>
  </si>
  <si>
    <t>C36-BASA</t>
  </si>
  <si>
    <t>FIXAÇÃO DE ESPELHO DE PAREDE NA ALTURA CORRETA</t>
  </si>
  <si>
    <t>18.2.4</t>
  </si>
  <si>
    <t>C258-SINAPI-86933</t>
  </si>
  <si>
    <t>REINSTALAÇÃO DE BANCADA EM GRANITO COM DUAS CUBAS, COM SUBSTITUIÇÃO DE VÁLVULA DE METAL CROMADO E SIFÃO TIPO GARRAFA EM PVC</t>
  </si>
  <si>
    <t>18.2.5</t>
  </si>
  <si>
    <t>C51-SINAPI-95471</t>
  </si>
  <si>
    <t>INSTALAÇÃO DE APARELHOS SANITÁRIOS</t>
  </si>
  <si>
    <t>18.2.6</t>
  </si>
  <si>
    <t>C257-SINAPI-95469</t>
  </si>
  <si>
    <t>INSTALAÇÃO DE VASO SANITÁRIO SINFONADA</t>
  </si>
  <si>
    <t>18.2.7</t>
  </si>
  <si>
    <t>18.2.8</t>
  </si>
  <si>
    <t>C235-BASA-SINAPI-100849</t>
  </si>
  <si>
    <t>ASSENTO SANITÁRIO PLÁSTICO ALMOFADADO</t>
  </si>
  <si>
    <t>18.2.9</t>
  </si>
  <si>
    <t>C31-BASA-SINAPI-100849</t>
  </si>
  <si>
    <t xml:space="preserve">FORNECIMENTO E INSTALAÇÃO DE ASSENTO SANITÁRIO EM POLIPROPILENO </t>
  </si>
  <si>
    <t>18.2.10</t>
  </si>
  <si>
    <t>18.2.11</t>
  </si>
  <si>
    <t>C362-BASA-ORSE-07759</t>
  </si>
  <si>
    <t>LAVATÓRIO LOUÇA (DECA-LINHA VOGUE PLUS CONFORTO, REF L-510 OU SIMILAR) COM COLUNA SUSPENSA, (DECA, LINHA VOGUE PLUS CONFORTO, REF. C-510 OU SIMILAR), C/ SIFÃO CROMADO, VÁLVULA CROMADA, ENGATE CROMADO, EXCLUSIVE TORNEIRA</t>
  </si>
  <si>
    <t>18.2.12</t>
  </si>
  <si>
    <t>18.2.13</t>
  </si>
  <si>
    <t>18.2.14</t>
  </si>
  <si>
    <t>27.107.000100.SER</t>
  </si>
  <si>
    <t>Espelho cristal para sanitário # 5 mm</t>
  </si>
  <si>
    <t>18.2.15</t>
  </si>
  <si>
    <t>18.2.16</t>
  </si>
  <si>
    <t>C193 - BASA</t>
  </si>
  <si>
    <t>Papeleira plástica tipo dispenser para papel higiênico rolão</t>
  </si>
  <si>
    <t>18.2.17</t>
  </si>
  <si>
    <t>C27-BASA</t>
  </si>
  <si>
    <t>FORNECIMENTO E INSTALAÇÃO DE PAPELEIRA PLÁSTICA TIPO PORTA TOALHA</t>
  </si>
  <si>
    <t>18.2.18</t>
  </si>
  <si>
    <t>18.2.19</t>
  </si>
  <si>
    <t>18.2.20</t>
  </si>
  <si>
    <t>26.108.000090.SER</t>
  </si>
  <si>
    <t>Ducha manual</t>
  </si>
  <si>
    <t>18.2.21</t>
  </si>
  <si>
    <t>18.2.22</t>
  </si>
  <si>
    <t>18.2.23</t>
  </si>
  <si>
    <t>C32-BASA</t>
  </si>
  <si>
    <t>FORNECIMENTO E INSTALAÇÃO DE PORTA OBJETO EM VIDRO INCOLOR DE 10X50CM</t>
  </si>
  <si>
    <t>18.2.24</t>
  </si>
  <si>
    <t>C34-BASA</t>
  </si>
  <si>
    <t>FORNECIMENTO E INSTALAÇÃO DE CABIDE/GANCHO EM METAL CROMADO</t>
  </si>
  <si>
    <t>18.2.25</t>
  </si>
  <si>
    <t xml:space="preserve">C304-BASA-SEDOP-190231 </t>
  </si>
  <si>
    <t>Chuveiro em metal cromado</t>
  </si>
  <si>
    <t>18.2.26</t>
  </si>
  <si>
    <t>18.2.27</t>
  </si>
  <si>
    <t>18.2.28</t>
  </si>
  <si>
    <t>18.2.29</t>
  </si>
  <si>
    <t>C85-BASA-ORSE-03692</t>
  </si>
  <si>
    <t>FORNECIMENTO E INSTALAÇÃO DE TORNEIRA CROMADA DE LAVATÓRIO TIPO MONOCOMANDO COM CICLO DE FECHAMENTO AUTOMÁTICO, FAB. DECA, MOLDEO DECAMATIC, REF. 1170C</t>
  </si>
  <si>
    <t>18.2.30</t>
  </si>
  <si>
    <t>13.117.000010.SER</t>
  </si>
  <si>
    <t>Válvula de descarga metálica com registro acoplado e canopla Ø 32 mm - 1 1/4" ou 40 mm - 1 1/2"</t>
  </si>
  <si>
    <t>18.2.31</t>
  </si>
  <si>
    <t>C352-BASA-ORSE-
03712</t>
  </si>
  <si>
    <t>VÁLVULA DE ESCOAMENTO PARA MICTÓRIO, DECA, DECAMATIC 2570C OU SIMILAR</t>
  </si>
  <si>
    <t>18.2.32</t>
  </si>
  <si>
    <t>18.2.33</t>
  </si>
  <si>
    <t>18.2.34</t>
  </si>
  <si>
    <t>18.2.35</t>
  </si>
  <si>
    <t>18.2.36</t>
  </si>
  <si>
    <t>18.2.37</t>
  </si>
  <si>
    <t>18.2.38</t>
  </si>
  <si>
    <t>18.2.39</t>
  </si>
  <si>
    <t>26.119.000100.SER</t>
  </si>
  <si>
    <t>Tanque de aço inoxidável</t>
  </si>
  <si>
    <t>18.2.40</t>
  </si>
  <si>
    <t>26.113.000120.SER</t>
  </si>
  <si>
    <t>Pia de cozinha de aço inoxidável, cuba simples, 1,60 x 0,54 m</t>
  </si>
  <si>
    <t>19.1</t>
  </si>
  <si>
    <t>C330-BASA</t>
  </si>
  <si>
    <t>REMOÇÃO DE EXTINTOR DE INCÊNDIO</t>
  </si>
  <si>
    <t>19.2</t>
  </si>
  <si>
    <t>C57-SINAPI-101905</t>
  </si>
  <si>
    <t>INSTALAÇÃO DE EXTINTOR INCENDIO</t>
  </si>
  <si>
    <t>19.3</t>
  </si>
  <si>
    <t>C306-BASA</t>
  </si>
  <si>
    <t xml:space="preserve"> SINALIZAÇÃO DE PISO EM FAIXAS AMARELA E VERMELHA EM PVC 5CM ADESIVADA PARA EXTINTOR DE INCÊNDIO</t>
  </si>
  <si>
    <t>19.4</t>
  </si>
  <si>
    <t>19.5</t>
  </si>
  <si>
    <t>19.6</t>
  </si>
  <si>
    <t>19.7</t>
  </si>
  <si>
    <t>19.8</t>
  </si>
  <si>
    <t>19.9</t>
  </si>
  <si>
    <t>C191 - BASA</t>
  </si>
  <si>
    <t>Sinalização   de   -   identificação   continuada   de   saída   de emergência  -  de  forma  retangular,  medindo  10  x  20  cm, conforme projeto de combate a incêndio.</t>
  </si>
  <si>
    <t>19.10</t>
  </si>
  <si>
    <t>C354-BASA-SINAPI-37560</t>
  </si>
  <si>
    <t>PLACA DE SINALIZACAO DE SEGURANCA CONTRA INCENDIO - ALERTA, TRIANGULAR, BASE DE *30* CM, EM PVC *2* MM ANTI-CHAMAS (SIMBOLOS, CORES E PICTOGRAMAS CONFORME NBR 16820)</t>
  </si>
  <si>
    <t>19.11</t>
  </si>
  <si>
    <t>C355-BASA-SINAPI-37557</t>
  </si>
  <si>
    <t>PLACA DE SINALIZACAO DE SEGURANCA CONTRA INCENDIO, FOTOLUMINESCENTE, QUADRADA, *14 X 14* CM, EM PVC *2* MM ANTI-CHAMAS (SIMBOLOS, CORES E PICTOGRAMAS CONFORME NBR 16820)</t>
  </si>
  <si>
    <t>19.12</t>
  </si>
  <si>
    <t>C356-BASA-SINAPI-37556</t>
  </si>
  <si>
    <t>PLACA DE SINALIZACAO DE SEGURANCA CONTRA INCENDIO, FOTOLUMINESCENTE, QUADRADA, *20 X 20* CM, EM PVC *2* MM ANTI-CHAMAS (SIMBOLOS, CORES E PICTOGRAMAS CONFORME NBR 16820)</t>
  </si>
  <si>
    <t>19.13</t>
  </si>
  <si>
    <t>C357-BASA-SINAPI-37559</t>
  </si>
  <si>
    <t>PLACA DE SINALIZACAO DE SEGURANCA CONTRA INCENDIO, FOTOLUMINESCENTE, RETANGULAR, *12 X 40* CM, EM PVC *2* MM ANTI-CHAMAS (SIMBOLOS, CORES E PICTOGRAMAS CONFORME NBR 16820)</t>
  </si>
  <si>
    <t>19.14</t>
  </si>
  <si>
    <t>C358-BASA-SINAPI-37539</t>
  </si>
  <si>
    <t>PLACA DE SINALIZACAO DE SEGURANCA CONTRA INCENDIO, FOTOLUMINESCENTE, RETANGULAR, *13 X 26* CM, EM PVC *2* MM ANTI-CHAMAS (SIMBOLOS, CORES E PICTOGRAMAS CONFORME NBR 16820)</t>
  </si>
  <si>
    <t>19.15</t>
  </si>
  <si>
    <t>C359-BASA-SINAPI-37558</t>
  </si>
  <si>
    <t>PLACA DE SINALIZACAO DE SEGURANCA CONTRA INCENDIO, FOTOLUMINESCENTE, RETANGULAR, *20 X 40* CM, EM PVC *2* MM ANTI-CHAMAS (SIMBOLOS, CORES E PICTOGRAMAS CONFORME NBR 16820)</t>
  </si>
  <si>
    <t>19.16</t>
  </si>
  <si>
    <t>C190 - BASA</t>
  </si>
  <si>
    <t>Sinalização de - cuidado, risco de choque elétrico - de forma retangular triangular, medindo 10 X20 cm, conforme projeto de combate a incêndio.</t>
  </si>
  <si>
    <t>19.17</t>
  </si>
  <si>
    <t>15.101.000010.SER</t>
  </si>
  <si>
    <t>Central de alarme de incêndio para 24 pontos</t>
  </si>
  <si>
    <t>19.18</t>
  </si>
  <si>
    <t>15.101.000050.SER</t>
  </si>
  <si>
    <t>Acionador manual de alarme de incêndio</t>
  </si>
  <si>
    <t>19.19</t>
  </si>
  <si>
    <t>C407-BASA-ORSE-11855</t>
  </si>
  <si>
    <t>Cabo blindado para alarme e detecção de incêndio 3 x 1,5mm2.</t>
  </si>
  <si>
    <t xml:space="preserve">M </t>
  </si>
  <si>
    <t>19.20</t>
  </si>
  <si>
    <t>C454-BASA-ORSE12141</t>
  </si>
  <si>
    <t>Cabo blindado para alarme e detecção de incêndio 4 x 1,5mm2.</t>
  </si>
  <si>
    <t>19.21</t>
  </si>
  <si>
    <t>C455-BASA-ORSE11824</t>
  </si>
  <si>
    <t>Sirene aúdiovisual endereçavel, 120db, para alarme de incêndio</t>
  </si>
  <si>
    <t>19.22</t>
  </si>
  <si>
    <t>19.23</t>
  </si>
  <si>
    <t>20.1</t>
  </si>
  <si>
    <t>C97-BASA-ORSE-
12376</t>
  </si>
  <si>
    <t>DESINSTALAÇÃO DE AR CONDICIONADO TIPO SPLITS (9000 A 36000 BTUS)-CONDENSADORA, EVAPORADORAS E REDES FRIGORÍGENAS</t>
  </si>
  <si>
    <t>20.2</t>
  </si>
  <si>
    <t>RASGO E CHUMBAMENTO EM ALVENARIA PARA TUBOS DE SPLIT PAREDE DE 9000 A 24000 BTUS/H. AF_11/2021</t>
  </si>
  <si>
    <t>20.3</t>
  </si>
  <si>
    <t>19.104.000050.SER</t>
  </si>
  <si>
    <t>Duto em chapa de aço galvanizada # 26 , com isolamento térmico espessura 38 mm</t>
  </si>
  <si>
    <t>20.4</t>
  </si>
  <si>
    <t>19.104.000200.SER</t>
  </si>
  <si>
    <t>Difusor direcional 1 via em alumínio anodizado, com registro e caixa plenum, 9" x 9"</t>
  </si>
  <si>
    <t>20.5</t>
  </si>
  <si>
    <t>19.104.000201.SER</t>
  </si>
  <si>
    <t>Difusor direcional 2 vias em alumínio anodizado, com registro, sem caixa plenum, 18" x 6"</t>
  </si>
  <si>
    <t>20.6</t>
  </si>
  <si>
    <t>19.104.000300.SER</t>
  </si>
  <si>
    <t>Veneziana para retorno de ar com lâminas fixas e registro, 60 x 40 cm</t>
  </si>
  <si>
    <t>20.7</t>
  </si>
  <si>
    <t>19.104.000301.SER</t>
  </si>
  <si>
    <t>Veneziana para retorno de ar com lâminas fixas e registro, 70 x 30 cm</t>
  </si>
  <si>
    <t>20.8</t>
  </si>
  <si>
    <t>19.104.000302.SER</t>
  </si>
  <si>
    <t>Veneziana para retorno de ar com lâminas fixas e registro, 70 x 40 cm</t>
  </si>
  <si>
    <t>20.9</t>
  </si>
  <si>
    <t>C195 - BASA</t>
  </si>
  <si>
    <t xml:space="preserve">Instalação completa de split de até 48.000 btu's, incluindo Ponto de gás e força  </t>
  </si>
  <si>
    <t>20.10</t>
  </si>
  <si>
    <t>C196 -SEDOP-231084</t>
  </si>
  <si>
    <t>Fornecimento e Instalação de ponto de dreno para split, incluindo tubo e conexões em PVC e tubo de espuma em polietileno)</t>
  </si>
  <si>
    <t>20.11</t>
  </si>
  <si>
    <t>C215-SEDOP-231086</t>
  </si>
  <si>
    <t>Ponto de gás e força  p/ split até 60.000 BTU's (10m)</t>
  </si>
  <si>
    <t>20.12</t>
  </si>
  <si>
    <t>C189 - SEDOP-251027</t>
  </si>
  <si>
    <t>EXAUSTOR PARA RENOVAÇÃO DE AR EM AMBIENTES ATÉ 12 M2,
ADAPTÁVEL A TUBOS DE Ø=150 MM, CAPACIDADE DE RENOVAÇÃO
NOMINAL DE 280 M3/H</t>
  </si>
  <si>
    <t>20.13</t>
  </si>
  <si>
    <t>C305-BASA</t>
  </si>
  <si>
    <t>Remanejamento de Unidade Condensadora de 36.000 a 48.000 BTU com acréscimo de tubulação de cobre, isolamento térmico, fita de proteção blackout, cabo de intertravamento, calços de borracha e cabo elétrico de força</t>
  </si>
  <si>
    <t>20.14</t>
  </si>
  <si>
    <t>TUBO EM COBRE FLEXÍVEL, DN 1/4", COM ISOLAMENTO, INSTALADO EM FORRO, PARA RAMAL DE ALIMENTAÇÃO DE AR CONDICIONADO, INCLUSO FIXADOR. AF_11/2021</t>
  </si>
  <si>
    <t>20.15</t>
  </si>
  <si>
    <t>TUBO EM COBRE FLEXÍVEL, DN 3/8", COM ISOLAMENTO, INSTALADO EM FORRO, PARA RAMAL DE ALIMENTAÇÃO DE AR CONDICIONADO, INCLUSO FIXADOR. AF_11/2021</t>
  </si>
  <si>
    <t>20.16</t>
  </si>
  <si>
    <t>TUBO EM COBRE FLEXÍVEL, DN 1/2", COM ISOLAMENTO, INSTALADO EM FORRO, PARA RAMAL DE ALIMENTAÇÃO DE AR CONDICIONADO, INCLUSO FIXADOR. AF_11/2021</t>
  </si>
  <si>
    <t>20.17</t>
  </si>
  <si>
    <t>TUBO EM COBRE FLEXÍVEL, DN 5/8", COM ISOLAMENTO, INSTALADO EM FORRO, PARA RAMAL DE ALIMENTAÇÃO DE AR CONDICIONADO, INCLUSO FIXADOR. AF_11/2021</t>
  </si>
  <si>
    <t>20.18</t>
  </si>
  <si>
    <t>C286-BASA -SEDOP-230262</t>
  </si>
  <si>
    <t>PONTO ELÉTRICO P/AR CONDICIONADO(TUBUL., E FIAÇAO)</t>
  </si>
  <si>
    <t>21.1</t>
  </si>
  <si>
    <t>NOVA FACHADA</t>
  </si>
  <si>
    <t>21.1.1</t>
  </si>
  <si>
    <t>C458-BASA-SINAPI-104598</t>
  </si>
  <si>
    <t>REVESTIMENTO CERÂMICO EM PORCELANATO, MODELO/LINHA: RODIN CORTEN, ACETINADO, CLASSE DE USO: FLC/WFA/WRC, RETIFICADO;  ÁREAS INTERNA E EXTERNA, SUPERFÍCIE COM TEXTURA (ELIANE)</t>
  </si>
  <si>
    <t>21.1.2</t>
  </si>
  <si>
    <t>C109-BASA</t>
  </si>
  <si>
    <t>FORNECIMENTO E INSTALAÇÃO DE SUPORTE METÁLICO EM CHAPA DE AÇO Nº 18, COM 15X35CM DE BASE E  2,10M ALTURA, DOBRADA, INCLUINDO PINTURA E ADESIVAGEM</t>
  </si>
  <si>
    <t>21.1.3</t>
  </si>
  <si>
    <t>21.1.4</t>
  </si>
  <si>
    <t>C408-BASA-ORSE-09718</t>
  </si>
  <si>
    <t>PELÍCULA ADESIVADA JATEADA COM DET BASA</t>
  </si>
  <si>
    <t>21.1.5</t>
  </si>
  <si>
    <t>C409-BASA</t>
  </si>
  <si>
    <t>FORNECIMENTO E INSTALAÇÃO DE TOTEM METÁLICO 3,10M DE ALTURA, ESTRUTURA EM PERFIL TUBOLAR METÁLICA ACABAMENTO NATURAL, CHAPA METÁLICA DOBRADA, PINTURA NAS CORES PADRÃO DO BANCO, SÍMBOLO EM ACRÍLICO RECORTADO, FITAS EM LED,  E MINI PLACA FOTOVOLTAICO.</t>
  </si>
  <si>
    <t>21.1.6</t>
  </si>
  <si>
    <t>C410-BASA</t>
  </si>
  <si>
    <t>PLACA DA LOGOMARCA TIPO BANDEIRA EM ACM E ACRÍLICO DE 0,90X1,00X010M  E LED INTERNO</t>
  </si>
  <si>
    <t>21.1.7</t>
  </si>
  <si>
    <t>C411-BASA</t>
  </si>
  <si>
    <t>LOGOMARCA DO BANCO VERTICAL PAREDE PARA FACHADA EM CHAPA METÁLICA LATERAL E ACRÍLICA DE 2,99X2,30X0,10M, COM A LOGO E AS PALAVRAS "BANCO DA AMAZONIA" EM LED DE ILUMINAÇÃO INTERNA</t>
  </si>
  <si>
    <t>21.1.8</t>
  </si>
  <si>
    <t>C413-BASA</t>
  </si>
  <si>
    <t>LOGOMARCA TIPO TESTEIRA  (0,60X3,44x0,10M) VERTICAL PARA FACHADA EM CHAPA METÁLICA E ACRÍLICO, ILUMINAÇÃO INTERNA EM LED, COM AS LETRAS "BANCO DA AMAZÔNIA" E A LOGOMARCA TIPO "A"</t>
  </si>
  <si>
    <t>21.1.9</t>
  </si>
  <si>
    <t>C414-BASA</t>
  </si>
  <si>
    <t>GRAFISMO PARA FACHADA EM ADESIVO ORACAL DE RECORTE COR: LIME TREE GREEN COM APLICAÇÃO DE VERNIZ AUTOMOTIVO SOBRE O ADESIVO</t>
  </si>
  <si>
    <t>21.1.10</t>
  </si>
  <si>
    <t>C415-BASA</t>
  </si>
  <si>
    <t xml:space="preserve">Cachepot Floreira Jardineira Linear Em Metal  de 0,60x0,10x0,13 pintado </t>
  </si>
  <si>
    <t>21.1.11</t>
  </si>
  <si>
    <t>C423-BASA</t>
  </si>
  <si>
    <t>PLACA DE HORÁRIO EM ADESIVO VINÍLICO 30X20CM TRANSPARENTE IMPRESSO, BASE DE BRANCO NAS LETRAS, ACABAMENTO REFILE</t>
  </si>
  <si>
    <t>21.1.12</t>
  </si>
  <si>
    <t>C453-BASA-ORSE11904</t>
  </si>
  <si>
    <t>Letra Caixas Modelo: Acrilico 3mm, com bordas Variação: 3mm-Fixação Pino - Iluminação LED</t>
  </si>
  <si>
    <t>21.2</t>
  </si>
  <si>
    <t>CARENAGEM DOS CASH'S</t>
  </si>
  <si>
    <t>21.2.1</t>
  </si>
  <si>
    <t>PAREDE COM SISTEMA EM CHAPAS DE GESSO PARA DRYWALL, USO INTERNO, COM DUAS FACES DUPLAS E ESTRUTURA METÁLICA COM GUIAS DUPLAS PARA PAREDES COM ÁREA LÍQUIDA MAIOR OU IGUAL A 6 M2, COM VÃOS. AF_07/2023_PS</t>
  </si>
  <si>
    <t>21.2.2</t>
  </si>
  <si>
    <t>C426-BASA</t>
  </si>
  <si>
    <t>PAINEL DO ATM EM  ACRÍLICO CRISTAL DE 10MM COM ADESIVAGEM VINÍLICO  IMPRESSO ACABAMENTO REFILE, TEXTOS INFORMATIVOS EM ADESIVO  ACABAMENTO RECORTADO E PILADO COM MASCARA DE APLICAÇÃO, CONF. DET. BASA</t>
  </si>
  <si>
    <t>21.2.3</t>
  </si>
  <si>
    <t>C418-SINAPI-96364</t>
  </si>
  <si>
    <t>PAINEL ECORIPADO SLIM FREIJÓ COM 16,9CM DE LARGURA , INCLUINDO VIGAS E PARAFUSOS</t>
  </si>
  <si>
    <t>21.2.4</t>
  </si>
  <si>
    <t>C427-BASA</t>
  </si>
  <si>
    <t>DIVISÓRIAS DOS ATM EM CRÍLICO 0,50X1,10M VERDE NEON 10MM COM ADESIVAGEM VINÍLICO BRANCO APLICADO NAS DUAS FACES, CONF. DET BASA</t>
  </si>
  <si>
    <t>21.3</t>
  </si>
  <si>
    <t>SALÃO PRINCIPAL</t>
  </si>
  <si>
    <t>21.3.1</t>
  </si>
  <si>
    <t>C419-ORSE-04345</t>
  </si>
  <si>
    <t>Divisória em compensado naval 20mm, fixada sobre estrutura metálica</t>
  </si>
  <si>
    <t>21.3.2</t>
  </si>
  <si>
    <t>21.104.000040.SER</t>
  </si>
  <si>
    <t>Forro de alumínio sistema linear múltiplo liso com bordas dobradas em ângulo reto com flush em "V" largura 8 cm</t>
  </si>
  <si>
    <t>21.3.3</t>
  </si>
  <si>
    <t>C420-BASA</t>
  </si>
  <si>
    <t>PAINEL EM VEGETAÇÃO PRESERVADA COM MOLDURA EM MADEIRA DE LEI</t>
  </si>
  <si>
    <t>21.3.4</t>
  </si>
  <si>
    <t>C421-BASA</t>
  </si>
  <si>
    <t>LOGOTIPO SOBRE VEGETAÇÃO DO BANCO VERTICAL EM CHAPA METÁLICA E ACRÍLICA DE 0,70X0,56 M, COM LED DE ILUMINAÇÃO INTERNA</t>
  </si>
  <si>
    <t>21.3.5</t>
  </si>
  <si>
    <t>21.3.6</t>
  </si>
  <si>
    <t>C424-BASA</t>
  </si>
  <si>
    <t>LETREIRO EM ACRÍLICO VERDE NEON 6MM COM IMPRESSÃO EM ADESIVO VINÍLICO APLICADO "SONHAR.MOVER.IMPACTAR."</t>
  </si>
  <si>
    <t>21.3.7</t>
  </si>
  <si>
    <t>C425-BASA</t>
  </si>
  <si>
    <t>JARDIM DECORATIVO INTERNO COM SEIXO DECORADO E PLANTAS EM VEGETAÇÃO PRESERVADA</t>
  </si>
  <si>
    <t>21.3.8</t>
  </si>
  <si>
    <t>C428-BASA</t>
  </si>
  <si>
    <t>PLACA DE POSTO DE ATENDIMENTO TESTEIRA 0,30X0,50M EM ACRÍLICO VERDE NEON 6MM COM ADESIVAGEM VINÍLICO NA FACE FRONTAL , CONF. DET BASA</t>
  </si>
  <si>
    <t>21.3.9</t>
  </si>
  <si>
    <t>C429-BASA</t>
  </si>
  <si>
    <t>PLACA DE POSTO DE ATENDIMENTO TESTEIRA PREFERENCIAL 0,80X0,50M EM ACRÍLICO VERDE NEON 6MM COM ADESIVAGEM VINÍLICO NA FACE FRONTAL , CONF. DET BASA</t>
  </si>
  <si>
    <t>21.3.10</t>
  </si>
  <si>
    <t>C430-BASA</t>
  </si>
  <si>
    <t>DIVISÓRIA DE MESA DE ATENDIMENTO E PREFERENCIAL1,00X0,45M ACRÍLICO VERDE NEON 10MM COM ADESIVAGEM VINÍLICO NA FACE FRONTAL , CONF. DET BASA</t>
  </si>
  <si>
    <t>21.3.11</t>
  </si>
  <si>
    <t>C432-BASA</t>
  </si>
  <si>
    <t>PLACA DE PORTA COMUM 0,40X0,15M EM ACRÍLICO VERDE NEON 6MM COM ADESIVAGEM VINÍLICO NA FACE FRONTAL , CONF. DET BASA</t>
  </si>
  <si>
    <t>21.3.12</t>
  </si>
  <si>
    <t>C433-BASA</t>
  </si>
  <si>
    <t>PLACA DIRECIONAL ESQUINA "SANITÁRIOS" 0,80X0,55M EM ACRÍLICO VERDE NEON 6MM COM ADESIVAGEM VINÍLICO NA FACE FRONTAL , CONF. DET BASA</t>
  </si>
  <si>
    <t>21.3.13</t>
  </si>
  <si>
    <t>C434-BASA</t>
  </si>
  <si>
    <t>PLACA DIRECIONAL SIMPLES "CAIXAS" 0,40X0,55M EM ACRÍLICO VERDE NEON 6MM COM ADESIVAGEM VINÍLICO NA FACE FRONTAL , CONF. DET BASA</t>
  </si>
  <si>
    <t>21.3.14</t>
  </si>
  <si>
    <t>C435-BASA</t>
  </si>
  <si>
    <t>PLACA TESTEIRA CAIXA 0,30X0,50M EM ACRÍLICO VERDE NEON 6MM COM ADESIVAGEM VINÍLICO NA FACE FRONTAL , CONF. DET BASA</t>
  </si>
  <si>
    <t>21.3.15</t>
  </si>
  <si>
    <t>C436-BASA</t>
  </si>
  <si>
    <t>DIVISÓRIA CAIXAS 0,40X1,30M EM ACRÍLICO VERDE NEON 10MM COM ADESIVAGEM VINÍLICO NAS DUAS FACES, CONF. DET BASA</t>
  </si>
  <si>
    <t>21.3.16</t>
  </si>
  <si>
    <t>C437-BASA</t>
  </si>
  <si>
    <t>PLACA CAFÉ 0,25X0,25M EM ACRÍLICO VERDE NEON 6MM COM ADESIVAGEM VINÍLICO NA FACE FRONTAL , CONF. DET BASA</t>
  </si>
  <si>
    <t>21.3.17</t>
  </si>
  <si>
    <t>C438-BASA</t>
  </si>
  <si>
    <t>PLACA DE AVISOS GERAIS 0,26X0,15M EM ACRÍLICO VERDE NEON 6MM COM ADESIVAGEM VINÍLICO NA FACE FRONTAL , CONF. DET BASA</t>
  </si>
  <si>
    <t>21.3.18</t>
  </si>
  <si>
    <t>C443-BASA</t>
  </si>
  <si>
    <t>COMUNICAÇÃO SUSPENSA EM PAINEL ACRÍLICO 6MM COM IMPRESSÃO VINÍLICO APLICADO, CONF. DET. BASA</t>
  </si>
  <si>
    <t>21.3.19</t>
  </si>
  <si>
    <t>C444-BASA</t>
  </si>
  <si>
    <t>COMUNICAÇÃO SUSPENSA  DE AVISO A4 EM PAINEIS EM  ACRÍLICO 6MM COM IMPRESSÃO VINÍLICO APLICADO, CONF. DET. BASA</t>
  </si>
  <si>
    <t>21.3.20</t>
  </si>
  <si>
    <t>C439-BASA</t>
  </si>
  <si>
    <t>PAINEL LUMINOSO DE 1,12X0,60M, BACKLIGT, IMPRESSÃO EM CHAPA ACRÍLICO LEITOSO 6MM TRASNLÚCIDO, CONF. DET. BASA</t>
  </si>
  <si>
    <t>21.4</t>
  </si>
  <si>
    <t>SALA DE REUNIÃO</t>
  </si>
  <si>
    <t>21.4.1</t>
  </si>
  <si>
    <t>21.4.2</t>
  </si>
  <si>
    <t>21.4.3</t>
  </si>
  <si>
    <t>PAREDE COM SISTEMA EM CHAPAS DE GESSO PARA DRYWALL, USO INTERNO, COM DUAS FACES DUPLAS E ESTRUTURA METÁLICA COM GUIAS SIMPLES, SEM VÃOS. AF_07/2023_PS</t>
  </si>
  <si>
    <t>21.4.4</t>
  </si>
  <si>
    <t>21.4.5</t>
  </si>
  <si>
    <t>C431-BASA</t>
  </si>
  <si>
    <t>PLACA DE PORTA DE VIDRO 0,40X0,15M EM ACRÍLICO VERDE NEON 10MM COM ADESIVAGEM VINÍLICO NA FACE FRONTAL , COM ADESIVO IMPRESSO NO LADO INTERNO DO VIDRO NA MESMA POSIÇÃO, CONF. DET BASA</t>
  </si>
  <si>
    <t>21.4.6</t>
  </si>
  <si>
    <t>C441-BASA</t>
  </si>
  <si>
    <t>QUADRO SALA DE REUNIÃO  DE 1,50X0,90M, BACKLIGT, IMPRESSÃO EM CHAPA ACRÍLICO LEITOSO 6MM TRASNLÚCIDO, CONF. DET BASA</t>
  </si>
  <si>
    <t>21.4.7</t>
  </si>
  <si>
    <t>C442-BASA</t>
  </si>
  <si>
    <t xml:space="preserve">VEGETAÇÃO VERTICAL PRESERVADA  </t>
  </si>
  <si>
    <t>21.4.8</t>
  </si>
  <si>
    <t>C445-BASA</t>
  </si>
  <si>
    <t>FORNECIMENTO E INSTALAÇÃO DE PAINEL ACÚSTICO INOVAWALL, MATCH-LADY, CONF. DET BASA</t>
  </si>
  <si>
    <t>21.4.9</t>
  </si>
  <si>
    <t>21.5</t>
  </si>
  <si>
    <t>SALA DA GERÊNCIA</t>
  </si>
  <si>
    <t>21.5.1</t>
  </si>
  <si>
    <t>21.5.2</t>
  </si>
  <si>
    <t>21.5.3</t>
  </si>
  <si>
    <t>21.5.4</t>
  </si>
  <si>
    <t>21.5.5</t>
  </si>
  <si>
    <t>C121-BASA</t>
  </si>
  <si>
    <t>PLACA DE MESA (20 X 5) CM, " GERENTE" E "GERENTE ADJUNTO" EM ACRÍLICO 5MM</t>
  </si>
  <si>
    <t>21.5.6</t>
  </si>
  <si>
    <t>21.5.7</t>
  </si>
  <si>
    <t>21.5.8</t>
  </si>
  <si>
    <t>C440-BASA</t>
  </si>
  <si>
    <t>LOGOTIPO DE PAREDE 0,74X0,60CM EM ACRÍLICO NEON 6MM CM IMPRESSÃO VINÍLICO APLICADO SOBRE ACRÍLICO, CONF. DET. BASA</t>
  </si>
  <si>
    <t>21.5.9</t>
  </si>
  <si>
    <t>MÁQUINAS E EQUIPAMENTOS</t>
  </si>
  <si>
    <t>22.1</t>
  </si>
  <si>
    <t>AR CONDICIONADO SPLIT INVERTER, HI-WALL (PAREDE), 12000 BTU/H, CICLO FRIO - FORNECIMENTO E INSTALAÇÃO. AF_11/2021_PE</t>
  </si>
  <si>
    <t>22.2</t>
  </si>
  <si>
    <t>AR CONDICIONADO SPLIT INVERTER, HI-WALL (PAREDE), 18000 BTU/H, CICLO FRIO - FORNECIMENTO E INSTALAÇÃO. AF_11/2021_PE</t>
  </si>
  <si>
    <t>22.3</t>
  </si>
  <si>
    <t>AR CONDICIONADO SPLIT INVERTER, HI-WALL (PAREDE), 24000 BTU/H, CICLO FRIO - FORNECIMENTO E INSTALAÇÃO. AF_11/2021_PE</t>
  </si>
  <si>
    <t>22.4</t>
  </si>
  <si>
    <t>AR CONDICIONADO SPLIT INVERTER, HI-WALL (PAREDE), 9000 BTU/H, CICLO FRIO - FORNECIMENTO E INSTALAÇÃO. AF_11/2021_PE</t>
  </si>
  <si>
    <t>22.5</t>
  </si>
  <si>
    <t>AR CONDICIONADO SPLIT INVERTER, PISO TETO, 36000 BTU/H, CICLO FRIO - FORNECIMENTO E INSTALAÇÃO. AF_11/2021_PSE</t>
  </si>
  <si>
    <t>22.6</t>
  </si>
  <si>
    <t>AR CONDICIONADO SPLITÃO 10 TR - FORNECIMENTO E INSTALAÇÃO. AF_11/2021_PE</t>
  </si>
  <si>
    <t>22.7</t>
  </si>
  <si>
    <t>AR CONDICIONADO SPLITÃO 15 TR - FORNECIMENTO E INSTALAÇÃO. AF_11/2021_PE</t>
  </si>
  <si>
    <t>23.1</t>
  </si>
  <si>
    <t>C132-BASA</t>
  </si>
  <si>
    <t>BASE EM CONCRETO ARMADO PARA TOTEM EXTERNO DE 90X50X40CM</t>
  </si>
  <si>
    <t>23.2</t>
  </si>
  <si>
    <t>C86-BASA</t>
  </si>
  <si>
    <t>FORNECIMENTO E INSTALAÇÃO DE PERSIANA VERTICAL EM PVC, 9CM , BRANCO GELO</t>
  </si>
  <si>
    <t>23.3</t>
  </si>
  <si>
    <t>C297-BASA</t>
  </si>
  <si>
    <t>REMOÇÃO E REINSTALAÇÃO DE PERSIANAS</t>
  </si>
  <si>
    <t>23.4</t>
  </si>
  <si>
    <t>C166-BASA</t>
  </si>
  <si>
    <t>REMANEJAMENTO E REINSTALAÇÃO DE
CASH'S</t>
  </si>
  <si>
    <t>23.5</t>
  </si>
  <si>
    <t>C175-BASA</t>
  </si>
  <si>
    <t>DESMONTAGEM E MONTAGEM DA PGDM (PORTA DETECTORA DE METAIS)</t>
  </si>
  <si>
    <t>23.6</t>
  </si>
  <si>
    <t>23.7</t>
  </si>
  <si>
    <t>C55-BASA</t>
  </si>
  <si>
    <t>DESMONTAGEM E MONTAGEM DE ESTAÇÃO DE TRABALHO  E BATERIA DOS CAIXAS</t>
  </si>
  <si>
    <t>23.8</t>
  </si>
  <si>
    <t>C238-BASA</t>
  </si>
  <si>
    <t>INSTALAÇÃO DE TV, PAINEL DE SENHA E PLACAS E PAREDES</t>
  </si>
  <si>
    <t>23.9</t>
  </si>
  <si>
    <t>C43-BASA</t>
  </si>
  <si>
    <t>FORNECIMENTO E INSTALAÇÃO DE CAIXA COLETORA DE OBJETOS, COM ANTIFURTO EM ACRÍLICO INCOLOR E TRANSPARENTE DE 6MM DE ESPEC. DE 40 X 30CM,</t>
  </si>
  <si>
    <t>23.10</t>
  </si>
  <si>
    <t>C101-BASA</t>
  </si>
  <si>
    <t>DESMONTAGEM DE ESTANTE DE AÇO COM PRATELEIRA</t>
  </si>
  <si>
    <t>23.11</t>
  </si>
  <si>
    <t>C102-BASA</t>
  </si>
  <si>
    <t>DESMONTAGEM DE ARQUIVO DESLIZANTE DE DE AÇO DE 6 FACES DE APROX. 1,20X3,35X2,20M</t>
  </si>
  <si>
    <t>23.12</t>
  </si>
  <si>
    <t>C363-BASA</t>
  </si>
  <si>
    <t>MONTAGEM DE ARQUIVO DESLIZANTE DE DE AÇO DE 6 FACES DE APROX. 1,20X3,35X2,20M</t>
  </si>
  <si>
    <t>23.13</t>
  </si>
  <si>
    <t>C301-BASA</t>
  </si>
  <si>
    <t>DESMONTAGEM E MONTAGEM DE ARQUIVO DE AÇO DESLIZANTES DE 8 FACES ( APROX 4,19X1,20X2,20M)</t>
  </si>
  <si>
    <t>23.14</t>
  </si>
  <si>
    <t>C364-BASA</t>
  </si>
  <si>
    <t>DESMONTAGEM DE ARQUIVO DE AÇO DESLIZANTES DE 8 FACES ( APROX 4,19X1,20X2,20M)</t>
  </si>
  <si>
    <t>23.15</t>
  </si>
  <si>
    <t>C365-BASA</t>
  </si>
  <si>
    <t>MONTAGEM DE ARQUIVO DE AÇO DESLIZANTES DE 8 FACES ( APROX 4,19X1,20X2,20M)</t>
  </si>
  <si>
    <t>23.16</t>
  </si>
  <si>
    <t>C108-BASA-ORSE-
01778</t>
  </si>
  <si>
    <t>FORNECIMENTO E INSTALAÇÃO DE MOLA AÉREA PARA PORTA</t>
  </si>
  <si>
    <t>23.17</t>
  </si>
  <si>
    <t>C255-SINAPI-86890</t>
  </si>
  <si>
    <t>INSTALAÇÃO DE MOLA AÉREA EM PORTA EXISTENTE</t>
  </si>
  <si>
    <t>23.18</t>
  </si>
  <si>
    <t>22.136.000145.SER</t>
  </si>
  <si>
    <t>Faixa antiderrapante para degrau em granito - faixa apicoada</t>
  </si>
  <si>
    <t>23.19</t>
  </si>
  <si>
    <t>C117-BASA-ORSE-02228</t>
  </si>
  <si>
    <t>FITA ADESIVA ANTIDERRAPANTE PARA DEGRAUS DE ESCADA OU
RAMPAS</t>
  </si>
  <si>
    <t>23.20</t>
  </si>
  <si>
    <t>C192 - BASA</t>
  </si>
  <si>
    <t xml:space="preserve">Tela metálica para fechamento de abertura da cobertura </t>
  </si>
  <si>
    <t>23.21</t>
  </si>
  <si>
    <t>30.147.000055.SER</t>
  </si>
  <si>
    <t>Preparo e substituição de terra para plantio</t>
  </si>
  <si>
    <t>23.22</t>
  </si>
  <si>
    <t>30.147.000223.SER</t>
  </si>
  <si>
    <t>Arbusto murta de cheiro com altura 0,5 a 0,7 m; em cava de 60 x 60 x 60 cm</t>
  </si>
  <si>
    <t>24.0</t>
  </si>
  <si>
    <t>24.1</t>
  </si>
  <si>
    <t>32.109.000200.SER</t>
  </si>
  <si>
    <t>Limpeza geral da edificação - somente mão de obra</t>
  </si>
  <si>
    <t>24.2</t>
  </si>
  <si>
    <t>C60-BASA</t>
  </si>
  <si>
    <t>LIMPEZA E HIGIENIZAÇÃO DA CAIXA D'AGUA  EM CONCRETO</t>
  </si>
  <si>
    <t>24.3</t>
  </si>
  <si>
    <t>24.4</t>
  </si>
  <si>
    <t>LIMPEZA MANUAL DE VEGETAÇÃO EM TERRENO COM ENXADA. AF_03/2024</t>
  </si>
  <si>
    <t>24.5</t>
  </si>
  <si>
    <t>CORTE RASO E RECORTE DE ÁRVORE COM DIÂMETRO DE TRONCO MAIOR OU IGUAL A 0,60 M. AF_03/2024</t>
  </si>
  <si>
    <t>24.6</t>
  </si>
  <si>
    <t>24.7</t>
  </si>
  <si>
    <t>24.8</t>
  </si>
  <si>
    <t>24.9</t>
  </si>
  <si>
    <t>24.10</t>
  </si>
  <si>
    <t>24.11</t>
  </si>
  <si>
    <t>24.12</t>
  </si>
  <si>
    <t>24.13</t>
  </si>
  <si>
    <t>C90-BASA</t>
  </si>
  <si>
    <t>LIMPEZA DE VIDRO</t>
  </si>
  <si>
    <t>24.14</t>
  </si>
  <si>
    <t>24.15</t>
  </si>
  <si>
    <t>24.16</t>
  </si>
  <si>
    <t>24.17</t>
  </si>
  <si>
    <t>24.18</t>
  </si>
  <si>
    <t>24.19</t>
  </si>
  <si>
    <t>24.20</t>
  </si>
  <si>
    <t>24.21</t>
  </si>
  <si>
    <t>24.22</t>
  </si>
  <si>
    <t>C61-BASA</t>
  </si>
  <si>
    <t>DESMOBILIZAÇÃO (PEQUENA DISTÂNCIA)</t>
  </si>
  <si>
    <t>C360-BASA</t>
  </si>
  <si>
    <t>DESMOBILIZAÇÃO (MÉDIA DISTÃNCIA)</t>
  </si>
  <si>
    <t>C361-BASA</t>
  </si>
  <si>
    <t>DESMOBILIZAÇÃO (GRANDE DISTÂNCIA)</t>
  </si>
  <si>
    <t>REGIÃO</t>
  </si>
  <si>
    <t>LEIS SOCIAIS</t>
  </si>
  <si>
    <t>ESTADO DE RONDÔNIA</t>
  </si>
  <si>
    <t>ESTADO DE MATO GROSSO</t>
  </si>
  <si>
    <t>ESTADO DE AMAPÁ</t>
  </si>
  <si>
    <t>LOTE 01</t>
  </si>
  <si>
    <t>LOTE 02</t>
  </si>
  <si>
    <t>LOTE 03</t>
  </si>
  <si>
    <t>QUANT UNIDADES</t>
  </si>
  <si>
    <t>PROPRIA</t>
  </si>
  <si>
    <t>ALUGADA</t>
  </si>
  <si>
    <t>RESERVA</t>
  </si>
  <si>
    <t>BASE:</t>
  </si>
  <si>
    <t>(SEM DESONERAÇÃO)</t>
  </si>
  <si>
    <t>COMP. BASA</t>
  </si>
  <si>
    <t>SEOP-PA</t>
  </si>
  <si>
    <t>PRORIA</t>
  </si>
  <si>
    <t>Serviços comuns de engenharia para manutenção básica, adequação de layout e aplicação da nova marca dos imóveis de interesse do Banco da Amazônia S/A</t>
  </si>
  <si>
    <t>8.7</t>
  </si>
  <si>
    <t>23.104.000055.SER</t>
  </si>
  <si>
    <t>Laminado melamínico para revestimento interno, fixado com cola à base de neoprene # 0,8 mm</t>
  </si>
  <si>
    <t>8.8</t>
  </si>
  <si>
    <t>C381-BASA-EMOP-12.012.0001-A</t>
  </si>
  <si>
    <t>REVESTIMENTO EM MDF COM E=6MM, INCLUSIVE ESTRUTURA DE SUPORTE.</t>
  </si>
  <si>
    <t>PREÇO(R$) UNIT C/ BDI</t>
  </si>
  <si>
    <t>ANEXO I-B</t>
  </si>
  <si>
    <t>ANEXO I-C</t>
  </si>
  <si>
    <t>ANEXO I-D</t>
  </si>
  <si>
    <t>ANEXO I-E</t>
  </si>
  <si>
    <t>ANEXO I-F</t>
  </si>
  <si>
    <t>ANEXO I-G</t>
  </si>
  <si>
    <t>ANEXO I-H</t>
  </si>
  <si>
    <t>ANEXO I-I</t>
  </si>
  <si>
    <t>ANEXO I-A</t>
  </si>
  <si>
    <t>CARGA, MANOBRA E DESCARGA DE ENTULHO EM CAMINHÃO BASCULANTE 6 M³ - CARGA COM ESCAVADEIRA HIDRÁULICA (CAÇAMBA DE 0,80 M³ / 111 HP) E DESCARGA LIVRE (UNIDADE: M3). AF_02/2026</t>
  </si>
  <si>
    <t>TRANSPORTE COM CAMINHÃO BASCULANTE DE 6 M³, EM VIA URBANA PAVIMENTADA, DMT ATÉ 30 KM (UNIDADE: M3XKM). AF_02/2026</t>
  </si>
  <si>
    <t>REMOÇÃO DE VIDRO LISO COMUM DE ESQUADRIA COM BAGUETE DE MADEIRA. AF_11/2025</t>
  </si>
  <si>
    <t>REMOÇÃO DE VIDRO TEMPERADO FIXADO EM PERFIL U. AF_11/2025</t>
  </si>
  <si>
    <t>INSTALAÇÃO DE VIDRO TEMPERADO, E = 8 MM, ENCAIXADO EM PERFIL U. AF_11/2025</t>
  </si>
  <si>
    <t>INSTALAÇÃO DE VIDRO TEMPERADO, E = 10 MM, ENCAIXADO EM PERFIL U. AF_11/2025</t>
  </si>
  <si>
    <t>DIVISORIA SANITÁRIA, EM GRANITO CINZA POLIDO, ESP = 3CM, ASSENTADO COM ARGAMASSA COLANTE AC III-E. AF_10/2025</t>
  </si>
  <si>
    <t>INSTALAÇÃO DE VIDRO LISO INCOLOR, E = 4 MM, EM ESQUADRIA DE ALUMÍNIO OU PVC, FIXADO COM BAGUETE. AF_11/2025</t>
  </si>
  <si>
    <t>INSTALAÇÃO DE VIDRO LISO INCOLOR, E = 6 MM, EM ESQUADRIA DE ALUMÍNIO OU PVC, FIXADO COM BAGUETE. AF_11/2025</t>
  </si>
  <si>
    <t>INSTALAÇÃO DE VIDRO ARAMADO, E = 7 MM, EM ESQUADRIA DE ALUMÍNIO OU PVC, FIXADO COM BAGUETE. AF_11/2025</t>
  </si>
  <si>
    <t>PISO CIMENTADO, TRAÇO 1:5 (CIMENTO E AREIA), ACABAMENTO LISO, ESPESSURA 4,0 CM, PREPARO MECÂNICO DA ARGAMASSA. AF_02/2026</t>
  </si>
  <si>
    <t>PISO DE BORRACHA PASTILHADO, ESPESSURA 3,5MM, FIXADO COM ADESIVO ACRÍLICO. AF_02/2026</t>
  </si>
  <si>
    <t>EXECUÇÃO DE PASSEIO (CALÇADA) OU PISO DE CONCRETO COM CONCRETO MOLDADO IN LOCO, USINADO, ACABAMENTO CONVENCIONAL, ESPESSURA 8 CM, ARMADO. AF_08/2022</t>
  </si>
  <si>
    <t>RODAPÉ EM MADEIRA, ALTURA 7CM, FIXADO COM COLA BASE DE POLIURETANO. AF_02/2026_PS</t>
  </si>
  <si>
    <t>RODAPÉ EM GRANITO, ALTURA 10 CM. AF_02/2026</t>
  </si>
  <si>
    <t>SOLEIRA EM GRANITO, LARGURA 15 CM, ESPESSURA 2,0 CM. AF_02/2026</t>
  </si>
  <si>
    <t>SOLEIRA EM MÁRMORE, LARGURA 15 CM, ESPESSURA 2,0 CM. AF_02/2026</t>
  </si>
  <si>
    <t>PORTA PIVOTANTE DE VIDRO TEMPERADO, 90X210 CM, ESPESSURA 10 MM, INCLUSIVE ACESSÓRIOS. AF_11/2025</t>
  </si>
  <si>
    <t>PORTA PIVOTANTE DE VIDRO TEMPERADO, 2 FOLHAS DE 90X210 CM, ESPESSURA DE 10 MM, INCLUSIVE ACESSÓRIOS. AF_11/2025</t>
  </si>
  <si>
    <t>PORTA DE ABRIR COM MOLA HIDRÁULICA, EM VIDRO TEMPERADO, 90X210 CM, ESPESSURA 10 MM, INCLUSIVE ACESSÓRIOS. AF_11/2025</t>
  </si>
  <si>
    <t>PORTA DE ABRIR COM MOLA HIDRÁULICA, EM VIDRO TEMPERADO, 2 FOLHAS DE 90X210 CM, ESPESSURA DE 10 MM, INCLUSIVE ACESSÓRIOS. AF_11/2025</t>
  </si>
  <si>
    <t>RECOLOCAÇÃO DE FOLHAS DE PORTA DE MADEIRA LEVE OU MÉDIA DE 60CM DE LARGURA, CONSIDERANDO REAPROVEITAMENTO DO MATERIAL. AF_10/2025</t>
  </si>
  <si>
    <t>RECOLOCAÇÃO DE FOLHAS DE PORTA DE MADEIRA LEVE OU MÉDIA DE 80CM DE LARGURA, CONSIDERANDO REAPROVEITAMENTO DO MATERIAL. AF_10/2025</t>
  </si>
  <si>
    <t>PORTA DE MADEIRA PARA PINTURA, SEMI-OCA (LEVE OU MÉDIA), 60X210CM,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</si>
  <si>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</si>
  <si>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</si>
  <si>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KIT DE PORTA-PRONTA DE MADEIRA EM ACABAMENTO MELAMÍNICO BRANCO, FOLHA PESADA OU SUPERPESADA, 90X210CM, FIXAÇÃO COM PREENCHIMENTO TOTAL DE ESPUMA EXPANSIVA - FORNECIMENTO E INSTALAÇÃO. AF_10/2025</t>
  </si>
  <si>
    <t>PORTA DE FERRO, DE ABRIR, TIPO GRADE COM CHAPA, COM GUARNIÇÕES. AF_10/2025</t>
  </si>
  <si>
    <t>PORTA CORTA-FOGO 90X210X5CM - FORNECIMENTO E INSTALAÇÃO. AF_10/2025</t>
  </si>
  <si>
    <t>PORTA EM ALUMÍNIO DE ABRIR TIPO VENEZIANA COM GUARNIÇÃO, FIXAÇÃO COM PARAFUSOS - FORNECIMENTO E INSTALAÇÃO. AF_10/2025</t>
  </si>
  <si>
    <t>PORTA DE CORRER DE ALUMÍNIO, COM DUAS FOLHAS PARA VIDRO, INCLUSO VIDRO LISO INCOLOR, FECHADURA E PUXADOR, SEM ALIZAR. AF_10/2025</t>
  </si>
  <si>
    <t>GRADIL EM AÇO FIXADO EM VÃOS DE JANELAS, FORMADO POR BARRAS CHATAS DE 25X4,8 MM. AF_10/2025</t>
  </si>
  <si>
    <t>MOLA HIDRAULICA DE PISO PARA PORTA DE VIDRO TEMPERADO. AF_11/2025</t>
  </si>
  <si>
    <t>JOGO DE FERRAGENS CROMADAS PARA PORTA DE VIDRO TEMPERADO, UMA FOLHA COMPOSTO DE DOBRADICAS SUPERIOR E INFERIOR, TRINCO, FECHADURA, CONTRA FECHADURA COM CAPUCHINHO SEM MOLA E PUXADOR. AF_11/2025</t>
  </si>
  <si>
    <t>TARJETA TIPO LIVRE/OCUPADO PARA PORTA DE BANHEIRO. AF_10/2025</t>
  </si>
  <si>
    <t>DOBRADIÇA EM AÇO/FERRO, 3" X 2 1/2", E=1,9 A 2MM, SEN ANEL, CROMADO OU ZINCADO, TAMPA BOLA, COM PARAFUSOS. AF_10/2025</t>
  </si>
  <si>
    <t>FECHADURA DE EMBUTIR PARA PORTAS INTERNAS, COMPLETA, ACABAMENTO PADRÃO MÉDIO, COM EXECUÇÃO DE FURO - FORNECIMENTO E INSTALAÇÃO. AF_10/2025</t>
  </si>
  <si>
    <t>FECHADURA DE EMBUTIR PARA PORTA DE BANHEIRO, COMPLETA, ACABAMENTO PADRÃO MÉDIO, INCLUSO EXECUÇÃO DE FURO - FORNECIMENTO E INSTALAÇÃO. AF_10/2025</t>
  </si>
  <si>
    <t>FECHADURA DE EMBUTIR COM CILINDRO, EXTERNA, COMPLETA, ACABAMENTO PADRÃO MÉDIO, INCLUSO EXECUÇÃO DE FURO - FORNECIMENTO E INSTALAÇÃO. AF_10/2025</t>
  </si>
  <si>
    <t>TRAMA DE MADEIRA COMPOSTA POR TERÇAS PARA TELHADOS DE ATÉ 2 ÁGUAS PARA TELHA ONDULADA DE FIBROCIMENTO, METÁLICA, PLÁSTICA OU TERMOACÚSTICA, INCLUSO TRANSPORTE VERTICAL. AF_10/2025</t>
  </si>
  <si>
    <t>TRAMA DE AÇO COMPOSTA POR TERÇAS PARA TELHADOS DE ATÉ 2 ÁGUAS PARA TELHA ONDULADA DE FIBROCIMENTO, METÁLICA, PLÁSTICA OU TERMOACÚSTICA, INCLUSO TRANSPORTE VERTICAL, EXCLUSIVE PINTURA. AF_10/2025_PS</t>
  </si>
  <si>
    <t>IMPERMEABILIZAÇÃO DE SUPERFÍCIE COM ARGAMASSA POLIMÉRICA / MEMBRANA ACRÍLICA, 4 DEMÃOS, REFORÇADA COM VÉU DE POLIÉSTER. AF_09/2023</t>
  </si>
  <si>
    <t>PISO PODOTÁTIL DE ALERTA OU DIRECIONAL, DE BORRACHA, ASSENTADO SOBRE ARGAMASSA. AF_02/2026</t>
  </si>
  <si>
    <t>BARRA DE APOIO RETA, EM AÇO INOX POLIDO, COMPRIMENTO 80 CM, FIXADA NA PAREDE - FORNECIMENTO E INSTALAÇÃO. AF_02/2026</t>
  </si>
  <si>
    <t>BARRA DE APOIO RETA, EM ALUMÍNIO, COMPRIMENTO 70 CM, FIXADA NA PAREDE - FORNECIMENTO E INSTALAÇÃO. AF_02/2026</t>
  </si>
  <si>
    <t>BARRA DE APOIO RETA, EM AÇO INOX POLIDO, COMPRIMENTO 60 CM, FIXADA NA PAREDE - FORNECIMENTO E INSTALAÇÃO. AF_02/2026</t>
  </si>
  <si>
    <t>CONDULETE DE ALUMÍNIO, TIPO C, PARA ELETRODUTO DE AÇO GALVANIZADO DN 20 MM (3/4''), APARENTE - FORNECIMENTO E INSTALAÇÃO. AF_01/2026</t>
  </si>
  <si>
    <t>CONDULETE DE ALUMÍNIO, TIPO B, PARA ELETRODUTO DE AÇO GALVANIZADO DN 25 MM (1''), APARENTE - FORNECIMENTO E INSTALAÇÃO. AF_01/2026</t>
  </si>
  <si>
    <t>ENGATE FLEXÍVEL EM INOX, 1/2" X 30 CM - FORNECIMENTO E INSTALAÇÃO. AF_02/2026</t>
  </si>
  <si>
    <t>BACIA SANITÁRIA COM CAIXA ACOPLADA LOUÇA BRANCA - PADRÃO MÉDIO, INCLUSO ENGATE FLEXÍVEL EM METAL CROMADO, 1/2" X 40 CM - FORNECIMENTO E INSTALAÇÃO. AF_02/2026</t>
  </si>
  <si>
    <t>LAVATÓRIO LOUÇA BRANCA COM COLUNA, *54 X 44* CM OU EQUIVALENTE, PADRÃO MÉDIO - FORNECIMENTO E INSTALAÇÃO. AF_02/2026</t>
  </si>
  <si>
    <t>LAVATÓRIO LOUÇA BRANCA SUSPENSO, *40 X 30* CM OU EQUIVALENTE, PADRÃO POPULAR - FORNECIMENTO E INSTALAÇÃO. AF_02/2026</t>
  </si>
  <si>
    <t>MICTÓRIO SIFONADO COM VÁLVULA DE DESCARGA EM LOUÇA BRANCA - PADRÃO MÉDIO - FORNECIMENTO E INSTALAÇÃO. AF_02/2026</t>
  </si>
  <si>
    <t>PAPELEIRA DE PAREDE EM METAL CROMADO SEM TAMPA, INCLUSO FIXAÇÃO. AF_02/2026</t>
  </si>
  <si>
    <t>SABONETEIRA PLÁSTICA TIPO DISPENSER PARA SABONETE LÍQUIDO COM RESERVATÓRIO 800 A 1500 ML, INCLUSO FIXAÇÃO. AF_02/2026</t>
  </si>
  <si>
    <t>SABONETEIRA DE PAREDE EM METAL CROMADO, INCLUSO FIXAÇÃO. AF_02/2026</t>
  </si>
  <si>
    <t>KIT DE ACESSÓRIOS PARA BANHEIRO EM METAL CROMADO, 5 PEÇAS, INCLUSO FIXAÇÃO. AF_02/2026</t>
  </si>
  <si>
    <t>TORNEIRA CROMADA TUBO MÓVEL, DE MESA, 1/2" OU 3/4", PARA PIA DE COZINHA, PADRÃO ALTO - FORNECIMENTO E INSTALAÇÃO. AF_02/2026</t>
  </si>
  <si>
    <t>TORNEIRA CROMADA TUBO MÓVEL, DE PAREDE, 1/2" OU 3/4", PARA PIA DE COZINHA, PADRÃO MÉDIO - FORNECIMENTO E INSTALAÇÃO. AF_02/2026</t>
  </si>
  <si>
    <t>TORNEIRA CROMADA DE MESA PARA LAVATÓRIO, TIPO MONOCOMANDO. AF_02/2026</t>
  </si>
  <si>
    <t>VÁLVULA EM METAL CROMADO 1.1/2" X 1.1/2" PARA TANQUE OU LAVATÓRIO, COM OU SEM LADRÃO - FORNECIMENTO E INSTALAÇÃO. AF_02/2026</t>
  </si>
  <si>
    <t>VÁLVULA EM METAL CROMADO TIPO AMERICANA 3.1/2" X 1.1/2" PARA PIA - FORNECIMENTO E INSTALAÇÃO. AF_02/2026</t>
  </si>
  <si>
    <t>ENGATE FLEXÍVEL EM INOX, 1/2" X 40 CM - FORNECIMENTO E INSTALAÇÃO. AF_02/2026</t>
  </si>
  <si>
    <t>SIFÃO DO TIPO GARRAFA EM METAL CROMADO 1" X 1.1/2" - FORNECIMENTO E INSTALAÇÃO. AF_02/2026</t>
  </si>
  <si>
    <t>SIFÃO DO TIPO FLEXÍVEL EM PVC 1" X 1.1/2" - FORNECIMENTO E INSTALAÇÃO. AF_02/2026</t>
  </si>
  <si>
    <t>BANCADA DE GRANITO CINZA POLIDO, DE 1,50 X 0,60 M, PARA PIA DE COZINHA - FORNECIMENTO E INSTALAÇÃO. AF_02/2026</t>
  </si>
  <si>
    <t>EXTINTOR DE INCÊNDIO PORTÁTIL COM CARGA DE ÁGUA PRESSURIZADA DE 10 L, CLASSE A - FORNECIMENTO E INSTALAÇÃO. AF_01/2026_PE</t>
  </si>
  <si>
    <t>EXTINTOR DE INCÊNDIO PORTÁTIL COM CARGA DE CO2 DE 6 KG, CLASSE BC - FORNECIMENTO E INSTALAÇÃO. AF_01/2026_PE</t>
  </si>
  <si>
    <t>EXTINTOR DE INCÊNDIO PORTÁTIL COM CARGA DE PQS DE 6 KG, CLASSE BC - FORNECIMENTO E INSTALAÇÃO. AF_01/2026_PE</t>
  </si>
  <si>
    <t>CAIXA DE INCÊNDIO 60X90X17CM - FORNECIMENTO E INSTALAÇÃO. AF_01/2026</t>
  </si>
  <si>
    <t>CONJUNTO DE MANGUEIRA PARA COMBATE A INCÊNDIO EM FIBRA DE POLIESTER PURA, COM 1.1/2", REVESTIDA INTERNAMENTE, COMPRIMENTO DE 15M - FORNECIMENTO E INSTALAÇÃO. AF_01/2026</t>
  </si>
  <si>
    <t>LIMPEZA DE SUPERFÍCIE PISO OU PAREDE COM JATO DE ALTA PRESSÃO. AF_10/2025</t>
  </si>
  <si>
    <t>LIMPEZA DE PISO CERÂMICO OU COM PEDRAS RÚSTICAS UTILIZANDO ÁCIDO MURIÁTICO. AF_10/2025_PS</t>
  </si>
  <si>
    <t>LIMPEZA DE PISO CERÂMICO OU PORCELANATO COM VASSOURA A SECO. AF_10/2025</t>
  </si>
  <si>
    <t>LIMPEZA DE PISO CERÂMICO OU PORCELANATO COM PANO ÚMIDO. AF_10/2025_PS</t>
  </si>
  <si>
    <t>LIMPEZA DE PISO CERÂMICO/ PORCELANATO/ MÁRMORE/ GRANITO UTILIZANDO DETERGENTE NEUTRO E ESCOVAÇÃO MANUAL. AF_10/2025_PS</t>
  </si>
  <si>
    <t>LIMPEZA DE REVESTIMENTO CERÂMICO EM PAREDE COM PANO ÚMIDO. AF_10/2025_PS</t>
  </si>
  <si>
    <t>LIMPEZA DE PORTA INTEIRAMENTE DE VIDRO. AF_10/2025_PS</t>
  </si>
  <si>
    <t>LIMPEZA DE JANELA DE VIDRO COM CAIXILHO EM AÇO/ALUMÍNIO/PVC. AF_10/2025_PS</t>
  </si>
  <si>
    <t>LIMPEZA DE FORRO REMOVÍVEL COM PANO ÚMIDO. AF_10/2025_PS</t>
  </si>
  <si>
    <t>LIMPEZA DE PORTA DE MADEIRA. AF_10/2025_PS</t>
  </si>
  <si>
    <t>LIMPEZA DE PORTA DE VIDRO COM CAIXILHO EM AÇO/ ALUMÍNIO/ PVC. AF_10/2025_PS</t>
  </si>
  <si>
    <t>LIMPEZA DE PORTA EM AÇO/ALUMÍNIO. AF_10/2025_PS</t>
  </si>
  <si>
    <t>LIMPEZA DE CONTRAPISO COM VASSOURA A SECO. AF_10/2025</t>
  </si>
  <si>
    <t>03/2026</t>
  </si>
  <si>
    <t>OUT-2025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</si>
</sst>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R$-416]\ #,##0.00"/>
    <numFmt numFmtId="166" formatCode="_-&quot;R$ &quot;* #,##0.00_-;&quot;-R$ &quot;* #,##0.00_-;_-&quot;R$ &quot;* \-??_-;_-@_-"/>
    <numFmt numFmtId="167" formatCode="_-[$R$-416]\ * #,##0.00_-;\-[$R$-416]\ * #,##0.00_-;_-[$R$-416]\ * &quot;-&quot;??_-;_-@_-"/>
    <numFmt numFmtId="168" formatCode="#,##0.00_ ;\-#,##0.00\ "/>
  </numFmts>
  <fonts count="3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i/>
      <sz val="11"/>
      <color rgb="FF000000"/>
      <name val="Arial"/>
      <family val="2"/>
    </font>
    <font>
      <b/>
      <sz val="11"/>
      <color rgb="FF000000"/>
      <name val="Arial"/>
      <family val="2"/>
    </font>
    <font>
      <b/>
      <sz val="11"/>
      <name val="Arial"/>
      <family val="2"/>
    </font>
    <font>
      <sz val="9"/>
      <color rgb="FF000000"/>
      <name val="Arial"/>
      <family val="2"/>
    </font>
    <font>
      <b/>
      <i/>
      <sz val="11"/>
      <name val="Arial"/>
      <family val="2"/>
    </font>
    <font>
      <sz val="11"/>
      <name val="Arial"/>
      <family val="2"/>
    </font>
    <font>
      <sz val="10"/>
      <name val="Helv"/>
      <charset val="204"/>
    </font>
    <font>
      <sz val="10"/>
      <name val="Arial"/>
      <family val="2"/>
    </font>
    <font>
      <b/>
      <sz val="12"/>
      <color rgb="FF000000"/>
      <name val="Arial"/>
      <family val="2"/>
    </font>
    <font>
      <sz val="12"/>
      <color rgb="FF000000"/>
      <name val="Arial"/>
      <family val="2"/>
    </font>
    <font>
      <b/>
      <sz val="16"/>
      <color rgb="FF000000"/>
      <name val="Arial"/>
      <family val="2"/>
    </font>
    <font>
      <sz val="12"/>
      <color rgb="FFFF0000"/>
      <name val="Arial"/>
      <family val="2"/>
    </font>
    <font>
      <b/>
      <sz val="12"/>
      <color rgb="FFFF0000"/>
      <name val="Arial"/>
      <family val="2"/>
    </font>
    <font>
      <sz val="12"/>
      <name val="Arial"/>
      <family val="2"/>
    </font>
    <font>
      <sz val="11"/>
      <name val="Calibri"/>
      <family val="2"/>
      <scheme val="minor"/>
    </font>
    <font>
      <b/>
      <sz val="12"/>
      <name val="Arial"/>
      <family val="2"/>
    </font>
    <font>
      <b/>
      <sz val="11"/>
      <color theme="1"/>
      <name val="Arial"/>
      <family val="2"/>
    </font>
    <font>
      <sz val="10"/>
      <color rgb="FF000000"/>
      <name val="Calibri"/>
      <family val="2"/>
      <scheme val="minor"/>
    </font>
    <font>
      <u/>
      <sz val="10"/>
      <color indexed="12"/>
      <name val="Arial"/>
      <family val="2"/>
    </font>
    <font>
      <sz val="9"/>
      <name val="Frutiger"/>
    </font>
    <font>
      <b/>
      <sz val="12"/>
      <name val="Frutiger"/>
    </font>
    <font>
      <sz val="11"/>
      <color indexed="8"/>
      <name val="Calibri"/>
      <family val="2"/>
    </font>
    <font>
      <sz val="11"/>
      <name val="Arial"/>
      <family val="1"/>
    </font>
    <font>
      <sz val="12"/>
      <color rgb="FF000000"/>
      <name val="Times New Roman"/>
      <family val="1"/>
    </font>
    <font>
      <b/>
      <sz val="16"/>
      <color theme="1"/>
      <name val="Arial"/>
      <family val="2"/>
    </font>
    <font>
      <sz val="11"/>
      <color rgb="FF0033CC"/>
      <name val="Arial"/>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FFFFFF"/>
        <bgColor indexed="64"/>
      </patternFill>
    </fill>
    <fill>
      <patternFill patternType="solid">
        <fgColor rgb="FFFFFF66"/>
        <bgColor indexed="64"/>
      </patternFill>
    </fill>
    <fill>
      <patternFill patternType="solid">
        <fgColor rgb="FF0EF244"/>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s>
  <borders count="23">
    <border>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right/>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s>
  <cellStyleXfs count="57">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44" fontId="1" fillId="0" borderId="0" applyFont="0" applyFill="0" applyBorder="0" applyAlignment="0" applyProtection="0"/>
    <xf numFmtId="0" fontId="11" fillId="0" borderId="0"/>
    <xf numFmtId="0" fontId="11" fillId="0" borderId="0"/>
    <xf numFmtId="0" fontId="11" fillId="0" borderId="0"/>
    <xf numFmtId="43" fontId="1" fillId="0" borderId="0" applyFont="0" applyFill="0" applyBorder="0" applyAlignment="0" applyProtection="0"/>
    <xf numFmtId="44" fontId="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1" fillId="0" borderId="0"/>
    <xf numFmtId="44" fontId="1" fillId="0" borderId="0" applyFont="0" applyFill="0" applyBorder="0" applyAlignment="0" applyProtection="0"/>
    <xf numFmtId="0" fontId="11" fillId="0" borderId="0"/>
    <xf numFmtId="43" fontId="11" fillId="0" borderId="0" applyFont="0" applyFill="0" applyBorder="0" applyAlignment="0" applyProtection="0"/>
    <xf numFmtId="164" fontId="11" fillId="0" borderId="0" applyFont="0" applyFill="0" applyBorder="0" applyAlignment="0" applyProtection="0"/>
    <xf numFmtId="0" fontId="22" fillId="0" borderId="0" applyNumberFormat="0" applyFill="0" applyBorder="0" applyAlignment="0" applyProtection="0">
      <alignment vertical="top"/>
      <protection locked="0"/>
    </xf>
    <xf numFmtId="43" fontId="11" fillId="0" borderId="0" applyFont="0" applyFill="0" applyBorder="0" applyAlignment="0" applyProtection="0"/>
    <xf numFmtId="0" fontId="11" fillId="0" borderId="0"/>
    <xf numFmtId="43"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5" fontId="24" fillId="0" borderId="0">
      <alignment horizontal="left" vertical="center"/>
    </xf>
    <xf numFmtId="165" fontId="23" fillId="0" borderId="0">
      <alignment vertical="top"/>
    </xf>
    <xf numFmtId="43" fontId="11" fillId="0" borderId="0" applyFont="0" applyFill="0" applyBorder="0" applyAlignment="0" applyProtection="0"/>
    <xf numFmtId="43" fontId="11" fillId="0" borderId="0" applyFont="0" applyFill="0" applyBorder="0" applyAlignment="0" applyProtection="0"/>
    <xf numFmtId="0" fontId="1" fillId="0" borderId="0"/>
    <xf numFmtId="44" fontId="1" fillId="0" borderId="0" applyFont="0" applyFill="0" applyBorder="0" applyAlignment="0" applyProtection="0"/>
    <xf numFmtId="0" fontId="25" fillId="0" borderId="0"/>
    <xf numFmtId="0" fontId="11" fillId="0" borderId="0"/>
    <xf numFmtId="166" fontId="25" fillId="0" borderId="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26" fillId="0" borderId="0"/>
    <xf numFmtId="43" fontId="21" fillId="0" borderId="0" applyFont="0" applyFill="0" applyBorder="0" applyAlignment="0" applyProtection="0"/>
    <xf numFmtId="9" fontId="21" fillId="0" borderId="0" applyFont="0" applyFill="0" applyBorder="0" applyAlignment="0" applyProtection="0"/>
    <xf numFmtId="0" fontId="1" fillId="0" borderId="0"/>
    <xf numFmtId="44"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cellStyleXfs>
  <cellXfs count="169">
    <xf numFmtId="0" fontId="0" fillId="0" borderId="0" xfId="0"/>
    <xf numFmtId="43" fontId="2" fillId="2" borderId="6" xfId="1" applyFont="1" applyFill="1" applyBorder="1" applyAlignment="1" applyProtection="1">
      <alignment vertical="center"/>
    </xf>
    <xf numFmtId="43" fontId="2" fillId="2" borderId="0" xfId="1" applyFont="1" applyFill="1" applyAlignment="1" applyProtection="1">
      <alignment vertical="center"/>
    </xf>
    <xf numFmtId="0" fontId="2" fillId="2" borderId="0" xfId="0" applyFont="1" applyFill="1" applyAlignment="1">
      <alignment vertical="center"/>
    </xf>
    <xf numFmtId="0" fontId="3" fillId="2" borderId="0" xfId="0" applyFont="1" applyFill="1" applyAlignment="1">
      <alignment horizontal="center"/>
    </xf>
    <xf numFmtId="4" fontId="9" fillId="2" borderId="2" xfId="0" applyNumberFormat="1" applyFont="1" applyFill="1" applyBorder="1" applyAlignment="1">
      <alignment horizontal="center" vertical="center"/>
    </xf>
    <xf numFmtId="0" fontId="9" fillId="2" borderId="11" xfId="0" applyFont="1" applyFill="1" applyBorder="1" applyAlignment="1">
      <alignment horizontal="left" vertical="center" wrapText="1"/>
    </xf>
    <xf numFmtId="0" fontId="9" fillId="2" borderId="11" xfId="0" quotePrefix="1" applyFont="1" applyFill="1" applyBorder="1" applyAlignment="1">
      <alignment horizontal="left" vertical="center" wrapText="1"/>
    </xf>
    <xf numFmtId="0" fontId="2" fillId="2" borderId="0" xfId="0" applyFont="1" applyFill="1"/>
    <xf numFmtId="4" fontId="4" fillId="2" borderId="1" xfId="0" applyNumberFormat="1" applyFont="1" applyFill="1" applyBorder="1" applyAlignment="1">
      <alignment horizontal="left" vertical="center" wrapText="1"/>
    </xf>
    <xf numFmtId="43" fontId="4" fillId="2" borderId="1" xfId="1" applyFont="1" applyFill="1" applyBorder="1" applyAlignment="1" applyProtection="1">
      <alignment horizontal="center" vertical="center" wrapText="1"/>
    </xf>
    <xf numFmtId="43" fontId="4" fillId="2" borderId="1" xfId="1" applyFont="1" applyFill="1" applyBorder="1" applyAlignment="1" applyProtection="1">
      <alignment vertical="center" wrapText="1"/>
    </xf>
    <xf numFmtId="4" fontId="4" fillId="2" borderId="1" xfId="0" applyNumberFormat="1" applyFont="1" applyFill="1" applyBorder="1" applyAlignment="1">
      <alignment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43" fontId="5" fillId="2" borderId="0" xfId="1" applyFont="1" applyFill="1" applyBorder="1" applyAlignment="1" applyProtection="1">
      <alignment horizontal="center" vertical="center" wrapText="1"/>
    </xf>
    <xf numFmtId="43" fontId="5" fillId="2" borderId="0" xfId="1" applyFont="1" applyFill="1" applyBorder="1" applyAlignment="1" applyProtection="1">
      <alignment vertical="center" wrapText="1"/>
    </xf>
    <xf numFmtId="4" fontId="7" fillId="2" borderId="0" xfId="0" applyNumberFormat="1" applyFont="1" applyFill="1" applyAlignment="1">
      <alignment horizontal="left" vertical="center"/>
    </xf>
    <xf numFmtId="4" fontId="4" fillId="2" borderId="0" xfId="0" applyNumberFormat="1" applyFont="1" applyFill="1" applyAlignment="1">
      <alignment horizontal="left" wrapText="1"/>
    </xf>
    <xf numFmtId="43" fontId="4" fillId="2" borderId="0" xfId="1" applyFont="1" applyFill="1" applyBorder="1" applyAlignment="1" applyProtection="1">
      <alignment horizontal="center" vertical="center" wrapText="1"/>
    </xf>
    <xf numFmtId="0" fontId="3" fillId="2" borderId="0" xfId="0" applyFont="1" applyFill="1"/>
    <xf numFmtId="43" fontId="5" fillId="2" borderId="0" xfId="1" applyFont="1" applyFill="1" applyBorder="1" applyAlignment="1" applyProtection="1">
      <alignment horizontal="center" vertical="center"/>
    </xf>
    <xf numFmtId="0" fontId="5" fillId="2" borderId="3" xfId="0" applyFont="1" applyFill="1" applyBorder="1" applyAlignment="1">
      <alignment horizontal="left"/>
    </xf>
    <xf numFmtId="0" fontId="5" fillId="2" borderId="4" xfId="0" applyFont="1" applyFill="1" applyBorder="1" applyAlignment="1">
      <alignment horizontal="left" vertical="center"/>
    </xf>
    <xf numFmtId="4" fontId="3" fillId="2" borderId="0" xfId="0" applyNumberFormat="1" applyFont="1" applyFill="1" applyAlignment="1">
      <alignment vertical="center"/>
    </xf>
    <xf numFmtId="0" fontId="6" fillId="2" borderId="2" xfId="0" applyFont="1" applyFill="1" applyBorder="1" applyAlignment="1">
      <alignment vertical="center"/>
    </xf>
    <xf numFmtId="43" fontId="6" fillId="2" borderId="2" xfId="1" applyFont="1" applyFill="1" applyBorder="1" applyAlignment="1" applyProtection="1">
      <alignment vertical="center"/>
    </xf>
    <xf numFmtId="0" fontId="5" fillId="2" borderId="5" xfId="0" applyFont="1" applyFill="1" applyBorder="1" applyAlignment="1">
      <alignment horizontal="left" vertical="center"/>
    </xf>
    <xf numFmtId="43" fontId="5" fillId="2" borderId="6" xfId="1" applyFont="1" applyFill="1" applyBorder="1" applyAlignment="1" applyProtection="1">
      <alignment vertical="center" wrapText="1"/>
    </xf>
    <xf numFmtId="0" fontId="5" fillId="2" borderId="0" xfId="0" applyFont="1" applyFill="1" applyAlignment="1">
      <alignment vertical="center"/>
    </xf>
    <xf numFmtId="0" fontId="5" fillId="2" borderId="7" xfId="0" applyFont="1" applyFill="1" applyBorder="1" applyAlignment="1">
      <alignment horizontal="left" vertical="center"/>
    </xf>
    <xf numFmtId="43" fontId="3" fillId="2" borderId="7" xfId="1" applyFont="1" applyFill="1" applyBorder="1" applyAlignment="1" applyProtection="1">
      <alignment horizontal="center" vertical="center" wrapText="1"/>
    </xf>
    <xf numFmtId="43" fontId="3" fillId="2" borderId="5" xfId="1" applyFont="1" applyFill="1" applyBorder="1" applyAlignment="1" applyProtection="1">
      <alignment horizontal="center" vertical="center" wrapText="1"/>
    </xf>
    <xf numFmtId="43" fontId="2" fillId="2" borderId="0" xfId="1" applyFont="1" applyFill="1" applyProtection="1"/>
    <xf numFmtId="0" fontId="3" fillId="2" borderId="8" xfId="0" applyFont="1" applyFill="1" applyBorder="1" applyAlignment="1">
      <alignment horizontal="center" wrapText="1"/>
    </xf>
    <xf numFmtId="0" fontId="3" fillId="2" borderId="8" xfId="0" applyFont="1" applyFill="1" applyBorder="1" applyAlignment="1">
      <alignment horizontal="left" wrapText="1"/>
    </xf>
    <xf numFmtId="43" fontId="3" fillId="2" borderId="8" xfId="1" applyFont="1" applyFill="1" applyBorder="1" applyAlignment="1" applyProtection="1">
      <alignment horizontal="center" wrapText="1"/>
    </xf>
    <xf numFmtId="43" fontId="3" fillId="2" borderId="8" xfId="1" applyFont="1" applyFill="1" applyBorder="1" applyAlignment="1" applyProtection="1">
      <alignment horizontal="center" vertical="center" wrapText="1"/>
    </xf>
    <xf numFmtId="0" fontId="6" fillId="2" borderId="0" xfId="0" applyFont="1" applyFill="1"/>
    <xf numFmtId="0" fontId="6" fillId="2" borderId="2" xfId="0" applyFont="1" applyFill="1" applyBorder="1" applyAlignment="1">
      <alignment horizontal="center" vertical="top" wrapText="1"/>
    </xf>
    <xf numFmtId="0" fontId="6" fillId="2" borderId="2" xfId="0" applyFont="1" applyFill="1" applyBorder="1" applyAlignment="1">
      <alignment horizontal="left" vertical="center" wrapText="1"/>
    </xf>
    <xf numFmtId="43" fontId="6" fillId="2" borderId="2" xfId="1" applyFont="1" applyFill="1" applyBorder="1" applyAlignment="1" applyProtection="1">
      <alignment horizontal="center" vertical="center" wrapText="1"/>
    </xf>
    <xf numFmtId="43" fontId="6" fillId="2" borderId="2" xfId="1" applyFont="1" applyFill="1" applyBorder="1" applyAlignment="1" applyProtection="1">
      <alignment horizontal="right" vertical="center" wrapText="1"/>
    </xf>
    <xf numFmtId="0" fontId="9" fillId="2" borderId="11" xfId="0" applyFont="1" applyFill="1" applyBorder="1" applyAlignment="1">
      <alignment horizontal="center" vertical="center" wrapText="1"/>
    </xf>
    <xf numFmtId="43" fontId="9" fillId="2" borderId="11" xfId="1" applyFont="1" applyFill="1" applyBorder="1" applyAlignment="1" applyProtection="1">
      <alignment horizontal="center" vertical="center" wrapText="1"/>
    </xf>
    <xf numFmtId="43" fontId="9" fillId="2" borderId="11" xfId="1" applyFont="1" applyFill="1" applyBorder="1" applyAlignment="1" applyProtection="1">
      <alignment horizontal="right" vertical="center" wrapText="1"/>
    </xf>
    <xf numFmtId="43" fontId="9" fillId="2" borderId="11" xfId="1" applyFont="1" applyFill="1" applyBorder="1" applyAlignment="1" applyProtection="1">
      <alignment vertical="center"/>
    </xf>
    <xf numFmtId="43" fontId="9" fillId="2" borderId="2" xfId="1" applyFont="1" applyFill="1" applyBorder="1" applyAlignment="1" applyProtection="1">
      <alignment vertical="center"/>
    </xf>
    <xf numFmtId="43" fontId="9" fillId="2" borderId="2" xfId="1" applyFont="1" applyFill="1" applyBorder="1" applyAlignment="1" applyProtection="1">
      <alignment horizontal="center" vertical="center"/>
    </xf>
    <xf numFmtId="0" fontId="2" fillId="2" borderId="0" xfId="0" applyFont="1" applyFill="1" applyProtection="1">
      <protection locked="0"/>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right" vertical="center" wrapText="1"/>
    </xf>
    <xf numFmtId="4" fontId="9" fillId="2" borderId="2" xfId="0" applyNumberFormat="1" applyFont="1" applyFill="1" applyBorder="1" applyAlignment="1">
      <alignment vertical="center"/>
    </xf>
    <xf numFmtId="0" fontId="9" fillId="2" borderId="12" xfId="0" applyFont="1" applyFill="1" applyBorder="1" applyAlignment="1">
      <alignment horizontal="center"/>
    </xf>
    <xf numFmtId="0" fontId="6" fillId="2" borderId="2" xfId="0" applyFont="1" applyFill="1" applyBorder="1" applyAlignment="1">
      <alignment horizontal="right" vertical="top"/>
    </xf>
    <xf numFmtId="4" fontId="6" fillId="2" borderId="2" xfId="0" applyNumberFormat="1" applyFont="1" applyFill="1" applyBorder="1" applyAlignment="1">
      <alignment horizontal="right" vertical="top"/>
    </xf>
    <xf numFmtId="0" fontId="9" fillId="2" borderId="2" xfId="0" applyFont="1" applyFill="1" applyBorder="1" applyAlignment="1">
      <alignment horizontal="center"/>
    </xf>
    <xf numFmtId="0" fontId="9" fillId="2" borderId="2" xfId="0" applyFont="1" applyFill="1" applyBorder="1" applyAlignment="1">
      <alignment vertical="center"/>
    </xf>
    <xf numFmtId="0" fontId="9" fillId="2" borderId="2" xfId="0" applyFont="1" applyFill="1" applyBorder="1" applyAlignment="1">
      <alignment horizontal="center" vertical="center"/>
    </xf>
    <xf numFmtId="9" fontId="6" fillId="2" borderId="2" xfId="0" applyNumberFormat="1" applyFont="1" applyFill="1" applyBorder="1" applyAlignment="1">
      <alignment horizontal="right" vertical="top"/>
    </xf>
    <xf numFmtId="0" fontId="2" fillId="2" borderId="0" xfId="0" applyFont="1" applyFill="1" applyAlignment="1" applyProtection="1">
      <alignment horizontal="center"/>
      <protection locked="0"/>
    </xf>
    <xf numFmtId="0" fontId="2" fillId="2" borderId="0" xfId="0" applyFont="1" applyFill="1" applyAlignment="1" applyProtection="1">
      <alignment horizontal="left"/>
      <protection locked="0"/>
    </xf>
    <xf numFmtId="43" fontId="2" fillId="2" borderId="0" xfId="1" applyFont="1" applyFill="1" applyAlignment="1" applyProtection="1">
      <alignment horizontal="center"/>
      <protection locked="0"/>
    </xf>
    <xf numFmtId="43" fontId="2" fillId="2" borderId="0" xfId="1" applyFont="1" applyFill="1" applyProtection="1">
      <protection locked="0"/>
    </xf>
    <xf numFmtId="0" fontId="6" fillId="2" borderId="0" xfId="0" applyFont="1" applyFill="1" applyAlignment="1">
      <alignment vertical="center"/>
    </xf>
    <xf numFmtId="43" fontId="6" fillId="2" borderId="0" xfId="1" applyFont="1" applyFill="1" applyBorder="1" applyAlignment="1" applyProtection="1">
      <alignment vertical="center"/>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6" xfId="0" applyFont="1" applyFill="1" applyBorder="1" applyAlignment="1">
      <alignment horizontal="center" vertical="center" wrapText="1"/>
    </xf>
    <xf numFmtId="44" fontId="13" fillId="4" borderId="16" xfId="9" applyFont="1" applyFill="1" applyBorder="1" applyAlignment="1">
      <alignment horizontal="center" vertical="center" wrapText="1"/>
    </xf>
    <xf numFmtId="0" fontId="2" fillId="0" borderId="0" xfId="0" applyFont="1"/>
    <xf numFmtId="4" fontId="6" fillId="2" borderId="0" xfId="0" applyNumberFormat="1" applyFont="1" applyFill="1" applyAlignment="1">
      <alignment horizontal="center" vertical="center" wrapText="1"/>
    </xf>
    <xf numFmtId="43" fontId="9" fillId="2" borderId="0" xfId="1" applyFont="1" applyFill="1" applyBorder="1" applyAlignment="1" applyProtection="1">
      <alignment horizontal="center" vertical="center"/>
    </xf>
    <xf numFmtId="4" fontId="9" fillId="2" borderId="0" xfId="0" applyNumberFormat="1" applyFont="1" applyFill="1" applyAlignment="1">
      <alignment horizontal="center" vertical="center"/>
    </xf>
    <xf numFmtId="4" fontId="6" fillId="2" borderId="0" xfId="0" applyNumberFormat="1" applyFont="1" applyFill="1" applyAlignment="1">
      <alignment horizontal="right" vertical="top"/>
    </xf>
    <xf numFmtId="43" fontId="9" fillId="2" borderId="2" xfId="1" applyFont="1" applyFill="1" applyBorder="1" applyAlignment="1" applyProtection="1">
      <alignment horizontal="center" vertical="center" wrapText="1"/>
    </xf>
    <xf numFmtId="43" fontId="9" fillId="2" borderId="2" xfId="1" applyFont="1" applyFill="1" applyBorder="1" applyAlignment="1" applyProtection="1">
      <alignment horizontal="right" vertical="center" wrapText="1"/>
    </xf>
    <xf numFmtId="10" fontId="2" fillId="2" borderId="0" xfId="0" applyNumberFormat="1" applyFont="1" applyFill="1"/>
    <xf numFmtId="10" fontId="14" fillId="5" borderId="13" xfId="2" applyNumberFormat="1" applyFont="1" applyFill="1" applyBorder="1" applyAlignment="1" applyProtection="1">
      <alignment vertical="center" wrapText="1"/>
      <protection locked="0"/>
    </xf>
    <xf numFmtId="9" fontId="0" fillId="0" borderId="0" xfId="2" applyFont="1"/>
    <xf numFmtId="8" fontId="0" fillId="0" borderId="0" xfId="0" applyNumberFormat="1"/>
    <xf numFmtId="0" fontId="15" fillId="4" borderId="16" xfId="0" applyFont="1" applyFill="1" applyBorder="1" applyAlignment="1">
      <alignment horizontal="center" vertical="center" wrapText="1"/>
    </xf>
    <xf numFmtId="44" fontId="15" fillId="4" borderId="16" xfId="9"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6" xfId="0" applyFont="1" applyFill="1" applyBorder="1" applyAlignment="1">
      <alignment horizontal="center" vertical="center" wrapText="1"/>
    </xf>
    <xf numFmtId="44" fontId="17" fillId="4" borderId="16" xfId="9" applyFont="1" applyFill="1" applyBorder="1" applyAlignment="1">
      <alignment horizontal="center" vertical="center" wrapText="1"/>
    </xf>
    <xf numFmtId="0" fontId="18" fillId="0" borderId="0" xfId="0" applyFont="1"/>
    <xf numFmtId="0" fontId="19" fillId="4" borderId="16" xfId="0" applyFont="1" applyFill="1" applyBorder="1" applyAlignment="1">
      <alignment horizontal="center" vertical="center" wrapText="1"/>
    </xf>
    <xf numFmtId="44" fontId="19" fillId="4" borderId="16" xfId="9" applyFont="1" applyFill="1" applyBorder="1" applyAlignment="1">
      <alignment horizontal="center" vertical="center" wrapText="1"/>
    </xf>
    <xf numFmtId="4" fontId="6" fillId="2" borderId="11" xfId="0" applyNumberFormat="1" applyFont="1" applyFill="1" applyBorder="1" applyAlignment="1">
      <alignment horizontal="right" vertical="center" wrapText="1"/>
    </xf>
    <xf numFmtId="4" fontId="6" fillId="2" borderId="11" xfId="0" applyNumberFormat="1" applyFont="1" applyFill="1" applyBorder="1" applyAlignment="1">
      <alignment horizontal="center" vertical="center" wrapText="1"/>
    </xf>
    <xf numFmtId="4" fontId="6" fillId="2" borderId="20" xfId="0" applyNumberFormat="1" applyFont="1" applyFill="1" applyBorder="1" applyAlignment="1">
      <alignment horizontal="center" vertical="center" wrapText="1"/>
    </xf>
    <xf numFmtId="4" fontId="3" fillId="2" borderId="0" xfId="0" applyNumberFormat="1" applyFont="1" applyFill="1" applyAlignment="1">
      <alignment horizontal="left" vertical="center"/>
    </xf>
    <xf numFmtId="4" fontId="3" fillId="2" borderId="0" xfId="10" applyNumberFormat="1" applyFont="1" applyFill="1" applyAlignment="1">
      <alignment horizontal="left" vertical="center"/>
    </xf>
    <xf numFmtId="10" fontId="9" fillId="2" borderId="11" xfId="1" applyNumberFormat="1" applyFont="1" applyFill="1" applyBorder="1" applyAlignment="1" applyProtection="1">
      <alignment horizontal="right" vertical="center" wrapText="1"/>
    </xf>
    <xf numFmtId="4" fontId="6" fillId="2" borderId="2" xfId="0" applyNumberFormat="1"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left" vertical="center" wrapText="1"/>
    </xf>
    <xf numFmtId="43" fontId="6" fillId="2" borderId="2" xfId="1" applyFont="1" applyFill="1" applyBorder="1" applyAlignment="1" applyProtection="1">
      <alignment horizontal="center" vertical="center"/>
    </xf>
    <xf numFmtId="10" fontId="6" fillId="2" borderId="11" xfId="1" applyNumberFormat="1" applyFont="1" applyFill="1" applyBorder="1" applyAlignment="1" applyProtection="1">
      <alignment horizontal="right" vertical="center" wrapText="1"/>
    </xf>
    <xf numFmtId="0" fontId="6" fillId="2" borderId="11" xfId="0" quotePrefix="1" applyFont="1" applyFill="1" applyBorder="1" applyAlignment="1">
      <alignment horizontal="left" vertical="center" wrapText="1"/>
    </xf>
    <xf numFmtId="43" fontId="6" fillId="2" borderId="0" xfId="1" applyFont="1" applyFill="1" applyBorder="1" applyAlignment="1" applyProtection="1">
      <alignment horizontal="center" vertical="center"/>
    </xf>
    <xf numFmtId="0" fontId="20" fillId="2" borderId="0" xfId="0" applyFont="1" applyFill="1" applyProtection="1">
      <protection locked="0"/>
    </xf>
    <xf numFmtId="14" fontId="6" fillId="2" borderId="2" xfId="0" applyNumberFormat="1" applyFont="1" applyFill="1" applyBorder="1" applyAlignment="1">
      <alignment vertical="center"/>
    </xf>
    <xf numFmtId="10" fontId="6" fillId="2" borderId="2" xfId="2" applyNumberFormat="1" applyFont="1" applyFill="1" applyBorder="1" applyAlignment="1" applyProtection="1">
      <alignment vertical="center"/>
    </xf>
    <xf numFmtId="0" fontId="6" fillId="2" borderId="2" xfId="0" applyFont="1" applyFill="1" applyBorder="1" applyAlignment="1">
      <alignment vertical="center" wrapText="1"/>
    </xf>
    <xf numFmtId="10" fontId="6" fillId="2" borderId="2" xfId="0" applyNumberFormat="1" applyFont="1" applyFill="1" applyBorder="1" applyAlignment="1">
      <alignment horizontal="center" vertical="center"/>
    </xf>
    <xf numFmtId="43" fontId="8" fillId="2" borderId="2" xfId="1" applyFont="1" applyFill="1" applyBorder="1" applyAlignment="1" applyProtection="1">
      <alignment horizontal="right" vertical="center" wrapText="1"/>
    </xf>
    <xf numFmtId="0" fontId="12" fillId="2" borderId="2" xfId="13" applyFont="1" applyFill="1" applyBorder="1" applyAlignment="1">
      <alignment horizontal="right" vertical="center"/>
    </xf>
    <xf numFmtId="0" fontId="27" fillId="0" borderId="2" xfId="13" applyFont="1" applyBorder="1"/>
    <xf numFmtId="43" fontId="5" fillId="2" borderId="2" xfId="1" applyFont="1" applyFill="1" applyBorder="1" applyAlignment="1" applyProtection="1">
      <alignment vertical="center" wrapText="1"/>
    </xf>
    <xf numFmtId="0" fontId="5" fillId="2" borderId="2" xfId="13" applyFont="1" applyFill="1" applyBorder="1" applyAlignment="1">
      <alignment horizontal="right" vertical="center"/>
    </xf>
    <xf numFmtId="10" fontId="5" fillId="0" borderId="2" xfId="13" applyNumberFormat="1" applyFont="1" applyBorder="1"/>
    <xf numFmtId="167" fontId="13" fillId="4" borderId="16" xfId="0" applyNumberFormat="1" applyFont="1" applyFill="1" applyBorder="1" applyAlignment="1">
      <alignment horizontal="center" vertical="center" wrapText="1"/>
    </xf>
    <xf numFmtId="167" fontId="17" fillId="4" borderId="16" xfId="0" applyNumberFormat="1" applyFont="1" applyFill="1" applyBorder="1" applyAlignment="1">
      <alignment horizontal="center" vertical="center" wrapText="1"/>
    </xf>
    <xf numFmtId="43" fontId="2" fillId="2" borderId="0" xfId="1" applyFont="1" applyFill="1"/>
    <xf numFmtId="43" fontId="6" fillId="2" borderId="11" xfId="1" applyFont="1" applyFill="1" applyBorder="1" applyAlignment="1">
      <alignment horizontal="center" vertical="center" wrapText="1"/>
    </xf>
    <xf numFmtId="43" fontId="9" fillId="2" borderId="11" xfId="1" applyFont="1" applyFill="1" applyBorder="1" applyAlignment="1">
      <alignment horizontal="center" vertical="center" wrapText="1"/>
    </xf>
    <xf numFmtId="43" fontId="9" fillId="2" borderId="2" xfId="1" applyFont="1" applyFill="1" applyBorder="1" applyAlignment="1">
      <alignment horizontal="center" vertical="center"/>
    </xf>
    <xf numFmtId="43" fontId="9" fillId="2" borderId="2" xfId="1" applyFont="1" applyFill="1" applyBorder="1" applyAlignment="1">
      <alignment vertical="center"/>
    </xf>
    <xf numFmtId="0" fontId="28" fillId="0" borderId="0" xfId="0" applyFont="1"/>
    <xf numFmtId="168" fontId="19" fillId="4" borderId="16" xfId="1" applyNumberFormat="1" applyFont="1" applyFill="1" applyBorder="1" applyAlignment="1">
      <alignment horizontal="center" wrapText="1"/>
    </xf>
    <xf numFmtId="2" fontId="17" fillId="4" borderId="16" xfId="0" applyNumberFormat="1" applyFont="1" applyFill="1" applyBorder="1" applyAlignment="1">
      <alignment horizontal="center" vertical="center" wrapText="1"/>
    </xf>
    <xf numFmtId="2" fontId="13" fillId="4" borderId="16" xfId="0" applyNumberFormat="1" applyFont="1" applyFill="1" applyBorder="1" applyAlignment="1">
      <alignment horizontal="center" vertical="center" wrapText="1"/>
    </xf>
    <xf numFmtId="167" fontId="19" fillId="4" borderId="16" xfId="0" applyNumberFormat="1" applyFont="1" applyFill="1" applyBorder="1" applyAlignment="1">
      <alignment horizontal="center" vertical="center" wrapText="1"/>
    </xf>
    <xf numFmtId="167" fontId="0" fillId="0" borderId="0" xfId="0" applyNumberFormat="1"/>
    <xf numFmtId="43" fontId="5" fillId="2" borderId="7" xfId="1" applyFont="1" applyFill="1" applyBorder="1" applyAlignment="1" applyProtection="1">
      <alignment horizontal="center" vertical="center" wrapText="1"/>
    </xf>
    <xf numFmtId="17" fontId="6" fillId="2" borderId="7" xfId="0" applyNumberFormat="1" applyFont="1" applyFill="1" applyBorder="1" applyAlignment="1">
      <alignment horizontal="left" vertical="center"/>
    </xf>
    <xf numFmtId="4" fontId="5" fillId="2" borderId="7" xfId="0" applyNumberFormat="1" applyFont="1" applyFill="1" applyBorder="1" applyAlignment="1">
      <alignment horizontal="left" vertical="center"/>
    </xf>
    <xf numFmtId="0" fontId="5" fillId="2" borderId="0" xfId="0" applyFont="1" applyFill="1" applyAlignment="1">
      <alignment horizontal="center"/>
    </xf>
    <xf numFmtId="0" fontId="5" fillId="2" borderId="7" xfId="0" applyFont="1" applyFill="1" applyBorder="1" applyAlignment="1">
      <alignment horizontal="right" vertical="center"/>
    </xf>
    <xf numFmtId="49" fontId="5" fillId="2" borderId="7" xfId="0" applyNumberFormat="1" applyFont="1" applyFill="1" applyBorder="1" applyAlignment="1">
      <alignment horizontal="left" vertical="center"/>
    </xf>
    <xf numFmtId="4" fontId="5" fillId="2" borderId="0" xfId="0" applyNumberFormat="1" applyFont="1" applyFill="1" applyAlignment="1">
      <alignment horizontal="center" vertical="top"/>
    </xf>
    <xf numFmtId="4" fontId="29" fillId="6" borderId="21" xfId="0" applyNumberFormat="1" applyFont="1" applyFill="1" applyBorder="1" applyAlignment="1">
      <alignment horizontal="center" vertical="center"/>
    </xf>
    <xf numFmtId="4" fontId="9" fillId="6" borderId="21" xfId="0" applyNumberFormat="1" applyFont="1" applyFill="1" applyBorder="1" applyAlignment="1">
      <alignment horizontal="center" vertical="center"/>
    </xf>
    <xf numFmtId="4" fontId="9" fillId="6" borderId="20" xfId="0" applyNumberFormat="1" applyFont="1" applyFill="1" applyBorder="1" applyAlignment="1">
      <alignment horizontal="center" vertical="center"/>
    </xf>
    <xf numFmtId="4" fontId="6" fillId="2" borderId="2" xfId="0" applyNumberFormat="1" applyFont="1" applyFill="1" applyBorder="1" applyAlignment="1">
      <alignment horizontal="center" vertical="center" wrapText="1"/>
    </xf>
    <xf numFmtId="43" fontId="6" fillId="8" borderId="2" xfId="1" applyFont="1" applyFill="1" applyBorder="1" applyAlignment="1" applyProtection="1">
      <alignment vertical="center"/>
    </xf>
    <xf numFmtId="43" fontId="20" fillId="8" borderId="2" xfId="1" applyFont="1" applyFill="1" applyBorder="1"/>
    <xf numFmtId="43" fontId="6" fillId="9" borderId="2" xfId="1" applyFont="1" applyFill="1" applyBorder="1" applyAlignment="1" applyProtection="1">
      <alignment vertical="center"/>
    </xf>
    <xf numFmtId="43" fontId="20" fillId="9" borderId="2" xfId="0" applyNumberFormat="1" applyFont="1" applyFill="1" applyBorder="1"/>
    <xf numFmtId="43" fontId="17" fillId="4" borderId="16" xfId="0" applyNumberFormat="1" applyFont="1" applyFill="1" applyBorder="1" applyAlignment="1">
      <alignment horizontal="center" vertical="center" wrapText="1"/>
    </xf>
    <xf numFmtId="4" fontId="9" fillId="6" borderId="2" xfId="0" applyNumberFormat="1" applyFont="1" applyFill="1" applyBorder="1" applyAlignment="1">
      <alignment horizontal="center" vertical="center"/>
    </xf>
    <xf numFmtId="0" fontId="20" fillId="0" borderId="0" xfId="0" applyFont="1"/>
    <xf numFmtId="0" fontId="27" fillId="0" borderId="0" xfId="13" applyFont="1"/>
    <xf numFmtId="10" fontId="5" fillId="0" borderId="0" xfId="13" applyNumberFormat="1" applyFont="1"/>
    <xf numFmtId="43" fontId="9" fillId="7" borderId="11" xfId="1" applyFont="1" applyFill="1" applyBorder="1" applyAlignment="1" applyProtection="1">
      <alignment horizontal="center" vertical="center" wrapText="1"/>
    </xf>
    <xf numFmtId="43" fontId="9" fillId="7" borderId="11" xfId="1" applyFont="1" applyFill="1" applyBorder="1" applyAlignment="1" applyProtection="1">
      <alignment horizontal="right" vertical="center" wrapText="1"/>
    </xf>
    <xf numFmtId="4" fontId="29" fillId="6" borderId="2" xfId="0" applyNumberFormat="1" applyFont="1" applyFill="1" applyBorder="1" applyAlignment="1">
      <alignment horizontal="center" vertical="center"/>
    </xf>
    <xf numFmtId="43" fontId="9" fillId="7" borderId="2" xfId="38" applyFont="1" applyFill="1" applyBorder="1" applyAlignment="1" applyProtection="1">
      <alignment horizontal="center" vertical="center"/>
    </xf>
    <xf numFmtId="10" fontId="18" fillId="0" borderId="0" xfId="2" applyNumberFormat="1" applyFont="1"/>
    <xf numFmtId="10" fontId="0" fillId="0" borderId="0" xfId="2" applyNumberFormat="1" applyFont="1"/>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43" fontId="6" fillId="2" borderId="9" xfId="1" applyFont="1" applyFill="1" applyBorder="1" applyAlignment="1" applyProtection="1">
      <alignment horizontal="center" vertical="top" wrapText="1"/>
    </xf>
    <xf numFmtId="43" fontId="6" fillId="2" borderId="10" xfId="1" applyFont="1" applyFill="1" applyBorder="1" applyAlignment="1" applyProtection="1">
      <alignment horizontal="center" vertical="top" wrapText="1"/>
    </xf>
    <xf numFmtId="43" fontId="6" fillId="2" borderId="19" xfId="1" applyFont="1" applyFill="1" applyBorder="1" applyAlignment="1" applyProtection="1">
      <alignment horizontal="center" vertical="center" wrapText="1"/>
    </xf>
    <xf numFmtId="43" fontId="6" fillId="2" borderId="8" xfId="1" applyFont="1" applyFill="1" applyBorder="1" applyAlignment="1" applyProtection="1">
      <alignment horizontal="center" vertical="center" wrapText="1"/>
    </xf>
    <xf numFmtId="4" fontId="5" fillId="2" borderId="17" xfId="0" applyNumberFormat="1" applyFont="1" applyFill="1" applyBorder="1" applyAlignment="1">
      <alignment horizontal="center" vertical="top"/>
    </xf>
    <xf numFmtId="4" fontId="5" fillId="2" borderId="18" xfId="0" applyNumberFormat="1" applyFont="1" applyFill="1" applyBorder="1" applyAlignment="1">
      <alignment horizontal="center" vertical="top"/>
    </xf>
    <xf numFmtId="4" fontId="5" fillId="2" borderId="22" xfId="0" applyNumberFormat="1" applyFont="1" applyFill="1" applyBorder="1" applyAlignment="1">
      <alignment horizontal="center" vertical="top"/>
    </xf>
    <xf numFmtId="4" fontId="5" fillId="2" borderId="14" xfId="0" applyNumberFormat="1" applyFont="1" applyFill="1" applyBorder="1" applyAlignment="1">
      <alignment horizontal="center" vertical="top"/>
    </xf>
  </cellXfs>
  <cellStyles count="57">
    <cellStyle name="Comma 2" xfId="22" xr:uid="{BCF72EDC-B15F-4560-8BC6-3A286FAEED0D}"/>
    <cellStyle name="Comma 2 2" xfId="48" xr:uid="{852E3A5B-392A-41F4-81F0-0A20AD12BB21}"/>
    <cellStyle name="Currency 2" xfId="23" xr:uid="{8C14E721-1EBB-450B-BB28-BFE0A34E94F9}"/>
    <cellStyle name="Estilo 1" xfId="3" xr:uid="{00000000-0005-0000-0000-000000000000}"/>
    <cellStyle name="Hiperlink 2" xfId="19" xr:uid="{5641812E-42CD-4EBF-B74D-4F0AA4142301}"/>
    <cellStyle name="Moeda" xfId="9" builtinId="4"/>
    <cellStyle name="Moeda 2" xfId="4" xr:uid="{00000000-0005-0000-0000-000002000000}"/>
    <cellStyle name="Moeda 2 2" xfId="36" xr:uid="{0B45CA16-E281-47ED-8E73-09C3084E6CB3}"/>
    <cellStyle name="Moeda 2 3" xfId="24" xr:uid="{46902D51-A362-4A58-BF38-B3625285C415}"/>
    <cellStyle name="Moeda 2 4" xfId="44" xr:uid="{1381710B-5A9F-4F8D-8EFB-FBC2ACE5D3AE}"/>
    <cellStyle name="Moeda 2 5" xfId="15" xr:uid="{122990B3-F589-4FB7-9F5C-1E087222BC88}"/>
    <cellStyle name="Moeda 3" xfId="18" xr:uid="{94E0EFCE-3B1A-4A29-AC9D-42E801BDBBDF}"/>
    <cellStyle name="Moeda 4" xfId="33" xr:uid="{309CD0DB-68A6-4619-9E1D-4F9E73A9A29F}"/>
    <cellStyle name="Moeda 4 2" xfId="52" xr:uid="{7CB5E4FA-6C70-44EF-959C-C2B93615E7E9}"/>
    <cellStyle name="Moeda 5" xfId="39" xr:uid="{1ECE1F01-7D41-451F-9734-DFA96B7E7202}"/>
    <cellStyle name="Moeda 5 2" xfId="55" xr:uid="{B2860A6B-A411-4D99-B78B-8F1908B68F2D}"/>
    <cellStyle name="Moeda 6" xfId="56" xr:uid="{CB2BEE8C-18CA-42AF-A157-56A890542841}"/>
    <cellStyle name="Normal" xfId="0" builtinId="0"/>
    <cellStyle name="Normal 2" xfId="5" xr:uid="{00000000-0005-0000-0000-000004000000}"/>
    <cellStyle name="Normal 2 2" xfId="13" xr:uid="{AD20742A-D28B-483E-BAC3-1EF01EFD4BFB}"/>
    <cellStyle name="Normal 2 2 2" xfId="35" xr:uid="{A41B6294-5850-4E8D-8C38-4D2B9836A868}"/>
    <cellStyle name="Normal 2 3" xfId="16" xr:uid="{B6B413FB-4277-412C-B1AD-BAEEA377FF72}"/>
    <cellStyle name="Normal 2 4" xfId="43" xr:uid="{433122E9-29E7-4A0C-9A41-CF4386B31352}"/>
    <cellStyle name="Normal 2 5" xfId="14" xr:uid="{86721EBF-9B75-46CE-A28A-F9365BE55727}"/>
    <cellStyle name="Normal 3" xfId="6" xr:uid="{00000000-0005-0000-0000-000005000000}"/>
    <cellStyle name="Normal 3 2" xfId="34" xr:uid="{41BE7350-02D2-4FC6-86A7-09E565EEDD54}"/>
    <cellStyle name="Normal 4" xfId="7" xr:uid="{00000000-0005-0000-0000-000006000000}"/>
    <cellStyle name="Normal 4 2" xfId="51" xr:uid="{7546BD94-B605-435F-8021-92803977A979}"/>
    <cellStyle name="Normal 4 3" xfId="32" xr:uid="{7DD18701-A5C1-4727-BA77-C2E8CF3B9115}"/>
    <cellStyle name="Normal 5" xfId="37" xr:uid="{478A3F50-6F77-4658-8C72-375E4F611724}"/>
    <cellStyle name="Normal 5 2" xfId="53" xr:uid="{9EC0BB15-8985-4543-9E3C-166A0D3D3F74}"/>
    <cellStyle name="Normal 6" xfId="21" xr:uid="{174A3262-2F57-43FC-B7C4-FE654DCA2ECA}"/>
    <cellStyle name="Normal 6 2" xfId="47" xr:uid="{72EF7A64-A69B-4248-B8DD-05DD589F6837}"/>
    <cellStyle name="Normal 7" xfId="40" xr:uid="{079886F4-3B94-4B2E-A781-9FB039E5D13A}"/>
    <cellStyle name="Normal 8" xfId="10" xr:uid="{DAD8B7F5-6E58-4D70-A3EB-32E08317C5D6}"/>
    <cellStyle name="Percent 2" xfId="25" xr:uid="{05B9A826-92E5-4079-8515-EB5541FD2C08}"/>
    <cellStyle name="Porcentagem" xfId="2" builtinId="5"/>
    <cellStyle name="Porcentagem 2" xfId="26" xr:uid="{0332FF67-4917-4525-A785-A2756C28C90D}"/>
    <cellStyle name="Porcentagem 3" xfId="27" xr:uid="{CF3E178E-2CAC-4758-ADE6-00851405D107}"/>
    <cellStyle name="Porcentagem 4" xfId="42" xr:uid="{FD540362-ABFC-4B32-AABC-B28D7C803C66}"/>
    <cellStyle name="Porcentagem 5" xfId="12" xr:uid="{4DF78676-D2A4-498E-AB11-B9B9C5643D17}"/>
    <cellStyle name="Titulos" xfId="28" xr:uid="{550DA346-88AE-4DD1-BFBD-488D51701018}"/>
    <cellStyle name="Valores" xfId="29" xr:uid="{3DB64DD9-3362-41A8-97CA-432E1718DF0E}"/>
    <cellStyle name="Vírgula" xfId="1" builtinId="3"/>
    <cellStyle name="Vírgula 2" xfId="8" xr:uid="{00000000-0005-0000-0000-000009000000}"/>
    <cellStyle name="Vírgula 2 2" xfId="30" xr:uid="{7A061BA8-3C46-4335-89EC-49A776FB55B8}"/>
    <cellStyle name="Vírgula 2 2 2" xfId="49" xr:uid="{48BA7411-6640-4D61-863D-00FB3E987351}"/>
    <cellStyle name="Vírgula 2 3" xfId="46" xr:uid="{0470EDCE-6DA6-487D-BAF5-EBBEF03A8FF5}"/>
    <cellStyle name="Vírgula 2 4" xfId="20" xr:uid="{FE5FAD13-CE1A-4A46-8EF9-F121A6E7AC4D}"/>
    <cellStyle name="Vírgula 3" xfId="17" xr:uid="{C6FBB567-B919-4B1D-A175-43AB8FB9FD13}"/>
    <cellStyle name="Vírgula 3 2" xfId="31" xr:uid="{0181F09F-1E1A-42D8-9F67-3138DA77ACC6}"/>
    <cellStyle name="Vírgula 3 2 2" xfId="50" xr:uid="{B6E9FB4D-2858-482E-9608-257AC92BFAB4}"/>
    <cellStyle name="Vírgula 3 3" xfId="45" xr:uid="{B74FEDF9-BF05-4EEA-A29C-92A1258E75B4}"/>
    <cellStyle name="Vírgula 4" xfId="38" xr:uid="{2F62E960-9D8C-40B3-8E2A-F159C31B506C}"/>
    <cellStyle name="Vírgula 4 2" xfId="54" xr:uid="{CC7A8F73-C316-4394-B5A1-35983227AC3D}"/>
    <cellStyle name="Vírgula 5" xfId="41" xr:uid="{2EDE6024-D8C3-4F07-B59C-04EC870E1944}"/>
    <cellStyle name="Vírgula 6" xfId="11" xr:uid="{C6E110A7-5C07-46D8-B8EE-BDE1F23D1B76}"/>
  </cellStyles>
  <dxfs count="64">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14941</xdr:colOff>
      <xdr:row>2</xdr:row>
      <xdr:rowOff>149413</xdr:rowOff>
    </xdr:from>
    <xdr:to>
      <xdr:col>5</xdr:col>
      <xdr:colOff>760652</xdr:colOff>
      <xdr:row>4</xdr:row>
      <xdr:rowOff>151660</xdr:rowOff>
    </xdr:to>
    <xdr:pic>
      <xdr:nvPicPr>
        <xdr:cNvPr id="2" name="Imagem 1">
          <a:extLst>
            <a:ext uri="{FF2B5EF4-FFF2-40B4-BE49-F238E27FC236}">
              <a16:creationId xmlns:a16="http://schemas.microsoft.com/office/drawing/2014/main" id="{DBF74FA0-09F8-47F1-ADA3-01F1FC72FA60}"/>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43741" y="517713"/>
          <a:ext cx="2003011" cy="370547"/>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72572</xdr:colOff>
      <xdr:row>1</xdr:row>
      <xdr:rowOff>18143</xdr:rowOff>
    </xdr:from>
    <xdr:to>
      <xdr:col>3</xdr:col>
      <xdr:colOff>789215</xdr:colOff>
      <xdr:row>3</xdr:row>
      <xdr:rowOff>40368</xdr:rowOff>
    </xdr:to>
    <xdr:pic>
      <xdr:nvPicPr>
        <xdr:cNvPr id="2" name="Imagem 1">
          <a:extLst>
            <a:ext uri="{FF2B5EF4-FFF2-40B4-BE49-F238E27FC236}">
              <a16:creationId xmlns:a16="http://schemas.microsoft.com/office/drawing/2014/main" id="{D982B89C-C211-42E3-93FE-6BAB45119EC3}"/>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62643" y="199572"/>
          <a:ext cx="2004786" cy="40322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154214</xdr:colOff>
      <xdr:row>1</xdr:row>
      <xdr:rowOff>18143</xdr:rowOff>
    </xdr:from>
    <xdr:to>
      <xdr:col>3</xdr:col>
      <xdr:colOff>870857</xdr:colOff>
      <xdr:row>3</xdr:row>
      <xdr:rowOff>22225</xdr:rowOff>
    </xdr:to>
    <xdr:pic>
      <xdr:nvPicPr>
        <xdr:cNvPr id="2" name="Imagem 1">
          <a:extLst>
            <a:ext uri="{FF2B5EF4-FFF2-40B4-BE49-F238E27FC236}">
              <a16:creationId xmlns:a16="http://schemas.microsoft.com/office/drawing/2014/main" id="{15301162-76AB-44A1-B002-57ECFAA2BBE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44285" y="199572"/>
          <a:ext cx="2004786" cy="385082"/>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70970</xdr:colOff>
      <xdr:row>1</xdr:row>
      <xdr:rowOff>23674</xdr:rowOff>
    </xdr:from>
    <xdr:to>
      <xdr:col>3</xdr:col>
      <xdr:colOff>787613</xdr:colOff>
      <xdr:row>3</xdr:row>
      <xdr:rowOff>39787</xdr:rowOff>
    </xdr:to>
    <xdr:pic>
      <xdr:nvPicPr>
        <xdr:cNvPr id="2" name="Imagem 1">
          <a:extLst>
            <a:ext uri="{FF2B5EF4-FFF2-40B4-BE49-F238E27FC236}">
              <a16:creationId xmlns:a16="http://schemas.microsoft.com/office/drawing/2014/main" id="{CCE06B4C-6739-4C36-A8CB-C7AD98EA938A}"/>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63515" y="196856"/>
          <a:ext cx="2009734" cy="3855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14941</xdr:colOff>
      <xdr:row>2</xdr:row>
      <xdr:rowOff>149413</xdr:rowOff>
    </xdr:from>
    <xdr:to>
      <xdr:col>5</xdr:col>
      <xdr:colOff>660866</xdr:colOff>
      <xdr:row>4</xdr:row>
      <xdr:rowOff>138960</xdr:rowOff>
    </xdr:to>
    <xdr:pic>
      <xdr:nvPicPr>
        <xdr:cNvPr id="3" name="Imagem 2">
          <a:extLst>
            <a:ext uri="{FF2B5EF4-FFF2-40B4-BE49-F238E27FC236}">
              <a16:creationId xmlns:a16="http://schemas.microsoft.com/office/drawing/2014/main" id="{7EC7CE78-4F66-422B-8149-2BB83382D58A}"/>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43741" y="517713"/>
          <a:ext cx="1999382" cy="35784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14941</xdr:colOff>
      <xdr:row>2</xdr:row>
      <xdr:rowOff>149413</xdr:rowOff>
    </xdr:from>
    <xdr:to>
      <xdr:col>5</xdr:col>
      <xdr:colOff>638987</xdr:colOff>
      <xdr:row>4</xdr:row>
      <xdr:rowOff>138960</xdr:rowOff>
    </xdr:to>
    <xdr:pic>
      <xdr:nvPicPr>
        <xdr:cNvPr id="2" name="Imagem 1">
          <a:extLst>
            <a:ext uri="{FF2B5EF4-FFF2-40B4-BE49-F238E27FC236}">
              <a16:creationId xmlns:a16="http://schemas.microsoft.com/office/drawing/2014/main" id="{E3A683DB-819A-4FFB-8E66-3A699017193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43741" y="517713"/>
          <a:ext cx="1999382" cy="35784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81643</xdr:colOff>
      <xdr:row>1</xdr:row>
      <xdr:rowOff>45357</xdr:rowOff>
    </xdr:from>
    <xdr:to>
      <xdr:col>3</xdr:col>
      <xdr:colOff>798286</xdr:colOff>
      <xdr:row>3</xdr:row>
      <xdr:rowOff>49439</xdr:rowOff>
    </xdr:to>
    <xdr:pic>
      <xdr:nvPicPr>
        <xdr:cNvPr id="2" name="Imagem 1">
          <a:extLst>
            <a:ext uri="{FF2B5EF4-FFF2-40B4-BE49-F238E27FC236}">
              <a16:creationId xmlns:a16="http://schemas.microsoft.com/office/drawing/2014/main" id="{B68CB8D9-C658-4AAE-859D-43D0070181E6}"/>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1714" y="226786"/>
          <a:ext cx="2004786" cy="38508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155864</xdr:colOff>
      <xdr:row>0</xdr:row>
      <xdr:rowOff>164936</xdr:rowOff>
    </xdr:from>
    <xdr:to>
      <xdr:col>3</xdr:col>
      <xdr:colOff>872507</xdr:colOff>
      <xdr:row>2</xdr:row>
      <xdr:rowOff>187161</xdr:rowOff>
    </xdr:to>
    <xdr:pic>
      <xdr:nvPicPr>
        <xdr:cNvPr id="2" name="Imagem 1">
          <a:extLst>
            <a:ext uri="{FF2B5EF4-FFF2-40B4-BE49-F238E27FC236}">
              <a16:creationId xmlns:a16="http://schemas.microsoft.com/office/drawing/2014/main" id="{EFA1BF1F-A87D-487E-BACF-F3AEE5F46A03}"/>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48409" y="164936"/>
          <a:ext cx="2009734" cy="36858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175559</xdr:colOff>
      <xdr:row>0</xdr:row>
      <xdr:rowOff>139808</xdr:rowOff>
    </xdr:from>
    <xdr:to>
      <xdr:col>3</xdr:col>
      <xdr:colOff>892202</xdr:colOff>
      <xdr:row>2</xdr:row>
      <xdr:rowOff>162033</xdr:rowOff>
    </xdr:to>
    <xdr:pic>
      <xdr:nvPicPr>
        <xdr:cNvPr id="2" name="Imagem 1">
          <a:extLst>
            <a:ext uri="{FF2B5EF4-FFF2-40B4-BE49-F238E27FC236}">
              <a16:creationId xmlns:a16="http://schemas.microsoft.com/office/drawing/2014/main" id="{D9CD6140-AEA8-4D81-8233-4DEBE1FEA35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64030" y="139808"/>
          <a:ext cx="2001584" cy="38081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40409</xdr:colOff>
      <xdr:row>1</xdr:row>
      <xdr:rowOff>49481</xdr:rowOff>
    </xdr:from>
    <xdr:to>
      <xdr:col>3</xdr:col>
      <xdr:colOff>757052</xdr:colOff>
      <xdr:row>3</xdr:row>
      <xdr:rowOff>48616</xdr:rowOff>
    </xdr:to>
    <xdr:pic>
      <xdr:nvPicPr>
        <xdr:cNvPr id="2" name="Imagem 1">
          <a:extLst>
            <a:ext uri="{FF2B5EF4-FFF2-40B4-BE49-F238E27FC236}">
              <a16:creationId xmlns:a16="http://schemas.microsoft.com/office/drawing/2014/main" id="{DD74AE40-2E99-4A02-B1AC-04F2244EC537}"/>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32954" y="222663"/>
          <a:ext cx="2009734" cy="36858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115454</xdr:colOff>
      <xdr:row>1</xdr:row>
      <xdr:rowOff>41234</xdr:rowOff>
    </xdr:from>
    <xdr:to>
      <xdr:col>3</xdr:col>
      <xdr:colOff>832097</xdr:colOff>
      <xdr:row>3</xdr:row>
      <xdr:rowOff>40369</xdr:rowOff>
    </xdr:to>
    <xdr:pic>
      <xdr:nvPicPr>
        <xdr:cNvPr id="3" name="Imagem 2">
          <a:extLst>
            <a:ext uri="{FF2B5EF4-FFF2-40B4-BE49-F238E27FC236}">
              <a16:creationId xmlns:a16="http://schemas.microsoft.com/office/drawing/2014/main" id="{F5C6F243-197F-4899-8F93-626253DC39C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07999" y="214416"/>
          <a:ext cx="2009734" cy="36858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108857</xdr:colOff>
      <xdr:row>1</xdr:row>
      <xdr:rowOff>9071</xdr:rowOff>
    </xdr:from>
    <xdr:to>
      <xdr:col>3</xdr:col>
      <xdr:colOff>825500</xdr:colOff>
      <xdr:row>3</xdr:row>
      <xdr:rowOff>31296</xdr:rowOff>
    </xdr:to>
    <xdr:pic>
      <xdr:nvPicPr>
        <xdr:cNvPr id="2" name="Imagem 1">
          <a:extLst>
            <a:ext uri="{FF2B5EF4-FFF2-40B4-BE49-F238E27FC236}">
              <a16:creationId xmlns:a16="http://schemas.microsoft.com/office/drawing/2014/main" id="{4C06A224-8992-4418-9B4F-D76A7CE47BC4}"/>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98928" y="190500"/>
          <a:ext cx="2004786" cy="385082"/>
        </a:xfrm>
        <a:prstGeom prst="rect">
          <a:avLst/>
        </a:prstGeom>
        <a:noFill/>
        <a:ln>
          <a:noFill/>
        </a:ln>
      </xdr:spPr>
    </xdr:pic>
    <xdr:clientData/>
  </xdr:twoCellAnchor>
  <xdr:twoCellAnchor editAs="oneCell">
    <xdr:from>
      <xdr:col>1</xdr:col>
      <xdr:colOff>154214</xdr:colOff>
      <xdr:row>1</xdr:row>
      <xdr:rowOff>18143</xdr:rowOff>
    </xdr:from>
    <xdr:to>
      <xdr:col>3</xdr:col>
      <xdr:colOff>870857</xdr:colOff>
      <xdr:row>3</xdr:row>
      <xdr:rowOff>41275</xdr:rowOff>
    </xdr:to>
    <xdr:pic>
      <xdr:nvPicPr>
        <xdr:cNvPr id="3" name="Imagem 2">
          <a:extLst>
            <a:ext uri="{FF2B5EF4-FFF2-40B4-BE49-F238E27FC236}">
              <a16:creationId xmlns:a16="http://schemas.microsoft.com/office/drawing/2014/main" id="{9A02A8E1-6ECF-4DE3-BABD-486BF64C422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41564" y="195943"/>
          <a:ext cx="1999343" cy="37873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ncoamazoniacombr-my.sharepoint.com/ROBSON/AA-ENGENHARIA/OBRAS%20E%20SERVI&#199;OS/Rp-ReformaGeral23e24/RPReformaGeral-Unico-2024/Licita&#231;&#227;o%20RP-2024/SINAPI/AC/Or&#231;GeraLRP_Unico-Matriz_AC-08.03.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ORÇ-SIMP"/>
      <sheetName val="BDI"/>
      <sheetName val="ORÇ-GERAL"/>
      <sheetName val="COMP-SINT-SINAPI"/>
      <sheetName val="tab-PINI-SINT"/>
      <sheetName val="ESPEC TÉCNICA"/>
      <sheetName val="DESC SERVIÇOS"/>
      <sheetName val="ORÇ-MODELO"/>
      <sheetName val="PREÇOS UNITÁRIOS"/>
      <sheetName val="INSUMOS"/>
      <sheetName val="COMP-PREÇO-ANALIT"/>
      <sheetName val="INSUMOS-SINAPI"/>
      <sheetName val="TAB-PINI-ANAL"/>
      <sheetName val="SINAPI-SINT-DESO"/>
      <sheetName val="SINAPI-SINT-ANAL-DESO"/>
      <sheetName val="SINAPI-SINT-ÑDESO"/>
      <sheetName val="SINAPI-ANAL-ÑDE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3E54-49D3-42D0-BCCA-EBA2BD7A734D}">
  <dimension ref="D3:L23"/>
  <sheetViews>
    <sheetView tabSelected="1" topLeftCell="A9" zoomScale="85" zoomScaleNormal="85" workbookViewId="0">
      <selection activeCell="K11" sqref="K11"/>
    </sheetView>
  </sheetViews>
  <sheetFormatPr defaultRowHeight="14.5"/>
  <cols>
    <col min="4" max="4" width="7.54296875" customWidth="1"/>
    <col min="5" max="5" width="10.36328125" customWidth="1"/>
    <col min="6" max="6" width="12.36328125" customWidth="1"/>
    <col min="7" max="7" width="11.54296875" customWidth="1"/>
    <col min="8" max="8" width="11.453125" bestFit="1" customWidth="1"/>
    <col min="9" max="9" width="20.6328125" customWidth="1"/>
    <col min="10" max="10" width="22.453125" bestFit="1" customWidth="1"/>
    <col min="11" max="11" width="22.36328125" customWidth="1"/>
    <col min="12" max="12" width="11.453125" customWidth="1"/>
    <col min="13" max="13" width="19.54296875" customWidth="1"/>
  </cols>
  <sheetData>
    <row r="3" spans="4:12" s="8" customFormat="1" ht="14">
      <c r="E3" s="4"/>
      <c r="F3" s="4"/>
      <c r="G3" s="4"/>
      <c r="H3" s="4"/>
      <c r="I3" s="4"/>
      <c r="J3" s="4"/>
      <c r="K3" s="9"/>
    </row>
    <row r="4" spans="4:12" s="8" customFormat="1" ht="14">
      <c r="E4" s="15"/>
      <c r="F4" s="15"/>
      <c r="G4" s="15"/>
      <c r="H4" s="15"/>
      <c r="I4" s="15"/>
      <c r="J4" s="15"/>
      <c r="K4" s="16"/>
    </row>
    <row r="5" spans="4:12" s="8" customFormat="1" ht="14">
      <c r="D5" s="19"/>
      <c r="K5" s="20"/>
    </row>
    <row r="6" spans="4:12" s="8" customFormat="1" ht="14">
      <c r="D6" s="19" t="s">
        <v>0</v>
      </c>
      <c r="K6" s="16"/>
    </row>
    <row r="7" spans="4:12" s="8" customFormat="1" ht="14">
      <c r="D7" s="19" t="s">
        <v>1</v>
      </c>
      <c r="K7" s="16"/>
    </row>
    <row r="9" spans="4:12" ht="21.75" customHeight="1" thickBot="1"/>
    <row r="10" spans="4:12" s="74" customFormat="1" ht="63" customHeight="1" thickBot="1">
      <c r="D10" s="158" t="s">
        <v>78</v>
      </c>
      <c r="E10" s="159"/>
      <c r="F10" s="159"/>
      <c r="G10" s="159"/>
      <c r="H10" s="159"/>
      <c r="I10" s="159"/>
      <c r="J10" s="160"/>
      <c r="K10" s="82">
        <v>0</v>
      </c>
    </row>
    <row r="11" spans="4:12">
      <c r="D11" t="s">
        <v>1751</v>
      </c>
    </row>
    <row r="12" spans="4:12" ht="20.5" thickBot="1">
      <c r="G12" s="126" t="s">
        <v>1739</v>
      </c>
    </row>
    <row r="13" spans="4:12" ht="48" customHeight="1" thickBot="1">
      <c r="D13" s="69" t="s">
        <v>9</v>
      </c>
      <c r="E13" s="70" t="s">
        <v>66</v>
      </c>
      <c r="F13" s="70" t="s">
        <v>1743</v>
      </c>
      <c r="G13" s="70" t="s">
        <v>1744</v>
      </c>
      <c r="H13" s="70" t="s">
        <v>1745</v>
      </c>
      <c r="I13" s="70" t="s">
        <v>1742</v>
      </c>
      <c r="J13" s="70" t="s">
        <v>67</v>
      </c>
      <c r="K13" s="70" t="s">
        <v>84</v>
      </c>
    </row>
    <row r="14" spans="4:12" ht="16" thickBot="1">
      <c r="D14" s="71">
        <v>1</v>
      </c>
      <c r="E14" s="72" t="s">
        <v>68</v>
      </c>
      <c r="F14" s="129">
        <v>3</v>
      </c>
      <c r="G14" s="129">
        <v>7</v>
      </c>
      <c r="H14" s="129">
        <v>1</v>
      </c>
      <c r="I14" s="129">
        <f>F14+G14+H14</f>
        <v>11</v>
      </c>
      <c r="J14" s="119">
        <v>26500191.060000014</v>
      </c>
      <c r="K14" s="73">
        <f>'OrçGeral-AC'!O741</f>
        <v>26500191.060000014</v>
      </c>
      <c r="L14" s="157"/>
    </row>
    <row r="15" spans="4:12" ht="16" thickBot="1">
      <c r="D15" s="89">
        <f>D14+1</f>
        <v>2</v>
      </c>
      <c r="E15" s="90" t="s">
        <v>69</v>
      </c>
      <c r="F15" s="129">
        <v>6</v>
      </c>
      <c r="G15" s="129">
        <v>7</v>
      </c>
      <c r="H15" s="129">
        <v>1</v>
      </c>
      <c r="I15" s="129">
        <f t="shared" ref="I15:I17" si="0">F15+G15+H15</f>
        <v>14</v>
      </c>
      <c r="J15" s="120">
        <v>34212915.520000011</v>
      </c>
      <c r="K15" s="91">
        <f>'OrçGeral-AM'!O741</f>
        <v>34212915.520000011</v>
      </c>
      <c r="L15" s="157"/>
    </row>
    <row r="16" spans="4:12" s="92" customFormat="1" ht="16" thickBot="1">
      <c r="D16" s="89">
        <f t="shared" ref="D16:D17" si="1">D15+1</f>
        <v>3</v>
      </c>
      <c r="E16" s="90" t="s">
        <v>74</v>
      </c>
      <c r="F16" s="129">
        <v>2</v>
      </c>
      <c r="G16" s="129">
        <v>16</v>
      </c>
      <c r="H16" s="129">
        <v>1</v>
      </c>
      <c r="I16" s="129">
        <f t="shared" si="0"/>
        <v>19</v>
      </c>
      <c r="J16" s="120">
        <v>42424480.810000017</v>
      </c>
      <c r="K16" s="91">
        <f>'OrçGeral-RO'!O741</f>
        <v>42424480.810000017</v>
      </c>
      <c r="L16" s="157"/>
    </row>
    <row r="17" spans="4:12" s="92" customFormat="1" ht="16" thickBot="1">
      <c r="D17" s="89">
        <f t="shared" si="1"/>
        <v>4</v>
      </c>
      <c r="E17" s="90" t="s">
        <v>75</v>
      </c>
      <c r="F17" s="129">
        <v>2</v>
      </c>
      <c r="G17" s="129">
        <v>2</v>
      </c>
      <c r="H17" s="129">
        <v>1</v>
      </c>
      <c r="I17" s="129">
        <f t="shared" si="0"/>
        <v>5</v>
      </c>
      <c r="J17" s="120">
        <v>12842065.949999997</v>
      </c>
      <c r="K17" s="91">
        <f>'OrçGeral-RR'!O741</f>
        <v>12842065.949999997</v>
      </c>
      <c r="L17" s="157"/>
    </row>
    <row r="18" spans="4:12" ht="16" thickBot="1">
      <c r="D18" s="87"/>
      <c r="E18" s="88"/>
      <c r="F18" s="88"/>
      <c r="G18" s="88"/>
      <c r="H18" s="88"/>
      <c r="I18" s="88"/>
      <c r="J18" s="85"/>
      <c r="K18" s="86"/>
    </row>
    <row r="19" spans="4:12" ht="16" thickBot="1">
      <c r="D19" s="87"/>
      <c r="E19" s="93" t="s">
        <v>77</v>
      </c>
      <c r="F19" s="127">
        <f t="shared" ref="F19:H19" si="2">SUM(F14:F18)</f>
        <v>13</v>
      </c>
      <c r="G19" s="127">
        <f t="shared" si="2"/>
        <v>32</v>
      </c>
      <c r="H19" s="127">
        <f t="shared" si="2"/>
        <v>4</v>
      </c>
      <c r="I19" s="127">
        <f>SUM(I14:I18)</f>
        <v>49</v>
      </c>
      <c r="J19" s="130">
        <f>SUM(J14:J18)</f>
        <v>115979653.34000005</v>
      </c>
      <c r="K19" s="94">
        <f>ROUND(SUM(K14:K18),2)</f>
        <v>115979653.34</v>
      </c>
    </row>
    <row r="21" spans="4:12">
      <c r="D21" s="149"/>
      <c r="E21" s="83"/>
      <c r="F21" s="83"/>
      <c r="G21" s="83"/>
      <c r="H21" s="83"/>
      <c r="I21" s="83"/>
      <c r="J21" s="84"/>
    </row>
    <row r="22" spans="4:12">
      <c r="J22" s="131"/>
    </row>
    <row r="23" spans="4:12">
      <c r="K23" s="84"/>
    </row>
  </sheetData>
  <mergeCells count="1">
    <mergeCell ref="D10:J10"/>
  </mergeCells>
  <pageMargins left="0.51181102362204722" right="0.51181102362204722" top="0.39370078740157483" bottom="0.39370078740157483" header="0.31496062992125984" footer="0.31496062992125984"/>
  <pageSetup paperSize="9" scale="8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741"/>
  <sheetViews>
    <sheetView topLeftCell="E1" zoomScale="55" zoomScaleNormal="55" workbookViewId="0">
      <selection activeCell="O9" sqref="O9"/>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1.36328125" style="66" customWidth="1"/>
    <col min="12" max="12" width="11.54296875" style="66" customWidth="1"/>
    <col min="13" max="13" width="14.36328125" style="51" customWidth="1"/>
    <col min="14" max="14" width="13.453125" style="51" customWidth="1"/>
    <col min="15" max="15" width="15.81640625" style="51" customWidth="1"/>
    <col min="16" max="16" width="14.6328125" style="51" customWidth="1"/>
    <col min="17" max="17" width="5.816406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71</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ht="28">
      <c r="B5" s="99" t="s">
        <v>93</v>
      </c>
      <c r="C5" s="98"/>
      <c r="E5" s="16"/>
      <c r="F5" s="17"/>
      <c r="G5" s="17"/>
      <c r="H5" s="116"/>
      <c r="I5" s="117" t="s">
        <v>95</v>
      </c>
      <c r="J5" s="118">
        <v>0.16500000000000001</v>
      </c>
      <c r="K5" s="151"/>
      <c r="L5" s="151"/>
      <c r="N5" s="111" t="s">
        <v>1735</v>
      </c>
      <c r="O5" s="110">
        <v>1.1411</v>
      </c>
    </row>
    <row r="6" spans="2:20" s="8" customFormat="1">
      <c r="D6" s="4"/>
      <c r="E6" s="16" t="s">
        <v>2</v>
      </c>
      <c r="F6" s="23" t="s">
        <v>1763</v>
      </c>
      <c r="G6" s="121"/>
      <c r="H6" s="18"/>
      <c r="N6" s="27" t="s">
        <v>4</v>
      </c>
      <c r="O6" s="28">
        <f>O741</f>
        <v>33063700.780000024</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80</v>
      </c>
      <c r="F9" s="33"/>
      <c r="G9" s="34"/>
      <c r="H9" s="34"/>
      <c r="I9" s="35"/>
      <c r="J9" s="35"/>
      <c r="K9" s="35"/>
      <c r="L9" s="35"/>
      <c r="M9" s="31"/>
      <c r="N9" s="67"/>
      <c r="O9" s="68"/>
      <c r="R9" s="143" t="s">
        <v>1744</v>
      </c>
      <c r="S9" s="144">
        <v>5</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9</v>
      </c>
    </row>
    <row r="11" spans="2:20" s="8" customFormat="1">
      <c r="C11" s="135"/>
      <c r="E11" s="136" t="s">
        <v>165</v>
      </c>
      <c r="F11" s="137" t="s">
        <v>1853</v>
      </c>
      <c r="G11" s="134" t="s">
        <v>1749</v>
      </c>
      <c r="H11" s="134"/>
      <c r="I11" s="133">
        <v>46082</v>
      </c>
      <c r="J11" s="35"/>
      <c r="K11" s="35"/>
      <c r="L11" s="35"/>
      <c r="M11" s="31"/>
      <c r="N11" s="67"/>
      <c r="O11" s="68"/>
      <c r="R11" s="145" t="s">
        <v>77</v>
      </c>
      <c r="S11" s="146">
        <f>S9+S10</f>
        <v>14</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1846612.2199999997</v>
      </c>
      <c r="Q15" s="107"/>
      <c r="R15" s="139"/>
      <c r="S15" s="76" t="s">
        <v>22</v>
      </c>
      <c r="T15" s="51" t="s">
        <v>22</v>
      </c>
    </row>
    <row r="16" spans="2:20" ht="28">
      <c r="B16" s="5" t="s">
        <v>96</v>
      </c>
      <c r="C16" s="45" t="s">
        <v>97</v>
      </c>
      <c r="D16" s="45" t="s">
        <v>98</v>
      </c>
      <c r="E16" s="6" t="s">
        <v>99</v>
      </c>
      <c r="F16" s="45" t="s">
        <v>100</v>
      </c>
      <c r="G16" s="46">
        <f>TRUNC(R16,2)</f>
        <v>14</v>
      </c>
      <c r="H16" s="46">
        <f>TRUNC(S16*(1-LOTE_03!$K$10),2)</f>
        <v>1083.29</v>
      </c>
      <c r="I16" s="46">
        <f>TRUNC(T16*(1-LOTE_03!$K$10),2)</f>
        <v>0</v>
      </c>
      <c r="J16" s="100">
        <f>$J$4</f>
        <v>0.22470000000000001</v>
      </c>
      <c r="K16" s="48">
        <f>TRUNC(H16*(1+J16),2)</f>
        <v>1326.7</v>
      </c>
      <c r="L16" s="48">
        <f>TRUNC(I16*(1+J16),2)</f>
        <v>0</v>
      </c>
      <c r="M16" s="48">
        <f>TRUNC(K16*G16,2)</f>
        <v>18573.8</v>
      </c>
      <c r="N16" s="48">
        <f>TRUNC(L16*G16,2)</f>
        <v>0</v>
      </c>
      <c r="O16" s="50">
        <f>TRUNC(M16+N16,2)</f>
        <v>18573.8</v>
      </c>
      <c r="P16" s="50">
        <v>0</v>
      </c>
      <c r="Q16" s="76"/>
      <c r="R16" s="140">
        <f>S9+S10</f>
        <v>14</v>
      </c>
      <c r="S16" s="79">
        <v>1083.29</v>
      </c>
      <c r="T16" s="80">
        <v>0</v>
      </c>
    </row>
    <row r="17" spans="2:20" ht="28">
      <c r="B17" s="5" t="s">
        <v>101</v>
      </c>
      <c r="C17" s="45" t="s">
        <v>97</v>
      </c>
      <c r="D17" s="45" t="s">
        <v>102</v>
      </c>
      <c r="E17" s="6" t="s">
        <v>103</v>
      </c>
      <c r="F17" s="45" t="s">
        <v>104</v>
      </c>
      <c r="G17" s="46">
        <f t="shared" ref="G17:G80" si="0">TRUNC(R17,2)</f>
        <v>14</v>
      </c>
      <c r="H17" s="46">
        <f>TRUNC(S17*(1-LOTE_03!$K$10),2)</f>
        <v>881.17</v>
      </c>
      <c r="I17" s="46">
        <f>TRUNC(T17*(1-LOTE_03!$K$10),2)</f>
        <v>0</v>
      </c>
      <c r="J17" s="100">
        <f t="shared" ref="J17:J80" si="1">$J$4</f>
        <v>0.22470000000000001</v>
      </c>
      <c r="K17" s="48">
        <f t="shared" ref="K17:K80" si="2">TRUNC(H17*(1+J17),2)</f>
        <v>1079.1600000000001</v>
      </c>
      <c r="L17" s="48">
        <f t="shared" ref="L17:L80" si="3">TRUNC(I17*(1+J17),2)</f>
        <v>0</v>
      </c>
      <c r="M17" s="48">
        <f t="shared" ref="M17:M80" si="4">TRUNC(K17*G17,2)</f>
        <v>15108.24</v>
      </c>
      <c r="N17" s="48">
        <f t="shared" ref="N17:N80" si="5">TRUNC(L17*G17,2)</f>
        <v>0</v>
      </c>
      <c r="O17" s="50">
        <f t="shared" ref="O17:O80" si="6">TRUNC(M17+N17,2)</f>
        <v>15108.24</v>
      </c>
      <c r="P17" s="50">
        <v>0</v>
      </c>
      <c r="Q17" s="76"/>
      <c r="R17" s="140">
        <f>IF((S9+S10)&gt;50,50,(S9+S10))</f>
        <v>14</v>
      </c>
      <c r="S17" s="79">
        <v>881.17</v>
      </c>
      <c r="T17" s="80">
        <v>0</v>
      </c>
    </row>
    <row r="18" spans="2:20" ht="70">
      <c r="B18" s="5" t="s">
        <v>105</v>
      </c>
      <c r="C18" s="45" t="s">
        <v>97</v>
      </c>
      <c r="D18" s="45" t="s">
        <v>106</v>
      </c>
      <c r="E18" s="6" t="s">
        <v>107</v>
      </c>
      <c r="F18" s="45" t="s">
        <v>104</v>
      </c>
      <c r="G18" s="46">
        <f t="shared" si="0"/>
        <v>14</v>
      </c>
      <c r="H18" s="46">
        <f>TRUNC(S18*(1-LOTE_03!$K$10),2)</f>
        <v>325.76</v>
      </c>
      <c r="I18" s="46">
        <f>TRUNC(T18*(1-LOTE_03!$K$10),2)</f>
        <v>0</v>
      </c>
      <c r="J18" s="100">
        <f t="shared" si="1"/>
        <v>0.22470000000000001</v>
      </c>
      <c r="K18" s="48">
        <f t="shared" si="2"/>
        <v>398.95</v>
      </c>
      <c r="L18" s="48">
        <f t="shared" si="3"/>
        <v>0</v>
      </c>
      <c r="M18" s="48">
        <f t="shared" si="4"/>
        <v>5585.3</v>
      </c>
      <c r="N18" s="48">
        <f t="shared" si="5"/>
        <v>0</v>
      </c>
      <c r="O18" s="50">
        <f t="shared" si="6"/>
        <v>5585.3</v>
      </c>
      <c r="P18" s="50">
        <v>0</v>
      </c>
      <c r="Q18" s="76"/>
      <c r="R18" s="140">
        <f>1*(S9+S10)</f>
        <v>14</v>
      </c>
      <c r="S18" s="79">
        <v>325.76</v>
      </c>
      <c r="T18" s="80">
        <v>0</v>
      </c>
    </row>
    <row r="19" spans="2:20" ht="84">
      <c r="B19" s="5" t="s">
        <v>108</v>
      </c>
      <c r="C19" s="45" t="s">
        <v>97</v>
      </c>
      <c r="D19" s="45" t="s">
        <v>109</v>
      </c>
      <c r="E19" s="6" t="s">
        <v>110</v>
      </c>
      <c r="F19" s="45" t="s">
        <v>111</v>
      </c>
      <c r="G19" s="46">
        <f t="shared" si="0"/>
        <v>14</v>
      </c>
      <c r="H19" s="46">
        <f>TRUNC(S19*(1-LOTE_03!$K$10),2)</f>
        <v>441.75</v>
      </c>
      <c r="I19" s="46">
        <f>TRUNC(T19*(1-LOTE_03!$K$10),2)</f>
        <v>24298.560000000001</v>
      </c>
      <c r="J19" s="100">
        <f t="shared" si="1"/>
        <v>0.22470000000000001</v>
      </c>
      <c r="K19" s="48">
        <f>TRUNC(H19*(1+J19),2)</f>
        <v>541.01</v>
      </c>
      <c r="L19" s="48">
        <f>TRUNC(I19*(1+J19),2)</f>
        <v>29758.44</v>
      </c>
      <c r="M19" s="48">
        <f>TRUNC(K19*G19,2)</f>
        <v>7574.14</v>
      </c>
      <c r="N19" s="48">
        <f>TRUNC(L19*G19,2)</f>
        <v>416618.16</v>
      </c>
      <c r="O19" s="50">
        <f>TRUNC(M19+N19,2)</f>
        <v>424192.3</v>
      </c>
      <c r="P19" s="50">
        <v>0</v>
      </c>
      <c r="Q19" s="76"/>
      <c r="R19" s="140">
        <f>S9+S10</f>
        <v>14</v>
      </c>
      <c r="S19" s="79">
        <v>441.75</v>
      </c>
      <c r="T19" s="80">
        <v>24298.560000000001</v>
      </c>
    </row>
    <row r="20" spans="2:20" ht="70">
      <c r="B20" s="5" t="s">
        <v>112</v>
      </c>
      <c r="C20" s="45" t="s">
        <v>97</v>
      </c>
      <c r="D20" s="45" t="s">
        <v>113</v>
      </c>
      <c r="E20" s="6" t="s">
        <v>114</v>
      </c>
      <c r="F20" s="45" t="s">
        <v>111</v>
      </c>
      <c r="G20" s="46">
        <f t="shared" si="0"/>
        <v>28</v>
      </c>
      <c r="H20" s="46">
        <f>TRUNC(S20*(1-LOTE_03!$K$10),2)</f>
        <v>570.23</v>
      </c>
      <c r="I20" s="46">
        <f>TRUNC(T20*(1-LOTE_03!$K$10),2)</f>
        <v>8854.56</v>
      </c>
      <c r="J20" s="100">
        <f t="shared" si="1"/>
        <v>0.22470000000000001</v>
      </c>
      <c r="K20" s="48">
        <f>TRUNC(H20*(1+J20),2)</f>
        <v>698.36</v>
      </c>
      <c r="L20" s="48">
        <f>TRUNC(I20*(1+J20),2)</f>
        <v>10844.17</v>
      </c>
      <c r="M20" s="48">
        <f>TRUNC(K20*G20,2)</f>
        <v>19554.080000000002</v>
      </c>
      <c r="N20" s="48">
        <f>TRUNC(L20*G20,2)</f>
        <v>303636.76</v>
      </c>
      <c r="O20" s="50">
        <f>TRUNC(M20+N20,2)</f>
        <v>323190.84000000003</v>
      </c>
      <c r="P20" s="50">
        <v>0</v>
      </c>
      <c r="Q20" s="76"/>
      <c r="R20" s="140">
        <f>2*S9+2*S10</f>
        <v>28</v>
      </c>
      <c r="S20" s="79">
        <v>570.23</v>
      </c>
      <c r="T20" s="80">
        <v>8854.56</v>
      </c>
    </row>
    <row r="21" spans="2:20" ht="70">
      <c r="B21" s="5" t="s">
        <v>115</v>
      </c>
      <c r="C21" s="45" t="s">
        <v>97</v>
      </c>
      <c r="D21" s="45" t="s">
        <v>116</v>
      </c>
      <c r="E21" s="6" t="s">
        <v>117</v>
      </c>
      <c r="F21" s="45" t="s">
        <v>111</v>
      </c>
      <c r="G21" s="46">
        <f t="shared" si="0"/>
        <v>28</v>
      </c>
      <c r="H21" s="46">
        <f>TRUNC(S21*(1-LOTE_03!$K$10),2)</f>
        <v>630.08000000000004</v>
      </c>
      <c r="I21" s="46">
        <f>TRUNC(T21*(1-LOTE_03!$K$10),2)</f>
        <v>6725.32</v>
      </c>
      <c r="J21" s="100">
        <f t="shared" si="1"/>
        <v>0.22470000000000001</v>
      </c>
      <c r="K21" s="48">
        <f t="shared" si="2"/>
        <v>771.65</v>
      </c>
      <c r="L21" s="48">
        <f t="shared" si="3"/>
        <v>8236.49</v>
      </c>
      <c r="M21" s="48">
        <f t="shared" si="4"/>
        <v>21606.2</v>
      </c>
      <c r="N21" s="48">
        <f t="shared" si="5"/>
        <v>230621.72</v>
      </c>
      <c r="O21" s="50">
        <f t="shared" si="6"/>
        <v>252227.92</v>
      </c>
      <c r="P21" s="50">
        <v>0</v>
      </c>
      <c r="Q21" s="76"/>
      <c r="R21" s="140">
        <f>2*S9+2*S10</f>
        <v>28</v>
      </c>
      <c r="S21" s="79">
        <v>630.08000000000004</v>
      </c>
      <c r="T21" s="80">
        <v>6725.32</v>
      </c>
    </row>
    <row r="22" spans="2:20">
      <c r="B22" s="5" t="s">
        <v>118</v>
      </c>
      <c r="C22" s="45" t="s">
        <v>97</v>
      </c>
      <c r="D22" s="45" t="s">
        <v>119</v>
      </c>
      <c r="E22" s="6" t="s">
        <v>120</v>
      </c>
      <c r="F22" s="45" t="s">
        <v>121</v>
      </c>
      <c r="G22" s="46">
        <f t="shared" si="0"/>
        <v>5600</v>
      </c>
      <c r="H22" s="46">
        <f>TRUNC(S22*(1-LOTE_03!$K$10),2)</f>
        <v>0</v>
      </c>
      <c r="I22" s="46">
        <f>TRUNC(T22*(1-LOTE_03!$K$10),2)</f>
        <v>27.5</v>
      </c>
      <c r="J22" s="100">
        <f t="shared" si="1"/>
        <v>0.22470000000000001</v>
      </c>
      <c r="K22" s="48">
        <f t="shared" si="2"/>
        <v>0</v>
      </c>
      <c r="L22" s="48">
        <f t="shared" si="3"/>
        <v>33.67</v>
      </c>
      <c r="M22" s="48">
        <f t="shared" si="4"/>
        <v>0</v>
      </c>
      <c r="N22" s="48">
        <f t="shared" si="5"/>
        <v>188552</v>
      </c>
      <c r="O22" s="50">
        <f t="shared" si="6"/>
        <v>188552</v>
      </c>
      <c r="P22" s="50">
        <v>0</v>
      </c>
      <c r="Q22" s="76"/>
      <c r="R22" s="140">
        <f>400*(S9+S10)</f>
        <v>5600</v>
      </c>
      <c r="S22" s="79">
        <v>0</v>
      </c>
      <c r="T22" s="80">
        <v>27.5</v>
      </c>
    </row>
    <row r="23" spans="2:20" ht="28">
      <c r="B23" s="5" t="s">
        <v>122</v>
      </c>
      <c r="C23" s="45" t="s">
        <v>97</v>
      </c>
      <c r="D23" s="45" t="s">
        <v>123</v>
      </c>
      <c r="E23" s="6" t="s">
        <v>124</v>
      </c>
      <c r="F23" s="45" t="s">
        <v>121</v>
      </c>
      <c r="G23" s="46">
        <f t="shared" si="0"/>
        <v>5600</v>
      </c>
      <c r="H23" s="46">
        <f>TRUNC(S23*(1-LOTE_03!$K$10),2)</f>
        <v>0</v>
      </c>
      <c r="I23" s="46">
        <f>TRUNC(T23*(1-LOTE_03!$K$10),2)</f>
        <v>3.6</v>
      </c>
      <c r="J23" s="100">
        <f t="shared" si="1"/>
        <v>0.22470000000000001</v>
      </c>
      <c r="K23" s="48">
        <f t="shared" si="2"/>
        <v>0</v>
      </c>
      <c r="L23" s="48">
        <f t="shared" si="3"/>
        <v>4.4000000000000004</v>
      </c>
      <c r="M23" s="48">
        <f t="shared" si="4"/>
        <v>0</v>
      </c>
      <c r="N23" s="48">
        <f t="shared" si="5"/>
        <v>24640</v>
      </c>
      <c r="O23" s="50">
        <f t="shared" si="6"/>
        <v>24640</v>
      </c>
      <c r="P23" s="50">
        <v>0</v>
      </c>
      <c r="Q23" s="76"/>
      <c r="R23" s="140">
        <f>400*(S9+S10)</f>
        <v>5600</v>
      </c>
      <c r="S23" s="79">
        <v>0</v>
      </c>
      <c r="T23" s="80">
        <v>3.6</v>
      </c>
    </row>
    <row r="24" spans="2:20" ht="28">
      <c r="B24" s="5" t="s">
        <v>125</v>
      </c>
      <c r="C24" s="45" t="s">
        <v>97</v>
      </c>
      <c r="D24" s="45" t="s">
        <v>126</v>
      </c>
      <c r="E24" s="6" t="s">
        <v>127</v>
      </c>
      <c r="F24" s="45" t="s">
        <v>121</v>
      </c>
      <c r="G24" s="46">
        <f t="shared" si="0"/>
        <v>5600</v>
      </c>
      <c r="H24" s="46">
        <f>TRUNC(S24*(1-LOTE_03!$K$10),2)</f>
        <v>0</v>
      </c>
      <c r="I24" s="46">
        <f>TRUNC(T24*(1-LOTE_03!$K$10),2)</f>
        <v>8.5</v>
      </c>
      <c r="J24" s="100">
        <f t="shared" si="1"/>
        <v>0.22470000000000001</v>
      </c>
      <c r="K24" s="48">
        <f t="shared" si="2"/>
        <v>0</v>
      </c>
      <c r="L24" s="48">
        <f t="shared" si="3"/>
        <v>10.4</v>
      </c>
      <c r="M24" s="48">
        <f t="shared" si="4"/>
        <v>0</v>
      </c>
      <c r="N24" s="48">
        <f t="shared" si="5"/>
        <v>58240</v>
      </c>
      <c r="O24" s="50">
        <f t="shared" si="6"/>
        <v>58240</v>
      </c>
      <c r="P24" s="50">
        <v>0</v>
      </c>
      <c r="Q24" s="76"/>
      <c r="R24" s="140">
        <f>400*(S9+S10)</f>
        <v>5600</v>
      </c>
      <c r="S24" s="79">
        <v>0</v>
      </c>
      <c r="T24" s="80">
        <v>8.5</v>
      </c>
    </row>
    <row r="25" spans="2:20" ht="28">
      <c r="B25" s="5" t="s">
        <v>128</v>
      </c>
      <c r="C25" s="45" t="s">
        <v>97</v>
      </c>
      <c r="D25" s="45" t="s">
        <v>129</v>
      </c>
      <c r="E25" s="6" t="s">
        <v>130</v>
      </c>
      <c r="F25" s="45" t="s">
        <v>121</v>
      </c>
      <c r="G25" s="46">
        <f t="shared" si="0"/>
        <v>5600</v>
      </c>
      <c r="H25" s="46">
        <f>TRUNC(S25*(1-LOTE_03!$K$10),2)</f>
        <v>0</v>
      </c>
      <c r="I25" s="46">
        <f>TRUNC(T25*(1-LOTE_03!$K$10),2)</f>
        <v>5</v>
      </c>
      <c r="J25" s="100">
        <f t="shared" si="1"/>
        <v>0.22470000000000001</v>
      </c>
      <c r="K25" s="48">
        <f t="shared" si="2"/>
        <v>0</v>
      </c>
      <c r="L25" s="48">
        <f t="shared" si="3"/>
        <v>6.12</v>
      </c>
      <c r="M25" s="48">
        <f t="shared" si="4"/>
        <v>0</v>
      </c>
      <c r="N25" s="48">
        <f t="shared" si="5"/>
        <v>34272</v>
      </c>
      <c r="O25" s="50">
        <f t="shared" si="6"/>
        <v>34272</v>
      </c>
      <c r="P25" s="50">
        <v>0</v>
      </c>
      <c r="Q25" s="76"/>
      <c r="R25" s="140">
        <f>400*(S9+S10)</f>
        <v>5600</v>
      </c>
      <c r="S25" s="79">
        <v>0</v>
      </c>
      <c r="T25" s="80">
        <v>5</v>
      </c>
    </row>
    <row r="26" spans="2:20" ht="28">
      <c r="B26" s="5" t="s">
        <v>131</v>
      </c>
      <c r="C26" s="45" t="s">
        <v>97</v>
      </c>
      <c r="D26" s="45" t="s">
        <v>132</v>
      </c>
      <c r="E26" s="6" t="s">
        <v>133</v>
      </c>
      <c r="F26" s="45" t="s">
        <v>121</v>
      </c>
      <c r="G26" s="46">
        <f t="shared" si="0"/>
        <v>5600</v>
      </c>
      <c r="H26" s="46">
        <f>TRUNC(S26*(1-LOTE_03!$K$10),2)</f>
        <v>0</v>
      </c>
      <c r="I26" s="46">
        <f>TRUNC(T26*(1-LOTE_03!$K$10),2)</f>
        <v>5.5</v>
      </c>
      <c r="J26" s="100">
        <f t="shared" si="1"/>
        <v>0.22470000000000001</v>
      </c>
      <c r="K26" s="48">
        <f t="shared" si="2"/>
        <v>0</v>
      </c>
      <c r="L26" s="48">
        <f t="shared" si="3"/>
        <v>6.73</v>
      </c>
      <c r="M26" s="48">
        <f t="shared" si="4"/>
        <v>0</v>
      </c>
      <c r="N26" s="48">
        <f t="shared" si="5"/>
        <v>37688</v>
      </c>
      <c r="O26" s="50">
        <f t="shared" si="6"/>
        <v>37688</v>
      </c>
      <c r="P26" s="50">
        <v>0</v>
      </c>
      <c r="Q26" s="76"/>
      <c r="R26" s="140">
        <f>400*(S9+S10)</f>
        <v>5600</v>
      </c>
      <c r="S26" s="79">
        <v>0</v>
      </c>
      <c r="T26" s="80">
        <v>5.5</v>
      </c>
    </row>
    <row r="27" spans="2:20" ht="28">
      <c r="B27" s="5" t="s">
        <v>134</v>
      </c>
      <c r="C27" s="45" t="s">
        <v>135</v>
      </c>
      <c r="D27" s="45">
        <v>90769</v>
      </c>
      <c r="E27" s="6" t="s">
        <v>136</v>
      </c>
      <c r="F27" s="45" t="s">
        <v>137</v>
      </c>
      <c r="G27" s="46">
        <f t="shared" si="0"/>
        <v>700</v>
      </c>
      <c r="H27" s="46">
        <f>TRUNC(S27*(1-LOTE_03!$K$10),2)</f>
        <v>2.5</v>
      </c>
      <c r="I27" s="46">
        <f>TRUNC(T27*(1-LOTE_03!$K$10),2)</f>
        <v>142.58000000000001</v>
      </c>
      <c r="J27" s="100">
        <f t="shared" si="1"/>
        <v>0.22470000000000001</v>
      </c>
      <c r="K27" s="48">
        <f t="shared" si="2"/>
        <v>3.06</v>
      </c>
      <c r="L27" s="48">
        <f t="shared" si="3"/>
        <v>174.61</v>
      </c>
      <c r="M27" s="48">
        <f t="shared" si="4"/>
        <v>2142</v>
      </c>
      <c r="N27" s="48">
        <f t="shared" si="5"/>
        <v>122227</v>
      </c>
      <c r="O27" s="50">
        <f t="shared" si="6"/>
        <v>124369</v>
      </c>
      <c r="P27" s="50">
        <v>0</v>
      </c>
      <c r="Q27" s="76"/>
      <c r="R27" s="140">
        <f>IF((50*S10+50*S9),(50*S10+50*S9))</f>
        <v>700</v>
      </c>
      <c r="S27" s="79">
        <v>2.5</v>
      </c>
      <c r="T27" s="80">
        <v>142.58000000000001</v>
      </c>
    </row>
    <row r="28" spans="2:20" ht="28">
      <c r="B28" s="5" t="s">
        <v>138</v>
      </c>
      <c r="C28" s="45" t="s">
        <v>135</v>
      </c>
      <c r="D28" s="45">
        <v>90778</v>
      </c>
      <c r="E28" s="6" t="s">
        <v>139</v>
      </c>
      <c r="F28" s="45" t="s">
        <v>137</v>
      </c>
      <c r="G28" s="46">
        <f t="shared" si="0"/>
        <v>700</v>
      </c>
      <c r="H28" s="46">
        <f>TRUNC(S28*(1-LOTE_03!$K$10),2)</f>
        <v>2.5</v>
      </c>
      <c r="I28" s="46">
        <f>TRUNC(T28*(1-LOTE_03!$K$10),2)</f>
        <v>138.34</v>
      </c>
      <c r="J28" s="100">
        <f t="shared" si="1"/>
        <v>0.22470000000000001</v>
      </c>
      <c r="K28" s="48">
        <f t="shared" si="2"/>
        <v>3.06</v>
      </c>
      <c r="L28" s="48">
        <f t="shared" si="3"/>
        <v>169.42</v>
      </c>
      <c r="M28" s="48">
        <f t="shared" si="4"/>
        <v>2142</v>
      </c>
      <c r="N28" s="48">
        <f t="shared" si="5"/>
        <v>118594</v>
      </c>
      <c r="O28" s="50">
        <f t="shared" si="6"/>
        <v>120736</v>
      </c>
      <c r="P28" s="50">
        <v>0</v>
      </c>
      <c r="Q28" s="76"/>
      <c r="R28" s="140">
        <f>IF((50*S10+50*S9)&gt;1000,1000,(50*S10+50*S9))</f>
        <v>700</v>
      </c>
      <c r="S28" s="79">
        <v>2.5</v>
      </c>
      <c r="T28" s="80">
        <v>138.34</v>
      </c>
    </row>
    <row r="29" spans="2:20" ht="42">
      <c r="B29" s="5" t="s">
        <v>140</v>
      </c>
      <c r="C29" s="45" t="s">
        <v>97</v>
      </c>
      <c r="D29" s="45" t="s">
        <v>141</v>
      </c>
      <c r="E29" s="6" t="s">
        <v>142</v>
      </c>
      <c r="F29" s="45" t="s">
        <v>111</v>
      </c>
      <c r="G29" s="46">
        <f t="shared" si="0"/>
        <v>10</v>
      </c>
      <c r="H29" s="46">
        <f>TRUNC(S29*(1-LOTE_03!$K$10),2)</f>
        <v>60.48</v>
      </c>
      <c r="I29" s="46">
        <f>TRUNC(T29*(1-LOTE_03!$K$10),2)</f>
        <v>1195.2</v>
      </c>
      <c r="J29" s="100">
        <f t="shared" si="1"/>
        <v>0.22470000000000001</v>
      </c>
      <c r="K29" s="48">
        <f t="shared" si="2"/>
        <v>74.06</v>
      </c>
      <c r="L29" s="48">
        <f t="shared" si="3"/>
        <v>1463.76</v>
      </c>
      <c r="M29" s="48">
        <f t="shared" si="4"/>
        <v>740.6</v>
      </c>
      <c r="N29" s="48">
        <f t="shared" si="5"/>
        <v>14637.6</v>
      </c>
      <c r="O29" s="50">
        <f t="shared" si="6"/>
        <v>15378.2</v>
      </c>
      <c r="P29" s="50">
        <v>0</v>
      </c>
      <c r="Q29" s="76"/>
      <c r="R29" s="140">
        <f>IF((2*S9+2*S10)&gt;10,10,(2*S9+2*S10))</f>
        <v>10</v>
      </c>
      <c r="S29" s="79">
        <v>60.48</v>
      </c>
      <c r="T29" s="80">
        <v>1195.2</v>
      </c>
    </row>
    <row r="30" spans="2:20">
      <c r="B30" s="5" t="s">
        <v>143</v>
      </c>
      <c r="C30" s="45" t="s">
        <v>97</v>
      </c>
      <c r="D30" s="45" t="s">
        <v>144</v>
      </c>
      <c r="E30" s="6" t="s">
        <v>145</v>
      </c>
      <c r="F30" s="45" t="s">
        <v>104</v>
      </c>
      <c r="G30" s="46">
        <f t="shared" si="0"/>
        <v>14</v>
      </c>
      <c r="H30" s="46">
        <f>TRUNC(S30*(1-LOTE_03!$K$10),2)</f>
        <v>833.13</v>
      </c>
      <c r="I30" s="46">
        <f>TRUNC(T30*(1-LOTE_03!$K$10),2)</f>
        <v>251.04</v>
      </c>
      <c r="J30" s="100">
        <f t="shared" si="1"/>
        <v>0.22470000000000001</v>
      </c>
      <c r="K30" s="48">
        <f t="shared" si="2"/>
        <v>1020.33</v>
      </c>
      <c r="L30" s="48">
        <f t="shared" si="3"/>
        <v>307.44</v>
      </c>
      <c r="M30" s="48">
        <f t="shared" si="4"/>
        <v>14284.62</v>
      </c>
      <c r="N30" s="48">
        <f t="shared" si="5"/>
        <v>4304.16</v>
      </c>
      <c r="O30" s="50">
        <f t="shared" si="6"/>
        <v>18588.78</v>
      </c>
      <c r="P30" s="50">
        <v>0</v>
      </c>
      <c r="Q30" s="76"/>
      <c r="R30" s="140">
        <f>S9+S10</f>
        <v>14</v>
      </c>
      <c r="S30" s="79">
        <v>833.13</v>
      </c>
      <c r="T30" s="80">
        <v>251.04</v>
      </c>
    </row>
    <row r="31" spans="2:20" ht="28">
      <c r="B31" s="5" t="s">
        <v>146</v>
      </c>
      <c r="C31" s="45" t="s">
        <v>97</v>
      </c>
      <c r="D31" s="45" t="s">
        <v>147</v>
      </c>
      <c r="E31" s="6" t="s">
        <v>148</v>
      </c>
      <c r="F31" s="45" t="s">
        <v>104</v>
      </c>
      <c r="G31" s="46">
        <f t="shared" si="0"/>
        <v>14</v>
      </c>
      <c r="H31" s="46">
        <f>TRUNC(S31*(1-LOTE_03!$K$10),2)</f>
        <v>1570.81</v>
      </c>
      <c r="I31" s="46">
        <f>TRUNC(T31*(1-LOTE_03!$K$10),2)</f>
        <v>397.12</v>
      </c>
      <c r="J31" s="100">
        <f t="shared" si="1"/>
        <v>0.22470000000000001</v>
      </c>
      <c r="K31" s="48">
        <f t="shared" si="2"/>
        <v>1923.77</v>
      </c>
      <c r="L31" s="48">
        <f t="shared" si="3"/>
        <v>486.35</v>
      </c>
      <c r="M31" s="48">
        <f t="shared" si="4"/>
        <v>26932.78</v>
      </c>
      <c r="N31" s="48">
        <f t="shared" si="5"/>
        <v>6808.9</v>
      </c>
      <c r="O31" s="50">
        <f t="shared" si="6"/>
        <v>33741.68</v>
      </c>
      <c r="P31" s="50">
        <v>0</v>
      </c>
      <c r="Q31" s="76"/>
      <c r="R31" s="140">
        <f>S9+S10</f>
        <v>14</v>
      </c>
      <c r="S31" s="79">
        <v>1570.81</v>
      </c>
      <c r="T31" s="80">
        <v>397.12</v>
      </c>
    </row>
    <row r="32" spans="2:20" ht="28">
      <c r="B32" s="5" t="s">
        <v>149</v>
      </c>
      <c r="C32" s="45" t="s">
        <v>97</v>
      </c>
      <c r="D32" s="45" t="s">
        <v>150</v>
      </c>
      <c r="E32" s="6" t="s">
        <v>151</v>
      </c>
      <c r="F32" s="45" t="s">
        <v>104</v>
      </c>
      <c r="G32" s="46">
        <f t="shared" si="0"/>
        <v>14</v>
      </c>
      <c r="H32" s="46">
        <f>TRUNC(S32*(1-LOTE_03!$K$10),2)</f>
        <v>7649.41</v>
      </c>
      <c r="I32" s="46">
        <f>TRUNC(T32*(1-LOTE_03!$K$10),2)</f>
        <v>1188.22</v>
      </c>
      <c r="J32" s="100">
        <f t="shared" si="1"/>
        <v>0.22470000000000001</v>
      </c>
      <c r="K32" s="48">
        <f t="shared" si="2"/>
        <v>9368.23</v>
      </c>
      <c r="L32" s="48">
        <f t="shared" si="3"/>
        <v>1455.21</v>
      </c>
      <c r="M32" s="48">
        <f t="shared" si="4"/>
        <v>131155.22</v>
      </c>
      <c r="N32" s="48">
        <f t="shared" si="5"/>
        <v>20372.939999999999</v>
      </c>
      <c r="O32" s="50">
        <f t="shared" si="6"/>
        <v>151528.16</v>
      </c>
      <c r="P32" s="50">
        <v>0</v>
      </c>
      <c r="Q32" s="76"/>
      <c r="R32" s="140">
        <f>S9+S10</f>
        <v>14</v>
      </c>
      <c r="S32" s="79">
        <v>7649.41</v>
      </c>
      <c r="T32" s="80">
        <v>1188.22</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208978.35</v>
      </c>
      <c r="Q33" s="107"/>
      <c r="R33" s="154"/>
      <c r="S33" s="43" t="s">
        <v>22</v>
      </c>
      <c r="T33" s="44" t="s">
        <v>22</v>
      </c>
    </row>
    <row r="34" spans="2:20" ht="56">
      <c r="B34" s="5" t="s">
        <v>152</v>
      </c>
      <c r="C34" s="45" t="s">
        <v>135</v>
      </c>
      <c r="D34" s="45">
        <v>103689</v>
      </c>
      <c r="E34" s="6" t="s">
        <v>153</v>
      </c>
      <c r="F34" s="45" t="s">
        <v>121</v>
      </c>
      <c r="G34" s="46">
        <f t="shared" si="0"/>
        <v>21</v>
      </c>
      <c r="H34" s="46">
        <f>TRUNC(S34*(1-LOTE_03!$K$10),2)</f>
        <v>466.99</v>
      </c>
      <c r="I34" s="46">
        <f>TRUNC(T34*(1-LOTE_03!$K$10),2)</f>
        <v>32.35</v>
      </c>
      <c r="J34" s="100">
        <f t="shared" si="1"/>
        <v>0.22470000000000001</v>
      </c>
      <c r="K34" s="48">
        <f t="shared" si="2"/>
        <v>571.91999999999996</v>
      </c>
      <c r="L34" s="48">
        <f t="shared" si="3"/>
        <v>39.61</v>
      </c>
      <c r="M34" s="48">
        <f t="shared" si="4"/>
        <v>12010.32</v>
      </c>
      <c r="N34" s="48">
        <f t="shared" si="5"/>
        <v>831.81</v>
      </c>
      <c r="O34" s="50">
        <f t="shared" si="6"/>
        <v>12842.13</v>
      </c>
      <c r="P34" s="50">
        <v>0</v>
      </c>
      <c r="Q34" s="76"/>
      <c r="R34" s="140">
        <f>1.5*1*(S9+S10)</f>
        <v>21</v>
      </c>
      <c r="S34" s="79">
        <v>466.98999999999995</v>
      </c>
      <c r="T34" s="80">
        <v>32.35</v>
      </c>
    </row>
    <row r="35" spans="2:20" ht="112">
      <c r="B35" s="5" t="s">
        <v>154</v>
      </c>
      <c r="C35" s="45" t="s">
        <v>97</v>
      </c>
      <c r="D35" s="45" t="s">
        <v>155</v>
      </c>
      <c r="E35" s="6" t="s">
        <v>156</v>
      </c>
      <c r="F35" s="45" t="s">
        <v>157</v>
      </c>
      <c r="G35" s="46">
        <f t="shared" si="0"/>
        <v>420</v>
      </c>
      <c r="H35" s="46">
        <f>TRUNC(S35*(1-LOTE_03!$K$10),2)</f>
        <v>20</v>
      </c>
      <c r="I35" s="46">
        <f>TRUNC(T35*(1-LOTE_03!$K$10),2)</f>
        <v>0</v>
      </c>
      <c r="J35" s="100">
        <f t="shared" si="1"/>
        <v>0.22470000000000001</v>
      </c>
      <c r="K35" s="48">
        <f t="shared" si="2"/>
        <v>24.49</v>
      </c>
      <c r="L35" s="48">
        <f t="shared" si="3"/>
        <v>0</v>
      </c>
      <c r="M35" s="48">
        <f t="shared" si="4"/>
        <v>10285.799999999999</v>
      </c>
      <c r="N35" s="48">
        <f t="shared" si="5"/>
        <v>0</v>
      </c>
      <c r="O35" s="50">
        <f t="shared" si="6"/>
        <v>10285.799999999999</v>
      </c>
      <c r="P35" s="50">
        <v>0</v>
      </c>
      <c r="Q35" s="76"/>
      <c r="R35" s="140">
        <f>10*3*(S9+S10)</f>
        <v>420</v>
      </c>
      <c r="S35" s="79">
        <v>20</v>
      </c>
      <c r="T35" s="80">
        <v>0</v>
      </c>
    </row>
    <row r="36" spans="2:20" ht="70">
      <c r="B36" s="5" t="s">
        <v>158</v>
      </c>
      <c r="C36" s="45" t="s">
        <v>135</v>
      </c>
      <c r="D36" s="45">
        <v>97063</v>
      </c>
      <c r="E36" s="6" t="s">
        <v>159</v>
      </c>
      <c r="F36" s="45" t="s">
        <v>121</v>
      </c>
      <c r="G36" s="46">
        <f t="shared" si="0"/>
        <v>1008</v>
      </c>
      <c r="H36" s="46">
        <f>TRUNC(S36*(1-LOTE_03!$K$10),2)</f>
        <v>5.3</v>
      </c>
      <c r="I36" s="46">
        <f>TRUNC(T36*(1-LOTE_03!$K$10),2)</f>
        <v>11.81</v>
      </c>
      <c r="J36" s="100">
        <f t="shared" si="1"/>
        <v>0.22470000000000001</v>
      </c>
      <c r="K36" s="48">
        <f t="shared" si="2"/>
        <v>6.49</v>
      </c>
      <c r="L36" s="48">
        <f t="shared" si="3"/>
        <v>14.46</v>
      </c>
      <c r="M36" s="48">
        <f t="shared" si="4"/>
        <v>6541.92</v>
      </c>
      <c r="N36" s="48">
        <f t="shared" si="5"/>
        <v>14575.68</v>
      </c>
      <c r="O36" s="50">
        <f t="shared" si="6"/>
        <v>21117.599999999999</v>
      </c>
      <c r="P36" s="50">
        <v>0</v>
      </c>
      <c r="Q36" s="76"/>
      <c r="R36" s="140">
        <f>6*12*(S9+S10)</f>
        <v>1008</v>
      </c>
      <c r="S36" s="79">
        <v>5.2999999999999989</v>
      </c>
      <c r="T36" s="80">
        <v>11.81</v>
      </c>
    </row>
    <row r="37" spans="2:20" ht="84">
      <c r="B37" s="5" t="s">
        <v>160</v>
      </c>
      <c r="C37" s="45" t="s">
        <v>135</v>
      </c>
      <c r="D37" s="45">
        <v>100981</v>
      </c>
      <c r="E37" s="6" t="s">
        <v>1768</v>
      </c>
      <c r="F37" s="45" t="s">
        <v>161</v>
      </c>
      <c r="G37" s="46">
        <f t="shared" si="0"/>
        <v>504</v>
      </c>
      <c r="H37" s="46">
        <f>TRUNC(S37*(1-LOTE_03!$K$10),2)</f>
        <v>8.0399999999999991</v>
      </c>
      <c r="I37" s="46">
        <f>TRUNC(T37*(1-LOTE_03!$K$10),2)</f>
        <v>1.76</v>
      </c>
      <c r="J37" s="100">
        <f t="shared" si="1"/>
        <v>0.22470000000000001</v>
      </c>
      <c r="K37" s="48">
        <f t="shared" si="2"/>
        <v>9.84</v>
      </c>
      <c r="L37" s="48">
        <f t="shared" si="3"/>
        <v>2.15</v>
      </c>
      <c r="M37" s="48">
        <f t="shared" si="4"/>
        <v>4959.3599999999997</v>
      </c>
      <c r="N37" s="48">
        <f t="shared" si="5"/>
        <v>1083.5999999999999</v>
      </c>
      <c r="O37" s="50">
        <f t="shared" si="6"/>
        <v>6042.96</v>
      </c>
      <c r="P37" s="50">
        <v>0</v>
      </c>
      <c r="Q37" s="76"/>
      <c r="R37" s="140">
        <f>6*6*(S9+S10)</f>
        <v>504</v>
      </c>
      <c r="S37" s="79">
        <v>8.0400000000000009</v>
      </c>
      <c r="T37" s="80">
        <v>1.76</v>
      </c>
    </row>
    <row r="38" spans="2:20" ht="56">
      <c r="B38" s="5" t="s">
        <v>162</v>
      </c>
      <c r="C38" s="45" t="s">
        <v>135</v>
      </c>
      <c r="D38" s="45">
        <v>97914</v>
      </c>
      <c r="E38" s="6" t="s">
        <v>1769</v>
      </c>
      <c r="F38" s="45" t="s">
        <v>163</v>
      </c>
      <c r="G38" s="46">
        <f t="shared" si="0"/>
        <v>30240</v>
      </c>
      <c r="H38" s="46">
        <f>TRUNC(S38*(1-LOTE_03!$K$10),2)</f>
        <v>2.74</v>
      </c>
      <c r="I38" s="46">
        <f>TRUNC(T38*(1-LOTE_03!$K$10),2)</f>
        <v>0.55000000000000004</v>
      </c>
      <c r="J38" s="100">
        <f t="shared" si="1"/>
        <v>0.22470000000000001</v>
      </c>
      <c r="K38" s="48">
        <f>TRUNC(H38*(1+J38),2)</f>
        <v>3.35</v>
      </c>
      <c r="L38" s="48">
        <f>TRUNC(I38*(1+J38),2)</f>
        <v>0.67</v>
      </c>
      <c r="M38" s="48">
        <f>TRUNC(K38*G38,2)</f>
        <v>101304</v>
      </c>
      <c r="N38" s="48">
        <f>TRUNC(L38*G38,2)</f>
        <v>20260.8</v>
      </c>
      <c r="O38" s="50">
        <f>TRUNC(M38+N38,2)</f>
        <v>121564.8</v>
      </c>
      <c r="P38" s="50">
        <v>0</v>
      </c>
      <c r="Q38" s="76"/>
      <c r="R38" s="140">
        <f>R37*60</f>
        <v>30240</v>
      </c>
      <c r="S38" s="79">
        <v>2.74</v>
      </c>
      <c r="T38" s="80">
        <v>0.55000000000000004</v>
      </c>
    </row>
    <row r="39" spans="2:20" ht="28">
      <c r="B39" s="5" t="s">
        <v>164</v>
      </c>
      <c r="C39" s="45" t="s">
        <v>165</v>
      </c>
      <c r="D39" s="45" t="s">
        <v>166</v>
      </c>
      <c r="E39" s="6" t="s">
        <v>167</v>
      </c>
      <c r="F39" s="45" t="s">
        <v>168</v>
      </c>
      <c r="G39" s="46">
        <f t="shared" si="0"/>
        <v>42</v>
      </c>
      <c r="H39" s="46">
        <f>TRUNC(S39*(1-LOTE_03!$K$10),2)</f>
        <v>487.75</v>
      </c>
      <c r="I39" s="46">
        <f>TRUNC(T39*(1-LOTE_03!$K$10),2)</f>
        <v>234.01</v>
      </c>
      <c r="J39" s="100">
        <f t="shared" si="1"/>
        <v>0.22470000000000001</v>
      </c>
      <c r="K39" s="48">
        <f t="shared" si="2"/>
        <v>597.34</v>
      </c>
      <c r="L39" s="48">
        <f t="shared" si="3"/>
        <v>286.58999999999997</v>
      </c>
      <c r="M39" s="48">
        <f t="shared" si="4"/>
        <v>25088.28</v>
      </c>
      <c r="N39" s="48">
        <f t="shared" si="5"/>
        <v>12036.78</v>
      </c>
      <c r="O39" s="50">
        <f t="shared" si="6"/>
        <v>37125.06</v>
      </c>
      <c r="P39" s="50">
        <v>0</v>
      </c>
      <c r="Q39" s="76"/>
      <c r="R39" s="140">
        <f>IF((3*S9+3*S10)&gt;50,50,(3*S9+3*S10))</f>
        <v>42</v>
      </c>
      <c r="S39" s="79">
        <v>487.75</v>
      </c>
      <c r="T39" s="80">
        <v>234.01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670266.86999999988</v>
      </c>
      <c r="Q40" s="107"/>
      <c r="R40" s="154"/>
      <c r="S40" s="43" t="s">
        <v>22</v>
      </c>
      <c r="T40" s="44" t="s">
        <v>22</v>
      </c>
    </row>
    <row r="41" spans="2:20" ht="42">
      <c r="B41" s="5" t="s">
        <v>169</v>
      </c>
      <c r="C41" s="45" t="s">
        <v>135</v>
      </c>
      <c r="D41" s="45">
        <v>97622</v>
      </c>
      <c r="E41" s="6" t="s">
        <v>170</v>
      </c>
      <c r="F41" s="45" t="s">
        <v>161</v>
      </c>
      <c r="G41" s="46">
        <f t="shared" si="0"/>
        <v>280</v>
      </c>
      <c r="H41" s="46">
        <f>TRUNC(S41*(1-LOTE_03!$K$10),2)</f>
        <v>19.87</v>
      </c>
      <c r="I41" s="46">
        <f>TRUNC(T41*(1-LOTE_03!$K$10),2)</f>
        <v>38.86</v>
      </c>
      <c r="J41" s="100">
        <f t="shared" si="1"/>
        <v>0.22470000000000001</v>
      </c>
      <c r="K41" s="48">
        <f t="shared" si="2"/>
        <v>24.33</v>
      </c>
      <c r="L41" s="48">
        <f t="shared" si="3"/>
        <v>47.59</v>
      </c>
      <c r="M41" s="48">
        <f t="shared" si="4"/>
        <v>6812.4</v>
      </c>
      <c r="N41" s="48">
        <f t="shared" si="5"/>
        <v>13325.2</v>
      </c>
      <c r="O41" s="50">
        <f t="shared" si="6"/>
        <v>20137.599999999999</v>
      </c>
      <c r="P41" s="50">
        <v>0</v>
      </c>
      <c r="Q41" s="76"/>
      <c r="R41" s="140">
        <f>20*S9+20*S10</f>
        <v>280</v>
      </c>
      <c r="S41" s="79">
        <v>19.869999999999997</v>
      </c>
      <c r="T41" s="80">
        <v>38.86</v>
      </c>
    </row>
    <row r="42" spans="2:20" ht="42">
      <c r="B42" s="5" t="s">
        <v>171</v>
      </c>
      <c r="C42" s="45" t="s">
        <v>135</v>
      </c>
      <c r="D42" s="45">
        <v>97624</v>
      </c>
      <c r="E42" s="6" t="s">
        <v>172</v>
      </c>
      <c r="F42" s="45" t="s">
        <v>161</v>
      </c>
      <c r="G42" s="46">
        <f t="shared" si="0"/>
        <v>10</v>
      </c>
      <c r="H42" s="46">
        <f>TRUNC(S42*(1-LOTE_03!$K$10),2)</f>
        <v>37.35</v>
      </c>
      <c r="I42" s="46">
        <f>TRUNC(T42*(1-LOTE_03!$K$10),2)</f>
        <v>73.06</v>
      </c>
      <c r="J42" s="100">
        <f t="shared" si="1"/>
        <v>0.22470000000000001</v>
      </c>
      <c r="K42" s="48">
        <f t="shared" si="2"/>
        <v>45.74</v>
      </c>
      <c r="L42" s="48">
        <f t="shared" si="3"/>
        <v>89.47</v>
      </c>
      <c r="M42" s="48">
        <f t="shared" si="4"/>
        <v>457.4</v>
      </c>
      <c r="N42" s="48">
        <f t="shared" si="5"/>
        <v>894.7</v>
      </c>
      <c r="O42" s="50">
        <f t="shared" si="6"/>
        <v>1352.1</v>
      </c>
      <c r="P42" s="50">
        <v>0</v>
      </c>
      <c r="Q42" s="76"/>
      <c r="R42" s="140">
        <f>IF((5*S9+5*S10)&gt;10,10,(5*S9+5*S10))</f>
        <v>10</v>
      </c>
      <c r="S42" s="79">
        <v>37.349999999999994</v>
      </c>
      <c r="T42" s="80">
        <v>73.06</v>
      </c>
    </row>
    <row r="43" spans="2:20" ht="56">
      <c r="B43" s="5" t="s">
        <v>173</v>
      </c>
      <c r="C43" s="45" t="s">
        <v>135</v>
      </c>
      <c r="D43" s="45">
        <v>97625</v>
      </c>
      <c r="E43" s="6" t="s">
        <v>174</v>
      </c>
      <c r="F43" s="45" t="s">
        <v>161</v>
      </c>
      <c r="G43" s="46">
        <f t="shared" si="0"/>
        <v>115</v>
      </c>
      <c r="H43" s="46">
        <f>TRUNC(S43*(1-LOTE_03!$K$10),2)</f>
        <v>44.43</v>
      </c>
      <c r="I43" s="46">
        <f>TRUNC(T43*(1-LOTE_03!$K$10),2)</f>
        <v>8.1</v>
      </c>
      <c r="J43" s="100">
        <f t="shared" si="1"/>
        <v>0.22470000000000001</v>
      </c>
      <c r="K43" s="48">
        <f t="shared" si="2"/>
        <v>54.41</v>
      </c>
      <c r="L43" s="48">
        <f t="shared" si="3"/>
        <v>9.92</v>
      </c>
      <c r="M43" s="48">
        <f t="shared" si="4"/>
        <v>6257.15</v>
      </c>
      <c r="N43" s="48">
        <f t="shared" si="5"/>
        <v>1140.8</v>
      </c>
      <c r="O43" s="50">
        <f t="shared" si="6"/>
        <v>7397.95</v>
      </c>
      <c r="P43" s="50">
        <v>0</v>
      </c>
      <c r="Q43" s="76"/>
      <c r="R43" s="140">
        <f>IF((5*S9+10*S10)&gt;200,200,(5*S9+10*S10))</f>
        <v>115</v>
      </c>
      <c r="S43" s="79">
        <v>44.43</v>
      </c>
      <c r="T43" s="80">
        <v>8.1</v>
      </c>
    </row>
    <row r="44" spans="2:20" ht="56">
      <c r="B44" s="5" t="s">
        <v>175</v>
      </c>
      <c r="C44" s="45" t="s">
        <v>135</v>
      </c>
      <c r="D44" s="45">
        <v>97626</v>
      </c>
      <c r="E44" s="6" t="s">
        <v>176</v>
      </c>
      <c r="F44" s="45" t="s">
        <v>161</v>
      </c>
      <c r="G44" s="46">
        <f t="shared" si="0"/>
        <v>10</v>
      </c>
      <c r="H44" s="46">
        <f>TRUNC(S44*(1-LOTE_03!$K$10),2)</f>
        <v>199.6</v>
      </c>
      <c r="I44" s="46">
        <f>TRUNC(T44*(1-LOTE_03!$K$10),2)</f>
        <v>390.58</v>
      </c>
      <c r="J44" s="100">
        <f t="shared" si="1"/>
        <v>0.22470000000000001</v>
      </c>
      <c r="K44" s="48">
        <f t="shared" si="2"/>
        <v>244.45</v>
      </c>
      <c r="L44" s="48">
        <f t="shared" si="3"/>
        <v>478.34</v>
      </c>
      <c r="M44" s="48">
        <f t="shared" si="4"/>
        <v>2444.5</v>
      </c>
      <c r="N44" s="48">
        <f t="shared" si="5"/>
        <v>4783.3999999999996</v>
      </c>
      <c r="O44" s="50">
        <f t="shared" si="6"/>
        <v>7227.9</v>
      </c>
      <c r="P44" s="50">
        <v>0</v>
      </c>
      <c r="Q44" s="76"/>
      <c r="R44" s="140">
        <f>IF((S9+S10)&gt;10,10,(S9+S10))</f>
        <v>10</v>
      </c>
      <c r="S44" s="79">
        <v>199.59999999999997</v>
      </c>
      <c r="T44" s="80">
        <v>390.58</v>
      </c>
    </row>
    <row r="45" spans="2:20" ht="42">
      <c r="B45" s="5" t="s">
        <v>177</v>
      </c>
      <c r="C45" s="45" t="s">
        <v>135</v>
      </c>
      <c r="D45" s="45">
        <v>97628</v>
      </c>
      <c r="E45" s="6" t="s">
        <v>178</v>
      </c>
      <c r="F45" s="45" t="s">
        <v>161</v>
      </c>
      <c r="G45" s="46">
        <f t="shared" si="0"/>
        <v>5</v>
      </c>
      <c r="H45" s="46">
        <f>TRUNC(S45*(1-LOTE_03!$K$10),2)</f>
        <v>92.97</v>
      </c>
      <c r="I45" s="46">
        <f>TRUNC(T45*(1-LOTE_03!$K$10),2)</f>
        <v>181.9</v>
      </c>
      <c r="J45" s="100">
        <f t="shared" si="1"/>
        <v>0.22470000000000001</v>
      </c>
      <c r="K45" s="48">
        <f t="shared" si="2"/>
        <v>113.86</v>
      </c>
      <c r="L45" s="48">
        <f t="shared" si="3"/>
        <v>222.77</v>
      </c>
      <c r="M45" s="48">
        <f t="shared" si="4"/>
        <v>569.29999999999995</v>
      </c>
      <c r="N45" s="48">
        <f t="shared" si="5"/>
        <v>1113.8499999999999</v>
      </c>
      <c r="O45" s="50">
        <f t="shared" si="6"/>
        <v>1683.15</v>
      </c>
      <c r="P45" s="50">
        <v>0</v>
      </c>
      <c r="Q45" s="76"/>
      <c r="R45" s="140">
        <f>IF((S10+S9)&gt;5,5,(S10+S9))</f>
        <v>5</v>
      </c>
      <c r="S45" s="79">
        <v>92.97</v>
      </c>
      <c r="T45" s="80">
        <v>181.9</v>
      </c>
    </row>
    <row r="46" spans="2:20" ht="28">
      <c r="B46" s="5" t="s">
        <v>179</v>
      </c>
      <c r="C46" s="45" t="s">
        <v>165</v>
      </c>
      <c r="D46" s="45" t="s">
        <v>180</v>
      </c>
      <c r="E46" s="6" t="s">
        <v>181</v>
      </c>
      <c r="F46" s="45" t="s">
        <v>182</v>
      </c>
      <c r="G46" s="46">
        <f t="shared" si="0"/>
        <v>5</v>
      </c>
      <c r="H46" s="46">
        <f>TRUNC(S46*(1-LOTE_03!$K$10),2)</f>
        <v>0</v>
      </c>
      <c r="I46" s="46">
        <f>TRUNC(T46*(1-LOTE_03!$K$10),2)</f>
        <v>195</v>
      </c>
      <c r="J46" s="100">
        <f t="shared" si="1"/>
        <v>0.22470000000000001</v>
      </c>
      <c r="K46" s="48">
        <f t="shared" si="2"/>
        <v>0</v>
      </c>
      <c r="L46" s="48">
        <f t="shared" si="3"/>
        <v>238.81</v>
      </c>
      <c r="M46" s="48">
        <f t="shared" si="4"/>
        <v>0</v>
      </c>
      <c r="N46" s="48">
        <f t="shared" si="5"/>
        <v>1194.05</v>
      </c>
      <c r="O46" s="50">
        <f t="shared" si="6"/>
        <v>1194.05</v>
      </c>
      <c r="P46" s="50">
        <v>0</v>
      </c>
      <c r="Q46" s="76"/>
      <c r="R46" s="140">
        <f>IF((S10+S9)&gt;5,5,(S10+S9))</f>
        <v>5</v>
      </c>
      <c r="S46" s="79">
        <v>0</v>
      </c>
      <c r="T46" s="80">
        <v>195</v>
      </c>
    </row>
    <row r="47" spans="2:20" ht="42">
      <c r="B47" s="5" t="s">
        <v>183</v>
      </c>
      <c r="C47" s="45" t="s">
        <v>135</v>
      </c>
      <c r="D47" s="45">
        <v>97631</v>
      </c>
      <c r="E47" s="6" t="s">
        <v>184</v>
      </c>
      <c r="F47" s="45" t="s">
        <v>121</v>
      </c>
      <c r="G47" s="46">
        <f t="shared" si="0"/>
        <v>1000</v>
      </c>
      <c r="H47" s="46">
        <f>TRUNC(S47*(1-LOTE_03!$K$10),2)</f>
        <v>3.92</v>
      </c>
      <c r="I47" s="46">
        <f>TRUNC(T47*(1-LOTE_03!$K$10),2)</f>
        <v>7.9</v>
      </c>
      <c r="J47" s="100">
        <f t="shared" si="1"/>
        <v>0.22470000000000001</v>
      </c>
      <c r="K47" s="48">
        <f t="shared" si="2"/>
        <v>4.8</v>
      </c>
      <c r="L47" s="48">
        <f t="shared" si="3"/>
        <v>9.67</v>
      </c>
      <c r="M47" s="48">
        <f t="shared" si="4"/>
        <v>4800</v>
      </c>
      <c r="N47" s="48">
        <f t="shared" si="5"/>
        <v>9670</v>
      </c>
      <c r="O47" s="50">
        <f t="shared" si="6"/>
        <v>14470</v>
      </c>
      <c r="P47" s="50">
        <v>0</v>
      </c>
      <c r="Q47" s="76"/>
      <c r="R47" s="140">
        <f>IF((50*S9+100*S10)&gt;1000,1000,(50*S9+100*S10))</f>
        <v>1000</v>
      </c>
      <c r="S47" s="79">
        <v>3.92</v>
      </c>
      <c r="T47" s="80">
        <v>7.9</v>
      </c>
    </row>
    <row r="48" spans="2:20" ht="42">
      <c r="B48" s="5" t="s">
        <v>185</v>
      </c>
      <c r="C48" s="45" t="s">
        <v>135</v>
      </c>
      <c r="D48" s="45">
        <v>97632</v>
      </c>
      <c r="E48" s="6" t="s">
        <v>186</v>
      </c>
      <c r="F48" s="45" t="s">
        <v>187</v>
      </c>
      <c r="G48" s="46">
        <f t="shared" si="0"/>
        <v>1400</v>
      </c>
      <c r="H48" s="46">
        <f>TRUNC(S48*(1-LOTE_03!$K$10),2)</f>
        <v>0.9</v>
      </c>
      <c r="I48" s="46">
        <f>TRUNC(T48*(1-LOTE_03!$K$10),2)</f>
        <v>1.8</v>
      </c>
      <c r="J48" s="100">
        <f t="shared" si="1"/>
        <v>0.22470000000000001</v>
      </c>
      <c r="K48" s="48">
        <f t="shared" si="2"/>
        <v>1.1000000000000001</v>
      </c>
      <c r="L48" s="48">
        <f t="shared" si="3"/>
        <v>2.2000000000000002</v>
      </c>
      <c r="M48" s="48">
        <f t="shared" si="4"/>
        <v>1540</v>
      </c>
      <c r="N48" s="48">
        <f t="shared" si="5"/>
        <v>3080</v>
      </c>
      <c r="O48" s="50">
        <f t="shared" si="6"/>
        <v>4620</v>
      </c>
      <c r="P48" s="50">
        <v>0</v>
      </c>
      <c r="Q48" s="76"/>
      <c r="R48" s="140">
        <f>100*S9+100*S10</f>
        <v>1400</v>
      </c>
      <c r="S48" s="79">
        <v>0.90000000000000013</v>
      </c>
      <c r="T48" s="80">
        <v>1.8</v>
      </c>
    </row>
    <row r="49" spans="2:20" ht="42">
      <c r="B49" s="5" t="s">
        <v>188</v>
      </c>
      <c r="C49" s="45" t="s">
        <v>135</v>
      </c>
      <c r="D49" s="45">
        <v>97633</v>
      </c>
      <c r="E49" s="6" t="s">
        <v>189</v>
      </c>
      <c r="F49" s="45" t="s">
        <v>121</v>
      </c>
      <c r="G49" s="46">
        <f t="shared" si="0"/>
        <v>3850</v>
      </c>
      <c r="H49" s="46">
        <f>TRUNC(S49*(1-LOTE_03!$K$10),2)</f>
        <v>7.84</v>
      </c>
      <c r="I49" s="46">
        <f>TRUNC(T49*(1-LOTE_03!$K$10),2)</f>
        <v>15.77</v>
      </c>
      <c r="J49" s="100">
        <f t="shared" si="1"/>
        <v>0.22470000000000001</v>
      </c>
      <c r="K49" s="48">
        <f t="shared" si="2"/>
        <v>9.6</v>
      </c>
      <c r="L49" s="48">
        <f t="shared" si="3"/>
        <v>19.309999999999999</v>
      </c>
      <c r="M49" s="48">
        <f t="shared" si="4"/>
        <v>36960</v>
      </c>
      <c r="N49" s="48">
        <f t="shared" si="5"/>
        <v>74343.5</v>
      </c>
      <c r="O49" s="50">
        <f t="shared" si="6"/>
        <v>111303.5</v>
      </c>
      <c r="P49" s="50">
        <v>0</v>
      </c>
      <c r="Q49" s="76"/>
      <c r="R49" s="140">
        <f>400*S10+50*S9</f>
        <v>3850</v>
      </c>
      <c r="S49" s="79">
        <v>7.84</v>
      </c>
      <c r="T49" s="80">
        <v>15.77</v>
      </c>
    </row>
    <row r="50" spans="2:20" ht="28">
      <c r="B50" s="5" t="s">
        <v>190</v>
      </c>
      <c r="C50" s="45" t="s">
        <v>165</v>
      </c>
      <c r="D50" s="45" t="s">
        <v>191</v>
      </c>
      <c r="E50" s="6" t="s">
        <v>192</v>
      </c>
      <c r="F50" s="45" t="s">
        <v>168</v>
      </c>
      <c r="G50" s="46">
        <f t="shared" si="0"/>
        <v>3700</v>
      </c>
      <c r="H50" s="46">
        <f>TRUNC(S50*(1-LOTE_03!$K$10),2)</f>
        <v>0</v>
      </c>
      <c r="I50" s="46">
        <f>TRUNC(T50*(1-LOTE_03!$K$10),2)</f>
        <v>3.75</v>
      </c>
      <c r="J50" s="100">
        <f t="shared" si="1"/>
        <v>0.22470000000000001</v>
      </c>
      <c r="K50" s="48">
        <f t="shared" si="2"/>
        <v>0</v>
      </c>
      <c r="L50" s="48">
        <f t="shared" si="3"/>
        <v>4.59</v>
      </c>
      <c r="M50" s="48">
        <f t="shared" si="4"/>
        <v>0</v>
      </c>
      <c r="N50" s="48">
        <f t="shared" si="5"/>
        <v>16983</v>
      </c>
      <c r="O50" s="50">
        <f t="shared" si="6"/>
        <v>16983</v>
      </c>
      <c r="P50" s="50">
        <v>0</v>
      </c>
      <c r="Q50" s="76"/>
      <c r="R50" s="140">
        <f>400*S10+20*S9</f>
        <v>3700</v>
      </c>
      <c r="S50" s="79">
        <v>0</v>
      </c>
      <c r="T50" s="80">
        <v>3.75</v>
      </c>
    </row>
    <row r="51" spans="2:20" ht="56">
      <c r="B51" s="5" t="s">
        <v>193</v>
      </c>
      <c r="C51" s="45" t="s">
        <v>135</v>
      </c>
      <c r="D51" s="45">
        <v>97627</v>
      </c>
      <c r="E51" s="6" t="s">
        <v>194</v>
      </c>
      <c r="F51" s="45" t="s">
        <v>161</v>
      </c>
      <c r="G51" s="46">
        <f t="shared" si="0"/>
        <v>10</v>
      </c>
      <c r="H51" s="46">
        <f>TRUNC(S51*(1-LOTE_03!$K$10),2)</f>
        <v>65.739999999999995</v>
      </c>
      <c r="I51" s="46">
        <f>TRUNC(T51*(1-LOTE_03!$K$10),2)</f>
        <v>111.4</v>
      </c>
      <c r="J51" s="100">
        <f t="shared" si="1"/>
        <v>0.22470000000000001</v>
      </c>
      <c r="K51" s="48">
        <f t="shared" si="2"/>
        <v>80.510000000000005</v>
      </c>
      <c r="L51" s="48">
        <f t="shared" si="3"/>
        <v>136.43</v>
      </c>
      <c r="M51" s="48">
        <f t="shared" si="4"/>
        <v>805.1</v>
      </c>
      <c r="N51" s="48">
        <f t="shared" si="5"/>
        <v>1364.3</v>
      </c>
      <c r="O51" s="50">
        <f t="shared" si="6"/>
        <v>2169.4</v>
      </c>
      <c r="P51" s="50">
        <v>0</v>
      </c>
      <c r="Q51" s="76"/>
      <c r="R51" s="140">
        <f>IF((S9+S10)&gt;10,10,(S9+S10))</f>
        <v>10</v>
      </c>
      <c r="S51" s="79">
        <v>65.739999999999981</v>
      </c>
      <c r="T51" s="80">
        <v>111.4</v>
      </c>
    </row>
    <row r="52" spans="2:20" ht="28">
      <c r="B52" s="5" t="s">
        <v>195</v>
      </c>
      <c r="C52" s="45" t="s">
        <v>165</v>
      </c>
      <c r="D52" s="45" t="s">
        <v>196</v>
      </c>
      <c r="E52" s="6" t="s">
        <v>197</v>
      </c>
      <c r="F52" s="45" t="s">
        <v>168</v>
      </c>
      <c r="G52" s="46">
        <f t="shared" si="0"/>
        <v>1000</v>
      </c>
      <c r="H52" s="46">
        <f>TRUNC(S52*(1-LOTE_03!$K$10),2)</f>
        <v>0</v>
      </c>
      <c r="I52" s="46">
        <f>TRUNC(T52*(1-LOTE_03!$K$10),2)</f>
        <v>19.5</v>
      </c>
      <c r="J52" s="100">
        <f t="shared" si="1"/>
        <v>0.22470000000000001</v>
      </c>
      <c r="K52" s="48">
        <f t="shared" si="2"/>
        <v>0</v>
      </c>
      <c r="L52" s="48">
        <f t="shared" si="3"/>
        <v>23.88</v>
      </c>
      <c r="M52" s="48">
        <f t="shared" si="4"/>
        <v>0</v>
      </c>
      <c r="N52" s="48">
        <f t="shared" si="5"/>
        <v>23880</v>
      </c>
      <c r="O52" s="50">
        <f t="shared" si="6"/>
        <v>23880</v>
      </c>
      <c r="P52" s="50">
        <v>0</v>
      </c>
      <c r="Q52" s="76"/>
      <c r="R52" s="140">
        <f>IF((50*S9+100*S10)&gt;1000,1000,(50*S9+100*S10))</f>
        <v>1000</v>
      </c>
      <c r="S52" s="79">
        <v>0</v>
      </c>
      <c r="T52" s="80">
        <v>19.5</v>
      </c>
    </row>
    <row r="53" spans="2:20" ht="28">
      <c r="B53" s="5" t="s">
        <v>198</v>
      </c>
      <c r="C53" s="45" t="s">
        <v>165</v>
      </c>
      <c r="D53" s="45" t="s">
        <v>199</v>
      </c>
      <c r="E53" s="6" t="s">
        <v>200</v>
      </c>
      <c r="F53" s="45" t="s">
        <v>168</v>
      </c>
      <c r="G53" s="46">
        <f t="shared" si="0"/>
        <v>200</v>
      </c>
      <c r="H53" s="46">
        <f>TRUNC(S53*(1-LOTE_03!$K$10),2)</f>
        <v>0</v>
      </c>
      <c r="I53" s="46">
        <f>TRUNC(T53*(1-LOTE_03!$K$10),2)</f>
        <v>10.5</v>
      </c>
      <c r="J53" s="100">
        <f t="shared" si="1"/>
        <v>0.22470000000000001</v>
      </c>
      <c r="K53" s="48">
        <f t="shared" si="2"/>
        <v>0</v>
      </c>
      <c r="L53" s="48">
        <f t="shared" si="3"/>
        <v>12.85</v>
      </c>
      <c r="M53" s="48">
        <f t="shared" si="4"/>
        <v>0</v>
      </c>
      <c r="N53" s="48">
        <f t="shared" si="5"/>
        <v>2570</v>
      </c>
      <c r="O53" s="50">
        <f t="shared" si="6"/>
        <v>2570</v>
      </c>
      <c r="P53" s="50">
        <v>0</v>
      </c>
      <c r="Q53" s="76"/>
      <c r="R53" s="140">
        <f>IF(50*(S10+S9)&gt;200,200,50*(S10+S9))</f>
        <v>200</v>
      </c>
      <c r="S53" s="79">
        <v>0</v>
      </c>
      <c r="T53" s="80">
        <v>10.5</v>
      </c>
    </row>
    <row r="54" spans="2:20" ht="28">
      <c r="B54" s="5" t="s">
        <v>201</v>
      </c>
      <c r="C54" s="45" t="s">
        <v>165</v>
      </c>
      <c r="D54" s="45" t="s">
        <v>202</v>
      </c>
      <c r="E54" s="6" t="s">
        <v>203</v>
      </c>
      <c r="F54" s="45" t="s">
        <v>168</v>
      </c>
      <c r="G54" s="46">
        <f t="shared" si="0"/>
        <v>200</v>
      </c>
      <c r="H54" s="46">
        <f>TRUNC(S54*(1-LOTE_03!$K$10),2)</f>
        <v>0</v>
      </c>
      <c r="I54" s="46">
        <f>TRUNC(T54*(1-LOTE_03!$K$10),2)</f>
        <v>18.59</v>
      </c>
      <c r="J54" s="100">
        <f t="shared" si="1"/>
        <v>0.22470000000000001</v>
      </c>
      <c r="K54" s="48">
        <f t="shared" si="2"/>
        <v>0</v>
      </c>
      <c r="L54" s="48">
        <f t="shared" si="3"/>
        <v>22.76</v>
      </c>
      <c r="M54" s="48">
        <f t="shared" si="4"/>
        <v>0</v>
      </c>
      <c r="N54" s="48">
        <f t="shared" si="5"/>
        <v>4552</v>
      </c>
      <c r="O54" s="50">
        <f t="shared" si="6"/>
        <v>4552</v>
      </c>
      <c r="P54" s="50">
        <v>0</v>
      </c>
      <c r="Q54" s="76"/>
      <c r="R54" s="140">
        <f>IF(20*(S10+S9)&gt;200,200,20*(S10+S9))</f>
        <v>200</v>
      </c>
      <c r="S54" s="79">
        <v>0</v>
      </c>
      <c r="T54" s="80">
        <v>18.59</v>
      </c>
    </row>
    <row r="55" spans="2:20" ht="42">
      <c r="B55" s="5" t="s">
        <v>204</v>
      </c>
      <c r="C55" s="45" t="s">
        <v>165</v>
      </c>
      <c r="D55" s="45" t="s">
        <v>205</v>
      </c>
      <c r="E55" s="6" t="s">
        <v>206</v>
      </c>
      <c r="F55" s="45" t="s">
        <v>168</v>
      </c>
      <c r="G55" s="46">
        <f t="shared" si="0"/>
        <v>5600</v>
      </c>
      <c r="H55" s="46">
        <f>TRUNC(S55*(1-LOTE_03!$K$10),2)</f>
        <v>0</v>
      </c>
      <c r="I55" s="46">
        <f>TRUNC(T55*(1-LOTE_03!$K$10),2)</f>
        <v>21</v>
      </c>
      <c r="J55" s="100">
        <f t="shared" si="1"/>
        <v>0.22470000000000001</v>
      </c>
      <c r="K55" s="48">
        <f t="shared" si="2"/>
        <v>0</v>
      </c>
      <c r="L55" s="48">
        <f t="shared" si="3"/>
        <v>25.71</v>
      </c>
      <c r="M55" s="48">
        <f t="shared" si="4"/>
        <v>0</v>
      </c>
      <c r="N55" s="48">
        <f t="shared" si="5"/>
        <v>143976</v>
      </c>
      <c r="O55" s="50">
        <f t="shared" si="6"/>
        <v>143976</v>
      </c>
      <c r="P55" s="50">
        <v>0</v>
      </c>
      <c r="Q55" s="76"/>
      <c r="R55" s="140">
        <f>400*(S10+S9)</f>
        <v>5600</v>
      </c>
      <c r="S55" s="79">
        <v>0</v>
      </c>
      <c r="T55" s="80">
        <v>21</v>
      </c>
    </row>
    <row r="56" spans="2:20" ht="28">
      <c r="B56" s="5" t="s">
        <v>207</v>
      </c>
      <c r="C56" s="45" t="s">
        <v>165</v>
      </c>
      <c r="D56" s="45" t="s">
        <v>196</v>
      </c>
      <c r="E56" s="6" t="s">
        <v>197</v>
      </c>
      <c r="F56" s="45" t="s">
        <v>168</v>
      </c>
      <c r="G56" s="46">
        <f t="shared" si="0"/>
        <v>1000</v>
      </c>
      <c r="H56" s="46">
        <f>TRUNC(S56*(1-LOTE_03!$K$10),2)</f>
        <v>0</v>
      </c>
      <c r="I56" s="46">
        <f>TRUNC(T56*(1-LOTE_03!$K$10),2)</f>
        <v>19.5</v>
      </c>
      <c r="J56" s="100">
        <f t="shared" si="1"/>
        <v>0.22470000000000001</v>
      </c>
      <c r="K56" s="48">
        <f t="shared" si="2"/>
        <v>0</v>
      </c>
      <c r="L56" s="48">
        <f t="shared" si="3"/>
        <v>23.88</v>
      </c>
      <c r="M56" s="48">
        <f t="shared" si="4"/>
        <v>0</v>
      </c>
      <c r="N56" s="48">
        <f t="shared" si="5"/>
        <v>23880</v>
      </c>
      <c r="O56" s="50">
        <f t="shared" si="6"/>
        <v>23880</v>
      </c>
      <c r="P56" s="50">
        <v>0</v>
      </c>
      <c r="Q56" s="76"/>
      <c r="R56" s="140">
        <f>IF((50*S9+100*S10)&gt;1000,1000,(50*S9+100*S10))</f>
        <v>1000</v>
      </c>
      <c r="S56" s="79">
        <v>0</v>
      </c>
      <c r="T56" s="80">
        <v>19.5</v>
      </c>
    </row>
    <row r="57" spans="2:20" ht="42">
      <c r="B57" s="5" t="s">
        <v>208</v>
      </c>
      <c r="C57" s="45" t="s">
        <v>135</v>
      </c>
      <c r="D57" s="45">
        <v>97666</v>
      </c>
      <c r="E57" s="6" t="s">
        <v>209</v>
      </c>
      <c r="F57" s="45" t="s">
        <v>210</v>
      </c>
      <c r="G57" s="46">
        <f t="shared" si="0"/>
        <v>30</v>
      </c>
      <c r="H57" s="46">
        <f>TRUNC(S57*(1-LOTE_03!$K$10),2)</f>
        <v>3.1</v>
      </c>
      <c r="I57" s="46">
        <f>TRUNC(T57*(1-LOTE_03!$K$10),2)</f>
        <v>6.44</v>
      </c>
      <c r="J57" s="100">
        <f t="shared" si="1"/>
        <v>0.22470000000000001</v>
      </c>
      <c r="K57" s="48">
        <f t="shared" si="2"/>
        <v>3.79</v>
      </c>
      <c r="L57" s="48">
        <f t="shared" si="3"/>
        <v>7.88</v>
      </c>
      <c r="M57" s="48">
        <f t="shared" si="4"/>
        <v>113.7</v>
      </c>
      <c r="N57" s="48">
        <f t="shared" si="5"/>
        <v>236.4</v>
      </c>
      <c r="O57" s="50">
        <f t="shared" si="6"/>
        <v>350.1</v>
      </c>
      <c r="P57" s="50">
        <v>0</v>
      </c>
      <c r="Q57" s="76"/>
      <c r="R57" s="140">
        <f>IF((2*S9+8*S10)&gt;30,30,(2*S9+8*S10))</f>
        <v>30</v>
      </c>
      <c r="S57" s="79">
        <v>3.0999999999999988</v>
      </c>
      <c r="T57" s="80">
        <v>6.44</v>
      </c>
    </row>
    <row r="58" spans="2:20" ht="56">
      <c r="B58" s="5" t="s">
        <v>211</v>
      </c>
      <c r="C58" s="45" t="s">
        <v>135</v>
      </c>
      <c r="D58" s="45">
        <v>97635</v>
      </c>
      <c r="E58" s="6" t="s">
        <v>212</v>
      </c>
      <c r="F58" s="45" t="s">
        <v>121</v>
      </c>
      <c r="G58" s="46">
        <f t="shared" si="0"/>
        <v>300</v>
      </c>
      <c r="H58" s="46">
        <f>TRUNC(S58*(1-LOTE_03!$K$10),2)</f>
        <v>5.43</v>
      </c>
      <c r="I58" s="46">
        <f>TRUNC(T58*(1-LOTE_03!$K$10),2)</f>
        <v>12.62</v>
      </c>
      <c r="J58" s="100">
        <f t="shared" si="1"/>
        <v>0.22470000000000001</v>
      </c>
      <c r="K58" s="48">
        <f t="shared" si="2"/>
        <v>6.65</v>
      </c>
      <c r="L58" s="48">
        <f t="shared" si="3"/>
        <v>15.45</v>
      </c>
      <c r="M58" s="48">
        <f t="shared" si="4"/>
        <v>1995</v>
      </c>
      <c r="N58" s="48">
        <f t="shared" si="5"/>
        <v>4635</v>
      </c>
      <c r="O58" s="50">
        <f t="shared" si="6"/>
        <v>6630</v>
      </c>
      <c r="P58" s="50">
        <v>0</v>
      </c>
      <c r="Q58" s="76"/>
      <c r="R58" s="140">
        <f>IF((50*S9+100*S10)&gt;300,300,(50*S9+100*S10))</f>
        <v>300</v>
      </c>
      <c r="S58" s="79">
        <v>5.4300000000000015</v>
      </c>
      <c r="T58" s="80">
        <v>12.62</v>
      </c>
    </row>
    <row r="59" spans="2:20" ht="56">
      <c r="B59" s="5" t="s">
        <v>213</v>
      </c>
      <c r="C59" s="45" t="s">
        <v>135</v>
      </c>
      <c r="D59" s="45">
        <v>97643</v>
      </c>
      <c r="E59" s="6" t="s">
        <v>214</v>
      </c>
      <c r="F59" s="45" t="s">
        <v>121</v>
      </c>
      <c r="G59" s="46">
        <f t="shared" si="0"/>
        <v>200</v>
      </c>
      <c r="H59" s="46">
        <f>TRUNC(S59*(1-LOTE_03!$K$10),2)</f>
        <v>8.56</v>
      </c>
      <c r="I59" s="46">
        <f>TRUNC(T59*(1-LOTE_03!$K$10),2)</f>
        <v>17.5</v>
      </c>
      <c r="J59" s="100">
        <f t="shared" si="1"/>
        <v>0.22470000000000001</v>
      </c>
      <c r="K59" s="48">
        <f t="shared" si="2"/>
        <v>10.48</v>
      </c>
      <c r="L59" s="48">
        <f t="shared" si="3"/>
        <v>21.43</v>
      </c>
      <c r="M59" s="48">
        <f t="shared" si="4"/>
        <v>2096</v>
      </c>
      <c r="N59" s="48">
        <f t="shared" si="5"/>
        <v>4286</v>
      </c>
      <c r="O59" s="50">
        <f t="shared" si="6"/>
        <v>6382</v>
      </c>
      <c r="P59" s="50">
        <v>0</v>
      </c>
      <c r="Q59" s="76"/>
      <c r="R59" s="140">
        <f>IF((50*S9+50*S10)&gt;200,200,(50*S9+50*S10))</f>
        <v>200</v>
      </c>
      <c r="S59" s="79">
        <v>8.5599999999999987</v>
      </c>
      <c r="T59" s="80">
        <v>17.5</v>
      </c>
    </row>
    <row r="60" spans="2:20" ht="28">
      <c r="B60" s="5" t="s">
        <v>215</v>
      </c>
      <c r="C60" s="45" t="s">
        <v>165</v>
      </c>
      <c r="D60" s="45" t="s">
        <v>216</v>
      </c>
      <c r="E60" s="6" t="s">
        <v>217</v>
      </c>
      <c r="F60" s="45" t="s">
        <v>168</v>
      </c>
      <c r="G60" s="46">
        <f t="shared" si="0"/>
        <v>50</v>
      </c>
      <c r="H60" s="46">
        <f>TRUNC(S60*(1-LOTE_03!$K$10),2)</f>
        <v>0</v>
      </c>
      <c r="I60" s="46">
        <f>TRUNC(T60*(1-LOTE_03!$K$10),2)</f>
        <v>1.5</v>
      </c>
      <c r="J60" s="100">
        <f t="shared" si="1"/>
        <v>0.22470000000000001</v>
      </c>
      <c r="K60" s="48">
        <f t="shared" si="2"/>
        <v>0</v>
      </c>
      <c r="L60" s="48">
        <f t="shared" si="3"/>
        <v>1.83</v>
      </c>
      <c r="M60" s="48">
        <f t="shared" si="4"/>
        <v>0</v>
      </c>
      <c r="N60" s="48">
        <f t="shared" si="5"/>
        <v>91.5</v>
      </c>
      <c r="O60" s="50">
        <f t="shared" si="6"/>
        <v>91.5</v>
      </c>
      <c r="P60" s="50">
        <v>0</v>
      </c>
      <c r="Q60" s="76"/>
      <c r="R60" s="140">
        <f>IF((50*S9+50*S10)&gt;50,50,(50*S9+50*S10))</f>
        <v>50</v>
      </c>
      <c r="S60" s="79">
        <v>0</v>
      </c>
      <c r="T60" s="80">
        <v>1.5</v>
      </c>
    </row>
    <row r="61" spans="2:20" ht="28">
      <c r="B61" s="5" t="s">
        <v>218</v>
      </c>
      <c r="C61" s="45" t="s">
        <v>165</v>
      </c>
      <c r="D61" s="45" t="s">
        <v>219</v>
      </c>
      <c r="E61" s="6" t="s">
        <v>220</v>
      </c>
      <c r="F61" s="45" t="s">
        <v>168</v>
      </c>
      <c r="G61" s="46">
        <f t="shared" si="0"/>
        <v>500</v>
      </c>
      <c r="H61" s="46">
        <f>TRUNC(S61*(1-LOTE_03!$K$10),2)</f>
        <v>0</v>
      </c>
      <c r="I61" s="46">
        <f>TRUNC(T61*(1-LOTE_03!$K$10),2)</f>
        <v>13.5</v>
      </c>
      <c r="J61" s="100">
        <f t="shared" si="1"/>
        <v>0.22470000000000001</v>
      </c>
      <c r="K61" s="48">
        <f t="shared" si="2"/>
        <v>0</v>
      </c>
      <c r="L61" s="48">
        <f t="shared" si="3"/>
        <v>16.53</v>
      </c>
      <c r="M61" s="48">
        <f t="shared" si="4"/>
        <v>0</v>
      </c>
      <c r="N61" s="48">
        <f t="shared" si="5"/>
        <v>8265</v>
      </c>
      <c r="O61" s="50">
        <f t="shared" si="6"/>
        <v>8265</v>
      </c>
      <c r="P61" s="50">
        <v>0</v>
      </c>
      <c r="Q61" s="76"/>
      <c r="R61" s="140">
        <f>IF((20*S9+200*S10)&gt;500,500,((20*S9+200*S10)))</f>
        <v>500</v>
      </c>
      <c r="S61" s="79">
        <v>0</v>
      </c>
      <c r="T61" s="80">
        <v>13.5</v>
      </c>
    </row>
    <row r="62" spans="2:20" ht="42">
      <c r="B62" s="5" t="s">
        <v>221</v>
      </c>
      <c r="C62" s="45" t="s">
        <v>135</v>
      </c>
      <c r="D62" s="45">
        <v>97641</v>
      </c>
      <c r="E62" s="6" t="s">
        <v>222</v>
      </c>
      <c r="F62" s="45" t="s">
        <v>121</v>
      </c>
      <c r="G62" s="46">
        <f t="shared" si="0"/>
        <v>205</v>
      </c>
      <c r="H62" s="46">
        <f>TRUNC(S62*(1-LOTE_03!$K$10),2)</f>
        <v>1.01</v>
      </c>
      <c r="I62" s="46">
        <f>TRUNC(T62*(1-LOTE_03!$K$10),2)</f>
        <v>2.0299999999999998</v>
      </c>
      <c r="J62" s="100">
        <f t="shared" si="1"/>
        <v>0.22470000000000001</v>
      </c>
      <c r="K62" s="48">
        <f t="shared" si="2"/>
        <v>1.23</v>
      </c>
      <c r="L62" s="48">
        <f t="shared" si="3"/>
        <v>2.48</v>
      </c>
      <c r="M62" s="48">
        <f t="shared" si="4"/>
        <v>252.15</v>
      </c>
      <c r="N62" s="48">
        <f t="shared" si="5"/>
        <v>508.4</v>
      </c>
      <c r="O62" s="50">
        <f t="shared" si="6"/>
        <v>760.55</v>
      </c>
      <c r="P62" s="50">
        <v>0</v>
      </c>
      <c r="Q62" s="76"/>
      <c r="R62" s="140">
        <f>IF((5*S9+20*S10)&gt;500,500,(5*S9+20*S10))</f>
        <v>205</v>
      </c>
      <c r="S62" s="79">
        <v>1.0100000000000002</v>
      </c>
      <c r="T62" s="80">
        <v>2.0299999999999998</v>
      </c>
    </row>
    <row r="63" spans="2:20" ht="56">
      <c r="B63" s="5" t="s">
        <v>223</v>
      </c>
      <c r="C63" s="45" t="s">
        <v>135</v>
      </c>
      <c r="D63" s="45">
        <v>97640</v>
      </c>
      <c r="E63" s="6" t="s">
        <v>224</v>
      </c>
      <c r="F63" s="45" t="s">
        <v>121</v>
      </c>
      <c r="G63" s="46">
        <f t="shared" si="0"/>
        <v>2000</v>
      </c>
      <c r="H63" s="46">
        <f>TRUNC(S63*(1-LOTE_03!$K$10),2)</f>
        <v>0.66</v>
      </c>
      <c r="I63" s="46">
        <f>TRUNC(T63*(1-LOTE_03!$K$10),2)</f>
        <v>1.28</v>
      </c>
      <c r="J63" s="100">
        <f t="shared" si="1"/>
        <v>0.22470000000000001</v>
      </c>
      <c r="K63" s="48">
        <f t="shared" si="2"/>
        <v>0.8</v>
      </c>
      <c r="L63" s="48">
        <f t="shared" si="3"/>
        <v>1.56</v>
      </c>
      <c r="M63" s="48">
        <f t="shared" si="4"/>
        <v>1600</v>
      </c>
      <c r="N63" s="48">
        <f t="shared" si="5"/>
        <v>3120</v>
      </c>
      <c r="O63" s="50">
        <f t="shared" si="6"/>
        <v>4720</v>
      </c>
      <c r="P63" s="50">
        <v>0</v>
      </c>
      <c r="Q63" s="76"/>
      <c r="R63" s="140">
        <f>IF((200*S9+200*S10)&gt;2000,2000,((20*S9+200*S10)))</f>
        <v>2000</v>
      </c>
      <c r="S63" s="79">
        <v>0.65999999999999992</v>
      </c>
      <c r="T63" s="80">
        <v>1.28</v>
      </c>
    </row>
    <row r="64" spans="2:20" ht="42">
      <c r="B64" s="5" t="s">
        <v>225</v>
      </c>
      <c r="C64" s="45" t="s">
        <v>135</v>
      </c>
      <c r="D64" s="45">
        <v>97663</v>
      </c>
      <c r="E64" s="6" t="s">
        <v>226</v>
      </c>
      <c r="F64" s="45" t="s">
        <v>210</v>
      </c>
      <c r="G64" s="46">
        <f t="shared" si="0"/>
        <v>700</v>
      </c>
      <c r="H64" s="46">
        <f>TRUNC(S64*(1-LOTE_03!$K$10),2)</f>
        <v>4.26</v>
      </c>
      <c r="I64" s="46">
        <f>TRUNC(T64*(1-LOTE_03!$K$10),2)</f>
        <v>8.82</v>
      </c>
      <c r="J64" s="100">
        <f t="shared" si="1"/>
        <v>0.22470000000000001</v>
      </c>
      <c r="K64" s="48">
        <f t="shared" si="2"/>
        <v>5.21</v>
      </c>
      <c r="L64" s="48">
        <f t="shared" si="3"/>
        <v>10.8</v>
      </c>
      <c r="M64" s="48">
        <f t="shared" si="4"/>
        <v>3647</v>
      </c>
      <c r="N64" s="48">
        <f t="shared" si="5"/>
        <v>7560</v>
      </c>
      <c r="O64" s="50">
        <f t="shared" si="6"/>
        <v>11207</v>
      </c>
      <c r="P64" s="50">
        <v>0</v>
      </c>
      <c r="Q64" s="76"/>
      <c r="R64" s="140">
        <f>50*(S9+S10)</f>
        <v>700</v>
      </c>
      <c r="S64" s="79">
        <v>4.26</v>
      </c>
      <c r="T64" s="80">
        <v>8.82</v>
      </c>
    </row>
    <row r="65" spans="2:20" ht="42">
      <c r="B65" s="5" t="s">
        <v>227</v>
      </c>
      <c r="C65" s="45" t="s">
        <v>135</v>
      </c>
      <c r="D65" s="45">
        <v>97638</v>
      </c>
      <c r="E65" s="6" t="s">
        <v>228</v>
      </c>
      <c r="F65" s="45" t="s">
        <v>121</v>
      </c>
      <c r="G65" s="46">
        <f t="shared" si="0"/>
        <v>500</v>
      </c>
      <c r="H65" s="46">
        <f>TRUNC(S65*(1-LOTE_03!$K$10),2)</f>
        <v>2.81</v>
      </c>
      <c r="I65" s="46">
        <f>TRUNC(T65*(1-LOTE_03!$K$10),2)</f>
        <v>5.54</v>
      </c>
      <c r="J65" s="100">
        <f t="shared" si="1"/>
        <v>0.22470000000000001</v>
      </c>
      <c r="K65" s="48">
        <f t="shared" si="2"/>
        <v>3.44</v>
      </c>
      <c r="L65" s="48">
        <f t="shared" si="3"/>
        <v>6.78</v>
      </c>
      <c r="M65" s="48">
        <f t="shared" si="4"/>
        <v>1720</v>
      </c>
      <c r="N65" s="48">
        <f t="shared" si="5"/>
        <v>3390</v>
      </c>
      <c r="O65" s="50">
        <f t="shared" si="6"/>
        <v>5110</v>
      </c>
      <c r="P65" s="50">
        <v>0</v>
      </c>
      <c r="Q65" s="76"/>
      <c r="R65" s="140">
        <f>IF((20*S9+100*S10)&gt;500,500,(20*S9+100*S10))</f>
        <v>500</v>
      </c>
      <c r="S65" s="79">
        <v>2.8099999999999996</v>
      </c>
      <c r="T65" s="80">
        <v>5.54</v>
      </c>
    </row>
    <row r="66" spans="2:20" ht="56">
      <c r="B66" s="5" t="s">
        <v>229</v>
      </c>
      <c r="C66" s="45" t="s">
        <v>135</v>
      </c>
      <c r="D66" s="45">
        <v>97642</v>
      </c>
      <c r="E66" s="6" t="s">
        <v>230</v>
      </c>
      <c r="F66" s="45" t="s">
        <v>121</v>
      </c>
      <c r="G66" s="46">
        <f t="shared" si="0"/>
        <v>1850</v>
      </c>
      <c r="H66" s="46">
        <f>TRUNC(S66*(1-LOTE_03!$K$10),2)</f>
        <v>0.94</v>
      </c>
      <c r="I66" s="46">
        <f>TRUNC(T66*(1-LOTE_03!$K$10),2)</f>
        <v>1.85</v>
      </c>
      <c r="J66" s="100">
        <f t="shared" si="1"/>
        <v>0.22470000000000001</v>
      </c>
      <c r="K66" s="48">
        <f t="shared" si="2"/>
        <v>1.1499999999999999</v>
      </c>
      <c r="L66" s="48">
        <f t="shared" si="3"/>
        <v>2.2599999999999998</v>
      </c>
      <c r="M66" s="48">
        <f t="shared" si="4"/>
        <v>2127.5</v>
      </c>
      <c r="N66" s="48">
        <f t="shared" si="5"/>
        <v>4181</v>
      </c>
      <c r="O66" s="50">
        <f t="shared" si="6"/>
        <v>6308.5</v>
      </c>
      <c r="P66" s="50">
        <v>0</v>
      </c>
      <c r="Q66" s="76"/>
      <c r="R66" s="140">
        <f>IF((10*S9+200*S10)&gt;2000,2000,((10*S9+200*S10)))</f>
        <v>1850</v>
      </c>
      <c r="S66" s="79">
        <v>0.94</v>
      </c>
      <c r="T66" s="80">
        <v>1.85</v>
      </c>
    </row>
    <row r="67" spans="2:20" ht="42">
      <c r="B67" s="5" t="s">
        <v>231</v>
      </c>
      <c r="C67" s="45" t="s">
        <v>135</v>
      </c>
      <c r="D67" s="45">
        <v>97650</v>
      </c>
      <c r="E67" s="6" t="s">
        <v>232</v>
      </c>
      <c r="F67" s="45" t="s">
        <v>121</v>
      </c>
      <c r="G67" s="46">
        <f t="shared" si="0"/>
        <v>1000</v>
      </c>
      <c r="H67" s="46">
        <f>TRUNC(S67*(1-LOTE_03!$K$10),2)</f>
        <v>2.6</v>
      </c>
      <c r="I67" s="46">
        <f>TRUNC(T67*(1-LOTE_03!$K$10),2)</f>
        <v>5.3</v>
      </c>
      <c r="J67" s="100">
        <f t="shared" si="1"/>
        <v>0.22470000000000001</v>
      </c>
      <c r="K67" s="48">
        <f t="shared" si="2"/>
        <v>3.18</v>
      </c>
      <c r="L67" s="48">
        <f t="shared" si="3"/>
        <v>6.49</v>
      </c>
      <c r="M67" s="48">
        <f t="shared" si="4"/>
        <v>3180</v>
      </c>
      <c r="N67" s="48">
        <f t="shared" si="5"/>
        <v>6490</v>
      </c>
      <c r="O67" s="50">
        <f t="shared" si="6"/>
        <v>9670</v>
      </c>
      <c r="P67" s="50">
        <v>0</v>
      </c>
      <c r="Q67" s="76"/>
      <c r="R67" s="140">
        <f>IF((20*S9+300*S10)&gt;1000,1000,(20*S9+100*S10))</f>
        <v>1000</v>
      </c>
      <c r="S67" s="79">
        <v>2.6000000000000005</v>
      </c>
      <c r="T67" s="80">
        <v>5.3</v>
      </c>
    </row>
    <row r="68" spans="2:20" ht="56">
      <c r="B68" s="5" t="s">
        <v>233</v>
      </c>
      <c r="C68" s="45" t="s">
        <v>135</v>
      </c>
      <c r="D68" s="45">
        <v>97637</v>
      </c>
      <c r="E68" s="6" t="s">
        <v>234</v>
      </c>
      <c r="F68" s="45" t="s">
        <v>121</v>
      </c>
      <c r="G68" s="46">
        <f t="shared" si="0"/>
        <v>100</v>
      </c>
      <c r="H68" s="46">
        <f>TRUNC(S68*(1-LOTE_03!$K$10),2)</f>
        <v>0.96</v>
      </c>
      <c r="I68" s="46">
        <f>TRUNC(T68*(1-LOTE_03!$K$10),2)</f>
        <v>1.9</v>
      </c>
      <c r="J68" s="100">
        <f t="shared" si="1"/>
        <v>0.22470000000000001</v>
      </c>
      <c r="K68" s="48">
        <f t="shared" si="2"/>
        <v>1.17</v>
      </c>
      <c r="L68" s="48">
        <f t="shared" si="3"/>
        <v>2.3199999999999998</v>
      </c>
      <c r="M68" s="48">
        <f t="shared" si="4"/>
        <v>117</v>
      </c>
      <c r="N68" s="48">
        <f t="shared" si="5"/>
        <v>232</v>
      </c>
      <c r="O68" s="50">
        <f t="shared" si="6"/>
        <v>349</v>
      </c>
      <c r="P68" s="50">
        <v>0</v>
      </c>
      <c r="Q68" s="76"/>
      <c r="R68" s="140">
        <f>IF((10*S9+30*3*S10)&gt;100,100,(10*S9+15*3*S10))</f>
        <v>100</v>
      </c>
      <c r="S68" s="79">
        <v>0.96</v>
      </c>
      <c r="T68" s="80">
        <v>1.9</v>
      </c>
    </row>
    <row r="69" spans="2:20" ht="42">
      <c r="B69" s="5" t="s">
        <v>235</v>
      </c>
      <c r="C69" s="45" t="s">
        <v>135</v>
      </c>
      <c r="D69" s="45">
        <v>97644</v>
      </c>
      <c r="E69" s="6" t="s">
        <v>236</v>
      </c>
      <c r="F69" s="45" t="s">
        <v>121</v>
      </c>
      <c r="G69" s="46">
        <f t="shared" si="0"/>
        <v>79.38</v>
      </c>
      <c r="H69" s="46">
        <f>TRUNC(S69*(1-LOTE_03!$K$10),2)</f>
        <v>3.25</v>
      </c>
      <c r="I69" s="46">
        <f>TRUNC(T69*(1-LOTE_03!$K$10),2)</f>
        <v>6.61</v>
      </c>
      <c r="J69" s="100">
        <f t="shared" si="1"/>
        <v>0.22470000000000001</v>
      </c>
      <c r="K69" s="48">
        <f t="shared" si="2"/>
        <v>3.98</v>
      </c>
      <c r="L69" s="48">
        <f t="shared" si="3"/>
        <v>8.09</v>
      </c>
      <c r="M69" s="48">
        <f t="shared" si="4"/>
        <v>315.93</v>
      </c>
      <c r="N69" s="48">
        <f t="shared" si="5"/>
        <v>642.17999999999995</v>
      </c>
      <c r="O69" s="50">
        <f t="shared" si="6"/>
        <v>958.11</v>
      </c>
      <c r="P69" s="50">
        <v>0</v>
      </c>
      <c r="Q69" s="76"/>
      <c r="R69" s="140">
        <f>IF((0.9*2.1*3*S9+0.9*2.1*3*S10)&gt;100,100,(0.9*2.1*3*S9+0.9*2.1*3*S10))</f>
        <v>79.38</v>
      </c>
      <c r="S69" s="79">
        <v>3.2499999999999991</v>
      </c>
      <c r="T69" s="80">
        <v>6.61</v>
      </c>
    </row>
    <row r="70" spans="2:20" ht="42">
      <c r="B70" s="5" t="s">
        <v>237</v>
      </c>
      <c r="C70" s="45" t="s">
        <v>135</v>
      </c>
      <c r="D70" s="45">
        <v>97645</v>
      </c>
      <c r="E70" s="6" t="s">
        <v>238</v>
      </c>
      <c r="F70" s="45" t="s">
        <v>121</v>
      </c>
      <c r="G70" s="46">
        <f t="shared" si="0"/>
        <v>100</v>
      </c>
      <c r="H70" s="46">
        <f>TRUNC(S70*(1-LOTE_03!$K$10),2)</f>
        <v>8.3800000000000008</v>
      </c>
      <c r="I70" s="46">
        <f>TRUNC(T70*(1-LOTE_03!$K$10),2)</f>
        <v>17.100000000000001</v>
      </c>
      <c r="J70" s="100">
        <f t="shared" si="1"/>
        <v>0.22470000000000001</v>
      </c>
      <c r="K70" s="48">
        <f t="shared" si="2"/>
        <v>10.26</v>
      </c>
      <c r="L70" s="48">
        <f t="shared" si="3"/>
        <v>20.94</v>
      </c>
      <c r="M70" s="48">
        <f t="shared" si="4"/>
        <v>1026</v>
      </c>
      <c r="N70" s="48">
        <f t="shared" si="5"/>
        <v>2094</v>
      </c>
      <c r="O70" s="50">
        <f t="shared" si="6"/>
        <v>3120</v>
      </c>
      <c r="P70" s="50">
        <v>0</v>
      </c>
      <c r="Q70" s="76"/>
      <c r="R70" s="140">
        <f>IF((1.5*1*5*2*S9+1.5*1.5*3*(S10))&gt;100,100,(1.5*1*5*2*S9+1.5*1.5*3*(S10)))</f>
        <v>100</v>
      </c>
      <c r="S70" s="79">
        <v>8.379999999999999</v>
      </c>
      <c r="T70" s="80">
        <v>17.100000000000001</v>
      </c>
    </row>
    <row r="71" spans="2:20" ht="56">
      <c r="B71" s="5" t="s">
        <v>239</v>
      </c>
      <c r="C71" s="45" t="s">
        <v>135</v>
      </c>
      <c r="D71" s="45">
        <v>97647</v>
      </c>
      <c r="E71" s="6" t="s">
        <v>240</v>
      </c>
      <c r="F71" s="45" t="s">
        <v>121</v>
      </c>
      <c r="G71" s="46">
        <f t="shared" si="0"/>
        <v>3000</v>
      </c>
      <c r="H71" s="46">
        <f>TRUNC(S71*(1-LOTE_03!$K$10),2)</f>
        <v>1.21</v>
      </c>
      <c r="I71" s="46">
        <f>TRUNC(T71*(1-LOTE_03!$K$10),2)</f>
        <v>2.4500000000000002</v>
      </c>
      <c r="J71" s="100">
        <f t="shared" si="1"/>
        <v>0.22470000000000001</v>
      </c>
      <c r="K71" s="48">
        <f t="shared" si="2"/>
        <v>1.48</v>
      </c>
      <c r="L71" s="48">
        <f t="shared" si="3"/>
        <v>3</v>
      </c>
      <c r="M71" s="48">
        <f t="shared" si="4"/>
        <v>4440</v>
      </c>
      <c r="N71" s="48">
        <f t="shared" si="5"/>
        <v>9000</v>
      </c>
      <c r="O71" s="50">
        <f t="shared" si="6"/>
        <v>13440</v>
      </c>
      <c r="P71" s="50">
        <v>0</v>
      </c>
      <c r="Q71" s="76"/>
      <c r="R71" s="140">
        <f>IF((200*S9+300*S10)&gt;3000,3000,(20*S9+200*S10))</f>
        <v>3000</v>
      </c>
      <c r="S71" s="79">
        <v>1.21</v>
      </c>
      <c r="T71" s="80">
        <v>2.4500000000000002</v>
      </c>
    </row>
    <row r="72" spans="2:20" ht="42">
      <c r="B72" s="5" t="s">
        <v>241</v>
      </c>
      <c r="C72" s="45" t="s">
        <v>97</v>
      </c>
      <c r="D72" s="45" t="s">
        <v>242</v>
      </c>
      <c r="E72" s="6" t="s">
        <v>243</v>
      </c>
      <c r="F72" s="45" t="s">
        <v>121</v>
      </c>
      <c r="G72" s="46">
        <f t="shared" si="0"/>
        <v>1850</v>
      </c>
      <c r="H72" s="46">
        <f>TRUNC(S72*(1-LOTE_03!$K$10),2)</f>
        <v>5.46</v>
      </c>
      <c r="I72" s="46">
        <f>TRUNC(T72*(1-LOTE_03!$K$10),2)</f>
        <v>11.25</v>
      </c>
      <c r="J72" s="100">
        <f t="shared" si="1"/>
        <v>0.22470000000000001</v>
      </c>
      <c r="K72" s="48">
        <f t="shared" si="2"/>
        <v>6.68</v>
      </c>
      <c r="L72" s="48">
        <f t="shared" si="3"/>
        <v>13.77</v>
      </c>
      <c r="M72" s="48">
        <f t="shared" si="4"/>
        <v>12358</v>
      </c>
      <c r="N72" s="48">
        <f t="shared" si="5"/>
        <v>25474.5</v>
      </c>
      <c r="O72" s="50">
        <f t="shared" si="6"/>
        <v>37832.5</v>
      </c>
      <c r="P72" s="50">
        <v>0</v>
      </c>
      <c r="Q72" s="76"/>
      <c r="R72" s="140">
        <f>10*S9+200*S10</f>
        <v>1850</v>
      </c>
      <c r="S72" s="79">
        <v>5.46</v>
      </c>
      <c r="T72" s="80">
        <v>11.25</v>
      </c>
    </row>
    <row r="73" spans="2:20" ht="42">
      <c r="B73" s="5" t="s">
        <v>244</v>
      </c>
      <c r="C73" s="45" t="s">
        <v>135</v>
      </c>
      <c r="D73" s="45">
        <v>97655</v>
      </c>
      <c r="E73" s="6" t="s">
        <v>245</v>
      </c>
      <c r="F73" s="45" t="s">
        <v>121</v>
      </c>
      <c r="G73" s="46">
        <f t="shared" si="0"/>
        <v>500</v>
      </c>
      <c r="H73" s="46">
        <f>TRUNC(S73*(1-LOTE_03!$K$10),2)</f>
        <v>26.64</v>
      </c>
      <c r="I73" s="46">
        <f>TRUNC(T73*(1-LOTE_03!$K$10),2)</f>
        <v>12.87</v>
      </c>
      <c r="J73" s="100">
        <f t="shared" si="1"/>
        <v>0.22470000000000001</v>
      </c>
      <c r="K73" s="48">
        <f t="shared" si="2"/>
        <v>32.619999999999997</v>
      </c>
      <c r="L73" s="48">
        <f t="shared" si="3"/>
        <v>15.76</v>
      </c>
      <c r="M73" s="48">
        <f t="shared" si="4"/>
        <v>16310</v>
      </c>
      <c r="N73" s="48">
        <f t="shared" si="5"/>
        <v>7880</v>
      </c>
      <c r="O73" s="50">
        <f t="shared" si="6"/>
        <v>24190</v>
      </c>
      <c r="P73" s="50">
        <v>0</v>
      </c>
      <c r="Q73" s="76"/>
      <c r="R73" s="140">
        <f>IF((20*S9+100*S10)&gt;500,500,(20*S9+100*S10))</f>
        <v>500</v>
      </c>
      <c r="S73" s="79">
        <v>26.64</v>
      </c>
      <c r="T73" s="80">
        <v>12.87</v>
      </c>
    </row>
    <row r="74" spans="2:20" ht="42">
      <c r="B74" s="5" t="s">
        <v>246</v>
      </c>
      <c r="C74" s="45" t="s">
        <v>97</v>
      </c>
      <c r="D74" s="45" t="s">
        <v>247</v>
      </c>
      <c r="E74" s="6" t="s">
        <v>248</v>
      </c>
      <c r="F74" s="45" t="s">
        <v>104</v>
      </c>
      <c r="G74" s="46">
        <f t="shared" si="0"/>
        <v>20</v>
      </c>
      <c r="H74" s="46">
        <f>TRUNC(S74*(1-LOTE_03!$K$10),2)</f>
        <v>0</v>
      </c>
      <c r="I74" s="46">
        <f>TRUNC(T74*(1-LOTE_03!$K$10),2)</f>
        <v>63.27</v>
      </c>
      <c r="J74" s="100">
        <f t="shared" si="1"/>
        <v>0.22470000000000001</v>
      </c>
      <c r="K74" s="48">
        <f t="shared" si="2"/>
        <v>0</v>
      </c>
      <c r="L74" s="48">
        <f t="shared" si="3"/>
        <v>77.48</v>
      </c>
      <c r="M74" s="48">
        <f t="shared" si="4"/>
        <v>0</v>
      </c>
      <c r="N74" s="48">
        <f t="shared" si="5"/>
        <v>1549.6</v>
      </c>
      <c r="O74" s="50">
        <f t="shared" si="6"/>
        <v>1549.6</v>
      </c>
      <c r="P74" s="50">
        <v>0</v>
      </c>
      <c r="Q74" s="76"/>
      <c r="R74" s="140">
        <f>IF((1*S9+2*S10)&gt;20,20,(1*S9+1*S10))</f>
        <v>20</v>
      </c>
      <c r="S74" s="79">
        <v>0</v>
      </c>
      <c r="T74" s="80">
        <v>63.27</v>
      </c>
    </row>
    <row r="75" spans="2:20" ht="42">
      <c r="B75" s="5" t="s">
        <v>249</v>
      </c>
      <c r="C75" s="45" t="s">
        <v>135</v>
      </c>
      <c r="D75" s="45">
        <v>102190</v>
      </c>
      <c r="E75" s="6" t="s">
        <v>1770</v>
      </c>
      <c r="F75" s="45" t="s">
        <v>121</v>
      </c>
      <c r="G75" s="46">
        <f t="shared" si="0"/>
        <v>70</v>
      </c>
      <c r="H75" s="46">
        <f>TRUNC(S75*(1-LOTE_03!$K$10),2)</f>
        <v>5.66</v>
      </c>
      <c r="I75" s="46">
        <f>TRUNC(T75*(1-LOTE_03!$K$10),2)</f>
        <v>10.73</v>
      </c>
      <c r="J75" s="100">
        <f t="shared" si="1"/>
        <v>0.22470000000000001</v>
      </c>
      <c r="K75" s="48">
        <f t="shared" si="2"/>
        <v>6.93</v>
      </c>
      <c r="L75" s="48">
        <f t="shared" si="3"/>
        <v>13.14</v>
      </c>
      <c r="M75" s="48">
        <f t="shared" si="4"/>
        <v>485.1</v>
      </c>
      <c r="N75" s="48">
        <f t="shared" si="5"/>
        <v>919.8</v>
      </c>
      <c r="O75" s="50">
        <f t="shared" si="6"/>
        <v>1404.9</v>
      </c>
      <c r="P75" s="50">
        <v>0</v>
      </c>
      <c r="Q75" s="76"/>
      <c r="R75" s="140">
        <f>IF((5*S9+5*S10)&gt;100,100,(5*S9+5*S10))</f>
        <v>70</v>
      </c>
      <c r="S75" s="79">
        <v>5.66</v>
      </c>
      <c r="T75" s="80">
        <v>10.73</v>
      </c>
    </row>
    <row r="76" spans="2:20" ht="56">
      <c r="B76" s="5" t="s">
        <v>250</v>
      </c>
      <c r="C76" s="45" t="s">
        <v>135</v>
      </c>
      <c r="D76" s="45">
        <v>97662</v>
      </c>
      <c r="E76" s="6" t="s">
        <v>251</v>
      </c>
      <c r="F76" s="45" t="s">
        <v>187</v>
      </c>
      <c r="G76" s="46">
        <f t="shared" si="0"/>
        <v>500</v>
      </c>
      <c r="H76" s="46">
        <f>TRUNC(S76*(1-LOTE_03!$K$10),2)</f>
        <v>0.18</v>
      </c>
      <c r="I76" s="46">
        <f>TRUNC(T76*(1-LOTE_03!$K$10),2)</f>
        <v>0.34</v>
      </c>
      <c r="J76" s="100">
        <f t="shared" si="1"/>
        <v>0.22470000000000001</v>
      </c>
      <c r="K76" s="48">
        <f t="shared" si="2"/>
        <v>0.22</v>
      </c>
      <c r="L76" s="48">
        <f t="shared" si="3"/>
        <v>0.41</v>
      </c>
      <c r="M76" s="48">
        <f t="shared" si="4"/>
        <v>110</v>
      </c>
      <c r="N76" s="48">
        <f t="shared" si="5"/>
        <v>205</v>
      </c>
      <c r="O76" s="50">
        <f t="shared" si="6"/>
        <v>315</v>
      </c>
      <c r="P76" s="50">
        <v>0</v>
      </c>
      <c r="Q76" s="76"/>
      <c r="R76" s="140">
        <f>IF((5*S9+100*S10)&gt;500,500,(5*S9+100*S10))</f>
        <v>500</v>
      </c>
      <c r="S76" s="79">
        <v>0.18</v>
      </c>
      <c r="T76" s="80">
        <v>0.34</v>
      </c>
    </row>
    <row r="77" spans="2:20" ht="42">
      <c r="B77" s="5" t="s">
        <v>252</v>
      </c>
      <c r="C77" s="45" t="s">
        <v>135</v>
      </c>
      <c r="D77" s="45">
        <v>97664</v>
      </c>
      <c r="E77" s="6" t="s">
        <v>253</v>
      </c>
      <c r="F77" s="45" t="s">
        <v>210</v>
      </c>
      <c r="G77" s="46">
        <f t="shared" si="0"/>
        <v>30</v>
      </c>
      <c r="H77" s="46">
        <f>TRUNC(S77*(1-LOTE_03!$K$10),2)</f>
        <v>0.54</v>
      </c>
      <c r="I77" s="46">
        <f>TRUNC(T77*(1-LOTE_03!$K$10),2)</f>
        <v>1.08</v>
      </c>
      <c r="J77" s="100">
        <f t="shared" si="1"/>
        <v>0.22470000000000001</v>
      </c>
      <c r="K77" s="48">
        <f t="shared" si="2"/>
        <v>0.66</v>
      </c>
      <c r="L77" s="48">
        <f t="shared" si="3"/>
        <v>1.32</v>
      </c>
      <c r="M77" s="48">
        <f t="shared" si="4"/>
        <v>19.8</v>
      </c>
      <c r="N77" s="48">
        <f t="shared" si="5"/>
        <v>39.6</v>
      </c>
      <c r="O77" s="50">
        <f t="shared" si="6"/>
        <v>59.4</v>
      </c>
      <c r="P77" s="50">
        <v>0</v>
      </c>
      <c r="Q77" s="76"/>
      <c r="R77" s="140">
        <f>IF((2*S9+8*S10)&gt;30,30,(2*S9+8*S10))</f>
        <v>30</v>
      </c>
      <c r="S77" s="79">
        <v>0.54</v>
      </c>
      <c r="T77" s="80">
        <v>1.08</v>
      </c>
    </row>
    <row r="78" spans="2:20" ht="28">
      <c r="B78" s="5" t="s">
        <v>254</v>
      </c>
      <c r="C78" s="45" t="s">
        <v>97</v>
      </c>
      <c r="D78" s="45" t="s">
        <v>255</v>
      </c>
      <c r="E78" s="6" t="s">
        <v>256</v>
      </c>
      <c r="F78" s="45" t="s">
        <v>121</v>
      </c>
      <c r="G78" s="46">
        <f t="shared" si="0"/>
        <v>500</v>
      </c>
      <c r="H78" s="46">
        <f>TRUNC(S78*(1-LOTE_03!$K$10),2)</f>
        <v>2.33</v>
      </c>
      <c r="I78" s="46">
        <f>TRUNC(T78*(1-LOTE_03!$K$10),2)</f>
        <v>4.33</v>
      </c>
      <c r="J78" s="100">
        <f t="shared" si="1"/>
        <v>0.22470000000000001</v>
      </c>
      <c r="K78" s="48">
        <f t="shared" si="2"/>
        <v>2.85</v>
      </c>
      <c r="L78" s="48">
        <f t="shared" si="3"/>
        <v>5.3</v>
      </c>
      <c r="M78" s="48">
        <f t="shared" si="4"/>
        <v>1425</v>
      </c>
      <c r="N78" s="48">
        <f t="shared" si="5"/>
        <v>2650</v>
      </c>
      <c r="O78" s="50">
        <f t="shared" si="6"/>
        <v>4075</v>
      </c>
      <c r="P78" s="50">
        <v>0</v>
      </c>
      <c r="Q78" s="76"/>
      <c r="R78" s="140">
        <f>IF((30*S9+3*20*S10)&gt;500,500,(30*S9+3*20*S10))</f>
        <v>500</v>
      </c>
      <c r="S78" s="79">
        <v>2.33</v>
      </c>
      <c r="T78" s="80">
        <v>4.33</v>
      </c>
    </row>
    <row r="79" spans="2:20" ht="28">
      <c r="B79" s="5" t="s">
        <v>257</v>
      </c>
      <c r="C79" s="45" t="s">
        <v>97</v>
      </c>
      <c r="D79" s="45" t="s">
        <v>258</v>
      </c>
      <c r="E79" s="6" t="s">
        <v>259</v>
      </c>
      <c r="F79" s="45" t="s">
        <v>121</v>
      </c>
      <c r="G79" s="46">
        <f t="shared" si="0"/>
        <v>14</v>
      </c>
      <c r="H79" s="46">
        <f>TRUNC(S79*(1-LOTE_03!$K$10),2)</f>
        <v>8.9499999999999993</v>
      </c>
      <c r="I79" s="46">
        <f>TRUNC(T79*(1-LOTE_03!$K$10),2)</f>
        <v>17.47</v>
      </c>
      <c r="J79" s="100">
        <f t="shared" si="1"/>
        <v>0.22470000000000001</v>
      </c>
      <c r="K79" s="48">
        <f t="shared" si="2"/>
        <v>10.96</v>
      </c>
      <c r="L79" s="48">
        <f t="shared" si="3"/>
        <v>21.39</v>
      </c>
      <c r="M79" s="48">
        <f t="shared" si="4"/>
        <v>153.44</v>
      </c>
      <c r="N79" s="48">
        <f t="shared" si="5"/>
        <v>299.45999999999998</v>
      </c>
      <c r="O79" s="50">
        <f t="shared" si="6"/>
        <v>452.9</v>
      </c>
      <c r="P79" s="50">
        <v>0</v>
      </c>
      <c r="Q79" s="76"/>
      <c r="R79" s="140">
        <f>IF((S9+S10)&gt;20,20,(S9+S10))</f>
        <v>14</v>
      </c>
      <c r="S79" s="79">
        <v>8.9499999999999993</v>
      </c>
      <c r="T79" s="80">
        <v>17.47</v>
      </c>
    </row>
    <row r="80" spans="2:20" ht="28">
      <c r="B80" s="5" t="s">
        <v>260</v>
      </c>
      <c r="C80" s="45" t="s">
        <v>97</v>
      </c>
      <c r="D80" s="45" t="s">
        <v>261</v>
      </c>
      <c r="E80" s="6" t="s">
        <v>262</v>
      </c>
      <c r="F80" s="45" t="s">
        <v>121</v>
      </c>
      <c r="G80" s="46">
        <f t="shared" si="0"/>
        <v>55</v>
      </c>
      <c r="H80" s="46">
        <f>TRUNC(S80*(1-LOTE_03!$K$10),2)</f>
        <v>7.18</v>
      </c>
      <c r="I80" s="46">
        <f>TRUNC(T80*(1-LOTE_03!$K$10),2)</f>
        <v>15.1</v>
      </c>
      <c r="J80" s="100">
        <f t="shared" si="1"/>
        <v>0.22470000000000001</v>
      </c>
      <c r="K80" s="48">
        <f t="shared" si="2"/>
        <v>8.7899999999999991</v>
      </c>
      <c r="L80" s="48">
        <f t="shared" si="3"/>
        <v>18.489999999999998</v>
      </c>
      <c r="M80" s="48">
        <f t="shared" si="4"/>
        <v>483.45</v>
      </c>
      <c r="N80" s="48">
        <f t="shared" si="5"/>
        <v>1016.95</v>
      </c>
      <c r="O80" s="50">
        <f t="shared" si="6"/>
        <v>1500.4</v>
      </c>
      <c r="P80" s="50">
        <v>0</v>
      </c>
      <c r="Q80" s="76"/>
      <c r="R80" s="140">
        <f>IF((5*S10)&gt;50,50,(2*S9+5*S10))</f>
        <v>55</v>
      </c>
      <c r="S80" s="79">
        <v>7.18</v>
      </c>
      <c r="T80" s="80">
        <v>15.1</v>
      </c>
    </row>
    <row r="81" spans="2:20" ht="28">
      <c r="B81" s="5" t="s">
        <v>263</v>
      </c>
      <c r="C81" s="45" t="s">
        <v>97</v>
      </c>
      <c r="D81" s="45" t="s">
        <v>264</v>
      </c>
      <c r="E81" s="6" t="s">
        <v>265</v>
      </c>
      <c r="F81" s="45" t="s">
        <v>104</v>
      </c>
      <c r="G81" s="46">
        <f t="shared" ref="G81:G134" si="7">TRUNC(R81,2)</f>
        <v>14</v>
      </c>
      <c r="H81" s="46">
        <f>TRUNC(S81*(1-LOTE_03!$K$10),2)</f>
        <v>7.78</v>
      </c>
      <c r="I81" s="46">
        <f>TRUNC(T81*(1-LOTE_03!$K$10),2)</f>
        <v>14.46</v>
      </c>
      <c r="J81" s="100">
        <f t="shared" ref="J81:J144" si="8">$J$4</f>
        <v>0.22470000000000001</v>
      </c>
      <c r="K81" s="48">
        <f t="shared" ref="K81:K144" si="9">TRUNC(H81*(1+J81),2)</f>
        <v>9.52</v>
      </c>
      <c r="L81" s="48">
        <f t="shared" ref="L81:L144" si="10">TRUNC(I81*(1+J81),2)</f>
        <v>17.7</v>
      </c>
      <c r="M81" s="48">
        <f t="shared" ref="M81:M144" si="11">TRUNC(K81*G81,2)</f>
        <v>133.28</v>
      </c>
      <c r="N81" s="48">
        <f t="shared" ref="N81:N144" si="12">TRUNC(L81*G81,2)</f>
        <v>247.8</v>
      </c>
      <c r="O81" s="50">
        <f t="shared" ref="O81:O144" si="13">TRUNC(M81+N81,2)</f>
        <v>381.08</v>
      </c>
      <c r="P81" s="50">
        <v>0</v>
      </c>
      <c r="Q81" s="76"/>
      <c r="R81" s="140">
        <f>1*S9+1*S10</f>
        <v>14</v>
      </c>
      <c r="S81" s="79">
        <v>7.78</v>
      </c>
      <c r="T81" s="80">
        <v>14.46</v>
      </c>
    </row>
    <row r="82" spans="2:20" ht="28">
      <c r="B82" s="5" t="s">
        <v>266</v>
      </c>
      <c r="C82" s="45" t="s">
        <v>97</v>
      </c>
      <c r="D82" s="45" t="s">
        <v>267</v>
      </c>
      <c r="E82" s="6" t="s">
        <v>268</v>
      </c>
      <c r="F82" s="45" t="s">
        <v>104</v>
      </c>
      <c r="G82" s="46">
        <f t="shared" si="7"/>
        <v>28</v>
      </c>
      <c r="H82" s="46">
        <f>TRUNC(S82*(1-LOTE_03!$K$10),2)</f>
        <v>3.11</v>
      </c>
      <c r="I82" s="46">
        <f>TRUNC(T82*(1-LOTE_03!$K$10),2)</f>
        <v>5.78</v>
      </c>
      <c r="J82" s="100">
        <f t="shared" si="8"/>
        <v>0.22470000000000001</v>
      </c>
      <c r="K82" s="48">
        <f t="shared" si="9"/>
        <v>3.8</v>
      </c>
      <c r="L82" s="48">
        <f t="shared" si="10"/>
        <v>7.07</v>
      </c>
      <c r="M82" s="48">
        <f t="shared" si="11"/>
        <v>106.4</v>
      </c>
      <c r="N82" s="48">
        <f t="shared" si="12"/>
        <v>197.96</v>
      </c>
      <c r="O82" s="50">
        <f t="shared" si="13"/>
        <v>304.36</v>
      </c>
      <c r="P82" s="50">
        <v>0</v>
      </c>
      <c r="Q82" s="76"/>
      <c r="R82" s="140">
        <f>2*S9+2*(S10)</f>
        <v>28</v>
      </c>
      <c r="S82" s="79">
        <v>3.11</v>
      </c>
      <c r="T82" s="80">
        <v>5.78</v>
      </c>
    </row>
    <row r="83" spans="2:20" ht="28">
      <c r="B83" s="5" t="s">
        <v>269</v>
      </c>
      <c r="C83" s="45" t="s">
        <v>97</v>
      </c>
      <c r="D83" s="45" t="s">
        <v>270</v>
      </c>
      <c r="E83" s="6" t="s">
        <v>271</v>
      </c>
      <c r="F83" s="45" t="s">
        <v>104</v>
      </c>
      <c r="G83" s="46">
        <f t="shared" si="7"/>
        <v>28</v>
      </c>
      <c r="H83" s="46">
        <f>TRUNC(S83*(1-LOTE_03!$K$10),2)</f>
        <v>3.89</v>
      </c>
      <c r="I83" s="46">
        <f>TRUNC(T83*(1-LOTE_03!$K$10),2)</f>
        <v>7.23</v>
      </c>
      <c r="J83" s="100">
        <f t="shared" si="8"/>
        <v>0.22470000000000001</v>
      </c>
      <c r="K83" s="48">
        <f t="shared" si="9"/>
        <v>4.76</v>
      </c>
      <c r="L83" s="48">
        <f t="shared" si="10"/>
        <v>8.85</v>
      </c>
      <c r="M83" s="48">
        <f t="shared" si="11"/>
        <v>133.28</v>
      </c>
      <c r="N83" s="48">
        <f t="shared" si="12"/>
        <v>247.8</v>
      </c>
      <c r="O83" s="50">
        <f t="shared" si="13"/>
        <v>381.08</v>
      </c>
      <c r="P83" s="50">
        <v>0</v>
      </c>
      <c r="Q83" s="76"/>
      <c r="R83" s="140">
        <f>2*S9+2*(S10)</f>
        <v>28</v>
      </c>
      <c r="S83" s="79">
        <v>3.89</v>
      </c>
      <c r="T83" s="80">
        <v>7.23</v>
      </c>
    </row>
    <row r="84" spans="2:20">
      <c r="B84" s="5" t="s">
        <v>272</v>
      </c>
      <c r="C84" s="45" t="s">
        <v>97</v>
      </c>
      <c r="D84" s="45" t="s">
        <v>273</v>
      </c>
      <c r="E84" s="6" t="s">
        <v>274</v>
      </c>
      <c r="F84" s="45" t="s">
        <v>104</v>
      </c>
      <c r="G84" s="46">
        <f t="shared" si="7"/>
        <v>140</v>
      </c>
      <c r="H84" s="46">
        <f>TRUNC(S84*(1-LOTE_03!$K$10),2)</f>
        <v>1.55</v>
      </c>
      <c r="I84" s="46">
        <f>TRUNC(T84*(1-LOTE_03!$K$10),2)</f>
        <v>2.89</v>
      </c>
      <c r="J84" s="100">
        <f t="shared" si="8"/>
        <v>0.22470000000000001</v>
      </c>
      <c r="K84" s="48">
        <f t="shared" si="9"/>
        <v>1.89</v>
      </c>
      <c r="L84" s="48">
        <f t="shared" si="10"/>
        <v>3.53</v>
      </c>
      <c r="M84" s="48">
        <f t="shared" si="11"/>
        <v>264.60000000000002</v>
      </c>
      <c r="N84" s="48">
        <f t="shared" si="12"/>
        <v>494.2</v>
      </c>
      <c r="O84" s="50">
        <f t="shared" si="13"/>
        <v>758.8</v>
      </c>
      <c r="P84" s="50">
        <v>0</v>
      </c>
      <c r="Q84" s="76"/>
      <c r="R84" s="140">
        <f>10*S9+10*S10</f>
        <v>140</v>
      </c>
      <c r="S84" s="79">
        <v>1.55</v>
      </c>
      <c r="T84" s="80">
        <v>2.89</v>
      </c>
    </row>
    <row r="85" spans="2:20" ht="28">
      <c r="B85" s="5" t="s">
        <v>275</v>
      </c>
      <c r="C85" s="45" t="s">
        <v>97</v>
      </c>
      <c r="D85" s="45" t="s">
        <v>276</v>
      </c>
      <c r="E85" s="6" t="s">
        <v>277</v>
      </c>
      <c r="F85" s="45" t="s">
        <v>104</v>
      </c>
      <c r="G85" s="46">
        <f t="shared" si="7"/>
        <v>70</v>
      </c>
      <c r="H85" s="46">
        <f>TRUNC(S85*(1-LOTE_03!$K$10),2)</f>
        <v>3.11</v>
      </c>
      <c r="I85" s="46">
        <f>TRUNC(T85*(1-LOTE_03!$K$10),2)</f>
        <v>5.78</v>
      </c>
      <c r="J85" s="100">
        <f t="shared" si="8"/>
        <v>0.22470000000000001</v>
      </c>
      <c r="K85" s="48">
        <f t="shared" si="9"/>
        <v>3.8</v>
      </c>
      <c r="L85" s="48">
        <f t="shared" si="10"/>
        <v>7.07</v>
      </c>
      <c r="M85" s="48">
        <f t="shared" si="11"/>
        <v>266</v>
      </c>
      <c r="N85" s="48">
        <f t="shared" si="12"/>
        <v>494.9</v>
      </c>
      <c r="O85" s="50">
        <f t="shared" si="13"/>
        <v>760.9</v>
      </c>
      <c r="P85" s="50">
        <v>0</v>
      </c>
      <c r="Q85" s="76"/>
      <c r="R85" s="140">
        <f>5*S9+5*(S10)</f>
        <v>70</v>
      </c>
      <c r="S85" s="79">
        <v>3.11</v>
      </c>
      <c r="T85" s="80">
        <v>5.78</v>
      </c>
    </row>
    <row r="86" spans="2:20" ht="28">
      <c r="B86" s="5" t="s">
        <v>278</v>
      </c>
      <c r="C86" s="45" t="s">
        <v>97</v>
      </c>
      <c r="D86" s="45" t="s">
        <v>279</v>
      </c>
      <c r="E86" s="6" t="s">
        <v>280</v>
      </c>
      <c r="F86" s="45" t="s">
        <v>104</v>
      </c>
      <c r="G86" s="46">
        <f t="shared" si="7"/>
        <v>10</v>
      </c>
      <c r="H86" s="46">
        <f>TRUNC(S86*(1-LOTE_03!$K$10),2)</f>
        <v>627.4</v>
      </c>
      <c r="I86" s="46">
        <f>TRUNC(T86*(1-LOTE_03!$K$10),2)</f>
        <v>159.19999999999999</v>
      </c>
      <c r="J86" s="100">
        <f t="shared" si="8"/>
        <v>0.22470000000000001</v>
      </c>
      <c r="K86" s="48">
        <f t="shared" si="9"/>
        <v>768.37</v>
      </c>
      <c r="L86" s="48">
        <f t="shared" si="10"/>
        <v>194.97</v>
      </c>
      <c r="M86" s="48">
        <f t="shared" si="11"/>
        <v>7683.7</v>
      </c>
      <c r="N86" s="48">
        <f t="shared" si="12"/>
        <v>1949.7</v>
      </c>
      <c r="O86" s="50">
        <f t="shared" si="13"/>
        <v>9633.4</v>
      </c>
      <c r="P86" s="50">
        <v>0</v>
      </c>
      <c r="Q86" s="76"/>
      <c r="R86" s="140">
        <f>IF((1*S9+1*S10)&gt;10,10,(1*S9+1*S10))</f>
        <v>10</v>
      </c>
      <c r="S86" s="79">
        <v>627.4</v>
      </c>
      <c r="T86" s="80">
        <v>159.19999999999999</v>
      </c>
    </row>
    <row r="87" spans="2:20" ht="42">
      <c r="B87" s="5" t="s">
        <v>281</v>
      </c>
      <c r="C87" s="45" t="s">
        <v>97</v>
      </c>
      <c r="D87" s="45" t="s">
        <v>282</v>
      </c>
      <c r="E87" s="6" t="s">
        <v>283</v>
      </c>
      <c r="F87" s="45" t="s">
        <v>104</v>
      </c>
      <c r="G87" s="46">
        <f t="shared" si="7"/>
        <v>14</v>
      </c>
      <c r="H87" s="46">
        <f>TRUNC(S87*(1-LOTE_03!$K$10),2)</f>
        <v>318.29000000000002</v>
      </c>
      <c r="I87" s="46">
        <f>TRUNC(T87*(1-LOTE_03!$K$10),2)</f>
        <v>67.66</v>
      </c>
      <c r="J87" s="100">
        <f t="shared" si="8"/>
        <v>0.22470000000000001</v>
      </c>
      <c r="K87" s="48">
        <f t="shared" si="9"/>
        <v>389.8</v>
      </c>
      <c r="L87" s="48">
        <f t="shared" si="10"/>
        <v>82.86</v>
      </c>
      <c r="M87" s="48">
        <f t="shared" si="11"/>
        <v>5457.2</v>
      </c>
      <c r="N87" s="48">
        <f t="shared" si="12"/>
        <v>1160.04</v>
      </c>
      <c r="O87" s="50">
        <f t="shared" si="13"/>
        <v>6617.24</v>
      </c>
      <c r="P87" s="50">
        <v>0</v>
      </c>
      <c r="Q87" s="76"/>
      <c r="R87" s="140">
        <f>1*S9+1*S10</f>
        <v>14</v>
      </c>
      <c r="S87" s="79">
        <v>318.29000000000002</v>
      </c>
      <c r="T87" s="80">
        <v>67.66</v>
      </c>
    </row>
    <row r="88" spans="2:20" ht="42">
      <c r="B88" s="5" t="s">
        <v>284</v>
      </c>
      <c r="C88" s="45" t="s">
        <v>97</v>
      </c>
      <c r="D88" s="45" t="s">
        <v>285</v>
      </c>
      <c r="E88" s="6" t="s">
        <v>286</v>
      </c>
      <c r="F88" s="45" t="s">
        <v>104</v>
      </c>
      <c r="G88" s="46">
        <f t="shared" si="7"/>
        <v>30</v>
      </c>
      <c r="H88" s="46">
        <f>TRUNC(S88*(1-LOTE_03!$K$10),2)</f>
        <v>15.36</v>
      </c>
      <c r="I88" s="46">
        <f>TRUNC(T88*(1-LOTE_03!$K$10),2)</f>
        <v>34.19</v>
      </c>
      <c r="J88" s="100">
        <f t="shared" si="8"/>
        <v>0.22470000000000001</v>
      </c>
      <c r="K88" s="48">
        <f t="shared" si="9"/>
        <v>18.809999999999999</v>
      </c>
      <c r="L88" s="48">
        <f t="shared" si="10"/>
        <v>41.87</v>
      </c>
      <c r="M88" s="48">
        <f t="shared" si="11"/>
        <v>564.29999999999995</v>
      </c>
      <c r="N88" s="48">
        <f t="shared" si="12"/>
        <v>1256.0999999999999</v>
      </c>
      <c r="O88" s="50">
        <f t="shared" si="13"/>
        <v>1820.4</v>
      </c>
      <c r="P88" s="50">
        <v>0</v>
      </c>
      <c r="Q88" s="76"/>
      <c r="R88" s="140">
        <f>IF((1*S9+5*S10)&gt;30,30,(1*S9+5*S10))</f>
        <v>30</v>
      </c>
      <c r="S88" s="79">
        <v>15.36</v>
      </c>
      <c r="T88" s="80">
        <v>34.19</v>
      </c>
    </row>
    <row r="89" spans="2:20" ht="28">
      <c r="B89" s="5" t="s">
        <v>287</v>
      </c>
      <c r="C89" s="45" t="s">
        <v>97</v>
      </c>
      <c r="D89" s="45" t="s">
        <v>288</v>
      </c>
      <c r="E89" s="6" t="s">
        <v>289</v>
      </c>
      <c r="F89" s="45" t="s">
        <v>104</v>
      </c>
      <c r="G89" s="46">
        <f t="shared" si="7"/>
        <v>30</v>
      </c>
      <c r="H89" s="46">
        <f>TRUNC(S89*(1-LOTE_03!$K$10),2)</f>
        <v>7.82</v>
      </c>
      <c r="I89" s="46">
        <f>TRUNC(T89*(1-LOTE_03!$K$10),2)</f>
        <v>17.28</v>
      </c>
      <c r="J89" s="100">
        <f t="shared" si="8"/>
        <v>0.22470000000000001</v>
      </c>
      <c r="K89" s="48">
        <f t="shared" si="9"/>
        <v>9.57</v>
      </c>
      <c r="L89" s="48">
        <f t="shared" si="10"/>
        <v>21.16</v>
      </c>
      <c r="M89" s="48">
        <f t="shared" si="11"/>
        <v>287.10000000000002</v>
      </c>
      <c r="N89" s="48">
        <f t="shared" si="12"/>
        <v>634.79999999999995</v>
      </c>
      <c r="O89" s="50">
        <f t="shared" si="13"/>
        <v>921.9</v>
      </c>
      <c r="P89" s="50">
        <v>0</v>
      </c>
      <c r="Q89" s="76"/>
      <c r="R89" s="140">
        <f>IF((1*S9+5*S10)&gt;30,30,(1*S9+5*S10))</f>
        <v>30</v>
      </c>
      <c r="S89" s="79">
        <v>7.82</v>
      </c>
      <c r="T89" s="80">
        <v>17.28</v>
      </c>
    </row>
    <row r="90" spans="2:20" ht="28">
      <c r="B90" s="5" t="s">
        <v>290</v>
      </c>
      <c r="C90" s="45" t="s">
        <v>135</v>
      </c>
      <c r="D90" s="45">
        <v>102192</v>
      </c>
      <c r="E90" s="6" t="s">
        <v>1771</v>
      </c>
      <c r="F90" s="45" t="s">
        <v>121</v>
      </c>
      <c r="G90" s="46">
        <f t="shared" si="7"/>
        <v>500</v>
      </c>
      <c r="H90" s="46">
        <f>TRUNC(S90*(1-LOTE_03!$K$10),2)</f>
        <v>5.42</v>
      </c>
      <c r="I90" s="46">
        <f>TRUNC(T90*(1-LOTE_03!$K$10),2)</f>
        <v>10.25</v>
      </c>
      <c r="J90" s="100">
        <f t="shared" si="8"/>
        <v>0.22470000000000001</v>
      </c>
      <c r="K90" s="48">
        <f t="shared" si="9"/>
        <v>6.63</v>
      </c>
      <c r="L90" s="48">
        <f t="shared" si="10"/>
        <v>12.55</v>
      </c>
      <c r="M90" s="48">
        <f t="shared" si="11"/>
        <v>3315</v>
      </c>
      <c r="N90" s="48">
        <f t="shared" si="12"/>
        <v>6275</v>
      </c>
      <c r="O90" s="50">
        <f t="shared" si="13"/>
        <v>9590</v>
      </c>
      <c r="P90" s="50">
        <v>0</v>
      </c>
      <c r="Q90" s="76"/>
      <c r="R90" s="140">
        <f>IF((20*S9+50*S10)&gt;500,500,50*S10+20*S9)</f>
        <v>500</v>
      </c>
      <c r="S90" s="79">
        <v>5.42</v>
      </c>
      <c r="T90" s="80">
        <v>10.25</v>
      </c>
    </row>
    <row r="91" spans="2:20" ht="42">
      <c r="B91" s="5" t="s">
        <v>291</v>
      </c>
      <c r="C91" s="45" t="s">
        <v>97</v>
      </c>
      <c r="D91" s="45" t="s">
        <v>292</v>
      </c>
      <c r="E91" s="6" t="s">
        <v>293</v>
      </c>
      <c r="F91" s="45" t="s">
        <v>104</v>
      </c>
      <c r="G91" s="46">
        <f t="shared" si="7"/>
        <v>14</v>
      </c>
      <c r="H91" s="46">
        <f>TRUNC(S91*(1-LOTE_03!$K$10),2)</f>
        <v>318.25</v>
      </c>
      <c r="I91" s="46">
        <f>TRUNC(T91*(1-LOTE_03!$K$10),2)</f>
        <v>66.72</v>
      </c>
      <c r="J91" s="100">
        <f t="shared" si="8"/>
        <v>0.22470000000000001</v>
      </c>
      <c r="K91" s="48">
        <f t="shared" si="9"/>
        <v>389.76</v>
      </c>
      <c r="L91" s="48">
        <f t="shared" si="10"/>
        <v>81.709999999999994</v>
      </c>
      <c r="M91" s="48">
        <f t="shared" si="11"/>
        <v>5456.64</v>
      </c>
      <c r="N91" s="48">
        <f t="shared" si="12"/>
        <v>1143.94</v>
      </c>
      <c r="O91" s="50">
        <f t="shared" si="13"/>
        <v>6600.58</v>
      </c>
      <c r="P91" s="50">
        <v>0</v>
      </c>
      <c r="Q91" s="76"/>
      <c r="R91" s="140">
        <f>1*S9+1*S10</f>
        <v>14</v>
      </c>
      <c r="S91" s="79">
        <v>318.25</v>
      </c>
      <c r="T91" s="80">
        <v>66.72</v>
      </c>
    </row>
    <row r="92" spans="2:20" ht="28">
      <c r="B92" s="5" t="s">
        <v>294</v>
      </c>
      <c r="C92" s="45" t="s">
        <v>97</v>
      </c>
      <c r="D92" s="45" t="s">
        <v>295</v>
      </c>
      <c r="E92" s="6" t="s">
        <v>296</v>
      </c>
      <c r="F92" s="45" t="s">
        <v>121</v>
      </c>
      <c r="G92" s="46">
        <f t="shared" si="7"/>
        <v>10</v>
      </c>
      <c r="H92" s="46">
        <f>TRUNC(S92*(1-LOTE_03!$K$10),2)</f>
        <v>7.85</v>
      </c>
      <c r="I92" s="46">
        <f>TRUNC(T92*(1-LOTE_03!$K$10),2)</f>
        <v>19.899999999999999</v>
      </c>
      <c r="J92" s="100">
        <f t="shared" si="8"/>
        <v>0.22470000000000001</v>
      </c>
      <c r="K92" s="48">
        <f t="shared" si="9"/>
        <v>9.61</v>
      </c>
      <c r="L92" s="48">
        <f t="shared" si="10"/>
        <v>24.37</v>
      </c>
      <c r="M92" s="48">
        <f t="shared" si="11"/>
        <v>96.1</v>
      </c>
      <c r="N92" s="48">
        <f t="shared" si="12"/>
        <v>243.7</v>
      </c>
      <c r="O92" s="50">
        <f t="shared" si="13"/>
        <v>339.8</v>
      </c>
      <c r="P92" s="50">
        <v>0</v>
      </c>
      <c r="Q92" s="76"/>
      <c r="R92" s="140">
        <f>IF((1*S9+1*S10)&gt;10,10,(1*S9+1*S10))</f>
        <v>10</v>
      </c>
      <c r="S92" s="79">
        <v>7.85</v>
      </c>
      <c r="T92" s="80">
        <v>19.899999999999999</v>
      </c>
    </row>
    <row r="93" spans="2:20" ht="70">
      <c r="B93" s="5" t="s">
        <v>297</v>
      </c>
      <c r="C93" s="45" t="s">
        <v>97</v>
      </c>
      <c r="D93" s="45" t="s">
        <v>298</v>
      </c>
      <c r="E93" s="6" t="s">
        <v>299</v>
      </c>
      <c r="F93" s="45" t="s">
        <v>121</v>
      </c>
      <c r="G93" s="46">
        <f t="shared" si="7"/>
        <v>280</v>
      </c>
      <c r="H93" s="46">
        <f>TRUNC(S93*(1-LOTE_03!$K$10),2)</f>
        <v>0</v>
      </c>
      <c r="I93" s="46">
        <f>TRUNC(T93*(1-LOTE_03!$K$10),2)</f>
        <v>48.89</v>
      </c>
      <c r="J93" s="100">
        <f t="shared" si="8"/>
        <v>0.22470000000000001</v>
      </c>
      <c r="K93" s="48">
        <f t="shared" si="9"/>
        <v>0</v>
      </c>
      <c r="L93" s="48">
        <f t="shared" si="10"/>
        <v>59.87</v>
      </c>
      <c r="M93" s="48">
        <f t="shared" si="11"/>
        <v>0</v>
      </c>
      <c r="N93" s="48">
        <f t="shared" si="12"/>
        <v>16763.599999999999</v>
      </c>
      <c r="O93" s="50">
        <f t="shared" si="13"/>
        <v>16763.599999999999</v>
      </c>
      <c r="P93" s="50">
        <v>0</v>
      </c>
      <c r="Q93" s="76"/>
      <c r="R93" s="140">
        <f>20*S9+20*S10</f>
        <v>280</v>
      </c>
      <c r="S93" s="79">
        <v>0</v>
      </c>
      <c r="T93" s="80">
        <v>48.89</v>
      </c>
    </row>
    <row r="94" spans="2:20" ht="28">
      <c r="B94" s="5" t="s">
        <v>300</v>
      </c>
      <c r="C94" s="45" t="s">
        <v>97</v>
      </c>
      <c r="D94" s="45" t="s">
        <v>301</v>
      </c>
      <c r="E94" s="6" t="s">
        <v>302</v>
      </c>
      <c r="F94" s="45" t="s">
        <v>104</v>
      </c>
      <c r="G94" s="46">
        <f t="shared" si="7"/>
        <v>42</v>
      </c>
      <c r="H94" s="46">
        <f>TRUNC(S94*(1-LOTE_03!$K$10),2)</f>
        <v>1.55</v>
      </c>
      <c r="I94" s="46">
        <f>TRUNC(T94*(1-LOTE_03!$K$10),2)</f>
        <v>2.89</v>
      </c>
      <c r="J94" s="100">
        <f t="shared" si="8"/>
        <v>0.22470000000000001</v>
      </c>
      <c r="K94" s="48">
        <f t="shared" si="9"/>
        <v>1.89</v>
      </c>
      <c r="L94" s="48">
        <f t="shared" si="10"/>
        <v>3.53</v>
      </c>
      <c r="M94" s="48">
        <f t="shared" si="11"/>
        <v>79.38</v>
      </c>
      <c r="N94" s="48">
        <f t="shared" si="12"/>
        <v>148.26</v>
      </c>
      <c r="O94" s="50">
        <f t="shared" si="13"/>
        <v>227.64</v>
      </c>
      <c r="P94" s="50">
        <v>0</v>
      </c>
      <c r="Q94" s="76"/>
      <c r="R94" s="140">
        <f>3*S9+3*S10</f>
        <v>42</v>
      </c>
      <c r="S94" s="79">
        <v>1.55</v>
      </c>
      <c r="T94" s="80">
        <v>2.89</v>
      </c>
    </row>
    <row r="95" spans="2:20" ht="28">
      <c r="B95" s="5" t="s">
        <v>303</v>
      </c>
      <c r="C95" s="45" t="s">
        <v>97</v>
      </c>
      <c r="D95" s="45" t="s">
        <v>304</v>
      </c>
      <c r="E95" s="6" t="s">
        <v>305</v>
      </c>
      <c r="F95" s="45" t="s">
        <v>121</v>
      </c>
      <c r="G95" s="46">
        <f t="shared" si="7"/>
        <v>50</v>
      </c>
      <c r="H95" s="46">
        <f>TRUNC(S95*(1-LOTE_03!$K$10),2)</f>
        <v>5.99</v>
      </c>
      <c r="I95" s="46">
        <f>TRUNC(T95*(1-LOTE_03!$K$10),2)</f>
        <v>11.52</v>
      </c>
      <c r="J95" s="100">
        <f t="shared" si="8"/>
        <v>0.22470000000000001</v>
      </c>
      <c r="K95" s="48">
        <f t="shared" si="9"/>
        <v>7.33</v>
      </c>
      <c r="L95" s="48">
        <f t="shared" si="10"/>
        <v>14.1</v>
      </c>
      <c r="M95" s="48">
        <f t="shared" si="11"/>
        <v>366.5</v>
      </c>
      <c r="N95" s="48">
        <f t="shared" si="12"/>
        <v>705</v>
      </c>
      <c r="O95" s="50">
        <f t="shared" si="13"/>
        <v>1071.5</v>
      </c>
      <c r="P95" s="50">
        <v>0</v>
      </c>
      <c r="Q95" s="76"/>
      <c r="R95" s="140">
        <f>IF((10*S10+1*S9)&gt;50,50,(10*S10+1*S9))</f>
        <v>50</v>
      </c>
      <c r="S95" s="79">
        <v>5.99</v>
      </c>
      <c r="T95" s="80">
        <v>11.52</v>
      </c>
    </row>
    <row r="96" spans="2:20" ht="28">
      <c r="B96" s="5" t="s">
        <v>306</v>
      </c>
      <c r="C96" s="45" t="s">
        <v>97</v>
      </c>
      <c r="D96" s="45" t="s">
        <v>307</v>
      </c>
      <c r="E96" s="6" t="s">
        <v>308</v>
      </c>
      <c r="F96" s="45" t="s">
        <v>104</v>
      </c>
      <c r="G96" s="46">
        <f t="shared" si="7"/>
        <v>10</v>
      </c>
      <c r="H96" s="46">
        <f>TRUNC(S96*(1-LOTE_03!$K$10),2)</f>
        <v>10.210000000000001</v>
      </c>
      <c r="I96" s="46">
        <f>TRUNC(T96*(1-LOTE_03!$K$10),2)</f>
        <v>20.63</v>
      </c>
      <c r="J96" s="100">
        <f t="shared" si="8"/>
        <v>0.22470000000000001</v>
      </c>
      <c r="K96" s="48">
        <f t="shared" si="9"/>
        <v>12.5</v>
      </c>
      <c r="L96" s="48">
        <f t="shared" si="10"/>
        <v>25.26</v>
      </c>
      <c r="M96" s="48">
        <f t="shared" si="11"/>
        <v>125</v>
      </c>
      <c r="N96" s="48">
        <f t="shared" si="12"/>
        <v>252.6</v>
      </c>
      <c r="O96" s="50">
        <f t="shared" si="13"/>
        <v>377.6</v>
      </c>
      <c r="P96" s="50">
        <v>0</v>
      </c>
      <c r="Q96" s="76"/>
      <c r="R96" s="140">
        <f>IF((1*S9+2*S10)&gt;10,10,(1*S9+2*S10))</f>
        <v>10</v>
      </c>
      <c r="S96" s="79">
        <v>10.210000000000001</v>
      </c>
      <c r="T96" s="80">
        <v>20.63</v>
      </c>
    </row>
    <row r="97" spans="2:20">
      <c r="B97" s="5" t="s">
        <v>309</v>
      </c>
      <c r="C97" s="45" t="s">
        <v>97</v>
      </c>
      <c r="D97" s="45" t="s">
        <v>310</v>
      </c>
      <c r="E97" s="6" t="s">
        <v>311</v>
      </c>
      <c r="F97" s="45" t="s">
        <v>104</v>
      </c>
      <c r="G97" s="46">
        <f t="shared" si="7"/>
        <v>280</v>
      </c>
      <c r="H97" s="46">
        <f>TRUNC(S97*(1-LOTE_03!$K$10),2)</f>
        <v>0.77</v>
      </c>
      <c r="I97" s="46">
        <f>TRUNC(T97*(1-LOTE_03!$K$10),2)</f>
        <v>1.44</v>
      </c>
      <c r="J97" s="100">
        <f t="shared" si="8"/>
        <v>0.22470000000000001</v>
      </c>
      <c r="K97" s="48">
        <f t="shared" si="9"/>
        <v>0.94</v>
      </c>
      <c r="L97" s="48">
        <f t="shared" si="10"/>
        <v>1.76</v>
      </c>
      <c r="M97" s="48">
        <f t="shared" si="11"/>
        <v>263.2</v>
      </c>
      <c r="N97" s="48">
        <f t="shared" si="12"/>
        <v>492.8</v>
      </c>
      <c r="O97" s="50">
        <f t="shared" si="13"/>
        <v>756</v>
      </c>
      <c r="P97" s="50">
        <v>0</v>
      </c>
      <c r="Q97" s="76"/>
      <c r="R97" s="140">
        <f>20*S9+20*S10</f>
        <v>280</v>
      </c>
      <c r="S97" s="79">
        <v>0.77</v>
      </c>
      <c r="T97" s="80">
        <v>1.44</v>
      </c>
    </row>
    <row r="98" spans="2:20" ht="42">
      <c r="B98" s="5" t="s">
        <v>312</v>
      </c>
      <c r="C98" s="45" t="s">
        <v>97</v>
      </c>
      <c r="D98" s="45" t="s">
        <v>313</v>
      </c>
      <c r="E98" s="6" t="s">
        <v>314</v>
      </c>
      <c r="F98" s="45" t="s">
        <v>104</v>
      </c>
      <c r="G98" s="46">
        <f t="shared" si="7"/>
        <v>5</v>
      </c>
      <c r="H98" s="46">
        <f>TRUNC(S98*(1-LOTE_03!$K$10),2)</f>
        <v>15.64</v>
      </c>
      <c r="I98" s="46">
        <f>TRUNC(T98*(1-LOTE_03!$K$10),2)</f>
        <v>34.56</v>
      </c>
      <c r="J98" s="100">
        <f t="shared" si="8"/>
        <v>0.22470000000000001</v>
      </c>
      <c r="K98" s="48">
        <f t="shared" si="9"/>
        <v>19.149999999999999</v>
      </c>
      <c r="L98" s="48">
        <f t="shared" si="10"/>
        <v>42.32</v>
      </c>
      <c r="M98" s="48">
        <f t="shared" si="11"/>
        <v>95.75</v>
      </c>
      <c r="N98" s="48">
        <f t="shared" si="12"/>
        <v>211.6</v>
      </c>
      <c r="O98" s="50">
        <f t="shared" si="13"/>
        <v>307.35000000000002</v>
      </c>
      <c r="P98" s="50">
        <v>0</v>
      </c>
      <c r="Q98" s="76"/>
      <c r="R98" s="140">
        <f>IF((1*S9+1*S10)&gt;5,5,(1*S9+1*S10))</f>
        <v>5</v>
      </c>
      <c r="S98" s="79">
        <v>15.64</v>
      </c>
      <c r="T98" s="80">
        <v>34.56</v>
      </c>
    </row>
    <row r="99" spans="2:20" ht="28">
      <c r="B99" s="5" t="s">
        <v>315</v>
      </c>
      <c r="C99" s="45" t="s">
        <v>97</v>
      </c>
      <c r="D99" s="45" t="s">
        <v>316</v>
      </c>
      <c r="E99" s="6" t="s">
        <v>317</v>
      </c>
      <c r="F99" s="45" t="s">
        <v>104</v>
      </c>
      <c r="G99" s="46">
        <f t="shared" si="7"/>
        <v>28</v>
      </c>
      <c r="H99" s="46">
        <f>TRUNC(S99*(1-LOTE_03!$K$10),2)</f>
        <v>1.89</v>
      </c>
      <c r="I99" s="46">
        <f>TRUNC(T99*(1-LOTE_03!$K$10),2)</f>
        <v>4.6900000000000004</v>
      </c>
      <c r="J99" s="100">
        <f t="shared" si="8"/>
        <v>0.22470000000000001</v>
      </c>
      <c r="K99" s="48">
        <f t="shared" si="9"/>
        <v>2.31</v>
      </c>
      <c r="L99" s="48">
        <f t="shared" si="10"/>
        <v>5.74</v>
      </c>
      <c r="M99" s="48">
        <f t="shared" si="11"/>
        <v>64.680000000000007</v>
      </c>
      <c r="N99" s="48">
        <f t="shared" si="12"/>
        <v>160.72</v>
      </c>
      <c r="O99" s="50">
        <f t="shared" si="13"/>
        <v>225.4</v>
      </c>
      <c r="P99" s="50">
        <v>0</v>
      </c>
      <c r="Q99" s="76"/>
      <c r="R99" s="140">
        <f>IF((2*S9+2*S10)&gt;50,50,(2*S9+2*S10))</f>
        <v>28</v>
      </c>
      <c r="S99" s="79">
        <v>1.89</v>
      </c>
      <c r="T99" s="80">
        <v>4.6900000000000004</v>
      </c>
    </row>
    <row r="100" spans="2:20" ht="28">
      <c r="B100" s="5" t="s">
        <v>318</v>
      </c>
      <c r="C100" s="45" t="s">
        <v>97</v>
      </c>
      <c r="D100" s="45" t="s">
        <v>319</v>
      </c>
      <c r="E100" s="6" t="s">
        <v>320</v>
      </c>
      <c r="F100" s="45" t="s">
        <v>187</v>
      </c>
      <c r="G100" s="46">
        <f t="shared" si="7"/>
        <v>100</v>
      </c>
      <c r="H100" s="46">
        <f>TRUNC(S100*(1-LOTE_03!$K$10),2)</f>
        <v>2.17</v>
      </c>
      <c r="I100" s="46">
        <f>TRUNC(T100*(1-LOTE_03!$K$10),2)</f>
        <v>4.0199999999999996</v>
      </c>
      <c r="J100" s="100">
        <f t="shared" si="8"/>
        <v>0.22470000000000001</v>
      </c>
      <c r="K100" s="48">
        <f t="shared" si="9"/>
        <v>2.65</v>
      </c>
      <c r="L100" s="48">
        <f t="shared" si="10"/>
        <v>4.92</v>
      </c>
      <c r="M100" s="48">
        <f t="shared" si="11"/>
        <v>265</v>
      </c>
      <c r="N100" s="48">
        <f t="shared" si="12"/>
        <v>492</v>
      </c>
      <c r="O100" s="50">
        <f t="shared" si="13"/>
        <v>757</v>
      </c>
      <c r="P100" s="50">
        <v>0</v>
      </c>
      <c r="Q100" s="76"/>
      <c r="R100" s="140">
        <f>IF((10*S9+30*S10)&gt;100,100,(10*S9+30*S10))</f>
        <v>100</v>
      </c>
      <c r="S100" s="79">
        <v>2.17</v>
      </c>
      <c r="T100" s="80">
        <v>4.0199999999999996</v>
      </c>
    </row>
    <row r="101" spans="2:20" ht="28">
      <c r="B101" s="5" t="s">
        <v>321</v>
      </c>
      <c r="C101" s="45" t="s">
        <v>97</v>
      </c>
      <c r="D101" s="45" t="s">
        <v>322</v>
      </c>
      <c r="E101" s="6" t="s">
        <v>323</v>
      </c>
      <c r="F101" s="45" t="s">
        <v>121</v>
      </c>
      <c r="G101" s="46">
        <f t="shared" si="7"/>
        <v>140</v>
      </c>
      <c r="H101" s="46">
        <f>TRUNC(S101*(1-LOTE_03!$K$10),2)</f>
        <v>9.36</v>
      </c>
      <c r="I101" s="46">
        <f>TRUNC(T101*(1-LOTE_03!$K$10),2)</f>
        <v>19.600000000000001</v>
      </c>
      <c r="J101" s="100">
        <f t="shared" si="8"/>
        <v>0.22470000000000001</v>
      </c>
      <c r="K101" s="48">
        <f t="shared" si="9"/>
        <v>11.46</v>
      </c>
      <c r="L101" s="48">
        <f t="shared" si="10"/>
        <v>24</v>
      </c>
      <c r="M101" s="48">
        <f t="shared" si="11"/>
        <v>1604.4</v>
      </c>
      <c r="N101" s="48">
        <f t="shared" si="12"/>
        <v>3360</v>
      </c>
      <c r="O101" s="50">
        <f t="shared" si="13"/>
        <v>4964.3999999999996</v>
      </c>
      <c r="P101" s="50">
        <v>0</v>
      </c>
      <c r="Q101" s="76"/>
      <c r="R101" s="140">
        <f>10*S9+10*S10</f>
        <v>140</v>
      </c>
      <c r="S101" s="79">
        <v>9.36</v>
      </c>
      <c r="T101" s="80">
        <v>19.600000000000001</v>
      </c>
    </row>
    <row r="102" spans="2:20" ht="28">
      <c r="B102" s="5" t="s">
        <v>324</v>
      </c>
      <c r="C102" s="45" t="s">
        <v>97</v>
      </c>
      <c r="D102" s="45" t="s">
        <v>325</v>
      </c>
      <c r="E102" s="6" t="s">
        <v>326</v>
      </c>
      <c r="F102" s="45" t="s">
        <v>104</v>
      </c>
      <c r="G102" s="46">
        <f t="shared" si="7"/>
        <v>37</v>
      </c>
      <c r="H102" s="46">
        <f>TRUNC(S102*(1-LOTE_03!$K$10),2)</f>
        <v>3.78</v>
      </c>
      <c r="I102" s="46">
        <f>TRUNC(T102*(1-LOTE_03!$K$10),2)</f>
        <v>9.39</v>
      </c>
      <c r="J102" s="100">
        <f t="shared" si="8"/>
        <v>0.22470000000000001</v>
      </c>
      <c r="K102" s="48">
        <f t="shared" si="9"/>
        <v>4.62</v>
      </c>
      <c r="L102" s="48">
        <f t="shared" si="10"/>
        <v>11.49</v>
      </c>
      <c r="M102" s="48">
        <f t="shared" si="11"/>
        <v>170.94</v>
      </c>
      <c r="N102" s="48">
        <f t="shared" si="12"/>
        <v>425.13</v>
      </c>
      <c r="O102" s="50">
        <f t="shared" si="13"/>
        <v>596.07000000000005</v>
      </c>
      <c r="P102" s="50">
        <v>0</v>
      </c>
      <c r="Q102" s="76"/>
      <c r="R102" s="140">
        <f>2*S9+3*S10</f>
        <v>37</v>
      </c>
      <c r="S102" s="79">
        <v>3.78</v>
      </c>
      <c r="T102" s="80">
        <v>9.39</v>
      </c>
    </row>
    <row r="103" spans="2:20" ht="28">
      <c r="B103" s="5" t="s">
        <v>327</v>
      </c>
      <c r="C103" s="45" t="s">
        <v>97</v>
      </c>
      <c r="D103" s="45" t="s">
        <v>328</v>
      </c>
      <c r="E103" s="6" t="s">
        <v>329</v>
      </c>
      <c r="F103" s="45" t="s">
        <v>104</v>
      </c>
      <c r="G103" s="46">
        <f t="shared" si="7"/>
        <v>10</v>
      </c>
      <c r="H103" s="46">
        <f>TRUNC(S103*(1-LOTE_03!$K$10),2)</f>
        <v>27.78</v>
      </c>
      <c r="I103" s="46">
        <f>TRUNC(T103*(1-LOTE_03!$K$10),2)</f>
        <v>52.67</v>
      </c>
      <c r="J103" s="100">
        <f t="shared" si="8"/>
        <v>0.22470000000000001</v>
      </c>
      <c r="K103" s="48">
        <f t="shared" si="9"/>
        <v>34.020000000000003</v>
      </c>
      <c r="L103" s="48">
        <f t="shared" si="10"/>
        <v>64.5</v>
      </c>
      <c r="M103" s="48">
        <f t="shared" si="11"/>
        <v>340.2</v>
      </c>
      <c r="N103" s="48">
        <f t="shared" si="12"/>
        <v>645</v>
      </c>
      <c r="O103" s="50">
        <f t="shared" si="13"/>
        <v>985.2</v>
      </c>
      <c r="P103" s="50">
        <v>0</v>
      </c>
      <c r="Q103" s="76"/>
      <c r="R103" s="140">
        <f>IF((1*S9+1*S10)&gt;10,10,(1*S9+1*S10))</f>
        <v>10</v>
      </c>
      <c r="S103" s="79">
        <v>27.78</v>
      </c>
      <c r="T103" s="80">
        <v>52.67</v>
      </c>
    </row>
    <row r="104" spans="2:20" ht="28">
      <c r="B104" s="5" t="s">
        <v>330</v>
      </c>
      <c r="C104" s="45" t="s">
        <v>97</v>
      </c>
      <c r="D104" s="45" t="s">
        <v>331</v>
      </c>
      <c r="E104" s="6" t="s">
        <v>332</v>
      </c>
      <c r="F104" s="45" t="s">
        <v>104</v>
      </c>
      <c r="G104" s="46">
        <f t="shared" si="7"/>
        <v>10</v>
      </c>
      <c r="H104" s="46">
        <f>TRUNC(S104*(1-LOTE_03!$K$10),2)</f>
        <v>4602.34</v>
      </c>
      <c r="I104" s="46">
        <f>TRUNC(T104*(1-LOTE_03!$K$10),2)</f>
        <v>614.54</v>
      </c>
      <c r="J104" s="100">
        <f t="shared" si="8"/>
        <v>0.22470000000000001</v>
      </c>
      <c r="K104" s="48">
        <f t="shared" si="9"/>
        <v>5636.48</v>
      </c>
      <c r="L104" s="48">
        <f t="shared" si="10"/>
        <v>752.62</v>
      </c>
      <c r="M104" s="48">
        <f t="shared" si="11"/>
        <v>56364.800000000003</v>
      </c>
      <c r="N104" s="48">
        <f t="shared" si="12"/>
        <v>7526.2</v>
      </c>
      <c r="O104" s="50">
        <f t="shared" si="13"/>
        <v>63891</v>
      </c>
      <c r="P104" s="50">
        <v>0</v>
      </c>
      <c r="Q104" s="76"/>
      <c r="R104" s="140">
        <f>IF((1*S9+1*S10)&gt;10,10,(1*S9+1*S10))</f>
        <v>10</v>
      </c>
      <c r="S104" s="79">
        <v>4602.34</v>
      </c>
      <c r="T104" s="80">
        <v>614.54</v>
      </c>
    </row>
    <row r="105" spans="2:20" ht="28">
      <c r="B105" s="5" t="s">
        <v>333</v>
      </c>
      <c r="C105" s="45" t="s">
        <v>97</v>
      </c>
      <c r="D105" s="45" t="s">
        <v>334</v>
      </c>
      <c r="E105" s="6" t="s">
        <v>335</v>
      </c>
      <c r="F105" s="45" t="s">
        <v>104</v>
      </c>
      <c r="G105" s="46">
        <f t="shared" si="7"/>
        <v>46</v>
      </c>
      <c r="H105" s="46">
        <f>TRUNC(S105*(1-LOTE_03!$K$10),2)</f>
        <v>2.33</v>
      </c>
      <c r="I105" s="46">
        <f>TRUNC(T105*(1-LOTE_03!$K$10),2)</f>
        <v>4.33</v>
      </c>
      <c r="J105" s="100">
        <f t="shared" si="8"/>
        <v>0.22470000000000001</v>
      </c>
      <c r="K105" s="48">
        <f t="shared" si="9"/>
        <v>2.85</v>
      </c>
      <c r="L105" s="48">
        <f t="shared" si="10"/>
        <v>5.3</v>
      </c>
      <c r="M105" s="48">
        <f t="shared" si="11"/>
        <v>131.1</v>
      </c>
      <c r="N105" s="48">
        <f t="shared" si="12"/>
        <v>243.8</v>
      </c>
      <c r="O105" s="50">
        <f t="shared" si="13"/>
        <v>374.9</v>
      </c>
      <c r="P105" s="50">
        <v>0</v>
      </c>
      <c r="Q105" s="76"/>
      <c r="R105" s="140">
        <f>2*S9+4*S10</f>
        <v>46</v>
      </c>
      <c r="S105" s="79">
        <v>2.33</v>
      </c>
      <c r="T105" s="80">
        <v>4.33</v>
      </c>
    </row>
    <row r="106" spans="2:20">
      <c r="B106" s="5" t="s">
        <v>336</v>
      </c>
      <c r="C106" s="45" t="s">
        <v>97</v>
      </c>
      <c r="D106" s="45" t="s">
        <v>337</v>
      </c>
      <c r="E106" s="6" t="s">
        <v>338</v>
      </c>
      <c r="F106" s="45" t="s">
        <v>104</v>
      </c>
      <c r="G106" s="46">
        <f t="shared" si="7"/>
        <v>370</v>
      </c>
      <c r="H106" s="46">
        <f>TRUNC(S106*(1-LOTE_03!$K$10),2)</f>
        <v>0.77</v>
      </c>
      <c r="I106" s="46">
        <f>TRUNC(T106*(1-LOTE_03!$K$10),2)</f>
        <v>1.44</v>
      </c>
      <c r="J106" s="100">
        <f t="shared" si="8"/>
        <v>0.22470000000000001</v>
      </c>
      <c r="K106" s="48">
        <f t="shared" si="9"/>
        <v>0.94</v>
      </c>
      <c r="L106" s="48">
        <f t="shared" si="10"/>
        <v>1.76</v>
      </c>
      <c r="M106" s="48">
        <f t="shared" si="11"/>
        <v>347.8</v>
      </c>
      <c r="N106" s="48">
        <f t="shared" si="12"/>
        <v>651.20000000000005</v>
      </c>
      <c r="O106" s="50">
        <f t="shared" si="13"/>
        <v>999</v>
      </c>
      <c r="P106" s="50">
        <v>0</v>
      </c>
      <c r="Q106" s="76"/>
      <c r="R106" s="140">
        <f>20*S9+30*S10</f>
        <v>370</v>
      </c>
      <c r="S106" s="79">
        <v>0.77</v>
      </c>
      <c r="T106" s="80">
        <v>1.44</v>
      </c>
    </row>
    <row r="107" spans="2:20" ht="28">
      <c r="B107" s="5" t="s">
        <v>339</v>
      </c>
      <c r="C107" s="45" t="s">
        <v>97</v>
      </c>
      <c r="D107" s="45" t="s">
        <v>301</v>
      </c>
      <c r="E107" s="6" t="s">
        <v>302</v>
      </c>
      <c r="F107" s="45" t="s">
        <v>104</v>
      </c>
      <c r="G107" s="46">
        <f t="shared" si="7"/>
        <v>28</v>
      </c>
      <c r="H107" s="46">
        <f>TRUNC(S107*(1-LOTE_03!$K$10),2)</f>
        <v>1.55</v>
      </c>
      <c r="I107" s="46">
        <f>TRUNC(T107*(1-LOTE_03!$K$10),2)</f>
        <v>2.89</v>
      </c>
      <c r="J107" s="100">
        <f t="shared" si="8"/>
        <v>0.22470000000000001</v>
      </c>
      <c r="K107" s="48">
        <f t="shared" si="9"/>
        <v>1.89</v>
      </c>
      <c r="L107" s="48">
        <f t="shared" si="10"/>
        <v>3.53</v>
      </c>
      <c r="M107" s="48">
        <f t="shared" si="11"/>
        <v>52.92</v>
      </c>
      <c r="N107" s="48">
        <f t="shared" si="12"/>
        <v>98.84</v>
      </c>
      <c r="O107" s="50">
        <f t="shared" si="13"/>
        <v>151.76</v>
      </c>
      <c r="P107" s="50">
        <v>0</v>
      </c>
      <c r="Q107" s="76"/>
      <c r="R107" s="140">
        <f>2*S9+2*S10</f>
        <v>28</v>
      </c>
      <c r="S107" s="79">
        <v>1.55</v>
      </c>
      <c r="T107" s="80">
        <v>2.89</v>
      </c>
    </row>
    <row r="108" spans="2:20" ht="42">
      <c r="B108" s="5" t="s">
        <v>340</v>
      </c>
      <c r="C108" s="45" t="s">
        <v>135</v>
      </c>
      <c r="D108" s="45">
        <v>90436</v>
      </c>
      <c r="E108" s="6" t="s">
        <v>341</v>
      </c>
      <c r="F108" s="45" t="s">
        <v>210</v>
      </c>
      <c r="G108" s="46">
        <f t="shared" si="7"/>
        <v>20</v>
      </c>
      <c r="H108" s="46">
        <f>TRUNC(S108*(1-LOTE_03!$K$10),2)</f>
        <v>4.09</v>
      </c>
      <c r="I108" s="46">
        <f>TRUNC(T108*(1-LOTE_03!$K$10),2)</f>
        <v>10.71</v>
      </c>
      <c r="J108" s="100">
        <f t="shared" si="8"/>
        <v>0.22470000000000001</v>
      </c>
      <c r="K108" s="48">
        <f t="shared" si="9"/>
        <v>5</v>
      </c>
      <c r="L108" s="48">
        <f t="shared" si="10"/>
        <v>13.11</v>
      </c>
      <c r="M108" s="48">
        <f t="shared" si="11"/>
        <v>100</v>
      </c>
      <c r="N108" s="48">
        <f t="shared" si="12"/>
        <v>262.2</v>
      </c>
      <c r="O108" s="50">
        <f t="shared" si="13"/>
        <v>362.2</v>
      </c>
      <c r="P108" s="50">
        <v>0</v>
      </c>
      <c r="Q108" s="76"/>
      <c r="R108" s="140">
        <f>IF((2*S9+2*S10)&gt;20,20,(2*S9+2*S10))</f>
        <v>20</v>
      </c>
      <c r="S108" s="79">
        <v>4.09</v>
      </c>
      <c r="T108" s="80">
        <v>10.71</v>
      </c>
    </row>
    <row r="109" spans="2:20" ht="56">
      <c r="B109" s="5" t="s">
        <v>342</v>
      </c>
      <c r="C109" s="45" t="s">
        <v>135</v>
      </c>
      <c r="D109" s="45">
        <v>90437</v>
      </c>
      <c r="E109" s="6" t="s">
        <v>343</v>
      </c>
      <c r="F109" s="45" t="s">
        <v>210</v>
      </c>
      <c r="G109" s="46">
        <f t="shared" si="7"/>
        <v>20</v>
      </c>
      <c r="H109" s="46">
        <f>TRUNC(S109*(1-LOTE_03!$K$10),2)</f>
        <v>10.91</v>
      </c>
      <c r="I109" s="46">
        <f>TRUNC(T109*(1-LOTE_03!$K$10),2)</f>
        <v>28.57</v>
      </c>
      <c r="J109" s="100">
        <f t="shared" si="8"/>
        <v>0.22470000000000001</v>
      </c>
      <c r="K109" s="48">
        <f t="shared" si="9"/>
        <v>13.36</v>
      </c>
      <c r="L109" s="48">
        <f t="shared" si="10"/>
        <v>34.979999999999997</v>
      </c>
      <c r="M109" s="48">
        <f t="shared" si="11"/>
        <v>267.2</v>
      </c>
      <c r="N109" s="48">
        <f t="shared" si="12"/>
        <v>699.6</v>
      </c>
      <c r="O109" s="50">
        <f t="shared" si="13"/>
        <v>966.8</v>
      </c>
      <c r="P109" s="50">
        <v>0</v>
      </c>
      <c r="Q109" s="76"/>
      <c r="R109" s="140">
        <f>IF((2*S9+2*S10)&gt;20,20,(2*S9+2*S10))</f>
        <v>20</v>
      </c>
      <c r="S109" s="79">
        <v>10.909999999999997</v>
      </c>
      <c r="T109" s="80">
        <v>28.57</v>
      </c>
    </row>
    <row r="110" spans="2:20" ht="56">
      <c r="B110" s="5" t="s">
        <v>344</v>
      </c>
      <c r="C110" s="45" t="s">
        <v>135</v>
      </c>
      <c r="D110" s="45">
        <v>90438</v>
      </c>
      <c r="E110" s="6" t="s">
        <v>345</v>
      </c>
      <c r="F110" s="45" t="s">
        <v>210</v>
      </c>
      <c r="G110" s="46">
        <f t="shared" si="7"/>
        <v>20</v>
      </c>
      <c r="H110" s="46">
        <f>TRUNC(S110*(1-LOTE_03!$K$10),2)</f>
        <v>15.94</v>
      </c>
      <c r="I110" s="46">
        <f>TRUNC(T110*(1-LOTE_03!$K$10),2)</f>
        <v>41.71</v>
      </c>
      <c r="J110" s="100">
        <f t="shared" si="8"/>
        <v>0.22470000000000001</v>
      </c>
      <c r="K110" s="48">
        <f t="shared" si="9"/>
        <v>19.52</v>
      </c>
      <c r="L110" s="48">
        <f t="shared" si="10"/>
        <v>51.08</v>
      </c>
      <c r="M110" s="48">
        <f t="shared" si="11"/>
        <v>390.4</v>
      </c>
      <c r="N110" s="48">
        <f t="shared" si="12"/>
        <v>1021.6</v>
      </c>
      <c r="O110" s="50">
        <f t="shared" si="13"/>
        <v>1412</v>
      </c>
      <c r="P110" s="50">
        <v>0</v>
      </c>
      <c r="Q110" s="76"/>
      <c r="R110" s="140">
        <f>IF((2*S9+2*S10)&gt;20,20,(2*S9+2*S10))</f>
        <v>20</v>
      </c>
      <c r="S110" s="79">
        <v>15.939999999999998</v>
      </c>
      <c r="T110" s="80">
        <v>41.71</v>
      </c>
    </row>
    <row r="111" spans="2:20" ht="56">
      <c r="B111" s="5" t="s">
        <v>346</v>
      </c>
      <c r="C111" s="45" t="s">
        <v>135</v>
      </c>
      <c r="D111" s="45">
        <v>90439</v>
      </c>
      <c r="E111" s="6" t="s">
        <v>347</v>
      </c>
      <c r="F111" s="45" t="s">
        <v>210</v>
      </c>
      <c r="G111" s="46">
        <f t="shared" si="7"/>
        <v>10</v>
      </c>
      <c r="H111" s="46">
        <f>TRUNC(S111*(1-LOTE_03!$K$10),2)</f>
        <v>3.16</v>
      </c>
      <c r="I111" s="46">
        <f>TRUNC(T111*(1-LOTE_03!$K$10),2)</f>
        <v>5.8</v>
      </c>
      <c r="J111" s="100">
        <f t="shared" si="8"/>
        <v>0.22470000000000001</v>
      </c>
      <c r="K111" s="48">
        <f t="shared" si="9"/>
        <v>3.87</v>
      </c>
      <c r="L111" s="48">
        <f t="shared" si="10"/>
        <v>7.1</v>
      </c>
      <c r="M111" s="48">
        <f t="shared" si="11"/>
        <v>38.700000000000003</v>
      </c>
      <c r="N111" s="48">
        <f t="shared" si="12"/>
        <v>71</v>
      </c>
      <c r="O111" s="50">
        <f t="shared" si="13"/>
        <v>109.7</v>
      </c>
      <c r="P111" s="50">
        <v>0</v>
      </c>
      <c r="Q111" s="76"/>
      <c r="R111" s="140">
        <f>IF((2*S9+2*S10)&gt;10,10,(2*S9+2*S10))</f>
        <v>10</v>
      </c>
      <c r="S111" s="79">
        <v>3.160000000000001</v>
      </c>
      <c r="T111" s="80">
        <v>5.8</v>
      </c>
    </row>
    <row r="112" spans="2:20" ht="70">
      <c r="B112" s="5" t="s">
        <v>348</v>
      </c>
      <c r="C112" s="45" t="s">
        <v>135</v>
      </c>
      <c r="D112" s="45">
        <v>90440</v>
      </c>
      <c r="E112" s="6" t="s">
        <v>349</v>
      </c>
      <c r="F112" s="45" t="s">
        <v>210</v>
      </c>
      <c r="G112" s="46">
        <f t="shared" si="7"/>
        <v>10</v>
      </c>
      <c r="H112" s="46">
        <f>TRUNC(S112*(1-LOTE_03!$K$10),2)</f>
        <v>8.41</v>
      </c>
      <c r="I112" s="46">
        <f>TRUNC(T112*(1-LOTE_03!$K$10),2)</f>
        <v>15.49</v>
      </c>
      <c r="J112" s="100">
        <f t="shared" si="8"/>
        <v>0.22470000000000001</v>
      </c>
      <c r="K112" s="48">
        <f t="shared" si="9"/>
        <v>10.29</v>
      </c>
      <c r="L112" s="48">
        <f t="shared" si="10"/>
        <v>18.97</v>
      </c>
      <c r="M112" s="48">
        <f t="shared" si="11"/>
        <v>102.9</v>
      </c>
      <c r="N112" s="48">
        <f t="shared" si="12"/>
        <v>189.7</v>
      </c>
      <c r="O112" s="50">
        <f t="shared" si="13"/>
        <v>292.60000000000002</v>
      </c>
      <c r="P112" s="50">
        <v>0</v>
      </c>
      <c r="Q112" s="76"/>
      <c r="R112" s="140">
        <f>IF((2*S9+2*S10)&gt;10,10,(2*S9+2*S10))</f>
        <v>10</v>
      </c>
      <c r="S112" s="79">
        <v>8.4099999999999984</v>
      </c>
      <c r="T112" s="80">
        <v>15.49</v>
      </c>
    </row>
    <row r="113" spans="2:20" ht="70">
      <c r="B113" s="5" t="s">
        <v>350</v>
      </c>
      <c r="C113" s="45" t="s">
        <v>135</v>
      </c>
      <c r="D113" s="45">
        <v>90441</v>
      </c>
      <c r="E113" s="6" t="s">
        <v>351</v>
      </c>
      <c r="F113" s="45" t="s">
        <v>210</v>
      </c>
      <c r="G113" s="46">
        <f t="shared" si="7"/>
        <v>10</v>
      </c>
      <c r="H113" s="46">
        <f>TRUNC(S113*(1-LOTE_03!$K$10),2)</f>
        <v>12.29</v>
      </c>
      <c r="I113" s="46">
        <f>TRUNC(T113*(1-LOTE_03!$K$10),2)</f>
        <v>22.62</v>
      </c>
      <c r="J113" s="100">
        <f t="shared" si="8"/>
        <v>0.22470000000000001</v>
      </c>
      <c r="K113" s="48">
        <f t="shared" si="9"/>
        <v>15.05</v>
      </c>
      <c r="L113" s="48">
        <f t="shared" si="10"/>
        <v>27.7</v>
      </c>
      <c r="M113" s="48">
        <f t="shared" si="11"/>
        <v>150.5</v>
      </c>
      <c r="N113" s="48">
        <f t="shared" si="12"/>
        <v>277</v>
      </c>
      <c r="O113" s="50">
        <f t="shared" si="13"/>
        <v>427.5</v>
      </c>
      <c r="P113" s="50">
        <v>0</v>
      </c>
      <c r="Q113" s="76"/>
      <c r="R113" s="140">
        <f>IF((2*S9+2*S10)&gt;10,10,(2*S9+2*S10))</f>
        <v>10</v>
      </c>
      <c r="S113" s="79">
        <v>12.289999999999996</v>
      </c>
      <c r="T113" s="80">
        <v>22.62</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3096.7000000000003</v>
      </c>
      <c r="Q114" s="76"/>
      <c r="R114" s="154"/>
      <c r="S114" s="79" t="s">
        <v>22</v>
      </c>
      <c r="T114" s="80" t="s">
        <v>22</v>
      </c>
    </row>
    <row r="115" spans="2:20" ht="28">
      <c r="B115" s="5" t="s">
        <v>352</v>
      </c>
      <c r="C115" s="45" t="s">
        <v>135</v>
      </c>
      <c r="D115" s="45">
        <v>94319</v>
      </c>
      <c r="E115" s="6" t="s">
        <v>353</v>
      </c>
      <c r="F115" s="45" t="s">
        <v>161</v>
      </c>
      <c r="G115" s="46">
        <f>IF($S$11=0,0,TRUNC(R115,2))</f>
        <v>5</v>
      </c>
      <c r="H115" s="46">
        <f>TRUNC(S115*(1-LOTE_03!$K$10),2)</f>
        <v>63.99</v>
      </c>
      <c r="I115" s="46">
        <f>TRUNC(T115*(1-LOTE_03!$K$10),2)</f>
        <v>16.59</v>
      </c>
      <c r="J115" s="100">
        <f t="shared" si="8"/>
        <v>0.22470000000000001</v>
      </c>
      <c r="K115" s="48">
        <f t="shared" si="9"/>
        <v>78.36</v>
      </c>
      <c r="L115" s="48">
        <f t="shared" si="10"/>
        <v>20.309999999999999</v>
      </c>
      <c r="M115" s="48">
        <f t="shared" si="11"/>
        <v>391.8</v>
      </c>
      <c r="N115" s="48">
        <f t="shared" si="12"/>
        <v>101.55</v>
      </c>
      <c r="O115" s="50">
        <f t="shared" si="13"/>
        <v>493.35</v>
      </c>
      <c r="P115" s="50">
        <v>0</v>
      </c>
      <c r="Q115" s="76"/>
      <c r="R115" s="140">
        <f>IF((1*S10)&gt;5,5,1)</f>
        <v>5</v>
      </c>
      <c r="S115" s="79">
        <v>63.989999999999995</v>
      </c>
      <c r="T115" s="80">
        <v>16.59</v>
      </c>
    </row>
    <row r="116" spans="2:20" ht="28">
      <c r="B116" s="5" t="s">
        <v>354</v>
      </c>
      <c r="C116" s="45" t="s">
        <v>135</v>
      </c>
      <c r="D116" s="45">
        <v>94342</v>
      </c>
      <c r="E116" s="6" t="s">
        <v>355</v>
      </c>
      <c r="F116" s="45" t="s">
        <v>161</v>
      </c>
      <c r="G116" s="46">
        <f t="shared" ref="G116:G123" si="14">IF($S$11=0,0,TRUNC(R116,2))</f>
        <v>5</v>
      </c>
      <c r="H116" s="46">
        <f>TRUNC(S116*(1-LOTE_03!$K$10),2)</f>
        <v>120.27</v>
      </c>
      <c r="I116" s="46">
        <f>TRUNC(T116*(1-LOTE_03!$K$10),2)</f>
        <v>17.59</v>
      </c>
      <c r="J116" s="100">
        <f t="shared" si="8"/>
        <v>0.22470000000000001</v>
      </c>
      <c r="K116" s="48">
        <f t="shared" si="9"/>
        <v>147.29</v>
      </c>
      <c r="L116" s="48">
        <f t="shared" si="10"/>
        <v>21.54</v>
      </c>
      <c r="M116" s="48">
        <f t="shared" si="11"/>
        <v>736.45</v>
      </c>
      <c r="N116" s="48">
        <f t="shared" si="12"/>
        <v>107.7</v>
      </c>
      <c r="O116" s="50">
        <f t="shared" si="13"/>
        <v>844.15</v>
      </c>
      <c r="P116" s="50">
        <v>0</v>
      </c>
      <c r="Q116" s="76"/>
      <c r="R116" s="140">
        <f>IF((1*S10)&gt;5,5,1)</f>
        <v>5</v>
      </c>
      <c r="S116" s="79">
        <v>120.27000000000001</v>
      </c>
      <c r="T116" s="80">
        <v>17.59</v>
      </c>
    </row>
    <row r="117" spans="2:20" ht="28">
      <c r="B117" s="5" t="s">
        <v>356</v>
      </c>
      <c r="C117" s="45" t="s">
        <v>165</v>
      </c>
      <c r="D117" s="45" t="s">
        <v>357</v>
      </c>
      <c r="E117" s="6" t="s">
        <v>358</v>
      </c>
      <c r="F117" s="45" t="s">
        <v>182</v>
      </c>
      <c r="G117" s="46">
        <f t="shared" si="14"/>
        <v>5</v>
      </c>
      <c r="H117" s="46">
        <f>TRUNC(S117*(1-LOTE_03!$K$10),2)</f>
        <v>14.6</v>
      </c>
      <c r="I117" s="46">
        <f>TRUNC(T117*(1-LOTE_03!$K$10),2)</f>
        <v>0.7</v>
      </c>
      <c r="J117" s="100">
        <f t="shared" si="8"/>
        <v>0.22470000000000001</v>
      </c>
      <c r="K117" s="48">
        <f t="shared" si="9"/>
        <v>17.88</v>
      </c>
      <c r="L117" s="48">
        <f t="shared" si="10"/>
        <v>0.85</v>
      </c>
      <c r="M117" s="48">
        <f t="shared" si="11"/>
        <v>89.4</v>
      </c>
      <c r="N117" s="48">
        <f t="shared" si="12"/>
        <v>4.25</v>
      </c>
      <c r="O117" s="50">
        <f t="shared" si="13"/>
        <v>93.65</v>
      </c>
      <c r="P117" s="50">
        <v>0</v>
      </c>
      <c r="Q117" s="76"/>
      <c r="R117" s="140">
        <f>IF((1*S10)&gt;5,5,1)</f>
        <v>5</v>
      </c>
      <c r="S117" s="79">
        <v>14.6</v>
      </c>
      <c r="T117" s="80">
        <v>0.7</v>
      </c>
    </row>
    <row r="118" spans="2:20" ht="28">
      <c r="B118" s="5" t="s">
        <v>359</v>
      </c>
      <c r="C118" s="45" t="s">
        <v>165</v>
      </c>
      <c r="D118" s="45" t="s">
        <v>360</v>
      </c>
      <c r="E118" s="6" t="s">
        <v>361</v>
      </c>
      <c r="F118" s="45" t="s">
        <v>182</v>
      </c>
      <c r="G118" s="46">
        <f t="shared" si="14"/>
        <v>5</v>
      </c>
      <c r="H118" s="46">
        <f>TRUNC(S118*(1-LOTE_03!$K$10),2)</f>
        <v>24.77</v>
      </c>
      <c r="I118" s="46">
        <f>TRUNC(T118*(1-LOTE_03!$K$10),2)</f>
        <v>28.37</v>
      </c>
      <c r="J118" s="100">
        <f t="shared" si="8"/>
        <v>0.22470000000000001</v>
      </c>
      <c r="K118" s="48">
        <f t="shared" si="9"/>
        <v>30.33</v>
      </c>
      <c r="L118" s="48">
        <f t="shared" si="10"/>
        <v>34.74</v>
      </c>
      <c r="M118" s="48">
        <f t="shared" si="11"/>
        <v>151.65</v>
      </c>
      <c r="N118" s="48">
        <f t="shared" si="12"/>
        <v>173.7</v>
      </c>
      <c r="O118" s="50">
        <f t="shared" si="13"/>
        <v>325.35000000000002</v>
      </c>
      <c r="P118" s="50">
        <v>0</v>
      </c>
      <c r="Q118" s="76"/>
      <c r="R118" s="140">
        <f>IF((1*S10)&gt;5,5,1)</f>
        <v>5</v>
      </c>
      <c r="S118" s="79">
        <v>24.77</v>
      </c>
      <c r="T118" s="80">
        <v>28.37</v>
      </c>
    </row>
    <row r="119" spans="2:20" ht="28">
      <c r="B119" s="5" t="s">
        <v>362</v>
      </c>
      <c r="C119" s="45" t="s">
        <v>135</v>
      </c>
      <c r="D119" s="45">
        <v>93358</v>
      </c>
      <c r="E119" s="6" t="s">
        <v>363</v>
      </c>
      <c r="F119" s="45" t="s">
        <v>161</v>
      </c>
      <c r="G119" s="46">
        <f t="shared" si="14"/>
        <v>5</v>
      </c>
      <c r="H119" s="46">
        <f>TRUNC(S119*(1-LOTE_03!$K$10),2)</f>
        <v>30.78</v>
      </c>
      <c r="I119" s="46">
        <f>TRUNC(T119*(1-LOTE_03!$K$10),2)</f>
        <v>57.19</v>
      </c>
      <c r="J119" s="100">
        <f t="shared" si="8"/>
        <v>0.22470000000000001</v>
      </c>
      <c r="K119" s="48">
        <f t="shared" si="9"/>
        <v>37.69</v>
      </c>
      <c r="L119" s="48">
        <f t="shared" si="10"/>
        <v>70.040000000000006</v>
      </c>
      <c r="M119" s="48">
        <f t="shared" si="11"/>
        <v>188.45</v>
      </c>
      <c r="N119" s="48">
        <f t="shared" si="12"/>
        <v>350.2</v>
      </c>
      <c r="O119" s="50">
        <f t="shared" si="13"/>
        <v>538.65</v>
      </c>
      <c r="P119" s="50">
        <v>0</v>
      </c>
      <c r="Q119" s="76"/>
      <c r="R119" s="140">
        <f>IF((1*S10)&gt;5,5,1)</f>
        <v>5</v>
      </c>
      <c r="S119" s="79">
        <v>30.78</v>
      </c>
      <c r="T119" s="80">
        <v>57.19</v>
      </c>
    </row>
    <row r="120" spans="2:20" ht="28">
      <c r="B120" s="5" t="s">
        <v>364</v>
      </c>
      <c r="C120" s="45" t="s">
        <v>165</v>
      </c>
      <c r="D120" s="45" t="s">
        <v>365</v>
      </c>
      <c r="E120" s="6" t="s">
        <v>366</v>
      </c>
      <c r="F120" s="45" t="s">
        <v>182</v>
      </c>
      <c r="G120" s="46">
        <f t="shared" si="14"/>
        <v>5</v>
      </c>
      <c r="H120" s="46">
        <f>TRUNC(S120*(1-LOTE_03!$K$10),2)</f>
        <v>0</v>
      </c>
      <c r="I120" s="46">
        <f>TRUNC(T120*(1-LOTE_03!$K$10),2)</f>
        <v>52.71</v>
      </c>
      <c r="J120" s="100">
        <f t="shared" si="8"/>
        <v>0.22470000000000001</v>
      </c>
      <c r="K120" s="48">
        <f t="shared" si="9"/>
        <v>0</v>
      </c>
      <c r="L120" s="48">
        <f t="shared" si="10"/>
        <v>64.55</v>
      </c>
      <c r="M120" s="48">
        <f t="shared" si="11"/>
        <v>0</v>
      </c>
      <c r="N120" s="48">
        <f t="shared" si="12"/>
        <v>322.75</v>
      </c>
      <c r="O120" s="50">
        <f t="shared" si="13"/>
        <v>322.75</v>
      </c>
      <c r="P120" s="50">
        <v>0</v>
      </c>
      <c r="Q120" s="76"/>
      <c r="R120" s="140">
        <f>IF((1*S10)&gt;5,5,1)</f>
        <v>5</v>
      </c>
      <c r="S120" s="79">
        <v>0</v>
      </c>
      <c r="T120" s="80">
        <v>52.71</v>
      </c>
    </row>
    <row r="121" spans="2:20" ht="28">
      <c r="B121" s="5" t="s">
        <v>367</v>
      </c>
      <c r="C121" s="45" t="s">
        <v>165</v>
      </c>
      <c r="D121" s="45" t="s">
        <v>368</v>
      </c>
      <c r="E121" s="6" t="s">
        <v>369</v>
      </c>
      <c r="F121" s="45" t="s">
        <v>182</v>
      </c>
      <c r="G121" s="46">
        <f t="shared" si="14"/>
        <v>5</v>
      </c>
      <c r="H121" s="46">
        <f>TRUNC(S121*(1-LOTE_03!$K$10),2)</f>
        <v>0</v>
      </c>
      <c r="I121" s="46">
        <f>TRUNC(T121*(1-LOTE_03!$K$10),2)</f>
        <v>5.93</v>
      </c>
      <c r="J121" s="100">
        <f t="shared" si="8"/>
        <v>0.22470000000000001</v>
      </c>
      <c r="K121" s="48">
        <f t="shared" si="9"/>
        <v>0</v>
      </c>
      <c r="L121" s="48">
        <f t="shared" si="10"/>
        <v>7.26</v>
      </c>
      <c r="M121" s="48">
        <f t="shared" si="11"/>
        <v>0</v>
      </c>
      <c r="N121" s="48">
        <f t="shared" si="12"/>
        <v>36.299999999999997</v>
      </c>
      <c r="O121" s="50">
        <f t="shared" si="13"/>
        <v>36.299999999999997</v>
      </c>
      <c r="P121" s="50">
        <v>0</v>
      </c>
      <c r="Q121" s="76"/>
      <c r="R121" s="140">
        <f>IF((1*S10)&gt;5,5,1)</f>
        <v>5</v>
      </c>
      <c r="S121" s="79">
        <v>0</v>
      </c>
      <c r="T121" s="80">
        <v>5.93</v>
      </c>
    </row>
    <row r="122" spans="2:20" ht="28">
      <c r="B122" s="5" t="s">
        <v>370</v>
      </c>
      <c r="C122" s="45" t="s">
        <v>165</v>
      </c>
      <c r="D122" s="45" t="s">
        <v>371</v>
      </c>
      <c r="E122" s="6" t="s">
        <v>372</v>
      </c>
      <c r="F122" s="45" t="s">
        <v>182</v>
      </c>
      <c r="G122" s="46">
        <f t="shared" si="14"/>
        <v>5</v>
      </c>
      <c r="H122" s="46">
        <f>TRUNC(S122*(1-LOTE_03!$K$10),2)</f>
        <v>0</v>
      </c>
      <c r="I122" s="46">
        <f>TRUNC(T122*(1-LOTE_03!$K$10),2)</f>
        <v>52.5</v>
      </c>
      <c r="J122" s="100">
        <f t="shared" si="8"/>
        <v>0.22470000000000001</v>
      </c>
      <c r="K122" s="48">
        <f t="shared" si="9"/>
        <v>0</v>
      </c>
      <c r="L122" s="48">
        <f t="shared" si="10"/>
        <v>64.290000000000006</v>
      </c>
      <c r="M122" s="48">
        <f t="shared" si="11"/>
        <v>0</v>
      </c>
      <c r="N122" s="48">
        <f t="shared" si="12"/>
        <v>321.45</v>
      </c>
      <c r="O122" s="50">
        <f t="shared" si="13"/>
        <v>321.45</v>
      </c>
      <c r="P122" s="50">
        <v>0</v>
      </c>
      <c r="Q122" s="76"/>
      <c r="R122" s="140">
        <f>IF((1*S10)&gt;5,5,1)</f>
        <v>5</v>
      </c>
      <c r="S122" s="79">
        <v>0</v>
      </c>
      <c r="T122" s="80">
        <v>52.5</v>
      </c>
    </row>
    <row r="123" spans="2:20" ht="28">
      <c r="B123" s="5" t="s">
        <v>373</v>
      </c>
      <c r="C123" s="45" t="s">
        <v>165</v>
      </c>
      <c r="D123" s="45" t="s">
        <v>374</v>
      </c>
      <c r="E123" s="6" t="s">
        <v>375</v>
      </c>
      <c r="F123" s="45" t="s">
        <v>168</v>
      </c>
      <c r="G123" s="46">
        <f t="shared" si="14"/>
        <v>5</v>
      </c>
      <c r="H123" s="46">
        <f>TRUNC(S123*(1-LOTE_03!$K$10),2)</f>
        <v>0</v>
      </c>
      <c r="I123" s="46">
        <f>TRUNC(T123*(1-LOTE_03!$K$10),2)</f>
        <v>19.77</v>
      </c>
      <c r="J123" s="100">
        <f t="shared" si="8"/>
        <v>0.22470000000000001</v>
      </c>
      <c r="K123" s="48">
        <f t="shared" si="9"/>
        <v>0</v>
      </c>
      <c r="L123" s="48">
        <f t="shared" si="10"/>
        <v>24.21</v>
      </c>
      <c r="M123" s="48">
        <f t="shared" si="11"/>
        <v>0</v>
      </c>
      <c r="N123" s="48">
        <f t="shared" si="12"/>
        <v>121.05</v>
      </c>
      <c r="O123" s="50">
        <f t="shared" si="13"/>
        <v>121.05</v>
      </c>
      <c r="P123" s="50">
        <v>0</v>
      </c>
      <c r="Q123" s="76"/>
      <c r="R123" s="140">
        <f>IF((1*S10)&gt;5,5,1)</f>
        <v>5</v>
      </c>
      <c r="S123" s="79">
        <v>0</v>
      </c>
      <c r="T123" s="80">
        <v>19.77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31810.15</v>
      </c>
      <c r="Q124" s="76"/>
      <c r="R124" s="154"/>
      <c r="S124" s="79" t="s">
        <v>22</v>
      </c>
      <c r="T124" s="80" t="s">
        <v>22</v>
      </c>
    </row>
    <row r="125" spans="2:20" ht="70">
      <c r="B125" s="5" t="s">
        <v>376</v>
      </c>
      <c r="C125" s="45" t="s">
        <v>135</v>
      </c>
      <c r="D125" s="45">
        <v>94962</v>
      </c>
      <c r="E125" s="6" t="s">
        <v>377</v>
      </c>
      <c r="F125" s="45" t="s">
        <v>161</v>
      </c>
      <c r="G125" s="46">
        <f t="shared" ref="G125:G131" si="15">IF($S$11=0,0,TRUNC(R125,2))</f>
        <v>5</v>
      </c>
      <c r="H125" s="46">
        <f>TRUNC(S125*(1-LOTE_03!$K$10),2)</f>
        <v>425.97</v>
      </c>
      <c r="I125" s="46">
        <f>TRUNC(T125*(1-LOTE_03!$K$10),2)</f>
        <v>65.23</v>
      </c>
      <c r="J125" s="100">
        <f t="shared" si="8"/>
        <v>0.22470000000000001</v>
      </c>
      <c r="K125" s="48">
        <f t="shared" si="9"/>
        <v>521.67999999999995</v>
      </c>
      <c r="L125" s="48">
        <f t="shared" si="10"/>
        <v>79.88</v>
      </c>
      <c r="M125" s="48">
        <f t="shared" si="11"/>
        <v>2608.4</v>
      </c>
      <c r="N125" s="48">
        <f t="shared" si="12"/>
        <v>399.4</v>
      </c>
      <c r="O125" s="50">
        <f t="shared" si="13"/>
        <v>3007.8</v>
      </c>
      <c r="P125" s="50">
        <v>0</v>
      </c>
      <c r="Q125" s="76"/>
      <c r="R125" s="140">
        <f>IF((1*S10)&gt;5,5,1)</f>
        <v>5</v>
      </c>
      <c r="S125" s="79">
        <v>425.96999999999997</v>
      </c>
      <c r="T125" s="80">
        <v>65.23</v>
      </c>
    </row>
    <row r="126" spans="2:20" ht="56">
      <c r="B126" s="5" t="s">
        <v>378</v>
      </c>
      <c r="C126" s="45" t="s">
        <v>135</v>
      </c>
      <c r="D126" s="45">
        <v>94963</v>
      </c>
      <c r="E126" s="6" t="s">
        <v>379</v>
      </c>
      <c r="F126" s="45" t="s">
        <v>161</v>
      </c>
      <c r="G126" s="46">
        <f t="shared" si="15"/>
        <v>5</v>
      </c>
      <c r="H126" s="46">
        <f>TRUNC(S126*(1-LOTE_03!$K$10),2)</f>
        <v>483.64</v>
      </c>
      <c r="I126" s="46">
        <f>TRUNC(T126*(1-LOTE_03!$K$10),2)</f>
        <v>65.13</v>
      </c>
      <c r="J126" s="100">
        <f t="shared" si="8"/>
        <v>0.22470000000000001</v>
      </c>
      <c r="K126" s="48">
        <f t="shared" si="9"/>
        <v>592.30999999999995</v>
      </c>
      <c r="L126" s="48">
        <f t="shared" si="10"/>
        <v>79.760000000000005</v>
      </c>
      <c r="M126" s="48">
        <f t="shared" si="11"/>
        <v>2961.55</v>
      </c>
      <c r="N126" s="48">
        <f t="shared" si="12"/>
        <v>398.8</v>
      </c>
      <c r="O126" s="50">
        <f t="shared" si="13"/>
        <v>3360.35</v>
      </c>
      <c r="P126" s="50">
        <v>0</v>
      </c>
      <c r="Q126" s="76"/>
      <c r="R126" s="140">
        <f>IF((1*S10)&gt;5,5,1)</f>
        <v>5</v>
      </c>
      <c r="S126" s="79">
        <v>483.64</v>
      </c>
      <c r="T126" s="80">
        <v>65.13</v>
      </c>
    </row>
    <row r="127" spans="2:20" ht="56">
      <c r="B127" s="5" t="s">
        <v>380</v>
      </c>
      <c r="C127" s="45" t="s">
        <v>135</v>
      </c>
      <c r="D127" s="45">
        <v>94964</v>
      </c>
      <c r="E127" s="6" t="s">
        <v>381</v>
      </c>
      <c r="F127" s="45" t="s">
        <v>161</v>
      </c>
      <c r="G127" s="46">
        <f t="shared" si="15"/>
        <v>5</v>
      </c>
      <c r="H127" s="46">
        <f>TRUNC(S127*(1-LOTE_03!$K$10),2)</f>
        <v>528.76</v>
      </c>
      <c r="I127" s="46">
        <f>TRUNC(T127*(1-LOTE_03!$K$10),2)</f>
        <v>71.14</v>
      </c>
      <c r="J127" s="100">
        <f t="shared" si="8"/>
        <v>0.22470000000000001</v>
      </c>
      <c r="K127" s="48">
        <f t="shared" si="9"/>
        <v>647.57000000000005</v>
      </c>
      <c r="L127" s="48">
        <f t="shared" si="10"/>
        <v>87.12</v>
      </c>
      <c r="M127" s="48">
        <f t="shared" si="11"/>
        <v>3237.85</v>
      </c>
      <c r="N127" s="48">
        <f t="shared" si="12"/>
        <v>435.6</v>
      </c>
      <c r="O127" s="50">
        <f t="shared" si="13"/>
        <v>3673.45</v>
      </c>
      <c r="P127" s="50">
        <v>0</v>
      </c>
      <c r="Q127" s="76"/>
      <c r="R127" s="140">
        <f>IF((1*S10)&gt;5,5,1)</f>
        <v>5</v>
      </c>
      <c r="S127" s="79">
        <v>528.76</v>
      </c>
      <c r="T127" s="80">
        <v>71.14</v>
      </c>
    </row>
    <row r="128" spans="2:20" ht="56">
      <c r="B128" s="5" t="s">
        <v>382</v>
      </c>
      <c r="C128" s="45" t="s">
        <v>135</v>
      </c>
      <c r="D128" s="45">
        <v>94965</v>
      </c>
      <c r="E128" s="6" t="s">
        <v>383</v>
      </c>
      <c r="F128" s="45" t="s">
        <v>161</v>
      </c>
      <c r="G128" s="46">
        <f t="shared" si="15"/>
        <v>5</v>
      </c>
      <c r="H128" s="46">
        <f>TRUNC(S128*(1-LOTE_03!$K$10),2)</f>
        <v>561.85</v>
      </c>
      <c r="I128" s="46">
        <f>TRUNC(T128*(1-LOTE_03!$K$10),2)</f>
        <v>65.28</v>
      </c>
      <c r="J128" s="100">
        <f t="shared" si="8"/>
        <v>0.22470000000000001</v>
      </c>
      <c r="K128" s="48">
        <f t="shared" si="9"/>
        <v>688.09</v>
      </c>
      <c r="L128" s="48">
        <f t="shared" si="10"/>
        <v>79.94</v>
      </c>
      <c r="M128" s="48">
        <f t="shared" si="11"/>
        <v>3440.45</v>
      </c>
      <c r="N128" s="48">
        <f t="shared" si="12"/>
        <v>399.7</v>
      </c>
      <c r="O128" s="50">
        <f t="shared" si="13"/>
        <v>3840.15</v>
      </c>
      <c r="P128" s="50">
        <v>0</v>
      </c>
      <c r="Q128" s="76"/>
      <c r="R128" s="140">
        <f>IF((1*S10)&gt;5,5,1)</f>
        <v>5</v>
      </c>
      <c r="S128" s="79">
        <v>561.85</v>
      </c>
      <c r="T128" s="80">
        <v>65.28</v>
      </c>
    </row>
    <row r="129" spans="2:20" ht="42">
      <c r="B129" s="5" t="s">
        <v>384</v>
      </c>
      <c r="C129" s="45" t="s">
        <v>135</v>
      </c>
      <c r="D129" s="45">
        <v>102487</v>
      </c>
      <c r="E129" s="6" t="s">
        <v>385</v>
      </c>
      <c r="F129" s="45" t="s">
        <v>161</v>
      </c>
      <c r="G129" s="46">
        <f t="shared" si="15"/>
        <v>5</v>
      </c>
      <c r="H129" s="46">
        <f>TRUNC(S129*(1-LOTE_03!$K$10),2)</f>
        <v>485.44</v>
      </c>
      <c r="I129" s="46">
        <f>TRUNC(T129*(1-LOTE_03!$K$10),2)</f>
        <v>190.47</v>
      </c>
      <c r="J129" s="100">
        <f t="shared" si="8"/>
        <v>0.22470000000000001</v>
      </c>
      <c r="K129" s="48">
        <f t="shared" si="9"/>
        <v>594.51</v>
      </c>
      <c r="L129" s="48">
        <f t="shared" si="10"/>
        <v>233.26</v>
      </c>
      <c r="M129" s="48">
        <f t="shared" si="11"/>
        <v>2972.55</v>
      </c>
      <c r="N129" s="48">
        <f t="shared" si="12"/>
        <v>1166.3</v>
      </c>
      <c r="O129" s="50">
        <f t="shared" si="13"/>
        <v>4138.8500000000004</v>
      </c>
      <c r="P129" s="50">
        <v>0</v>
      </c>
      <c r="Q129" s="76"/>
      <c r="R129" s="140">
        <f>IF((1*S10)&gt;5,5,1)</f>
        <v>5</v>
      </c>
      <c r="S129" s="79">
        <v>485.43999999999994</v>
      </c>
      <c r="T129" s="80">
        <v>190.47</v>
      </c>
    </row>
    <row r="130" spans="2:20" ht="28">
      <c r="B130" s="5" t="s">
        <v>386</v>
      </c>
      <c r="C130" s="45" t="s">
        <v>165</v>
      </c>
      <c r="D130" s="45" t="s">
        <v>387</v>
      </c>
      <c r="E130" s="6" t="s">
        <v>388</v>
      </c>
      <c r="F130" s="45" t="s">
        <v>168</v>
      </c>
      <c r="G130" s="46">
        <f t="shared" si="15"/>
        <v>20</v>
      </c>
      <c r="H130" s="46">
        <f>TRUNC(S130*(1-LOTE_03!$K$10),2)</f>
        <v>112.26</v>
      </c>
      <c r="I130" s="46">
        <f>TRUNC(T130*(1-LOTE_03!$K$10),2)</f>
        <v>69.27</v>
      </c>
      <c r="J130" s="100">
        <f t="shared" si="8"/>
        <v>0.22470000000000001</v>
      </c>
      <c r="K130" s="48">
        <f t="shared" si="9"/>
        <v>137.47999999999999</v>
      </c>
      <c r="L130" s="48">
        <f t="shared" si="10"/>
        <v>84.83</v>
      </c>
      <c r="M130" s="48">
        <f t="shared" si="11"/>
        <v>2749.6</v>
      </c>
      <c r="N130" s="48">
        <f t="shared" si="12"/>
        <v>1696.6</v>
      </c>
      <c r="O130" s="50">
        <f t="shared" si="13"/>
        <v>4446.2</v>
      </c>
      <c r="P130" s="50">
        <v>0</v>
      </c>
      <c r="Q130" s="76"/>
      <c r="R130" s="140">
        <f>IF((5*S10)&gt;20,20,5)</f>
        <v>20</v>
      </c>
      <c r="S130" s="79">
        <v>112.26</v>
      </c>
      <c r="T130" s="80">
        <v>69.27</v>
      </c>
    </row>
    <row r="131" spans="2:20" ht="42">
      <c r="B131" s="5" t="s">
        <v>389</v>
      </c>
      <c r="C131" s="45" t="s">
        <v>135</v>
      </c>
      <c r="D131" s="45">
        <v>103670</v>
      </c>
      <c r="E131" s="6" t="s">
        <v>390</v>
      </c>
      <c r="F131" s="45" t="s">
        <v>161</v>
      </c>
      <c r="G131" s="46">
        <f t="shared" si="15"/>
        <v>5</v>
      </c>
      <c r="H131" s="46">
        <f>TRUNC(S131*(1-LOTE_03!$K$10),2)</f>
        <v>97.43</v>
      </c>
      <c r="I131" s="46">
        <f>TRUNC(T131*(1-LOTE_03!$K$10),2)</f>
        <v>204.85</v>
      </c>
      <c r="J131" s="100">
        <f t="shared" si="8"/>
        <v>0.22470000000000001</v>
      </c>
      <c r="K131" s="48">
        <f t="shared" si="9"/>
        <v>119.32</v>
      </c>
      <c r="L131" s="48">
        <f t="shared" si="10"/>
        <v>250.87</v>
      </c>
      <c r="M131" s="48">
        <f t="shared" si="11"/>
        <v>596.6</v>
      </c>
      <c r="N131" s="48">
        <f t="shared" si="12"/>
        <v>1254.3499999999999</v>
      </c>
      <c r="O131" s="50">
        <f t="shared" si="13"/>
        <v>1850.95</v>
      </c>
      <c r="P131" s="50">
        <v>0</v>
      </c>
      <c r="Q131" s="76"/>
      <c r="R131" s="140">
        <f>IF((1*S10)&gt;5,5,1)</f>
        <v>5</v>
      </c>
      <c r="S131" s="79">
        <v>97.429999999999978</v>
      </c>
      <c r="T131" s="80">
        <v>204.85</v>
      </c>
    </row>
    <row r="132" spans="2:20" ht="56">
      <c r="B132" s="5" t="s">
        <v>391</v>
      </c>
      <c r="C132" s="45" t="s">
        <v>135</v>
      </c>
      <c r="D132" s="45">
        <v>95240</v>
      </c>
      <c r="E132" s="6" t="s">
        <v>392</v>
      </c>
      <c r="F132" s="45" t="s">
        <v>121</v>
      </c>
      <c r="G132" s="46">
        <f t="shared" si="7"/>
        <v>20</v>
      </c>
      <c r="H132" s="46">
        <f>TRUNC(S132*(1-LOTE_03!$K$10),2)</f>
        <v>15.88</v>
      </c>
      <c r="I132" s="46">
        <f>TRUNC(T132*(1-LOTE_03!$K$10),2)</f>
        <v>6.22</v>
      </c>
      <c r="J132" s="100">
        <f t="shared" si="8"/>
        <v>0.22470000000000001</v>
      </c>
      <c r="K132" s="48">
        <f t="shared" si="9"/>
        <v>19.440000000000001</v>
      </c>
      <c r="L132" s="48">
        <f t="shared" si="10"/>
        <v>7.61</v>
      </c>
      <c r="M132" s="48">
        <f t="shared" si="11"/>
        <v>388.8</v>
      </c>
      <c r="N132" s="48">
        <f t="shared" si="12"/>
        <v>152.19999999999999</v>
      </c>
      <c r="O132" s="50">
        <f t="shared" si="13"/>
        <v>541</v>
      </c>
      <c r="P132" s="50">
        <v>0</v>
      </c>
      <c r="Q132" s="76"/>
      <c r="R132" s="140">
        <f>IF((S9+2*S10)&gt;20,20,(S9+2*S10))</f>
        <v>20</v>
      </c>
      <c r="S132" s="79">
        <v>15.880000000000003</v>
      </c>
      <c r="T132" s="80">
        <v>6.22</v>
      </c>
    </row>
    <row r="133" spans="2:20" ht="28">
      <c r="B133" s="5" t="s">
        <v>393</v>
      </c>
      <c r="C133" s="45" t="s">
        <v>97</v>
      </c>
      <c r="D133" s="45" t="s">
        <v>394</v>
      </c>
      <c r="E133" s="6" t="s">
        <v>395</v>
      </c>
      <c r="F133" s="45" t="s">
        <v>161</v>
      </c>
      <c r="G133" s="46">
        <f>IF($S$11=0,0,TRUNC(R133,2))</f>
        <v>5</v>
      </c>
      <c r="H133" s="46">
        <f>TRUNC(S133*(1-LOTE_03!$K$10),2)</f>
        <v>863.65</v>
      </c>
      <c r="I133" s="46">
        <f>TRUNC(T133*(1-LOTE_03!$K$10),2)</f>
        <v>271.56</v>
      </c>
      <c r="J133" s="100">
        <f t="shared" si="8"/>
        <v>0.22470000000000001</v>
      </c>
      <c r="K133" s="48">
        <f t="shared" si="9"/>
        <v>1057.71</v>
      </c>
      <c r="L133" s="48">
        <f t="shared" si="10"/>
        <v>332.57</v>
      </c>
      <c r="M133" s="48">
        <f t="shared" si="11"/>
        <v>5288.55</v>
      </c>
      <c r="N133" s="48">
        <f t="shared" si="12"/>
        <v>1662.85</v>
      </c>
      <c r="O133" s="50">
        <f t="shared" si="13"/>
        <v>6951.4</v>
      </c>
      <c r="P133" s="50">
        <v>0</v>
      </c>
      <c r="Q133" s="76"/>
      <c r="R133" s="140">
        <f>IF((1*S10)&gt;5,5,1)</f>
        <v>5</v>
      </c>
      <c r="S133" s="79">
        <v>863.65</v>
      </c>
      <c r="T133" s="80">
        <v>271.56</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170896</v>
      </c>
      <c r="Q134" s="76"/>
      <c r="R134" s="154"/>
      <c r="S134" s="79" t="s">
        <v>22</v>
      </c>
      <c r="T134" s="80" t="s">
        <v>22</v>
      </c>
    </row>
    <row r="135" spans="2:20" ht="28">
      <c r="B135" s="5" t="s">
        <v>396</v>
      </c>
      <c r="C135" s="45" t="s">
        <v>135</v>
      </c>
      <c r="D135" s="45">
        <v>96543</v>
      </c>
      <c r="E135" s="6" t="s">
        <v>397</v>
      </c>
      <c r="F135" s="45" t="s">
        <v>398</v>
      </c>
      <c r="G135" s="46">
        <f t="shared" ref="G135:G149" si="16">IF($S$11=0,0,TRUNC(R135,2))</f>
        <v>200</v>
      </c>
      <c r="H135" s="46">
        <f>TRUNC(S135*(1-LOTE_03!$K$10),2)</f>
        <v>11.49</v>
      </c>
      <c r="I135" s="46">
        <f>TRUNC(T135*(1-LOTE_03!$K$10),2)</f>
        <v>7.66</v>
      </c>
      <c r="J135" s="100">
        <f t="shared" si="8"/>
        <v>0.22470000000000001</v>
      </c>
      <c r="K135" s="48">
        <f t="shared" si="9"/>
        <v>14.07</v>
      </c>
      <c r="L135" s="48">
        <f t="shared" si="10"/>
        <v>9.3800000000000008</v>
      </c>
      <c r="M135" s="48">
        <f t="shared" si="11"/>
        <v>2814</v>
      </c>
      <c r="N135" s="48">
        <f t="shared" si="12"/>
        <v>1876</v>
      </c>
      <c r="O135" s="50">
        <f t="shared" si="13"/>
        <v>4690</v>
      </c>
      <c r="P135" s="50">
        <v>0</v>
      </c>
      <c r="Q135" s="76"/>
      <c r="R135" s="140">
        <f>IF(20*S10&gt;=80,200,50)</f>
        <v>200</v>
      </c>
      <c r="S135" s="79">
        <v>11.489999999999998</v>
      </c>
      <c r="T135" s="80">
        <v>7.66</v>
      </c>
    </row>
    <row r="136" spans="2:20" ht="42">
      <c r="B136" s="5" t="s">
        <v>399</v>
      </c>
      <c r="C136" s="45" t="s">
        <v>165</v>
      </c>
      <c r="D136" s="45" t="s">
        <v>400</v>
      </c>
      <c r="E136" s="6" t="s">
        <v>401</v>
      </c>
      <c r="F136" s="45" t="s">
        <v>402</v>
      </c>
      <c r="G136" s="46">
        <f t="shared" si="16"/>
        <v>200</v>
      </c>
      <c r="H136" s="46">
        <f>TRUNC(S136*(1-LOTE_03!$K$10),2)</f>
        <v>9.11</v>
      </c>
      <c r="I136" s="46">
        <f>TRUNC(T136*(1-LOTE_03!$K$10),2)</f>
        <v>4.1900000000000004</v>
      </c>
      <c r="J136" s="100">
        <f t="shared" si="8"/>
        <v>0.22470000000000001</v>
      </c>
      <c r="K136" s="48">
        <f t="shared" si="9"/>
        <v>11.15</v>
      </c>
      <c r="L136" s="48">
        <f t="shared" si="10"/>
        <v>5.13</v>
      </c>
      <c r="M136" s="48">
        <f t="shared" si="11"/>
        <v>2230</v>
      </c>
      <c r="N136" s="48">
        <f t="shared" si="12"/>
        <v>1026</v>
      </c>
      <c r="O136" s="50">
        <f t="shared" si="13"/>
        <v>3256</v>
      </c>
      <c r="P136" s="50">
        <v>0</v>
      </c>
      <c r="Q136" s="76"/>
      <c r="R136" s="140">
        <f>IF(20*S10&gt;=80,200,50)</f>
        <v>200</v>
      </c>
      <c r="S136" s="79">
        <v>9.11</v>
      </c>
      <c r="T136" s="80">
        <v>4.1900000000000004</v>
      </c>
    </row>
    <row r="137" spans="2:20" ht="42">
      <c r="B137" s="5" t="s">
        <v>403</v>
      </c>
      <c r="C137" s="45" t="s">
        <v>165</v>
      </c>
      <c r="D137" s="45" t="s">
        <v>404</v>
      </c>
      <c r="E137" s="6" t="s">
        <v>405</v>
      </c>
      <c r="F137" s="45" t="s">
        <v>402</v>
      </c>
      <c r="G137" s="46">
        <f t="shared" si="16"/>
        <v>200</v>
      </c>
      <c r="H137" s="46">
        <f>TRUNC(S137*(1-LOTE_03!$K$10),2)</f>
        <v>18.34</v>
      </c>
      <c r="I137" s="46">
        <f>TRUNC(T137*(1-LOTE_03!$K$10),2)</f>
        <v>4.1900000000000004</v>
      </c>
      <c r="J137" s="100">
        <f t="shared" si="8"/>
        <v>0.22470000000000001</v>
      </c>
      <c r="K137" s="48">
        <f t="shared" si="9"/>
        <v>22.46</v>
      </c>
      <c r="L137" s="48">
        <f t="shared" si="10"/>
        <v>5.13</v>
      </c>
      <c r="M137" s="48">
        <f t="shared" si="11"/>
        <v>4492</v>
      </c>
      <c r="N137" s="48">
        <f t="shared" si="12"/>
        <v>1026</v>
      </c>
      <c r="O137" s="50">
        <f t="shared" si="13"/>
        <v>5518</v>
      </c>
      <c r="P137" s="50">
        <v>0</v>
      </c>
      <c r="Q137" s="76"/>
      <c r="R137" s="140">
        <f>IF(20*S10&gt;=80,200,50)</f>
        <v>200</v>
      </c>
      <c r="S137" s="79">
        <v>18.34</v>
      </c>
      <c r="T137" s="80">
        <v>4.1900000000000004</v>
      </c>
    </row>
    <row r="138" spans="2:20" ht="42">
      <c r="B138" s="5" t="s">
        <v>406</v>
      </c>
      <c r="C138" s="45" t="s">
        <v>165</v>
      </c>
      <c r="D138" s="45" t="s">
        <v>407</v>
      </c>
      <c r="E138" s="6" t="s">
        <v>408</v>
      </c>
      <c r="F138" s="45" t="s">
        <v>402</v>
      </c>
      <c r="G138" s="46">
        <f t="shared" si="16"/>
        <v>200</v>
      </c>
      <c r="H138" s="46">
        <f>TRUNC(S138*(1-LOTE_03!$K$10),2)</f>
        <v>24.48</v>
      </c>
      <c r="I138" s="46">
        <f>TRUNC(T138*(1-LOTE_03!$K$10),2)</f>
        <v>2.62</v>
      </c>
      <c r="J138" s="100">
        <f t="shared" si="8"/>
        <v>0.22470000000000001</v>
      </c>
      <c r="K138" s="48">
        <f t="shared" si="9"/>
        <v>29.98</v>
      </c>
      <c r="L138" s="48">
        <f t="shared" si="10"/>
        <v>3.2</v>
      </c>
      <c r="M138" s="48">
        <f t="shared" si="11"/>
        <v>5996</v>
      </c>
      <c r="N138" s="48">
        <f t="shared" si="12"/>
        <v>640</v>
      </c>
      <c r="O138" s="50">
        <f t="shared" si="13"/>
        <v>6636</v>
      </c>
      <c r="P138" s="50">
        <v>0</v>
      </c>
      <c r="Q138" s="76"/>
      <c r="R138" s="140">
        <f>IF(20*S10&gt;=80,200,50)</f>
        <v>200</v>
      </c>
      <c r="S138" s="79">
        <v>24.48</v>
      </c>
      <c r="T138" s="80">
        <v>2.62</v>
      </c>
    </row>
    <row r="139" spans="2:20" ht="28">
      <c r="B139" s="5" t="s">
        <v>409</v>
      </c>
      <c r="C139" s="45" t="s">
        <v>165</v>
      </c>
      <c r="D139" s="45" t="s">
        <v>410</v>
      </c>
      <c r="E139" s="6" t="s">
        <v>411</v>
      </c>
      <c r="F139" s="45" t="s">
        <v>168</v>
      </c>
      <c r="G139" s="46">
        <f t="shared" si="16"/>
        <v>100</v>
      </c>
      <c r="H139" s="46">
        <f>TRUNC(S139*(1-LOTE_03!$K$10),2)</f>
        <v>53.04</v>
      </c>
      <c r="I139" s="46">
        <f>TRUNC(T139*(1-LOTE_03!$K$10),2)</f>
        <v>2</v>
      </c>
      <c r="J139" s="100">
        <f t="shared" si="8"/>
        <v>0.22470000000000001</v>
      </c>
      <c r="K139" s="48">
        <f t="shared" si="9"/>
        <v>64.95</v>
      </c>
      <c r="L139" s="48">
        <f t="shared" si="10"/>
        <v>2.44</v>
      </c>
      <c r="M139" s="48">
        <f t="shared" si="11"/>
        <v>6495</v>
      </c>
      <c r="N139" s="48">
        <f t="shared" si="12"/>
        <v>244</v>
      </c>
      <c r="O139" s="50">
        <f t="shared" si="13"/>
        <v>6739</v>
      </c>
      <c r="P139" s="50">
        <v>0</v>
      </c>
      <c r="Q139" s="76"/>
      <c r="R139" s="140">
        <f>IF(20*S10&gt;=50,100,50)</f>
        <v>100</v>
      </c>
      <c r="S139" s="79">
        <v>53.04</v>
      </c>
      <c r="T139" s="80">
        <v>2</v>
      </c>
    </row>
    <row r="140" spans="2:20" ht="70">
      <c r="B140" s="5" t="s">
        <v>412</v>
      </c>
      <c r="C140" s="45" t="s">
        <v>135</v>
      </c>
      <c r="D140" s="45">
        <v>102475</v>
      </c>
      <c r="E140" s="6" t="s">
        <v>413</v>
      </c>
      <c r="F140" s="45" t="s">
        <v>161</v>
      </c>
      <c r="G140" s="46">
        <f t="shared" si="16"/>
        <v>5</v>
      </c>
      <c r="H140" s="46">
        <f>TRUNC(S140*(1-LOTE_03!$K$10),2)</f>
        <v>676.56</v>
      </c>
      <c r="I140" s="46">
        <f>TRUNC(T140*(1-LOTE_03!$K$10),2)</f>
        <v>73.5</v>
      </c>
      <c r="J140" s="100">
        <f t="shared" si="8"/>
        <v>0.22470000000000001</v>
      </c>
      <c r="K140" s="48">
        <f t="shared" si="9"/>
        <v>828.58</v>
      </c>
      <c r="L140" s="48">
        <f t="shared" si="10"/>
        <v>90.01</v>
      </c>
      <c r="M140" s="48">
        <f t="shared" si="11"/>
        <v>4142.8999999999996</v>
      </c>
      <c r="N140" s="48">
        <f t="shared" si="12"/>
        <v>450.05</v>
      </c>
      <c r="O140" s="50">
        <f t="shared" si="13"/>
        <v>4592.95</v>
      </c>
      <c r="P140" s="50">
        <v>0</v>
      </c>
      <c r="Q140" s="76"/>
      <c r="R140" s="140">
        <f>IF(S10&gt;5,5,1)</f>
        <v>5</v>
      </c>
      <c r="S140" s="79">
        <v>676.56</v>
      </c>
      <c r="T140" s="80">
        <v>73.5</v>
      </c>
    </row>
    <row r="141" spans="2:20" ht="42">
      <c r="B141" s="5" t="s">
        <v>414</v>
      </c>
      <c r="C141" s="45" t="s">
        <v>165</v>
      </c>
      <c r="D141" s="45" t="s">
        <v>415</v>
      </c>
      <c r="E141" s="6" t="s">
        <v>416</v>
      </c>
      <c r="F141" s="45" t="s">
        <v>168</v>
      </c>
      <c r="G141" s="46">
        <f t="shared" si="16"/>
        <v>10</v>
      </c>
      <c r="H141" s="46">
        <f>TRUNC(S141*(1-LOTE_03!$K$10),2)</f>
        <v>107.75</v>
      </c>
      <c r="I141" s="46">
        <f>TRUNC(T141*(1-LOTE_03!$K$10),2)</f>
        <v>6.92</v>
      </c>
      <c r="J141" s="100">
        <f t="shared" si="8"/>
        <v>0.22470000000000001</v>
      </c>
      <c r="K141" s="48">
        <f t="shared" si="9"/>
        <v>131.96</v>
      </c>
      <c r="L141" s="48">
        <f t="shared" si="10"/>
        <v>8.4700000000000006</v>
      </c>
      <c r="M141" s="48">
        <f t="shared" si="11"/>
        <v>1319.6</v>
      </c>
      <c r="N141" s="48">
        <f t="shared" si="12"/>
        <v>84.7</v>
      </c>
      <c r="O141" s="50">
        <f t="shared" si="13"/>
        <v>1404.3</v>
      </c>
      <c r="P141" s="50">
        <v>0</v>
      </c>
      <c r="Q141" s="76"/>
      <c r="R141" s="140">
        <f>IF(S10*10&gt;100,100,10)</f>
        <v>10</v>
      </c>
      <c r="S141" s="79">
        <v>107.75</v>
      </c>
      <c r="T141" s="80">
        <v>6.92</v>
      </c>
    </row>
    <row r="142" spans="2:20" ht="56">
      <c r="B142" s="5" t="s">
        <v>417</v>
      </c>
      <c r="C142" s="45" t="s">
        <v>135</v>
      </c>
      <c r="D142" s="45">
        <v>94969</v>
      </c>
      <c r="E142" s="6" t="s">
        <v>418</v>
      </c>
      <c r="F142" s="45" t="s">
        <v>161</v>
      </c>
      <c r="G142" s="46">
        <f t="shared" si="16"/>
        <v>10</v>
      </c>
      <c r="H142" s="46">
        <f>TRUNC(S142*(1-LOTE_03!$K$10),2)</f>
        <v>485.74</v>
      </c>
      <c r="I142" s="46">
        <f>TRUNC(T142*(1-LOTE_03!$K$10),2)</f>
        <v>56.92</v>
      </c>
      <c r="J142" s="100">
        <f t="shared" si="8"/>
        <v>0.22470000000000001</v>
      </c>
      <c r="K142" s="48">
        <f t="shared" si="9"/>
        <v>594.88</v>
      </c>
      <c r="L142" s="48">
        <f t="shared" si="10"/>
        <v>69.7</v>
      </c>
      <c r="M142" s="48">
        <f t="shared" si="11"/>
        <v>5948.8</v>
      </c>
      <c r="N142" s="48">
        <f t="shared" si="12"/>
        <v>697</v>
      </c>
      <c r="O142" s="50">
        <f t="shared" si="13"/>
        <v>6645.8</v>
      </c>
      <c r="P142" s="50">
        <v>0</v>
      </c>
      <c r="Q142" s="76"/>
      <c r="R142" s="140">
        <f>IF(S10&gt;5,10,1)</f>
        <v>10</v>
      </c>
      <c r="S142" s="79">
        <v>485.73999999999995</v>
      </c>
      <c r="T142" s="80">
        <v>56.92</v>
      </c>
    </row>
    <row r="143" spans="2:20" ht="56">
      <c r="B143" s="5" t="s">
        <v>419</v>
      </c>
      <c r="C143" s="45" t="s">
        <v>135</v>
      </c>
      <c r="D143" s="45">
        <v>92263</v>
      </c>
      <c r="E143" s="6" t="s">
        <v>420</v>
      </c>
      <c r="F143" s="45" t="s">
        <v>121</v>
      </c>
      <c r="G143" s="46">
        <f t="shared" si="16"/>
        <v>100</v>
      </c>
      <c r="H143" s="46">
        <f>TRUNC(S143*(1-LOTE_03!$K$10),2)</f>
        <v>151.4</v>
      </c>
      <c r="I143" s="46">
        <f>TRUNC(T143*(1-LOTE_03!$K$10),2)</f>
        <v>36.549999999999997</v>
      </c>
      <c r="J143" s="100">
        <f t="shared" si="8"/>
        <v>0.22470000000000001</v>
      </c>
      <c r="K143" s="48">
        <f t="shared" si="9"/>
        <v>185.41</v>
      </c>
      <c r="L143" s="48">
        <f t="shared" si="10"/>
        <v>44.76</v>
      </c>
      <c r="M143" s="48">
        <f t="shared" si="11"/>
        <v>18541</v>
      </c>
      <c r="N143" s="48">
        <f t="shared" si="12"/>
        <v>4476</v>
      </c>
      <c r="O143" s="50">
        <f t="shared" si="13"/>
        <v>23017</v>
      </c>
      <c r="P143" s="50">
        <v>0</v>
      </c>
      <c r="Q143" s="76"/>
      <c r="R143" s="140">
        <f>IF(S10&gt;5,100,20)</f>
        <v>100</v>
      </c>
      <c r="S143" s="79">
        <v>151.39999999999998</v>
      </c>
      <c r="T143" s="80">
        <v>36.549999999999997</v>
      </c>
    </row>
    <row r="144" spans="2:20" ht="70">
      <c r="B144" s="5" t="s">
        <v>421</v>
      </c>
      <c r="C144" s="45" t="s">
        <v>135</v>
      </c>
      <c r="D144" s="45">
        <v>92409</v>
      </c>
      <c r="E144" s="6" t="s">
        <v>422</v>
      </c>
      <c r="F144" s="45" t="s">
        <v>121</v>
      </c>
      <c r="G144" s="46">
        <f t="shared" si="16"/>
        <v>100</v>
      </c>
      <c r="H144" s="46">
        <f>TRUNC(S144*(1-LOTE_03!$K$10),2)</f>
        <v>183.23</v>
      </c>
      <c r="I144" s="46">
        <f>TRUNC(T144*(1-LOTE_03!$K$10),2)</f>
        <v>94.3</v>
      </c>
      <c r="J144" s="100">
        <f t="shared" si="8"/>
        <v>0.22470000000000001</v>
      </c>
      <c r="K144" s="48">
        <f t="shared" si="9"/>
        <v>224.4</v>
      </c>
      <c r="L144" s="48">
        <f t="shared" si="10"/>
        <v>115.48</v>
      </c>
      <c r="M144" s="48">
        <f t="shared" si="11"/>
        <v>22440</v>
      </c>
      <c r="N144" s="48">
        <f t="shared" si="12"/>
        <v>11548</v>
      </c>
      <c r="O144" s="50">
        <f t="shared" si="13"/>
        <v>33988</v>
      </c>
      <c r="P144" s="50">
        <v>0</v>
      </c>
      <c r="Q144" s="76"/>
      <c r="R144" s="140">
        <f>IF(S10&gt;5,100,20)</f>
        <v>100</v>
      </c>
      <c r="S144" s="79">
        <v>183.22999999999996</v>
      </c>
      <c r="T144" s="80">
        <v>94.3</v>
      </c>
    </row>
    <row r="145" spans="2:20" ht="56">
      <c r="B145" s="5" t="s">
        <v>423</v>
      </c>
      <c r="C145" s="45" t="s">
        <v>135</v>
      </c>
      <c r="D145" s="45">
        <v>92482</v>
      </c>
      <c r="E145" s="6" t="s">
        <v>424</v>
      </c>
      <c r="F145" s="45" t="s">
        <v>121</v>
      </c>
      <c r="G145" s="46">
        <f t="shared" si="16"/>
        <v>100</v>
      </c>
      <c r="H145" s="46">
        <f>TRUNC(S145*(1-LOTE_03!$K$10),2)</f>
        <v>253.58</v>
      </c>
      <c r="I145" s="46">
        <f>TRUNC(T145*(1-LOTE_03!$K$10),2)</f>
        <v>107.69</v>
      </c>
      <c r="J145" s="100">
        <f t="shared" ref="J145:J209" si="17">$J$4</f>
        <v>0.22470000000000001</v>
      </c>
      <c r="K145" s="48">
        <f t="shared" ref="K145:K207" si="18">TRUNC(H145*(1+J145),2)</f>
        <v>310.55</v>
      </c>
      <c r="L145" s="48">
        <f t="shared" ref="L145:L207" si="19">TRUNC(I145*(1+J145),2)</f>
        <v>131.88</v>
      </c>
      <c r="M145" s="48">
        <f t="shared" ref="M145:M207" si="20">TRUNC(K145*G145,2)</f>
        <v>31055</v>
      </c>
      <c r="N145" s="48">
        <f t="shared" ref="N145:N207" si="21">TRUNC(L145*G145,2)</f>
        <v>13188</v>
      </c>
      <c r="O145" s="50">
        <f t="shared" ref="O145:O207" si="22">TRUNC(M145+N145,2)</f>
        <v>44243</v>
      </c>
      <c r="P145" s="50">
        <v>0</v>
      </c>
      <c r="Q145" s="76"/>
      <c r="R145" s="140">
        <f>IF(S10&gt;5,100,20)</f>
        <v>100</v>
      </c>
      <c r="S145" s="79">
        <v>253.57999999999998</v>
      </c>
      <c r="T145" s="80">
        <v>107.69</v>
      </c>
    </row>
    <row r="146" spans="2:20" ht="70">
      <c r="B146" s="5" t="s">
        <v>425</v>
      </c>
      <c r="C146" s="45" t="s">
        <v>135</v>
      </c>
      <c r="D146" s="45">
        <v>101963</v>
      </c>
      <c r="E146" s="6" t="s">
        <v>426</v>
      </c>
      <c r="F146" s="45" t="s">
        <v>121</v>
      </c>
      <c r="G146" s="46">
        <f t="shared" si="16"/>
        <v>100</v>
      </c>
      <c r="H146" s="46">
        <f>TRUNC(S146*(1-LOTE_03!$K$10),2)</f>
        <v>179.55</v>
      </c>
      <c r="I146" s="46">
        <f>TRUNC(T146*(1-LOTE_03!$K$10),2)</f>
        <v>26</v>
      </c>
      <c r="J146" s="100">
        <f t="shared" si="17"/>
        <v>0.22470000000000001</v>
      </c>
      <c r="K146" s="48">
        <f t="shared" si="18"/>
        <v>219.89</v>
      </c>
      <c r="L146" s="48">
        <f t="shared" si="19"/>
        <v>31.84</v>
      </c>
      <c r="M146" s="48">
        <f t="shared" si="20"/>
        <v>21989</v>
      </c>
      <c r="N146" s="48">
        <f t="shared" si="21"/>
        <v>3184</v>
      </c>
      <c r="O146" s="50">
        <f t="shared" si="22"/>
        <v>25173</v>
      </c>
      <c r="P146" s="50">
        <v>0</v>
      </c>
      <c r="Q146" s="76"/>
      <c r="R146" s="140">
        <f>IF(S10&gt;5,100,20)</f>
        <v>100</v>
      </c>
      <c r="S146" s="79">
        <v>179.55</v>
      </c>
      <c r="T146" s="80">
        <v>26</v>
      </c>
    </row>
    <row r="147" spans="2:20" ht="42">
      <c r="B147" s="5" t="s">
        <v>427</v>
      </c>
      <c r="C147" s="45" t="s">
        <v>135</v>
      </c>
      <c r="D147" s="45">
        <v>103670</v>
      </c>
      <c r="E147" s="6" t="s">
        <v>390</v>
      </c>
      <c r="F147" s="45" t="s">
        <v>161</v>
      </c>
      <c r="G147" s="46">
        <f t="shared" si="16"/>
        <v>5</v>
      </c>
      <c r="H147" s="46">
        <f>TRUNC(S147*(1-LOTE_03!$K$10),2)</f>
        <v>97.43</v>
      </c>
      <c r="I147" s="46">
        <f>TRUNC(T147*(1-LOTE_03!$K$10),2)</f>
        <v>204.85</v>
      </c>
      <c r="J147" s="100">
        <f t="shared" si="17"/>
        <v>0.22470000000000001</v>
      </c>
      <c r="K147" s="48">
        <f t="shared" si="18"/>
        <v>119.32</v>
      </c>
      <c r="L147" s="48">
        <f t="shared" si="19"/>
        <v>250.87</v>
      </c>
      <c r="M147" s="48">
        <f t="shared" si="20"/>
        <v>596.6</v>
      </c>
      <c r="N147" s="48">
        <f t="shared" si="21"/>
        <v>1254.3499999999999</v>
      </c>
      <c r="O147" s="50">
        <f t="shared" si="22"/>
        <v>1850.95</v>
      </c>
      <c r="P147" s="50">
        <v>0</v>
      </c>
      <c r="Q147" s="76"/>
      <c r="R147" s="140">
        <f>IF(S10&gt;5,5,1)</f>
        <v>5</v>
      </c>
      <c r="S147" s="79">
        <v>97.429999999999978</v>
      </c>
      <c r="T147" s="80">
        <v>204.85</v>
      </c>
    </row>
    <row r="148" spans="2:20" ht="42">
      <c r="B148" s="5" t="s">
        <v>428</v>
      </c>
      <c r="C148" s="45" t="s">
        <v>135</v>
      </c>
      <c r="D148" s="45">
        <v>105036</v>
      </c>
      <c r="E148" s="6" t="s">
        <v>429</v>
      </c>
      <c r="F148" s="45" t="s">
        <v>187</v>
      </c>
      <c r="G148" s="46">
        <f t="shared" si="16"/>
        <v>20</v>
      </c>
      <c r="H148" s="46">
        <f>TRUNC(S148*(1-LOTE_03!$K$10),2)</f>
        <v>25.93</v>
      </c>
      <c r="I148" s="46">
        <f>TRUNC(T148*(1-LOTE_03!$K$10),2)</f>
        <v>23.57</v>
      </c>
      <c r="J148" s="100">
        <f t="shared" si="17"/>
        <v>0.22470000000000001</v>
      </c>
      <c r="K148" s="48">
        <f t="shared" si="18"/>
        <v>31.75</v>
      </c>
      <c r="L148" s="48">
        <f t="shared" si="19"/>
        <v>28.86</v>
      </c>
      <c r="M148" s="48">
        <f t="shared" si="20"/>
        <v>635</v>
      </c>
      <c r="N148" s="48">
        <f t="shared" si="21"/>
        <v>577.20000000000005</v>
      </c>
      <c r="O148" s="50">
        <f t="shared" si="22"/>
        <v>1212.2</v>
      </c>
      <c r="P148" s="50">
        <v>0</v>
      </c>
      <c r="Q148" s="76"/>
      <c r="R148" s="140">
        <f>IF(S10&gt;=5,20,5)</f>
        <v>20</v>
      </c>
      <c r="S148" s="79">
        <v>25.93</v>
      </c>
      <c r="T148" s="80">
        <v>23.57</v>
      </c>
    </row>
    <row r="149" spans="2:20" ht="42">
      <c r="B149" s="5" t="s">
        <v>430</v>
      </c>
      <c r="C149" s="45" t="s">
        <v>135</v>
      </c>
      <c r="D149" s="45">
        <v>94588</v>
      </c>
      <c r="E149" s="6" t="s">
        <v>431</v>
      </c>
      <c r="F149" s="45" t="s">
        <v>187</v>
      </c>
      <c r="G149" s="46">
        <f t="shared" si="16"/>
        <v>20</v>
      </c>
      <c r="H149" s="46">
        <f>TRUNC(S149*(1-LOTE_03!$K$10),2)</f>
        <v>53.26</v>
      </c>
      <c r="I149" s="46">
        <f>TRUNC(T149*(1-LOTE_03!$K$10),2)</f>
        <v>25.54</v>
      </c>
      <c r="J149" s="100">
        <f t="shared" si="17"/>
        <v>0.22470000000000001</v>
      </c>
      <c r="K149" s="48">
        <f t="shared" si="18"/>
        <v>65.22</v>
      </c>
      <c r="L149" s="48">
        <f t="shared" si="19"/>
        <v>31.27</v>
      </c>
      <c r="M149" s="48">
        <f t="shared" si="20"/>
        <v>1304.4000000000001</v>
      </c>
      <c r="N149" s="48">
        <f t="shared" si="21"/>
        <v>625.4</v>
      </c>
      <c r="O149" s="50">
        <f t="shared" si="22"/>
        <v>1929.8</v>
      </c>
      <c r="P149" s="50">
        <v>0</v>
      </c>
      <c r="Q149" s="76"/>
      <c r="R149" s="140">
        <f>IF(S10&gt;=5,20,5)</f>
        <v>20</v>
      </c>
      <c r="S149" s="79">
        <v>53.26</v>
      </c>
      <c r="T149" s="80">
        <v>25.54</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1342321</v>
      </c>
      <c r="Q150" s="76"/>
      <c r="R150" s="154"/>
      <c r="S150" s="79" t="s">
        <v>22</v>
      </c>
      <c r="T150" s="80" t="s">
        <v>22</v>
      </c>
    </row>
    <row r="151" spans="2:20" ht="28">
      <c r="B151" s="5" t="s">
        <v>432</v>
      </c>
      <c r="C151" s="45" t="s">
        <v>135</v>
      </c>
      <c r="D151" s="45">
        <v>98458</v>
      </c>
      <c r="E151" s="6" t="s">
        <v>433</v>
      </c>
      <c r="F151" s="45" t="s">
        <v>121</v>
      </c>
      <c r="G151" s="46">
        <f t="shared" si="23"/>
        <v>200</v>
      </c>
      <c r="H151" s="46">
        <f>TRUNC(S151*(1-LOTE_03!$K$10),2)</f>
        <v>79.33</v>
      </c>
      <c r="I151" s="46">
        <f>TRUNC(T151*(1-LOTE_03!$K$10),2)</f>
        <v>26.57</v>
      </c>
      <c r="J151" s="100">
        <f t="shared" si="17"/>
        <v>0.22470000000000001</v>
      </c>
      <c r="K151" s="48">
        <f t="shared" si="18"/>
        <v>97.15</v>
      </c>
      <c r="L151" s="48">
        <f t="shared" si="19"/>
        <v>32.54</v>
      </c>
      <c r="M151" s="48">
        <f t="shared" si="20"/>
        <v>19430</v>
      </c>
      <c r="N151" s="48">
        <f t="shared" si="21"/>
        <v>6508</v>
      </c>
      <c r="O151" s="50">
        <f t="shared" si="22"/>
        <v>25938</v>
      </c>
      <c r="P151" s="50">
        <v>0</v>
      </c>
      <c r="Q151" s="76"/>
      <c r="R151" s="140">
        <f>IF((15*3*S9+15*3*S10)&gt;200,200,(15*3*S9+15*3*S10))</f>
        <v>200</v>
      </c>
      <c r="S151" s="79">
        <v>79.330000000000013</v>
      </c>
      <c r="T151" s="80">
        <v>26.57</v>
      </c>
    </row>
    <row r="152" spans="2:20" ht="70">
      <c r="B152" s="5" t="s">
        <v>434</v>
      </c>
      <c r="C152" s="45" t="s">
        <v>135</v>
      </c>
      <c r="D152" s="45">
        <v>103329</v>
      </c>
      <c r="E152" s="6" t="s">
        <v>435</v>
      </c>
      <c r="F152" s="45" t="s">
        <v>121</v>
      </c>
      <c r="G152" s="46">
        <f t="shared" si="23"/>
        <v>550</v>
      </c>
      <c r="H152" s="46">
        <f>TRUNC(S152*(1-LOTE_03!$K$10),2)</f>
        <v>50.69</v>
      </c>
      <c r="I152" s="46">
        <f>TRUNC(T152*(1-LOTE_03!$K$10),2)</f>
        <v>48.17</v>
      </c>
      <c r="J152" s="100">
        <f t="shared" si="17"/>
        <v>0.22470000000000001</v>
      </c>
      <c r="K152" s="48">
        <f t="shared" si="18"/>
        <v>62.08</v>
      </c>
      <c r="L152" s="48">
        <f t="shared" si="19"/>
        <v>58.99</v>
      </c>
      <c r="M152" s="48">
        <f t="shared" si="20"/>
        <v>34144</v>
      </c>
      <c r="N152" s="48">
        <f t="shared" si="21"/>
        <v>32444.5</v>
      </c>
      <c r="O152" s="50">
        <f t="shared" si="22"/>
        <v>66588.5</v>
      </c>
      <c r="P152" s="50">
        <v>0</v>
      </c>
      <c r="Q152" s="76"/>
      <c r="R152" s="140">
        <f>IF((20*S9+50*S10)&gt;1000,1000,(20*S9+50*S10))</f>
        <v>550</v>
      </c>
      <c r="S152" s="79">
        <v>50.69</v>
      </c>
      <c r="T152" s="80">
        <v>48.17</v>
      </c>
    </row>
    <row r="153" spans="2:20" ht="70">
      <c r="B153" s="5" t="s">
        <v>436</v>
      </c>
      <c r="C153" s="45" t="s">
        <v>135</v>
      </c>
      <c r="D153" s="45">
        <v>103331</v>
      </c>
      <c r="E153" s="6" t="s">
        <v>437</v>
      </c>
      <c r="F153" s="45" t="s">
        <v>121</v>
      </c>
      <c r="G153" s="46">
        <f t="shared" si="23"/>
        <v>550</v>
      </c>
      <c r="H153" s="46">
        <f>TRUNC(S153*(1-LOTE_03!$K$10),2)</f>
        <v>50.77</v>
      </c>
      <c r="I153" s="46">
        <f>TRUNC(T153*(1-LOTE_03!$K$10),2)</f>
        <v>37.090000000000003</v>
      </c>
      <c r="J153" s="100">
        <f t="shared" si="17"/>
        <v>0.22470000000000001</v>
      </c>
      <c r="K153" s="48">
        <f t="shared" si="18"/>
        <v>62.17</v>
      </c>
      <c r="L153" s="48">
        <f t="shared" si="19"/>
        <v>45.42</v>
      </c>
      <c r="M153" s="48">
        <f t="shared" si="20"/>
        <v>34193.5</v>
      </c>
      <c r="N153" s="48">
        <f t="shared" si="21"/>
        <v>24981</v>
      </c>
      <c r="O153" s="50">
        <f t="shared" si="22"/>
        <v>59174.5</v>
      </c>
      <c r="P153" s="50">
        <v>0</v>
      </c>
      <c r="Q153" s="76"/>
      <c r="R153" s="140">
        <f>IF((20*S9+50*S10)&gt;1000,1000,(20*S9+50*S10))</f>
        <v>550</v>
      </c>
      <c r="S153" s="79">
        <v>50.769999999999996</v>
      </c>
      <c r="T153" s="80">
        <v>37.090000000000003</v>
      </c>
    </row>
    <row r="154" spans="2:20" ht="70">
      <c r="B154" s="5" t="s">
        <v>438</v>
      </c>
      <c r="C154" s="45" t="s">
        <v>135</v>
      </c>
      <c r="D154" s="45">
        <v>96358</v>
      </c>
      <c r="E154" s="6" t="s">
        <v>439</v>
      </c>
      <c r="F154" s="45" t="s">
        <v>121</v>
      </c>
      <c r="G154" s="46">
        <f t="shared" si="23"/>
        <v>500</v>
      </c>
      <c r="H154" s="46">
        <f>TRUNC(S154*(1-LOTE_03!$K$10),2)</f>
        <v>93.11</v>
      </c>
      <c r="I154" s="46">
        <f>TRUNC(T154*(1-LOTE_03!$K$10),2)</f>
        <v>10.7</v>
      </c>
      <c r="J154" s="100">
        <f t="shared" si="17"/>
        <v>0.22470000000000001</v>
      </c>
      <c r="K154" s="48">
        <f t="shared" si="18"/>
        <v>114.03</v>
      </c>
      <c r="L154" s="48">
        <f t="shared" si="19"/>
        <v>13.1</v>
      </c>
      <c r="M154" s="48">
        <f t="shared" si="20"/>
        <v>57015</v>
      </c>
      <c r="N154" s="48">
        <f t="shared" si="21"/>
        <v>6550</v>
      </c>
      <c r="O154" s="50">
        <f t="shared" si="22"/>
        <v>63565</v>
      </c>
      <c r="P154" s="50">
        <v>0</v>
      </c>
      <c r="Q154" s="76"/>
      <c r="R154" s="140">
        <f>IF((20*S9+50*S10)&gt;500,500,(20*S9+50*S10))</f>
        <v>500</v>
      </c>
      <c r="S154" s="79">
        <v>93.11</v>
      </c>
      <c r="T154" s="80">
        <v>10.7</v>
      </c>
    </row>
    <row r="155" spans="2:20" ht="98">
      <c r="B155" s="5" t="s">
        <v>440</v>
      </c>
      <c r="C155" s="45" t="s">
        <v>135</v>
      </c>
      <c r="D155" s="45">
        <v>96359</v>
      </c>
      <c r="E155" s="6" t="s">
        <v>441</v>
      </c>
      <c r="F155" s="45" t="s">
        <v>121</v>
      </c>
      <c r="G155" s="46">
        <f t="shared" si="23"/>
        <v>500</v>
      </c>
      <c r="H155" s="46">
        <f>TRUNC(S155*(1-LOTE_03!$K$10),2)</f>
        <v>104.72</v>
      </c>
      <c r="I155" s="46">
        <f>TRUNC(T155*(1-LOTE_03!$K$10),2)</f>
        <v>12.1</v>
      </c>
      <c r="J155" s="100">
        <f t="shared" si="17"/>
        <v>0.22470000000000001</v>
      </c>
      <c r="K155" s="48">
        <f t="shared" si="18"/>
        <v>128.25</v>
      </c>
      <c r="L155" s="48">
        <f t="shared" si="19"/>
        <v>14.81</v>
      </c>
      <c r="M155" s="48">
        <f t="shared" si="20"/>
        <v>64125</v>
      </c>
      <c r="N155" s="48">
        <f t="shared" si="21"/>
        <v>7405</v>
      </c>
      <c r="O155" s="50">
        <f t="shared" si="22"/>
        <v>71530</v>
      </c>
      <c r="P155" s="50">
        <v>0</v>
      </c>
      <c r="Q155" s="76"/>
      <c r="R155" s="140">
        <f>IF((20*S9+50*S10)&gt;500,500,(20*S9+50*S10))</f>
        <v>500</v>
      </c>
      <c r="S155" s="79">
        <v>104.72</v>
      </c>
      <c r="T155" s="80">
        <v>12.1</v>
      </c>
    </row>
    <row r="156" spans="2:20" ht="42">
      <c r="B156" s="5" t="s">
        <v>442</v>
      </c>
      <c r="C156" s="45" t="s">
        <v>97</v>
      </c>
      <c r="D156" s="45" t="s">
        <v>443</v>
      </c>
      <c r="E156" s="6" t="s">
        <v>444</v>
      </c>
      <c r="F156" s="45" t="s">
        <v>121</v>
      </c>
      <c r="G156" s="46">
        <f t="shared" si="23"/>
        <v>200</v>
      </c>
      <c r="H156" s="46">
        <f>TRUNC(S156*(1-LOTE_03!$K$10),2)</f>
        <v>330.37</v>
      </c>
      <c r="I156" s="46">
        <f>TRUNC(T156*(1-LOTE_03!$K$10),2)</f>
        <v>97.9</v>
      </c>
      <c r="J156" s="100">
        <f t="shared" si="17"/>
        <v>0.22470000000000001</v>
      </c>
      <c r="K156" s="48">
        <f t="shared" si="18"/>
        <v>404.6</v>
      </c>
      <c r="L156" s="48">
        <f t="shared" si="19"/>
        <v>119.89</v>
      </c>
      <c r="M156" s="48">
        <f t="shared" si="20"/>
        <v>80920</v>
      </c>
      <c r="N156" s="48">
        <f t="shared" si="21"/>
        <v>23978</v>
      </c>
      <c r="O156" s="50">
        <f t="shared" si="22"/>
        <v>104898</v>
      </c>
      <c r="P156" s="50">
        <v>0</v>
      </c>
      <c r="Q156" s="76"/>
      <c r="R156" s="140">
        <f>IF((20*S9+20*S10)&gt;200,200,(20*S9+20*S10))</f>
        <v>200</v>
      </c>
      <c r="S156" s="79">
        <v>330.37</v>
      </c>
      <c r="T156" s="80">
        <v>97.9</v>
      </c>
    </row>
    <row r="157" spans="2:20" ht="42">
      <c r="B157" s="5" t="s">
        <v>445</v>
      </c>
      <c r="C157" s="45" t="s">
        <v>135</v>
      </c>
      <c r="D157" s="45">
        <v>102180</v>
      </c>
      <c r="E157" s="6" t="s">
        <v>1772</v>
      </c>
      <c r="F157" s="45" t="s">
        <v>121</v>
      </c>
      <c r="G157" s="46">
        <f t="shared" si="23"/>
        <v>100</v>
      </c>
      <c r="H157" s="46">
        <f>TRUNC(S157*(1-LOTE_03!$K$10),2)</f>
        <v>341.03</v>
      </c>
      <c r="I157" s="46">
        <f>TRUNC(T157*(1-LOTE_03!$K$10),2)</f>
        <v>48.89</v>
      </c>
      <c r="J157" s="100">
        <f t="shared" si="17"/>
        <v>0.22470000000000001</v>
      </c>
      <c r="K157" s="48">
        <f t="shared" si="18"/>
        <v>417.65</v>
      </c>
      <c r="L157" s="48">
        <f t="shared" si="19"/>
        <v>59.87</v>
      </c>
      <c r="M157" s="48">
        <f t="shared" si="20"/>
        <v>41765</v>
      </c>
      <c r="N157" s="48">
        <f t="shared" si="21"/>
        <v>5987</v>
      </c>
      <c r="O157" s="50">
        <f t="shared" si="22"/>
        <v>47752</v>
      </c>
      <c r="P157" s="50">
        <v>0</v>
      </c>
      <c r="Q157" s="76"/>
      <c r="R157" s="140">
        <f>IF((20*S9+20*S10)&gt;100,100,(20*S9+20*S10))</f>
        <v>100</v>
      </c>
      <c r="S157" s="79">
        <v>341.03000000000003</v>
      </c>
      <c r="T157" s="80">
        <v>48.89</v>
      </c>
    </row>
    <row r="158" spans="2:20" ht="42">
      <c r="B158" s="5" t="s">
        <v>446</v>
      </c>
      <c r="C158" s="45" t="s">
        <v>135</v>
      </c>
      <c r="D158" s="45">
        <v>102181</v>
      </c>
      <c r="E158" s="6" t="s">
        <v>1773</v>
      </c>
      <c r="F158" s="45" t="s">
        <v>121</v>
      </c>
      <c r="G158" s="46">
        <f t="shared" si="23"/>
        <v>200</v>
      </c>
      <c r="H158" s="46">
        <f>TRUNC(S158*(1-LOTE_03!$K$10),2)</f>
        <v>418.12</v>
      </c>
      <c r="I158" s="46">
        <f>TRUNC(T158*(1-LOTE_03!$K$10),2)</f>
        <v>46.71</v>
      </c>
      <c r="J158" s="100">
        <f t="shared" si="17"/>
        <v>0.22470000000000001</v>
      </c>
      <c r="K158" s="48">
        <f t="shared" si="18"/>
        <v>512.07000000000005</v>
      </c>
      <c r="L158" s="48">
        <f t="shared" si="19"/>
        <v>57.2</v>
      </c>
      <c r="M158" s="48">
        <f t="shared" si="20"/>
        <v>102414</v>
      </c>
      <c r="N158" s="48">
        <f t="shared" si="21"/>
        <v>11440</v>
      </c>
      <c r="O158" s="50">
        <f t="shared" si="22"/>
        <v>113854</v>
      </c>
      <c r="P158" s="50">
        <v>0</v>
      </c>
      <c r="Q158" s="76"/>
      <c r="R158" s="140">
        <f>IF((20*S9+20*S10)&gt;200,200,(20*S9+20*S10))</f>
        <v>200</v>
      </c>
      <c r="S158" s="79">
        <v>418.12</v>
      </c>
      <c r="T158" s="80">
        <v>46.71</v>
      </c>
    </row>
    <row r="159" spans="2:20" ht="56">
      <c r="B159" s="5" t="s">
        <v>447</v>
      </c>
      <c r="C159" s="45" t="s">
        <v>97</v>
      </c>
      <c r="D159" s="45" t="s">
        <v>448</v>
      </c>
      <c r="E159" s="6" t="s">
        <v>449</v>
      </c>
      <c r="F159" s="45" t="s">
        <v>121</v>
      </c>
      <c r="G159" s="46">
        <f t="shared" si="23"/>
        <v>200</v>
      </c>
      <c r="H159" s="46">
        <f>TRUNC(S159*(1-LOTE_03!$K$10),2)</f>
        <v>143.80000000000001</v>
      </c>
      <c r="I159" s="46">
        <f>TRUNC(T159*(1-LOTE_03!$K$10),2)</f>
        <v>46.71</v>
      </c>
      <c r="J159" s="100">
        <f t="shared" si="17"/>
        <v>0.22470000000000001</v>
      </c>
      <c r="K159" s="48">
        <f t="shared" si="18"/>
        <v>176.11</v>
      </c>
      <c r="L159" s="48">
        <f t="shared" si="19"/>
        <v>57.2</v>
      </c>
      <c r="M159" s="48">
        <f t="shared" si="20"/>
        <v>35222</v>
      </c>
      <c r="N159" s="48">
        <f t="shared" si="21"/>
        <v>11440</v>
      </c>
      <c r="O159" s="50">
        <f t="shared" si="22"/>
        <v>46662</v>
      </c>
      <c r="P159" s="50">
        <v>0</v>
      </c>
      <c r="Q159" s="76"/>
      <c r="R159" s="140">
        <f>IF((20*S9+20*S10)&gt;200,200,(20*S9+20*S10))</f>
        <v>200</v>
      </c>
      <c r="S159" s="79">
        <v>143.80000000000001</v>
      </c>
      <c r="T159" s="80">
        <v>46.71</v>
      </c>
    </row>
    <row r="160" spans="2:20" ht="56">
      <c r="B160" s="5" t="s">
        <v>450</v>
      </c>
      <c r="C160" s="45" t="s">
        <v>135</v>
      </c>
      <c r="D160" s="45">
        <v>102253</v>
      </c>
      <c r="E160" s="6" t="s">
        <v>1774</v>
      </c>
      <c r="F160" s="45" t="s">
        <v>121</v>
      </c>
      <c r="G160" s="46">
        <f>IF($S$11=0,0,TRUNC(R160,2))</f>
        <v>10</v>
      </c>
      <c r="H160" s="46">
        <f>TRUNC(S160*(1-LOTE_03!$K$10),2)</f>
        <v>874.59</v>
      </c>
      <c r="I160" s="46">
        <f>TRUNC(T160*(1-LOTE_03!$K$10),2)</f>
        <v>71.73</v>
      </c>
      <c r="J160" s="100">
        <f t="shared" si="17"/>
        <v>0.22470000000000001</v>
      </c>
      <c r="K160" s="48">
        <f t="shared" si="18"/>
        <v>1071.1099999999999</v>
      </c>
      <c r="L160" s="48">
        <f t="shared" si="19"/>
        <v>87.84</v>
      </c>
      <c r="M160" s="48">
        <f t="shared" si="20"/>
        <v>10711.1</v>
      </c>
      <c r="N160" s="48">
        <f t="shared" si="21"/>
        <v>878.4</v>
      </c>
      <c r="O160" s="50">
        <f t="shared" si="22"/>
        <v>11589.5</v>
      </c>
      <c r="P160" s="50">
        <v>0</v>
      </c>
      <c r="Q160" s="76"/>
      <c r="R160" s="140">
        <f>IF(S10&gt;=5,10,5)</f>
        <v>10</v>
      </c>
      <c r="S160" s="79">
        <v>874.59</v>
      </c>
      <c r="T160" s="80">
        <v>71.73</v>
      </c>
    </row>
    <row r="161" spans="2:20" ht="42">
      <c r="B161" s="5" t="s">
        <v>451</v>
      </c>
      <c r="C161" s="45" t="s">
        <v>165</v>
      </c>
      <c r="D161" s="45" t="s">
        <v>452</v>
      </c>
      <c r="E161" s="6" t="s">
        <v>453</v>
      </c>
      <c r="F161" s="45" t="s">
        <v>168</v>
      </c>
      <c r="G161" s="46">
        <f t="shared" si="23"/>
        <v>500</v>
      </c>
      <c r="H161" s="46">
        <f>TRUNC(S161*(1-LOTE_03!$K$10),2)</f>
        <v>406.96</v>
      </c>
      <c r="I161" s="46">
        <f>TRUNC(T161*(1-LOTE_03!$K$10),2)</f>
        <v>0</v>
      </c>
      <c r="J161" s="100">
        <f t="shared" si="17"/>
        <v>0.22470000000000001</v>
      </c>
      <c r="K161" s="48">
        <f t="shared" si="18"/>
        <v>498.4</v>
      </c>
      <c r="L161" s="48">
        <f t="shared" si="19"/>
        <v>0</v>
      </c>
      <c r="M161" s="48">
        <f t="shared" si="20"/>
        <v>249200</v>
      </c>
      <c r="N161" s="48">
        <f t="shared" si="21"/>
        <v>0</v>
      </c>
      <c r="O161" s="50">
        <f t="shared" si="22"/>
        <v>249200</v>
      </c>
      <c r="P161" s="50">
        <v>0</v>
      </c>
      <c r="Q161" s="76"/>
      <c r="R161" s="140">
        <f>IF((50*S9+50*S10)&gt;500,500,(50*S9+50*S10))</f>
        <v>500</v>
      </c>
      <c r="S161" s="79">
        <v>406.96</v>
      </c>
      <c r="T161" s="80">
        <v>0</v>
      </c>
    </row>
    <row r="162" spans="2:20" ht="56">
      <c r="B162" s="5" t="s">
        <v>454</v>
      </c>
      <c r="C162" s="45" t="s">
        <v>165</v>
      </c>
      <c r="D162" s="45" t="s">
        <v>455</v>
      </c>
      <c r="E162" s="6" t="s">
        <v>456</v>
      </c>
      <c r="F162" s="45" t="s">
        <v>168</v>
      </c>
      <c r="G162" s="46">
        <f t="shared" si="23"/>
        <v>100</v>
      </c>
      <c r="H162" s="46">
        <f>TRUNC(S162*(1-LOTE_03!$K$10),2)</f>
        <v>772.2</v>
      </c>
      <c r="I162" s="46">
        <f>TRUNC(T162*(1-LOTE_03!$K$10),2)</f>
        <v>0</v>
      </c>
      <c r="J162" s="100">
        <f t="shared" si="17"/>
        <v>0.22470000000000001</v>
      </c>
      <c r="K162" s="48">
        <f t="shared" si="18"/>
        <v>945.71</v>
      </c>
      <c r="L162" s="48">
        <f t="shared" si="19"/>
        <v>0</v>
      </c>
      <c r="M162" s="48">
        <f t="shared" si="20"/>
        <v>94571</v>
      </c>
      <c r="N162" s="48">
        <f t="shared" si="21"/>
        <v>0</v>
      </c>
      <c r="O162" s="50">
        <f t="shared" si="22"/>
        <v>94571</v>
      </c>
      <c r="P162" s="50">
        <v>0</v>
      </c>
      <c r="Q162" s="76"/>
      <c r="R162" s="140">
        <f>IF((50*S9+50*S10)&gt;100,100,(50*S9+50*S10))</f>
        <v>100</v>
      </c>
      <c r="S162" s="79">
        <v>772.2</v>
      </c>
      <c r="T162" s="80">
        <v>0</v>
      </c>
    </row>
    <row r="163" spans="2:20" ht="56">
      <c r="B163" s="5" t="s">
        <v>457</v>
      </c>
      <c r="C163" s="45" t="s">
        <v>97</v>
      </c>
      <c r="D163" s="45" t="s">
        <v>458</v>
      </c>
      <c r="E163" s="6" t="s">
        <v>459</v>
      </c>
      <c r="F163" s="45" t="s">
        <v>121</v>
      </c>
      <c r="G163" s="46">
        <f t="shared" si="23"/>
        <v>100</v>
      </c>
      <c r="H163" s="46">
        <f>TRUNC(S163*(1-LOTE_03!$K$10),2)</f>
        <v>91.48</v>
      </c>
      <c r="I163" s="46">
        <f>TRUNC(T163*(1-LOTE_03!$K$10),2)</f>
        <v>25.23</v>
      </c>
      <c r="J163" s="100">
        <f t="shared" si="17"/>
        <v>0.22470000000000001</v>
      </c>
      <c r="K163" s="48">
        <f t="shared" si="18"/>
        <v>112.03</v>
      </c>
      <c r="L163" s="48">
        <f t="shared" si="19"/>
        <v>30.89</v>
      </c>
      <c r="M163" s="48">
        <f t="shared" si="20"/>
        <v>11203</v>
      </c>
      <c r="N163" s="48">
        <f t="shared" si="21"/>
        <v>3089</v>
      </c>
      <c r="O163" s="50">
        <f t="shared" si="22"/>
        <v>14292</v>
      </c>
      <c r="P163" s="50">
        <v>0</v>
      </c>
      <c r="Q163" s="76"/>
      <c r="R163" s="140">
        <f>IF((50*S9+50*S10)&gt;100,100,(50*S9+50*S10))</f>
        <v>100</v>
      </c>
      <c r="S163" s="79">
        <v>91.48</v>
      </c>
      <c r="T163" s="80">
        <v>25.23</v>
      </c>
    </row>
    <row r="164" spans="2:20" ht="42">
      <c r="B164" s="5" t="s">
        <v>460</v>
      </c>
      <c r="C164" s="45" t="s">
        <v>97</v>
      </c>
      <c r="D164" s="45" t="s">
        <v>461</v>
      </c>
      <c r="E164" s="6" t="s">
        <v>462</v>
      </c>
      <c r="F164" s="45" t="s">
        <v>121</v>
      </c>
      <c r="G164" s="46">
        <f t="shared" si="23"/>
        <v>200</v>
      </c>
      <c r="H164" s="46">
        <f>TRUNC(S164*(1-LOTE_03!$K$10),2)</f>
        <v>80.95</v>
      </c>
      <c r="I164" s="46">
        <f>TRUNC(T164*(1-LOTE_03!$K$10),2)</f>
        <v>25.23</v>
      </c>
      <c r="J164" s="100">
        <f t="shared" si="17"/>
        <v>0.22470000000000001</v>
      </c>
      <c r="K164" s="48">
        <f t="shared" si="18"/>
        <v>99.13</v>
      </c>
      <c r="L164" s="48">
        <f t="shared" si="19"/>
        <v>30.89</v>
      </c>
      <c r="M164" s="48">
        <f t="shared" si="20"/>
        <v>19826</v>
      </c>
      <c r="N164" s="48">
        <f t="shared" si="21"/>
        <v>6178</v>
      </c>
      <c r="O164" s="50">
        <f t="shared" si="22"/>
        <v>26004</v>
      </c>
      <c r="P164" s="50">
        <v>0</v>
      </c>
      <c r="Q164" s="76"/>
      <c r="R164" s="140">
        <f>IF((50*S9+50*S10)&gt;200,200,(50*S9+50*S10))</f>
        <v>200</v>
      </c>
      <c r="S164" s="79">
        <v>80.95</v>
      </c>
      <c r="T164" s="80">
        <v>25.23</v>
      </c>
    </row>
    <row r="165" spans="2:20" ht="28">
      <c r="B165" s="5" t="s">
        <v>463</v>
      </c>
      <c r="C165" s="45" t="s">
        <v>97</v>
      </c>
      <c r="D165" s="45" t="s">
        <v>464</v>
      </c>
      <c r="E165" s="6" t="s">
        <v>465</v>
      </c>
      <c r="F165" s="45" t="s">
        <v>121</v>
      </c>
      <c r="G165" s="46">
        <f t="shared" si="23"/>
        <v>500</v>
      </c>
      <c r="H165" s="46">
        <f>TRUNC(S165*(1-LOTE_03!$K$10),2)</f>
        <v>7.67</v>
      </c>
      <c r="I165" s="46">
        <f>TRUNC(T165*(1-LOTE_03!$K$10),2)</f>
        <v>16.62</v>
      </c>
      <c r="J165" s="100">
        <f t="shared" si="17"/>
        <v>0.22470000000000001</v>
      </c>
      <c r="K165" s="48">
        <f t="shared" si="18"/>
        <v>9.39</v>
      </c>
      <c r="L165" s="48">
        <f t="shared" si="19"/>
        <v>20.350000000000001</v>
      </c>
      <c r="M165" s="48">
        <f t="shared" si="20"/>
        <v>4695</v>
      </c>
      <c r="N165" s="48">
        <f t="shared" si="21"/>
        <v>10175</v>
      </c>
      <c r="O165" s="50">
        <f t="shared" si="22"/>
        <v>14870</v>
      </c>
      <c r="P165" s="50">
        <v>0</v>
      </c>
      <c r="Q165" s="76"/>
      <c r="R165" s="140">
        <f>IF((50*S9+50*S10)&gt;500,500,(50*S9+50*S10))</f>
        <v>500</v>
      </c>
      <c r="S165" s="79">
        <v>7.67</v>
      </c>
      <c r="T165" s="80">
        <v>16.62</v>
      </c>
    </row>
    <row r="166" spans="2:20" ht="56">
      <c r="B166" s="5" t="s">
        <v>466</v>
      </c>
      <c r="C166" s="45" t="s">
        <v>97</v>
      </c>
      <c r="D166" s="45" t="s">
        <v>467</v>
      </c>
      <c r="E166" s="6" t="s">
        <v>468</v>
      </c>
      <c r="F166" s="45" t="s">
        <v>121</v>
      </c>
      <c r="G166" s="46">
        <f t="shared" si="23"/>
        <v>420</v>
      </c>
      <c r="H166" s="46">
        <f>TRUNC(S166*(1-LOTE_03!$K$10),2)</f>
        <v>385.68</v>
      </c>
      <c r="I166" s="46">
        <f>TRUNC(T166*(1-LOTE_03!$K$10),2)</f>
        <v>124.04</v>
      </c>
      <c r="J166" s="100">
        <f t="shared" si="17"/>
        <v>0.22470000000000001</v>
      </c>
      <c r="K166" s="48">
        <f t="shared" si="18"/>
        <v>472.34</v>
      </c>
      <c r="L166" s="48">
        <f t="shared" si="19"/>
        <v>151.91</v>
      </c>
      <c r="M166" s="48">
        <f t="shared" si="20"/>
        <v>198382.8</v>
      </c>
      <c r="N166" s="48">
        <f t="shared" si="21"/>
        <v>63802.2</v>
      </c>
      <c r="O166" s="50">
        <f t="shared" si="22"/>
        <v>262185</v>
      </c>
      <c r="P166" s="50">
        <v>0</v>
      </c>
      <c r="Q166" s="76"/>
      <c r="R166" s="140">
        <f>30*S9+30*S10</f>
        <v>420</v>
      </c>
      <c r="S166" s="79">
        <v>385.68</v>
      </c>
      <c r="T166" s="80">
        <v>124.04</v>
      </c>
    </row>
    <row r="167" spans="2:20" ht="42">
      <c r="B167" s="5" t="s">
        <v>469</v>
      </c>
      <c r="C167" s="45" t="s">
        <v>135</v>
      </c>
      <c r="D167" s="45">
        <v>102162</v>
      </c>
      <c r="E167" s="6" t="s">
        <v>1775</v>
      </c>
      <c r="F167" s="45" t="s">
        <v>121</v>
      </c>
      <c r="G167" s="46">
        <f t="shared" si="23"/>
        <v>50</v>
      </c>
      <c r="H167" s="46">
        <f>TRUNC(S167*(1-LOTE_03!$K$10),2)</f>
        <v>284.70999999999998</v>
      </c>
      <c r="I167" s="46">
        <f>TRUNC(T167*(1-LOTE_03!$K$10),2)</f>
        <v>24.55</v>
      </c>
      <c r="J167" s="100">
        <f t="shared" si="17"/>
        <v>0.22470000000000001</v>
      </c>
      <c r="K167" s="48">
        <f t="shared" si="18"/>
        <v>348.68</v>
      </c>
      <c r="L167" s="48">
        <f t="shared" si="19"/>
        <v>30.06</v>
      </c>
      <c r="M167" s="48">
        <f t="shared" si="20"/>
        <v>17434</v>
      </c>
      <c r="N167" s="48">
        <f t="shared" si="21"/>
        <v>1503</v>
      </c>
      <c r="O167" s="50">
        <f t="shared" si="22"/>
        <v>18937</v>
      </c>
      <c r="P167" s="50">
        <v>0</v>
      </c>
      <c r="Q167" s="76"/>
      <c r="R167" s="140">
        <f>IF((5*S9+10*S10)&gt;50,50,(5*S9+10*S10))</f>
        <v>50</v>
      </c>
      <c r="S167" s="79">
        <v>284.70999999999998</v>
      </c>
      <c r="T167" s="80">
        <v>24.55</v>
      </c>
    </row>
    <row r="168" spans="2:20" ht="42">
      <c r="B168" s="5" t="s">
        <v>470</v>
      </c>
      <c r="C168" s="45" t="s">
        <v>135</v>
      </c>
      <c r="D168" s="45">
        <v>102166</v>
      </c>
      <c r="E168" s="6" t="s">
        <v>1776</v>
      </c>
      <c r="F168" s="45" t="s">
        <v>121</v>
      </c>
      <c r="G168" s="46">
        <f t="shared" si="23"/>
        <v>50</v>
      </c>
      <c r="H168" s="46">
        <f>TRUNC(S168*(1-LOTE_03!$K$10),2)</f>
        <v>305.32</v>
      </c>
      <c r="I168" s="46">
        <f>TRUNC(T168*(1-LOTE_03!$K$10),2)</f>
        <v>15.42</v>
      </c>
      <c r="J168" s="100">
        <f t="shared" si="17"/>
        <v>0.22470000000000001</v>
      </c>
      <c r="K168" s="48">
        <f t="shared" si="18"/>
        <v>373.92</v>
      </c>
      <c r="L168" s="48">
        <f t="shared" si="19"/>
        <v>18.88</v>
      </c>
      <c r="M168" s="48">
        <f t="shared" si="20"/>
        <v>18696</v>
      </c>
      <c r="N168" s="48">
        <f t="shared" si="21"/>
        <v>944</v>
      </c>
      <c r="O168" s="50">
        <f t="shared" si="22"/>
        <v>19640</v>
      </c>
      <c r="P168" s="50">
        <v>0</v>
      </c>
      <c r="Q168" s="76"/>
      <c r="R168" s="140">
        <f>IF((5*S9+10*S10)&gt;50,50,(5*S9+10*S10))</f>
        <v>50</v>
      </c>
      <c r="S168" s="79">
        <v>305.32</v>
      </c>
      <c r="T168" s="80">
        <v>15.42</v>
      </c>
    </row>
    <row r="169" spans="2:20" ht="42">
      <c r="B169" s="5" t="s">
        <v>471</v>
      </c>
      <c r="C169" s="45" t="s">
        <v>135</v>
      </c>
      <c r="D169" s="45">
        <v>102172</v>
      </c>
      <c r="E169" s="6" t="s">
        <v>1777</v>
      </c>
      <c r="F169" s="45" t="s">
        <v>121</v>
      </c>
      <c r="G169" s="46">
        <f t="shared" si="23"/>
        <v>50</v>
      </c>
      <c r="H169" s="46">
        <f>TRUNC(S169*(1-LOTE_03!$K$10),2)</f>
        <v>491.79</v>
      </c>
      <c r="I169" s="46">
        <f>TRUNC(T169*(1-LOTE_03!$K$10),2)</f>
        <v>15.62</v>
      </c>
      <c r="J169" s="100">
        <f t="shared" si="17"/>
        <v>0.22470000000000001</v>
      </c>
      <c r="K169" s="48">
        <f t="shared" si="18"/>
        <v>602.29</v>
      </c>
      <c r="L169" s="48">
        <f t="shared" si="19"/>
        <v>19.12</v>
      </c>
      <c r="M169" s="48">
        <f t="shared" si="20"/>
        <v>30114.5</v>
      </c>
      <c r="N169" s="48">
        <f t="shared" si="21"/>
        <v>956</v>
      </c>
      <c r="O169" s="50">
        <f t="shared" si="22"/>
        <v>31070.5</v>
      </c>
      <c r="P169" s="50">
        <v>0</v>
      </c>
      <c r="Q169" s="76"/>
      <c r="R169" s="140">
        <f>IF((5*S9+10*S10)&gt;50,50,(5*S9+10*S10))</f>
        <v>50</v>
      </c>
      <c r="S169" s="79">
        <v>491.79</v>
      </c>
      <c r="T169" s="80">
        <v>15.62</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454612</v>
      </c>
      <c r="Q170" s="76"/>
      <c r="R170" s="154"/>
      <c r="S170" s="79" t="s">
        <v>22</v>
      </c>
      <c r="T170" s="80" t="s">
        <v>22</v>
      </c>
    </row>
    <row r="171" spans="2:20" ht="84">
      <c r="B171" s="5" t="s">
        <v>472</v>
      </c>
      <c r="C171" s="45" t="s">
        <v>135</v>
      </c>
      <c r="D171" s="45">
        <v>87893</v>
      </c>
      <c r="E171" s="6" t="s">
        <v>473</v>
      </c>
      <c r="F171" s="45" t="s">
        <v>121</v>
      </c>
      <c r="G171" s="46">
        <f t="shared" si="23"/>
        <v>2200</v>
      </c>
      <c r="H171" s="46">
        <f>TRUNC(S171*(1-LOTE_03!$K$10),2)</f>
        <v>3.73</v>
      </c>
      <c r="I171" s="46">
        <f>TRUNC(T171*(1-LOTE_03!$K$10),2)</f>
        <v>4.2300000000000004</v>
      </c>
      <c r="J171" s="100">
        <f t="shared" si="17"/>
        <v>0.22470000000000001</v>
      </c>
      <c r="K171" s="48">
        <f t="shared" si="18"/>
        <v>4.5599999999999996</v>
      </c>
      <c r="L171" s="48">
        <f t="shared" si="19"/>
        <v>5.18</v>
      </c>
      <c r="M171" s="48">
        <f t="shared" si="20"/>
        <v>10032</v>
      </c>
      <c r="N171" s="48">
        <f t="shared" si="21"/>
        <v>11396</v>
      </c>
      <c r="O171" s="50">
        <f t="shared" si="22"/>
        <v>21428</v>
      </c>
      <c r="P171" s="50">
        <v>0</v>
      </c>
      <c r="Q171" s="76"/>
      <c r="R171" s="140">
        <f>(R152+R153)*2</f>
        <v>2200</v>
      </c>
      <c r="S171" s="79">
        <v>3.7299999999999995</v>
      </c>
      <c r="T171" s="80">
        <v>4.2300000000000004</v>
      </c>
    </row>
    <row r="172" spans="2:20" ht="84">
      <c r="B172" s="5" t="s">
        <v>474</v>
      </c>
      <c r="C172" s="45" t="s">
        <v>135</v>
      </c>
      <c r="D172" s="45">
        <v>87530</v>
      </c>
      <c r="E172" s="6" t="s">
        <v>475</v>
      </c>
      <c r="F172" s="45" t="s">
        <v>121</v>
      </c>
      <c r="G172" s="46">
        <f t="shared" si="23"/>
        <v>2200</v>
      </c>
      <c r="H172" s="46">
        <f>TRUNC(S172*(1-LOTE_03!$K$10),2)</f>
        <v>25.37</v>
      </c>
      <c r="I172" s="46">
        <f>TRUNC(T172*(1-LOTE_03!$K$10),2)</f>
        <v>18.8</v>
      </c>
      <c r="J172" s="100">
        <f t="shared" si="17"/>
        <v>0.22470000000000001</v>
      </c>
      <c r="K172" s="48">
        <f t="shared" si="18"/>
        <v>31.07</v>
      </c>
      <c r="L172" s="48">
        <f t="shared" si="19"/>
        <v>23.02</v>
      </c>
      <c r="M172" s="48">
        <f t="shared" si="20"/>
        <v>68354</v>
      </c>
      <c r="N172" s="48">
        <f t="shared" si="21"/>
        <v>50644</v>
      </c>
      <c r="O172" s="50">
        <f t="shared" si="22"/>
        <v>118998</v>
      </c>
      <c r="P172" s="50">
        <v>0</v>
      </c>
      <c r="Q172" s="76"/>
      <c r="R172" s="140">
        <f>(R152+R153)*2</f>
        <v>2200</v>
      </c>
      <c r="S172" s="79">
        <v>25.37</v>
      </c>
      <c r="T172" s="80">
        <v>18.8</v>
      </c>
    </row>
    <row r="173" spans="2:20" ht="84">
      <c r="B173" s="5" t="s">
        <v>476</v>
      </c>
      <c r="C173" s="45" t="s">
        <v>135</v>
      </c>
      <c r="D173" s="45">
        <v>87528</v>
      </c>
      <c r="E173" s="6" t="s">
        <v>477</v>
      </c>
      <c r="F173" s="45" t="s">
        <v>121</v>
      </c>
      <c r="G173" s="46">
        <f t="shared" si="23"/>
        <v>200</v>
      </c>
      <c r="H173" s="46">
        <f>TRUNC(S173*(1-LOTE_03!$K$10),2)</f>
        <v>26.26</v>
      </c>
      <c r="I173" s="46">
        <f>TRUNC(T173*(1-LOTE_03!$K$10),2)</f>
        <v>21</v>
      </c>
      <c r="J173" s="100">
        <f t="shared" si="17"/>
        <v>0.22470000000000001</v>
      </c>
      <c r="K173" s="48">
        <f t="shared" si="18"/>
        <v>32.159999999999997</v>
      </c>
      <c r="L173" s="48">
        <f t="shared" si="19"/>
        <v>25.71</v>
      </c>
      <c r="M173" s="48">
        <f t="shared" si="20"/>
        <v>6432</v>
      </c>
      <c r="N173" s="48">
        <f t="shared" si="21"/>
        <v>5142</v>
      </c>
      <c r="O173" s="50">
        <f t="shared" si="22"/>
        <v>11574</v>
      </c>
      <c r="P173" s="50">
        <v>0</v>
      </c>
      <c r="Q173" s="76"/>
      <c r="R173" s="140">
        <f>R175</f>
        <v>200</v>
      </c>
      <c r="S173" s="79">
        <v>26.259999999999998</v>
      </c>
      <c r="T173" s="80">
        <v>21</v>
      </c>
    </row>
    <row r="174" spans="2:20" ht="56">
      <c r="B174" s="5" t="s">
        <v>478</v>
      </c>
      <c r="C174" s="45" t="s">
        <v>135</v>
      </c>
      <c r="D174" s="45">
        <v>87244</v>
      </c>
      <c r="E174" s="6" t="s">
        <v>479</v>
      </c>
      <c r="F174" s="45" t="s">
        <v>121</v>
      </c>
      <c r="G174" s="46">
        <f t="shared" si="23"/>
        <v>200</v>
      </c>
      <c r="H174" s="46">
        <f>TRUNC(S174*(1-LOTE_03!$K$10),2)</f>
        <v>308.70999999999998</v>
      </c>
      <c r="I174" s="46">
        <f>TRUNC(T174*(1-LOTE_03!$K$10),2)</f>
        <v>33.72</v>
      </c>
      <c r="J174" s="100">
        <f t="shared" si="17"/>
        <v>0.22470000000000001</v>
      </c>
      <c r="K174" s="48">
        <f t="shared" si="18"/>
        <v>378.07</v>
      </c>
      <c r="L174" s="48">
        <f t="shared" si="19"/>
        <v>41.29</v>
      </c>
      <c r="M174" s="48">
        <f t="shared" si="20"/>
        <v>75614</v>
      </c>
      <c r="N174" s="48">
        <f t="shared" si="21"/>
        <v>8258</v>
      </c>
      <c r="O174" s="50">
        <f t="shared" si="22"/>
        <v>83872</v>
      </c>
      <c r="P174" s="50">
        <v>0</v>
      </c>
      <c r="Q174" s="76"/>
      <c r="R174" s="140">
        <f>IF((50*S10)&gt;200,200,(10*S9+50*S10))</f>
        <v>200</v>
      </c>
      <c r="S174" s="79">
        <v>308.71000000000004</v>
      </c>
      <c r="T174" s="80">
        <v>33.72</v>
      </c>
    </row>
    <row r="175" spans="2:20" ht="70">
      <c r="B175" s="5" t="s">
        <v>480</v>
      </c>
      <c r="C175" s="45" t="s">
        <v>135</v>
      </c>
      <c r="D175" s="45">
        <v>87265</v>
      </c>
      <c r="E175" s="6" t="s">
        <v>481</v>
      </c>
      <c r="F175" s="45" t="s">
        <v>121</v>
      </c>
      <c r="G175" s="46">
        <f t="shared" si="23"/>
        <v>200</v>
      </c>
      <c r="H175" s="46">
        <f>TRUNC(S175*(1-LOTE_03!$K$10),2)</f>
        <v>53.74</v>
      </c>
      <c r="I175" s="46">
        <f>TRUNC(T175*(1-LOTE_03!$K$10),2)</f>
        <v>15.3</v>
      </c>
      <c r="J175" s="100">
        <f t="shared" si="17"/>
        <v>0.22470000000000001</v>
      </c>
      <c r="K175" s="48">
        <f t="shared" si="18"/>
        <v>65.81</v>
      </c>
      <c r="L175" s="48">
        <f t="shared" si="19"/>
        <v>18.73</v>
      </c>
      <c r="M175" s="48">
        <f t="shared" si="20"/>
        <v>13162</v>
      </c>
      <c r="N175" s="48">
        <f t="shared" si="21"/>
        <v>3746</v>
      </c>
      <c r="O175" s="50">
        <f t="shared" si="22"/>
        <v>16908</v>
      </c>
      <c r="P175" s="50">
        <v>0</v>
      </c>
      <c r="Q175" s="76"/>
      <c r="R175" s="140">
        <f>IF((50*S10)&gt;200,200,(10*S9+50*S10))</f>
        <v>200</v>
      </c>
      <c r="S175" s="79">
        <v>53.740000000000009</v>
      </c>
      <c r="T175" s="80">
        <v>15.3</v>
      </c>
    </row>
    <row r="176" spans="2:20" ht="70">
      <c r="B176" s="5" t="s">
        <v>482</v>
      </c>
      <c r="C176" s="45" t="s">
        <v>135</v>
      </c>
      <c r="D176" s="45">
        <v>87251</v>
      </c>
      <c r="E176" s="6" t="s">
        <v>483</v>
      </c>
      <c r="F176" s="45" t="s">
        <v>121</v>
      </c>
      <c r="G176" s="46">
        <f t="shared" si="23"/>
        <v>100</v>
      </c>
      <c r="H176" s="46">
        <f>TRUNC(S176*(1-LOTE_03!$K$10),2)</f>
        <v>56.9</v>
      </c>
      <c r="I176" s="46">
        <f>TRUNC(T176*(1-LOTE_03!$K$10),2)</f>
        <v>7.36</v>
      </c>
      <c r="J176" s="100">
        <f t="shared" si="17"/>
        <v>0.22470000000000001</v>
      </c>
      <c r="K176" s="48">
        <f t="shared" si="18"/>
        <v>69.680000000000007</v>
      </c>
      <c r="L176" s="48">
        <f t="shared" si="19"/>
        <v>9.01</v>
      </c>
      <c r="M176" s="48">
        <f t="shared" si="20"/>
        <v>6968</v>
      </c>
      <c r="N176" s="48">
        <f t="shared" si="21"/>
        <v>901</v>
      </c>
      <c r="O176" s="50">
        <f t="shared" si="22"/>
        <v>7869</v>
      </c>
      <c r="P176" s="50">
        <v>0</v>
      </c>
      <c r="Q176" s="76"/>
      <c r="R176" s="140">
        <f>IF((30*S10)&gt;100,100,(10*S9+30*S10))</f>
        <v>100</v>
      </c>
      <c r="S176" s="79">
        <v>56.900000000000006</v>
      </c>
      <c r="T176" s="80">
        <v>7.36</v>
      </c>
    </row>
    <row r="177" spans="2:20" ht="42">
      <c r="B177" s="5" t="s">
        <v>1752</v>
      </c>
      <c r="C177" s="45" t="s">
        <v>165</v>
      </c>
      <c r="D177" s="45" t="s">
        <v>1753</v>
      </c>
      <c r="E177" s="6" t="s">
        <v>1754</v>
      </c>
      <c r="F177" s="45" t="s">
        <v>168</v>
      </c>
      <c r="G177" s="46">
        <f t="shared" si="23"/>
        <v>700</v>
      </c>
      <c r="H177" s="46">
        <f>TRUNC(S177*(1-LOTE_03!$K$10),2)</f>
        <v>128.02000000000001</v>
      </c>
      <c r="I177" s="46">
        <f>TRUNC(T177*(1-LOTE_03!$K$10),2)</f>
        <v>5.74</v>
      </c>
      <c r="J177" s="100">
        <f t="shared" si="17"/>
        <v>0.22470000000000001</v>
      </c>
      <c r="K177" s="48">
        <f t="shared" si="18"/>
        <v>156.78</v>
      </c>
      <c r="L177" s="48">
        <f t="shared" si="19"/>
        <v>7.02</v>
      </c>
      <c r="M177" s="48">
        <f t="shared" si="20"/>
        <v>109746</v>
      </c>
      <c r="N177" s="48">
        <f t="shared" si="21"/>
        <v>4914</v>
      </c>
      <c r="O177" s="50">
        <f t="shared" si="22"/>
        <v>114660</v>
      </c>
      <c r="P177" s="50"/>
      <c r="Q177" s="76"/>
      <c r="R177" s="148">
        <f>50*(S9+S10)</f>
        <v>700</v>
      </c>
      <c r="S177" s="46">
        <v>128.02000000000001</v>
      </c>
      <c r="T177" s="47">
        <v>5.74</v>
      </c>
    </row>
    <row r="178" spans="2:20" ht="42">
      <c r="B178" s="5" t="s">
        <v>1755</v>
      </c>
      <c r="C178" s="45" t="s">
        <v>97</v>
      </c>
      <c r="D178" s="45" t="s">
        <v>1756</v>
      </c>
      <c r="E178" s="6" t="s">
        <v>1757</v>
      </c>
      <c r="F178" s="45" t="s">
        <v>121</v>
      </c>
      <c r="G178" s="46">
        <f t="shared" si="23"/>
        <v>700</v>
      </c>
      <c r="H178" s="46">
        <f>TRUNC(S178*(1-LOTE_03!$K$10),2)</f>
        <v>68.27</v>
      </c>
      <c r="I178" s="46">
        <f>TRUNC(T178*(1-LOTE_03!$K$10),2)</f>
        <v>24.24</v>
      </c>
      <c r="J178" s="100">
        <f t="shared" si="17"/>
        <v>0.22470000000000001</v>
      </c>
      <c r="K178" s="48">
        <f t="shared" si="18"/>
        <v>83.61</v>
      </c>
      <c r="L178" s="48">
        <f t="shared" si="19"/>
        <v>29.68</v>
      </c>
      <c r="M178" s="48">
        <f t="shared" si="20"/>
        <v>58527</v>
      </c>
      <c r="N178" s="48">
        <f t="shared" si="21"/>
        <v>20776</v>
      </c>
      <c r="O178" s="50">
        <f t="shared" si="22"/>
        <v>79303</v>
      </c>
      <c r="P178" s="50"/>
      <c r="Q178" s="76"/>
      <c r="R178" s="140">
        <f>50*(S9+S10)</f>
        <v>700</v>
      </c>
      <c r="S178" s="46">
        <v>68.27</v>
      </c>
      <c r="T178" s="47">
        <v>24.24</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684055.20000000007</v>
      </c>
      <c r="Q179" s="76"/>
      <c r="R179" s="154"/>
      <c r="S179" s="79" t="s">
        <v>22</v>
      </c>
      <c r="T179" s="80" t="s">
        <v>22</v>
      </c>
    </row>
    <row r="180" spans="2:20" ht="70">
      <c r="B180" s="5" t="s">
        <v>484</v>
      </c>
      <c r="C180" s="45" t="s">
        <v>97</v>
      </c>
      <c r="D180" s="45" t="s">
        <v>485</v>
      </c>
      <c r="E180" s="6" t="s">
        <v>486</v>
      </c>
      <c r="F180" s="45" t="s">
        <v>121</v>
      </c>
      <c r="G180" s="46">
        <f t="shared" si="23"/>
        <v>700</v>
      </c>
      <c r="H180" s="46">
        <f>TRUNC(S180*(1-LOTE_03!$K$10),2)</f>
        <v>14.72</v>
      </c>
      <c r="I180" s="46">
        <f>TRUNC(T180*(1-LOTE_03!$K$10),2)</f>
        <v>11.01</v>
      </c>
      <c r="J180" s="100">
        <f t="shared" si="17"/>
        <v>0.22470000000000001</v>
      </c>
      <c r="K180" s="48">
        <f t="shared" si="18"/>
        <v>18.02</v>
      </c>
      <c r="L180" s="48">
        <f t="shared" si="19"/>
        <v>13.48</v>
      </c>
      <c r="M180" s="48">
        <f t="shared" si="20"/>
        <v>12614</v>
      </c>
      <c r="N180" s="48">
        <f t="shared" si="21"/>
        <v>9436</v>
      </c>
      <c r="O180" s="50">
        <f t="shared" si="22"/>
        <v>22050</v>
      </c>
      <c r="P180" s="50">
        <v>0</v>
      </c>
      <c r="Q180" s="76"/>
      <c r="R180" s="140">
        <f>50*S9+50*S10</f>
        <v>700</v>
      </c>
      <c r="S180" s="79">
        <v>14.72</v>
      </c>
      <c r="T180" s="80">
        <v>11.01</v>
      </c>
    </row>
    <row r="181" spans="2:20" ht="42">
      <c r="B181" s="5" t="s">
        <v>487</v>
      </c>
      <c r="C181" s="45" t="s">
        <v>165</v>
      </c>
      <c r="D181" s="45" t="s">
        <v>488</v>
      </c>
      <c r="E181" s="6" t="s">
        <v>489</v>
      </c>
      <c r="F181" s="45" t="s">
        <v>168</v>
      </c>
      <c r="G181" s="46">
        <f t="shared" si="23"/>
        <v>3700</v>
      </c>
      <c r="H181" s="46">
        <f>TRUNC(S181*(1-LOTE_03!$K$10),2)</f>
        <v>134.74</v>
      </c>
      <c r="I181" s="46">
        <f>TRUNC(T181*(1-LOTE_03!$K$10),2)</f>
        <v>0</v>
      </c>
      <c r="J181" s="100">
        <f t="shared" si="17"/>
        <v>0.22470000000000001</v>
      </c>
      <c r="K181" s="48">
        <f t="shared" si="18"/>
        <v>165.01</v>
      </c>
      <c r="L181" s="48">
        <f t="shared" si="19"/>
        <v>0</v>
      </c>
      <c r="M181" s="48">
        <f t="shared" si="20"/>
        <v>610537</v>
      </c>
      <c r="N181" s="48">
        <f t="shared" si="21"/>
        <v>0</v>
      </c>
      <c r="O181" s="50">
        <f t="shared" si="22"/>
        <v>610537</v>
      </c>
      <c r="P181" s="50">
        <v>0</v>
      </c>
      <c r="Q181" s="76"/>
      <c r="R181" s="140">
        <f>20*S9+400*S10</f>
        <v>3700</v>
      </c>
      <c r="S181" s="79">
        <v>134.74</v>
      </c>
      <c r="T181" s="80">
        <v>0</v>
      </c>
    </row>
    <row r="182" spans="2:20" ht="28">
      <c r="B182" s="5" t="s">
        <v>490</v>
      </c>
      <c r="C182" s="45" t="s">
        <v>135</v>
      </c>
      <c r="D182" s="45">
        <v>96113</v>
      </c>
      <c r="E182" s="6" t="s">
        <v>491</v>
      </c>
      <c r="F182" s="45" t="s">
        <v>121</v>
      </c>
      <c r="G182" s="46">
        <f t="shared" si="23"/>
        <v>140</v>
      </c>
      <c r="H182" s="46">
        <f>TRUNC(S182*(1-LOTE_03!$K$10),2)</f>
        <v>26.65</v>
      </c>
      <c r="I182" s="46">
        <f>TRUNC(T182*(1-LOTE_03!$K$10),2)</f>
        <v>22.32</v>
      </c>
      <c r="J182" s="100">
        <f t="shared" si="17"/>
        <v>0.22470000000000001</v>
      </c>
      <c r="K182" s="48">
        <f t="shared" si="18"/>
        <v>32.630000000000003</v>
      </c>
      <c r="L182" s="48">
        <f t="shared" si="19"/>
        <v>27.33</v>
      </c>
      <c r="M182" s="48">
        <f t="shared" si="20"/>
        <v>4568.2</v>
      </c>
      <c r="N182" s="48">
        <f t="shared" si="21"/>
        <v>3826.2</v>
      </c>
      <c r="O182" s="50">
        <f t="shared" si="22"/>
        <v>8394.4</v>
      </c>
      <c r="P182" s="50">
        <v>0</v>
      </c>
      <c r="Q182" s="76"/>
      <c r="R182" s="140">
        <f>IF((10*S10)&gt;100,100,(10*S9+10*S10))</f>
        <v>140</v>
      </c>
      <c r="S182" s="79">
        <v>26.65</v>
      </c>
      <c r="T182" s="80">
        <v>22.32</v>
      </c>
    </row>
    <row r="183" spans="2:20" ht="42">
      <c r="B183" s="5" t="s">
        <v>492</v>
      </c>
      <c r="C183" s="45" t="s">
        <v>135</v>
      </c>
      <c r="D183" s="45">
        <v>99054</v>
      </c>
      <c r="E183" s="6" t="s">
        <v>493</v>
      </c>
      <c r="F183" s="45" t="s">
        <v>121</v>
      </c>
      <c r="G183" s="46">
        <f t="shared" si="23"/>
        <v>100</v>
      </c>
      <c r="H183" s="46">
        <f>TRUNC(S183*(1-LOTE_03!$K$10),2)</f>
        <v>30.52</v>
      </c>
      <c r="I183" s="46">
        <f>TRUNC(T183*(1-LOTE_03!$K$10),2)</f>
        <v>31.05</v>
      </c>
      <c r="J183" s="100">
        <f t="shared" si="17"/>
        <v>0.22470000000000001</v>
      </c>
      <c r="K183" s="48">
        <f t="shared" si="18"/>
        <v>37.369999999999997</v>
      </c>
      <c r="L183" s="48">
        <f t="shared" si="19"/>
        <v>38.020000000000003</v>
      </c>
      <c r="M183" s="48">
        <f t="shared" si="20"/>
        <v>3737</v>
      </c>
      <c r="N183" s="48">
        <f t="shared" si="21"/>
        <v>3802</v>
      </c>
      <c r="O183" s="50">
        <f t="shared" si="22"/>
        <v>7539</v>
      </c>
      <c r="P183" s="50">
        <v>0</v>
      </c>
      <c r="Q183" s="76"/>
      <c r="R183" s="140">
        <f>IF((20*S10+20*S9)&gt;100,100,(20*S10+20*S9))</f>
        <v>100</v>
      </c>
      <c r="S183" s="79">
        <v>30.52</v>
      </c>
      <c r="T183" s="80">
        <v>31.05</v>
      </c>
    </row>
    <row r="184" spans="2:20" ht="28">
      <c r="B184" s="5" t="s">
        <v>494</v>
      </c>
      <c r="C184" s="45" t="s">
        <v>135</v>
      </c>
      <c r="D184" s="45">
        <v>96120</v>
      </c>
      <c r="E184" s="6" t="s">
        <v>495</v>
      </c>
      <c r="F184" s="45" t="s">
        <v>187</v>
      </c>
      <c r="G184" s="46">
        <f t="shared" si="23"/>
        <v>280</v>
      </c>
      <c r="H184" s="46">
        <f>TRUNC(S184*(1-LOTE_03!$K$10),2)</f>
        <v>1.94</v>
      </c>
      <c r="I184" s="46">
        <f>TRUNC(T184*(1-LOTE_03!$K$10),2)</f>
        <v>1.28</v>
      </c>
      <c r="J184" s="100">
        <f t="shared" si="17"/>
        <v>0.22470000000000001</v>
      </c>
      <c r="K184" s="48">
        <f t="shared" si="18"/>
        <v>2.37</v>
      </c>
      <c r="L184" s="48">
        <f t="shared" si="19"/>
        <v>1.56</v>
      </c>
      <c r="M184" s="48">
        <f t="shared" si="20"/>
        <v>663.6</v>
      </c>
      <c r="N184" s="48">
        <f t="shared" si="21"/>
        <v>436.8</v>
      </c>
      <c r="O184" s="50">
        <f t="shared" si="22"/>
        <v>1100.4000000000001</v>
      </c>
      <c r="P184" s="50">
        <v>0</v>
      </c>
      <c r="Q184" s="76"/>
      <c r="R184" s="140">
        <f>IF((20*S10+20*S9)&gt;500,500,(20*S10+20*S9))</f>
        <v>280</v>
      </c>
      <c r="S184" s="79">
        <v>1.9400000000000002</v>
      </c>
      <c r="T184" s="80">
        <v>1.28</v>
      </c>
    </row>
    <row r="185" spans="2:20" ht="56">
      <c r="B185" s="5" t="s">
        <v>496</v>
      </c>
      <c r="C185" s="45" t="s">
        <v>135</v>
      </c>
      <c r="D185" s="45">
        <v>96486</v>
      </c>
      <c r="E185" s="6" t="s">
        <v>497</v>
      </c>
      <c r="F185" s="45" t="s">
        <v>121</v>
      </c>
      <c r="G185" s="46">
        <f t="shared" si="23"/>
        <v>100</v>
      </c>
      <c r="H185" s="46">
        <f>TRUNC(S185*(1-LOTE_03!$K$10),2)</f>
        <v>67.62</v>
      </c>
      <c r="I185" s="46">
        <f>TRUNC(T185*(1-LOTE_03!$K$10),2)</f>
        <v>9.5500000000000007</v>
      </c>
      <c r="J185" s="100">
        <f t="shared" si="17"/>
        <v>0.22470000000000001</v>
      </c>
      <c r="K185" s="48">
        <f t="shared" si="18"/>
        <v>82.81</v>
      </c>
      <c r="L185" s="48">
        <f t="shared" si="19"/>
        <v>11.69</v>
      </c>
      <c r="M185" s="48">
        <f t="shared" si="20"/>
        <v>8281</v>
      </c>
      <c r="N185" s="48">
        <f t="shared" si="21"/>
        <v>1169</v>
      </c>
      <c r="O185" s="50">
        <f t="shared" si="22"/>
        <v>9450</v>
      </c>
      <c r="P185" s="50">
        <v>0</v>
      </c>
      <c r="Q185" s="76"/>
      <c r="R185" s="140">
        <f>IF((20*S10+20*S9)&gt;100,100,(20*S10+20*S9))</f>
        <v>100</v>
      </c>
      <c r="S185" s="79">
        <v>67.62</v>
      </c>
      <c r="T185" s="80">
        <v>9.5500000000000007</v>
      </c>
    </row>
    <row r="186" spans="2:20" ht="42">
      <c r="B186" s="5" t="s">
        <v>498</v>
      </c>
      <c r="C186" s="45" t="s">
        <v>135</v>
      </c>
      <c r="D186" s="45">
        <v>96114</v>
      </c>
      <c r="E186" s="6" t="s">
        <v>499</v>
      </c>
      <c r="F186" s="45" t="s">
        <v>121</v>
      </c>
      <c r="G186" s="46">
        <f t="shared" si="23"/>
        <v>140</v>
      </c>
      <c r="H186" s="46">
        <f>TRUNC(S186*(1-LOTE_03!$K$10),2)</f>
        <v>69.010000000000005</v>
      </c>
      <c r="I186" s="46">
        <f>TRUNC(T186*(1-LOTE_03!$K$10),2)</f>
        <v>14.2</v>
      </c>
      <c r="J186" s="100">
        <f t="shared" si="17"/>
        <v>0.22470000000000001</v>
      </c>
      <c r="K186" s="48">
        <f t="shared" si="18"/>
        <v>84.51</v>
      </c>
      <c r="L186" s="48">
        <f t="shared" si="19"/>
        <v>17.39</v>
      </c>
      <c r="M186" s="48">
        <f t="shared" si="20"/>
        <v>11831.4</v>
      </c>
      <c r="N186" s="48">
        <f t="shared" si="21"/>
        <v>2434.6</v>
      </c>
      <c r="O186" s="50">
        <f t="shared" si="22"/>
        <v>14266</v>
      </c>
      <c r="P186" s="50">
        <v>0</v>
      </c>
      <c r="Q186" s="76"/>
      <c r="R186" s="140">
        <f>IF((10*S10)&gt;100,100,(10*S9+10*S10))</f>
        <v>140</v>
      </c>
      <c r="S186" s="79">
        <v>69.009999999999991</v>
      </c>
      <c r="T186" s="80">
        <v>14.2</v>
      </c>
    </row>
    <row r="187" spans="2:20" ht="42">
      <c r="B187" s="5" t="s">
        <v>500</v>
      </c>
      <c r="C187" s="45" t="s">
        <v>135</v>
      </c>
      <c r="D187" s="45">
        <v>96123</v>
      </c>
      <c r="E187" s="6" t="s">
        <v>501</v>
      </c>
      <c r="F187" s="45" t="s">
        <v>187</v>
      </c>
      <c r="G187" s="46">
        <f t="shared" si="23"/>
        <v>280</v>
      </c>
      <c r="H187" s="46">
        <f>TRUNC(S187*(1-LOTE_03!$K$10),2)</f>
        <v>25.02</v>
      </c>
      <c r="I187" s="46">
        <f>TRUNC(T187*(1-LOTE_03!$K$10),2)</f>
        <v>6.24</v>
      </c>
      <c r="J187" s="100">
        <f t="shared" si="17"/>
        <v>0.22470000000000001</v>
      </c>
      <c r="K187" s="48">
        <f t="shared" si="18"/>
        <v>30.64</v>
      </c>
      <c r="L187" s="48">
        <f t="shared" si="19"/>
        <v>7.64</v>
      </c>
      <c r="M187" s="48">
        <f t="shared" si="20"/>
        <v>8579.2000000000007</v>
      </c>
      <c r="N187" s="48">
        <f t="shared" si="21"/>
        <v>2139.1999999999998</v>
      </c>
      <c r="O187" s="50">
        <f t="shared" si="22"/>
        <v>10718.4</v>
      </c>
      <c r="P187" s="50">
        <v>0</v>
      </c>
      <c r="Q187" s="76"/>
      <c r="R187" s="140">
        <f>20*S10+20*S9</f>
        <v>280</v>
      </c>
      <c r="S187" s="79">
        <v>25.020000000000003</v>
      </c>
      <c r="T187" s="80">
        <v>6.24</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2321305.2199999997</v>
      </c>
      <c r="Q188" s="76"/>
      <c r="R188" s="154"/>
      <c r="S188" s="79" t="s">
        <v>22</v>
      </c>
      <c r="T188" s="80" t="s">
        <v>22</v>
      </c>
    </row>
    <row r="189" spans="2:20" ht="84">
      <c r="B189" s="5" t="s">
        <v>502</v>
      </c>
      <c r="C189" s="45" t="s">
        <v>135</v>
      </c>
      <c r="D189" s="45">
        <v>87632</v>
      </c>
      <c r="E189" s="6" t="s">
        <v>503</v>
      </c>
      <c r="F189" s="45" t="s">
        <v>121</v>
      </c>
      <c r="G189" s="46">
        <f t="shared" si="23"/>
        <v>5600</v>
      </c>
      <c r="H189" s="46">
        <f>TRUNC(S189*(1-LOTE_03!$K$10),2)</f>
        <v>38.270000000000003</v>
      </c>
      <c r="I189" s="46">
        <f>TRUNC(T189*(1-LOTE_03!$K$10),2)</f>
        <v>14.9</v>
      </c>
      <c r="J189" s="100">
        <f t="shared" si="17"/>
        <v>0.22470000000000001</v>
      </c>
      <c r="K189" s="48">
        <f t="shared" si="18"/>
        <v>46.86</v>
      </c>
      <c r="L189" s="48">
        <f t="shared" si="19"/>
        <v>18.239999999999998</v>
      </c>
      <c r="M189" s="48">
        <f t="shared" si="20"/>
        <v>262416</v>
      </c>
      <c r="N189" s="48">
        <f t="shared" si="21"/>
        <v>102144</v>
      </c>
      <c r="O189" s="50">
        <f t="shared" si="22"/>
        <v>364560</v>
      </c>
      <c r="P189" s="50">
        <v>0</v>
      </c>
      <c r="Q189" s="76"/>
      <c r="R189" s="140">
        <f>400*S10+400*S9</f>
        <v>5600</v>
      </c>
      <c r="S189" s="79">
        <v>38.270000000000003</v>
      </c>
      <c r="T189" s="80">
        <v>14.9</v>
      </c>
    </row>
    <row r="190" spans="2:20" ht="56">
      <c r="B190" s="5" t="s">
        <v>504</v>
      </c>
      <c r="C190" s="45" t="s">
        <v>135</v>
      </c>
      <c r="D190" s="45">
        <v>101749</v>
      </c>
      <c r="E190" s="6" t="s">
        <v>1778</v>
      </c>
      <c r="F190" s="45" t="s">
        <v>121</v>
      </c>
      <c r="G190" s="46">
        <f t="shared" si="23"/>
        <v>1500</v>
      </c>
      <c r="H190" s="46">
        <f>TRUNC(S190*(1-LOTE_03!$K$10),2)</f>
        <v>42.55</v>
      </c>
      <c r="I190" s="46">
        <f>TRUNC(T190*(1-LOTE_03!$K$10),2)</f>
        <v>14.56</v>
      </c>
      <c r="J190" s="100">
        <f t="shared" si="17"/>
        <v>0.22470000000000001</v>
      </c>
      <c r="K190" s="48">
        <f t="shared" si="18"/>
        <v>52.11</v>
      </c>
      <c r="L190" s="48">
        <f t="shared" si="19"/>
        <v>17.829999999999998</v>
      </c>
      <c r="M190" s="48">
        <f t="shared" si="20"/>
        <v>78165</v>
      </c>
      <c r="N190" s="48">
        <f t="shared" si="21"/>
        <v>26745</v>
      </c>
      <c r="O190" s="50">
        <f t="shared" si="22"/>
        <v>104910</v>
      </c>
      <c r="P190" s="50">
        <v>0</v>
      </c>
      <c r="Q190" s="76"/>
      <c r="R190" s="140">
        <f>IF((50*S9+200*S10)&gt;1500,1500,(50*S9+200*S10))</f>
        <v>1500</v>
      </c>
      <c r="S190" s="79">
        <v>42.55</v>
      </c>
      <c r="T190" s="80">
        <v>14.56</v>
      </c>
    </row>
    <row r="191" spans="2:20" ht="126">
      <c r="B191" s="5" t="s">
        <v>505</v>
      </c>
      <c r="C191" s="45" t="s">
        <v>97</v>
      </c>
      <c r="D191" s="45" t="s">
        <v>506</v>
      </c>
      <c r="E191" s="6" t="s">
        <v>507</v>
      </c>
      <c r="F191" s="45" t="s">
        <v>121</v>
      </c>
      <c r="G191" s="46">
        <f t="shared" si="23"/>
        <v>4100</v>
      </c>
      <c r="H191" s="46">
        <f>TRUNC(S191*(1-LOTE_03!$K$10),2)</f>
        <v>233.82</v>
      </c>
      <c r="I191" s="46">
        <f>TRUNC(T191*(1-LOTE_03!$K$10),2)</f>
        <v>27.74</v>
      </c>
      <c r="J191" s="100">
        <f t="shared" si="17"/>
        <v>0.22470000000000001</v>
      </c>
      <c r="K191" s="48">
        <f t="shared" si="18"/>
        <v>286.35000000000002</v>
      </c>
      <c r="L191" s="48">
        <f t="shared" si="19"/>
        <v>33.97</v>
      </c>
      <c r="M191" s="48">
        <f t="shared" si="20"/>
        <v>1174035</v>
      </c>
      <c r="N191" s="48">
        <f t="shared" si="21"/>
        <v>139277</v>
      </c>
      <c r="O191" s="50">
        <f t="shared" si="22"/>
        <v>1313312</v>
      </c>
      <c r="P191" s="50">
        <v>0</v>
      </c>
      <c r="Q191" s="76"/>
      <c r="R191" s="141">
        <f>400*S10+100*S9</f>
        <v>4100</v>
      </c>
      <c r="S191" s="79">
        <v>233.82</v>
      </c>
      <c r="T191" s="80">
        <v>27.74</v>
      </c>
    </row>
    <row r="192" spans="2:20" ht="140">
      <c r="B192" s="5" t="s">
        <v>508</v>
      </c>
      <c r="C192" s="45" t="s">
        <v>97</v>
      </c>
      <c r="D192" s="45" t="s">
        <v>509</v>
      </c>
      <c r="E192" s="6" t="s">
        <v>510</v>
      </c>
      <c r="F192" s="45" t="s">
        <v>121</v>
      </c>
      <c r="G192" s="46">
        <f t="shared" si="23"/>
        <v>1130</v>
      </c>
      <c r="H192" s="46">
        <f>TRUNC(S192*(1-LOTE_03!$K$10),2)</f>
        <v>299.20999999999998</v>
      </c>
      <c r="I192" s="46">
        <f>TRUNC(T192*(1-LOTE_03!$K$10),2)</f>
        <v>27.74</v>
      </c>
      <c r="J192" s="100">
        <f t="shared" si="17"/>
        <v>0.22470000000000001</v>
      </c>
      <c r="K192" s="48">
        <f t="shared" si="18"/>
        <v>366.44</v>
      </c>
      <c r="L192" s="48">
        <f t="shared" si="19"/>
        <v>33.97</v>
      </c>
      <c r="M192" s="48">
        <f t="shared" si="20"/>
        <v>414077.2</v>
      </c>
      <c r="N192" s="48">
        <f t="shared" si="21"/>
        <v>38386.1</v>
      </c>
      <c r="O192" s="50">
        <f t="shared" si="22"/>
        <v>452463.3</v>
      </c>
      <c r="P192" s="50">
        <v>0</v>
      </c>
      <c r="Q192" s="76"/>
      <c r="R192" s="141">
        <f>14*5*(S10)+100*S9</f>
        <v>1130</v>
      </c>
      <c r="S192" s="79">
        <v>299.20999999999998</v>
      </c>
      <c r="T192" s="80">
        <v>27.74</v>
      </c>
    </row>
    <row r="193" spans="2:20" ht="42">
      <c r="B193" s="5" t="s">
        <v>511</v>
      </c>
      <c r="C193" s="45" t="s">
        <v>135</v>
      </c>
      <c r="D193" s="45">
        <v>101736</v>
      </c>
      <c r="E193" s="6" t="s">
        <v>1779</v>
      </c>
      <c r="F193" s="45" t="s">
        <v>121</v>
      </c>
      <c r="G193" s="46">
        <f t="shared" si="23"/>
        <v>28</v>
      </c>
      <c r="H193" s="46">
        <f>TRUNC(S193*(1-LOTE_03!$K$10),2)</f>
        <v>93.9</v>
      </c>
      <c r="I193" s="46">
        <f>TRUNC(T193*(1-LOTE_03!$K$10),2)</f>
        <v>15.44</v>
      </c>
      <c r="J193" s="100">
        <f t="shared" si="17"/>
        <v>0.22470000000000001</v>
      </c>
      <c r="K193" s="48">
        <f t="shared" si="18"/>
        <v>114.99</v>
      </c>
      <c r="L193" s="48">
        <f t="shared" si="19"/>
        <v>18.899999999999999</v>
      </c>
      <c r="M193" s="48">
        <f t="shared" si="20"/>
        <v>3219.72</v>
      </c>
      <c r="N193" s="48">
        <f t="shared" si="21"/>
        <v>529.20000000000005</v>
      </c>
      <c r="O193" s="50">
        <f t="shared" si="22"/>
        <v>3748.92</v>
      </c>
      <c r="P193" s="50">
        <v>0</v>
      </c>
      <c r="Q193" s="76"/>
      <c r="R193" s="141">
        <f>IF(2*(S10+S9)&gt;50,500,2*(S9+S10))</f>
        <v>28</v>
      </c>
      <c r="S193" s="79">
        <v>93.9</v>
      </c>
      <c r="T193" s="80">
        <v>15.44</v>
      </c>
    </row>
    <row r="194" spans="2:20" ht="70">
      <c r="B194" s="5" t="s">
        <v>512</v>
      </c>
      <c r="C194" s="45" t="s">
        <v>135</v>
      </c>
      <c r="D194" s="45">
        <v>94995</v>
      </c>
      <c r="E194" s="6" t="s">
        <v>1780</v>
      </c>
      <c r="F194" s="45" t="s">
        <v>121</v>
      </c>
      <c r="G194" s="46">
        <f t="shared" si="23"/>
        <v>500</v>
      </c>
      <c r="H194" s="46">
        <f>TRUNC(S194*(1-LOTE_03!$K$10),2)</f>
        <v>93.02</v>
      </c>
      <c r="I194" s="46">
        <f>TRUNC(T194*(1-LOTE_03!$K$10),2)</f>
        <v>8.5399999999999991</v>
      </c>
      <c r="J194" s="100">
        <f t="shared" si="17"/>
        <v>0.22470000000000001</v>
      </c>
      <c r="K194" s="48">
        <f t="shared" si="18"/>
        <v>113.92</v>
      </c>
      <c r="L194" s="48">
        <f t="shared" si="19"/>
        <v>10.45</v>
      </c>
      <c r="M194" s="48">
        <f t="shared" si="20"/>
        <v>56960</v>
      </c>
      <c r="N194" s="48">
        <f t="shared" si="21"/>
        <v>5225</v>
      </c>
      <c r="O194" s="50">
        <f t="shared" si="22"/>
        <v>62185</v>
      </c>
      <c r="P194" s="50">
        <v>0</v>
      </c>
      <c r="Q194" s="76"/>
      <c r="R194" s="141">
        <f>IF(50*(S10+S9)&gt;500,500,50*(S9+S10))</f>
        <v>500</v>
      </c>
      <c r="S194" s="79">
        <v>93.02000000000001</v>
      </c>
      <c r="T194" s="80">
        <v>8.5399999999999991</v>
      </c>
    </row>
    <row r="195" spans="2:20" ht="28">
      <c r="B195" s="5" t="s">
        <v>513</v>
      </c>
      <c r="C195" s="45" t="s">
        <v>165</v>
      </c>
      <c r="D195" s="45" t="s">
        <v>514</v>
      </c>
      <c r="E195" s="6" t="s">
        <v>515</v>
      </c>
      <c r="F195" s="45" t="s">
        <v>168</v>
      </c>
      <c r="G195" s="46">
        <f t="shared" si="23"/>
        <v>1400</v>
      </c>
      <c r="H195" s="46">
        <f>TRUNC(S195*(1-LOTE_03!$K$10),2)</f>
        <v>5.82</v>
      </c>
      <c r="I195" s="46">
        <f>TRUNC(T195*(1-LOTE_03!$K$10),2)</f>
        <v>3.29</v>
      </c>
      <c r="J195" s="100">
        <f t="shared" si="17"/>
        <v>0.22470000000000001</v>
      </c>
      <c r="K195" s="48">
        <f t="shared" si="18"/>
        <v>7.12</v>
      </c>
      <c r="L195" s="48">
        <f t="shared" si="19"/>
        <v>4.0199999999999996</v>
      </c>
      <c r="M195" s="48">
        <f t="shared" si="20"/>
        <v>9968</v>
      </c>
      <c r="N195" s="48">
        <f t="shared" si="21"/>
        <v>5628</v>
      </c>
      <c r="O195" s="50">
        <f t="shared" si="22"/>
        <v>15596</v>
      </c>
      <c r="P195" s="50">
        <v>0</v>
      </c>
      <c r="Q195" s="76"/>
      <c r="R195" s="140">
        <f>100*(S9+S10)</f>
        <v>1400</v>
      </c>
      <c r="S195" s="79">
        <v>5.82</v>
      </c>
      <c r="T195" s="80">
        <v>3.29</v>
      </c>
    </row>
    <row r="196" spans="2:20">
      <c r="B196" s="5" t="s">
        <v>516</v>
      </c>
      <c r="C196" s="45" t="s">
        <v>97</v>
      </c>
      <c r="D196" s="45" t="s">
        <v>517</v>
      </c>
      <c r="E196" s="6" t="s">
        <v>518</v>
      </c>
      <c r="F196" s="45" t="s">
        <v>519</v>
      </c>
      <c r="G196" s="46">
        <f t="shared" si="23"/>
        <v>1000</v>
      </c>
      <c r="H196" s="46">
        <f>TRUNC(S196*(1-LOTE_03!$K$10),2)</f>
        <v>2.17</v>
      </c>
      <c r="I196" s="46">
        <f>TRUNC(T196*(1-LOTE_03!$K$10),2)</f>
        <v>1.54</v>
      </c>
      <c r="J196" s="100">
        <f t="shared" si="17"/>
        <v>0.22470000000000001</v>
      </c>
      <c r="K196" s="48">
        <f t="shared" si="18"/>
        <v>2.65</v>
      </c>
      <c r="L196" s="48">
        <f t="shared" si="19"/>
        <v>1.88</v>
      </c>
      <c r="M196" s="48">
        <f t="shared" si="20"/>
        <v>2650</v>
      </c>
      <c r="N196" s="48">
        <f t="shared" si="21"/>
        <v>1880</v>
      </c>
      <c r="O196" s="50">
        <f t="shared" si="22"/>
        <v>4530</v>
      </c>
      <c r="P196" s="50">
        <v>0</v>
      </c>
      <c r="Q196" s="76"/>
      <c r="R196" s="140">
        <f>IF((200*S9+200*S10)&gt;1000,1000,(200*S9+200*S10))</f>
        <v>1000</v>
      </c>
      <c r="S196" s="79">
        <v>2.17</v>
      </c>
      <c r="T196" s="80">
        <v>1.54</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177254.85</v>
      </c>
      <c r="Q197" s="76"/>
      <c r="R197" s="154"/>
      <c r="S197" s="79" t="s">
        <v>22</v>
      </c>
      <c r="T197" s="80" t="s">
        <v>22</v>
      </c>
    </row>
    <row r="198" spans="2:20" ht="42">
      <c r="B198" s="5" t="s">
        <v>520</v>
      </c>
      <c r="C198" s="45" t="s">
        <v>135</v>
      </c>
      <c r="D198" s="45">
        <v>88648</v>
      </c>
      <c r="E198" s="6" t="s">
        <v>521</v>
      </c>
      <c r="F198" s="45" t="s">
        <v>187</v>
      </c>
      <c r="G198" s="46">
        <f t="shared" si="23"/>
        <v>100</v>
      </c>
      <c r="H198" s="46">
        <f>TRUNC(S198*(1-LOTE_03!$K$10),2)</f>
        <v>6.96</v>
      </c>
      <c r="I198" s="46">
        <f>TRUNC(T198*(1-LOTE_03!$K$10),2)</f>
        <v>1.94</v>
      </c>
      <c r="J198" s="100">
        <f t="shared" si="17"/>
        <v>0.22470000000000001</v>
      </c>
      <c r="K198" s="48">
        <f t="shared" si="18"/>
        <v>8.52</v>
      </c>
      <c r="L198" s="48">
        <f t="shared" si="19"/>
        <v>2.37</v>
      </c>
      <c r="M198" s="48">
        <f t="shared" si="20"/>
        <v>852</v>
      </c>
      <c r="N198" s="48">
        <f t="shared" si="21"/>
        <v>237</v>
      </c>
      <c r="O198" s="50">
        <f t="shared" si="22"/>
        <v>1089</v>
      </c>
      <c r="P198" s="50">
        <v>0</v>
      </c>
      <c r="Q198" s="76"/>
      <c r="R198" s="140">
        <f>IF((20*S10)&gt;100,100,(10*S9+10*S10))</f>
        <v>100</v>
      </c>
      <c r="S198" s="79">
        <v>6.9600000000000009</v>
      </c>
      <c r="T198" s="80">
        <v>1.94</v>
      </c>
    </row>
    <row r="199" spans="2:20" ht="42">
      <c r="B199" s="5" t="s">
        <v>522</v>
      </c>
      <c r="C199" s="45" t="s">
        <v>135</v>
      </c>
      <c r="D199" s="45">
        <v>88650</v>
      </c>
      <c r="E199" s="6" t="s">
        <v>523</v>
      </c>
      <c r="F199" s="45" t="s">
        <v>187</v>
      </c>
      <c r="G199" s="46">
        <f t="shared" si="23"/>
        <v>1015</v>
      </c>
      <c r="H199" s="46">
        <f>TRUNC(S199*(1-LOTE_03!$K$10),2)</f>
        <v>11.71</v>
      </c>
      <c r="I199" s="46">
        <f>TRUNC(T199*(1-LOTE_03!$K$10),2)</f>
        <v>2.33</v>
      </c>
      <c r="J199" s="100">
        <f t="shared" si="17"/>
        <v>0.22470000000000001</v>
      </c>
      <c r="K199" s="48">
        <f t="shared" si="18"/>
        <v>14.34</v>
      </c>
      <c r="L199" s="48">
        <f t="shared" si="19"/>
        <v>2.85</v>
      </c>
      <c r="M199" s="48">
        <f t="shared" si="20"/>
        <v>14555.1</v>
      </c>
      <c r="N199" s="48">
        <f t="shared" si="21"/>
        <v>2892.75</v>
      </c>
      <c r="O199" s="50">
        <f t="shared" si="22"/>
        <v>17447.849999999999</v>
      </c>
      <c r="P199" s="50">
        <v>0</v>
      </c>
      <c r="Q199" s="76"/>
      <c r="R199" s="141">
        <f>85*S10+50*S9</f>
        <v>1015</v>
      </c>
      <c r="S199" s="79">
        <v>11.709999999999999</v>
      </c>
      <c r="T199" s="80">
        <v>2.33</v>
      </c>
    </row>
    <row r="200" spans="2:20" ht="126">
      <c r="B200" s="5" t="s">
        <v>524</v>
      </c>
      <c r="C200" s="45" t="s">
        <v>97</v>
      </c>
      <c r="D200" s="45" t="s">
        <v>525</v>
      </c>
      <c r="E200" s="6" t="s">
        <v>526</v>
      </c>
      <c r="F200" s="45" t="s">
        <v>187</v>
      </c>
      <c r="G200" s="46">
        <f t="shared" si="23"/>
        <v>2800</v>
      </c>
      <c r="H200" s="46">
        <f>TRUNC(S200*(1-LOTE_03!$K$10),2)</f>
        <v>33.590000000000003</v>
      </c>
      <c r="I200" s="46">
        <f>TRUNC(T200*(1-LOTE_03!$K$10),2)</f>
        <v>2.21</v>
      </c>
      <c r="J200" s="100">
        <f t="shared" si="17"/>
        <v>0.22470000000000001</v>
      </c>
      <c r="K200" s="48">
        <f t="shared" si="18"/>
        <v>41.13</v>
      </c>
      <c r="L200" s="48">
        <f t="shared" si="19"/>
        <v>2.7</v>
      </c>
      <c r="M200" s="48">
        <f t="shared" si="20"/>
        <v>115164</v>
      </c>
      <c r="N200" s="48">
        <f t="shared" si="21"/>
        <v>7560</v>
      </c>
      <c r="O200" s="50">
        <f t="shared" si="22"/>
        <v>122724</v>
      </c>
      <c r="P200" s="50">
        <v>0</v>
      </c>
      <c r="Q200" s="76"/>
      <c r="R200" s="140">
        <f>200*(S10+S9)</f>
        <v>2800</v>
      </c>
      <c r="S200" s="79">
        <v>33.590000000000003</v>
      </c>
      <c r="T200" s="80">
        <v>2.21</v>
      </c>
    </row>
    <row r="201" spans="2:20" ht="42">
      <c r="B201" s="5" t="s">
        <v>527</v>
      </c>
      <c r="C201" s="45" t="s">
        <v>135</v>
      </c>
      <c r="D201" s="45">
        <v>101738</v>
      </c>
      <c r="E201" s="6" t="s">
        <v>1781</v>
      </c>
      <c r="F201" s="45" t="s">
        <v>187</v>
      </c>
      <c r="G201" s="46">
        <f t="shared" si="23"/>
        <v>50</v>
      </c>
      <c r="H201" s="46">
        <f>TRUNC(S201*(1-LOTE_03!$K$10),2)</f>
        <v>33.26</v>
      </c>
      <c r="I201" s="46">
        <f>TRUNC(T201*(1-LOTE_03!$K$10),2)</f>
        <v>10.1</v>
      </c>
      <c r="J201" s="100">
        <f t="shared" si="17"/>
        <v>0.22470000000000001</v>
      </c>
      <c r="K201" s="48">
        <f t="shared" si="18"/>
        <v>40.729999999999997</v>
      </c>
      <c r="L201" s="48">
        <f t="shared" si="19"/>
        <v>12.36</v>
      </c>
      <c r="M201" s="48">
        <f t="shared" si="20"/>
        <v>2036.5</v>
      </c>
      <c r="N201" s="48">
        <f t="shared" si="21"/>
        <v>618</v>
      </c>
      <c r="O201" s="50">
        <f t="shared" si="22"/>
        <v>2654.5</v>
      </c>
      <c r="P201" s="50">
        <v>0</v>
      </c>
      <c r="Q201" s="76"/>
      <c r="R201" s="140">
        <f>IF((S9*5+20*S10)&gt;50,50,(5*S9+10*S10))</f>
        <v>50</v>
      </c>
      <c r="S201" s="79">
        <v>33.26</v>
      </c>
      <c r="T201" s="80">
        <v>10.1</v>
      </c>
    </row>
    <row r="202" spans="2:20" ht="28">
      <c r="B202" s="5" t="s">
        <v>528</v>
      </c>
      <c r="C202" s="45" t="s">
        <v>165</v>
      </c>
      <c r="D202" s="45" t="s">
        <v>529</v>
      </c>
      <c r="E202" s="6" t="s">
        <v>530</v>
      </c>
      <c r="F202" s="45" t="s">
        <v>531</v>
      </c>
      <c r="G202" s="46">
        <f t="shared" si="23"/>
        <v>50</v>
      </c>
      <c r="H202" s="46">
        <f>TRUNC(S202*(1-LOTE_03!$K$10),2)</f>
        <v>30.12</v>
      </c>
      <c r="I202" s="46">
        <f>TRUNC(T202*(1-LOTE_03!$K$10),2)</f>
        <v>1.28</v>
      </c>
      <c r="J202" s="100">
        <f t="shared" si="17"/>
        <v>0.22470000000000001</v>
      </c>
      <c r="K202" s="48">
        <f t="shared" si="18"/>
        <v>36.880000000000003</v>
      </c>
      <c r="L202" s="48">
        <f t="shared" si="19"/>
        <v>1.56</v>
      </c>
      <c r="M202" s="48">
        <f t="shared" si="20"/>
        <v>1844</v>
      </c>
      <c r="N202" s="48">
        <f t="shared" si="21"/>
        <v>78</v>
      </c>
      <c r="O202" s="50">
        <f t="shared" si="22"/>
        <v>1922</v>
      </c>
      <c r="P202" s="50">
        <v>0</v>
      </c>
      <c r="Q202" s="76"/>
      <c r="R202" s="140">
        <f>IF((S9*5+20*S10)&gt;50,50,(5*S9+10*S10))</f>
        <v>50</v>
      </c>
      <c r="S202" s="79">
        <v>30.12</v>
      </c>
      <c r="T202" s="80">
        <v>1.28</v>
      </c>
    </row>
    <row r="203" spans="2:20" ht="28">
      <c r="B203" s="5" t="s">
        <v>532</v>
      </c>
      <c r="C203" s="45" t="s">
        <v>135</v>
      </c>
      <c r="D203" s="45">
        <v>98685</v>
      </c>
      <c r="E203" s="6" t="s">
        <v>1782</v>
      </c>
      <c r="F203" s="45" t="s">
        <v>187</v>
      </c>
      <c r="G203" s="46">
        <f t="shared" si="23"/>
        <v>50</v>
      </c>
      <c r="H203" s="46">
        <f>TRUNC(S203*(1-LOTE_03!$K$10),2)</f>
        <v>79.349999999999994</v>
      </c>
      <c r="I203" s="46">
        <f>TRUNC(T203*(1-LOTE_03!$K$10),2)</f>
        <v>8.5500000000000007</v>
      </c>
      <c r="J203" s="100">
        <f t="shared" si="17"/>
        <v>0.22470000000000001</v>
      </c>
      <c r="K203" s="48">
        <f t="shared" si="18"/>
        <v>97.17</v>
      </c>
      <c r="L203" s="48">
        <f t="shared" si="19"/>
        <v>10.47</v>
      </c>
      <c r="M203" s="48">
        <f t="shared" si="20"/>
        <v>4858.5</v>
      </c>
      <c r="N203" s="48">
        <f t="shared" si="21"/>
        <v>523.5</v>
      </c>
      <c r="O203" s="50">
        <f t="shared" si="22"/>
        <v>5382</v>
      </c>
      <c r="P203" s="50">
        <v>0</v>
      </c>
      <c r="Q203" s="76"/>
      <c r="R203" s="140">
        <f>IF((S9*5+20*S10)&gt;50,50,(5*S9+10*S10))</f>
        <v>50</v>
      </c>
      <c r="S203" s="79">
        <v>79.350000000000009</v>
      </c>
      <c r="T203" s="80">
        <v>8.5500000000000007</v>
      </c>
    </row>
    <row r="204" spans="2:20" ht="28">
      <c r="B204" s="5" t="s">
        <v>533</v>
      </c>
      <c r="C204" s="45" t="s">
        <v>135</v>
      </c>
      <c r="D204" s="45">
        <v>98689</v>
      </c>
      <c r="E204" s="6" t="s">
        <v>1783</v>
      </c>
      <c r="F204" s="45" t="s">
        <v>187</v>
      </c>
      <c r="G204" s="46">
        <f t="shared" si="23"/>
        <v>50</v>
      </c>
      <c r="H204" s="46">
        <f>TRUNC(S204*(1-LOTE_03!$K$10),2)</f>
        <v>115.1</v>
      </c>
      <c r="I204" s="46">
        <f>TRUNC(T204*(1-LOTE_03!$K$10),2)</f>
        <v>16.5</v>
      </c>
      <c r="J204" s="100">
        <f t="shared" si="17"/>
        <v>0.22470000000000001</v>
      </c>
      <c r="K204" s="48">
        <f t="shared" si="18"/>
        <v>140.96</v>
      </c>
      <c r="L204" s="48">
        <f t="shared" si="19"/>
        <v>20.2</v>
      </c>
      <c r="M204" s="48">
        <f t="shared" si="20"/>
        <v>7048</v>
      </c>
      <c r="N204" s="48">
        <f t="shared" si="21"/>
        <v>1010</v>
      </c>
      <c r="O204" s="50">
        <f t="shared" si="22"/>
        <v>8058</v>
      </c>
      <c r="P204" s="50">
        <v>0</v>
      </c>
      <c r="Q204" s="76"/>
      <c r="R204" s="140">
        <f>IF((S9*5+20*S10)&gt;50,50,(5*S9+10*S10))</f>
        <v>50</v>
      </c>
      <c r="S204" s="79">
        <v>115.1</v>
      </c>
      <c r="T204" s="80">
        <v>16.5</v>
      </c>
    </row>
    <row r="205" spans="2:20" ht="28">
      <c r="B205" s="5" t="s">
        <v>534</v>
      </c>
      <c r="C205" s="45" t="s">
        <v>135</v>
      </c>
      <c r="D205" s="45">
        <v>98695</v>
      </c>
      <c r="E205" s="6" t="s">
        <v>1784</v>
      </c>
      <c r="F205" s="45" t="s">
        <v>187</v>
      </c>
      <c r="G205" s="46">
        <f t="shared" si="23"/>
        <v>50</v>
      </c>
      <c r="H205" s="46">
        <f>TRUNC(S205*(1-LOTE_03!$K$10),2)</f>
        <v>148.85</v>
      </c>
      <c r="I205" s="46">
        <f>TRUNC(T205*(1-LOTE_03!$K$10),2)</f>
        <v>18.32</v>
      </c>
      <c r="J205" s="100">
        <f t="shared" si="17"/>
        <v>0.22470000000000001</v>
      </c>
      <c r="K205" s="48">
        <f t="shared" si="18"/>
        <v>182.29</v>
      </c>
      <c r="L205" s="48">
        <f t="shared" si="19"/>
        <v>22.43</v>
      </c>
      <c r="M205" s="48">
        <f t="shared" si="20"/>
        <v>9114.5</v>
      </c>
      <c r="N205" s="48">
        <f t="shared" si="21"/>
        <v>1121.5</v>
      </c>
      <c r="O205" s="50">
        <f t="shared" si="22"/>
        <v>10236</v>
      </c>
      <c r="P205" s="50">
        <v>0</v>
      </c>
      <c r="Q205" s="76"/>
      <c r="R205" s="140">
        <f>IF((S9*5+20*S10)&gt;50,50,(5*S9+10*S10))</f>
        <v>50</v>
      </c>
      <c r="S205" s="79">
        <v>148.85</v>
      </c>
      <c r="T205" s="80">
        <v>18.32</v>
      </c>
    </row>
    <row r="206" spans="2:20" ht="28">
      <c r="B206" s="5" t="s">
        <v>535</v>
      </c>
      <c r="C206" s="45" t="s">
        <v>165</v>
      </c>
      <c r="D206" s="45" t="s">
        <v>536</v>
      </c>
      <c r="E206" s="6" t="s">
        <v>537</v>
      </c>
      <c r="F206" s="45" t="s">
        <v>531</v>
      </c>
      <c r="G206" s="46">
        <f t="shared" si="23"/>
        <v>50</v>
      </c>
      <c r="H206" s="46">
        <f>TRUNC(S206*(1-LOTE_03!$K$10),2)</f>
        <v>124.82</v>
      </c>
      <c r="I206" s="46">
        <f>TRUNC(T206*(1-LOTE_03!$K$10),2)</f>
        <v>1.61</v>
      </c>
      <c r="J206" s="100">
        <f t="shared" si="17"/>
        <v>0.22470000000000001</v>
      </c>
      <c r="K206" s="48">
        <f t="shared" si="18"/>
        <v>152.86000000000001</v>
      </c>
      <c r="L206" s="48">
        <f t="shared" si="19"/>
        <v>1.97</v>
      </c>
      <c r="M206" s="48">
        <f t="shared" si="20"/>
        <v>7643</v>
      </c>
      <c r="N206" s="48">
        <f t="shared" si="21"/>
        <v>98.5</v>
      </c>
      <c r="O206" s="50">
        <f t="shared" si="22"/>
        <v>7741.5</v>
      </c>
      <c r="P206" s="50">
        <v>0</v>
      </c>
      <c r="Q206" s="76"/>
      <c r="R206" s="140">
        <f>IF((S9*5+20*S10)&gt;50,50,(5*S9+10*S10))</f>
        <v>50</v>
      </c>
      <c r="S206" s="79">
        <v>124.82</v>
      </c>
      <c r="T206" s="80">
        <v>1.61</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1309319.3</v>
      </c>
      <c r="Q207" s="76"/>
      <c r="R207" s="154"/>
      <c r="S207" s="79" t="s">
        <v>22</v>
      </c>
      <c r="T207" s="80" t="s">
        <v>22</v>
      </c>
    </row>
    <row r="208" spans="2:20" ht="42">
      <c r="B208" s="5" t="s">
        <v>538</v>
      </c>
      <c r="C208" s="45" t="s">
        <v>97</v>
      </c>
      <c r="D208" s="45" t="s">
        <v>539</v>
      </c>
      <c r="E208" s="6" t="s">
        <v>540</v>
      </c>
      <c r="F208" s="45" t="s">
        <v>104</v>
      </c>
      <c r="G208" s="46">
        <f t="shared" si="23"/>
        <v>20</v>
      </c>
      <c r="H208" s="46">
        <f>TRUNC(S208*(1-LOTE_03!$K$10),2)</f>
        <v>29.34</v>
      </c>
      <c r="I208" s="46">
        <f>TRUNC(T208*(1-LOTE_03!$K$10),2)</f>
        <v>55.64</v>
      </c>
      <c r="J208" s="100">
        <f t="shared" si="17"/>
        <v>0.22470000000000001</v>
      </c>
      <c r="K208" s="48">
        <f t="shared" ref="K208:K271" si="24">TRUNC(H208*(1+J208),2)</f>
        <v>35.93</v>
      </c>
      <c r="L208" s="48">
        <f t="shared" ref="L208:L271" si="25">TRUNC(I208*(1+J208),2)</f>
        <v>68.14</v>
      </c>
      <c r="M208" s="48">
        <f t="shared" ref="M208:M271" si="26">TRUNC(K208*G208,2)</f>
        <v>718.6</v>
      </c>
      <c r="N208" s="48">
        <f t="shared" ref="N208:N271" si="27">TRUNC(L208*G208,2)</f>
        <v>1362.8</v>
      </c>
      <c r="O208" s="50">
        <f t="shared" ref="O208:O271" si="28">TRUNC(M208+N208,2)</f>
        <v>2081.4</v>
      </c>
      <c r="P208" s="50">
        <v>0</v>
      </c>
      <c r="Q208" s="76"/>
      <c r="R208" s="140">
        <f>IF((2*S9+2*S10)&gt;20,20,(2*S9+2*S10))</f>
        <v>20</v>
      </c>
      <c r="S208" s="79">
        <v>29.34</v>
      </c>
      <c r="T208" s="80">
        <v>55.64</v>
      </c>
    </row>
    <row r="209" spans="2:20" ht="28">
      <c r="B209" s="5" t="s">
        <v>541</v>
      </c>
      <c r="C209" s="45" t="s">
        <v>97</v>
      </c>
      <c r="D209" s="45" t="s">
        <v>542</v>
      </c>
      <c r="E209" s="6" t="s">
        <v>543</v>
      </c>
      <c r="F209" s="45" t="s">
        <v>104</v>
      </c>
      <c r="G209" s="46">
        <f t="shared" si="23"/>
        <v>10</v>
      </c>
      <c r="H209" s="46">
        <f>TRUNC(S209*(1-LOTE_03!$K$10),2)</f>
        <v>0</v>
      </c>
      <c r="I209" s="46">
        <f>TRUNC(T209*(1-LOTE_03!$K$10),2)</f>
        <v>98.15</v>
      </c>
      <c r="J209" s="100">
        <f t="shared" si="17"/>
        <v>0.22470000000000001</v>
      </c>
      <c r="K209" s="48">
        <f t="shared" si="24"/>
        <v>0</v>
      </c>
      <c r="L209" s="48">
        <f t="shared" si="25"/>
        <v>120.2</v>
      </c>
      <c r="M209" s="48">
        <f t="shared" si="26"/>
        <v>0</v>
      </c>
      <c r="N209" s="48">
        <f t="shared" si="27"/>
        <v>1202</v>
      </c>
      <c r="O209" s="50">
        <f t="shared" si="28"/>
        <v>1202</v>
      </c>
      <c r="P209" s="50">
        <v>0</v>
      </c>
      <c r="Q209" s="76"/>
      <c r="R209" s="140">
        <f>IF((1*S9+1*S10)&gt;10,10,(1*S9+1*S10))</f>
        <v>10</v>
      </c>
      <c r="S209" s="79">
        <v>0</v>
      </c>
      <c r="T209" s="80">
        <v>98.15</v>
      </c>
    </row>
    <row r="210" spans="2:20" ht="42">
      <c r="B210" s="5" t="s">
        <v>544</v>
      </c>
      <c r="C210" s="45" t="s">
        <v>135</v>
      </c>
      <c r="D210" s="45">
        <v>102182</v>
      </c>
      <c r="E210" s="6" t="s">
        <v>1785</v>
      </c>
      <c r="F210" s="45" t="s">
        <v>210</v>
      </c>
      <c r="G210" s="46">
        <f t="shared" ref="G210:G273" si="29">TRUNC(R210,2)</f>
        <v>20</v>
      </c>
      <c r="H210" s="46">
        <f>TRUNC(S210*(1-LOTE_03!$K$10),2)</f>
        <v>920.81</v>
      </c>
      <c r="I210" s="46">
        <f>TRUNC(T210*(1-LOTE_03!$K$10),2)</f>
        <v>63.27</v>
      </c>
      <c r="J210" s="100">
        <f t="shared" ref="J210:J273" si="30">$J$4</f>
        <v>0.22470000000000001</v>
      </c>
      <c r="K210" s="48">
        <f t="shared" si="24"/>
        <v>1127.71</v>
      </c>
      <c r="L210" s="48">
        <f t="shared" si="25"/>
        <v>77.48</v>
      </c>
      <c r="M210" s="48">
        <f t="shared" si="26"/>
        <v>22554.2</v>
      </c>
      <c r="N210" s="48">
        <f t="shared" si="27"/>
        <v>1549.6</v>
      </c>
      <c r="O210" s="50">
        <f t="shared" si="28"/>
        <v>24103.8</v>
      </c>
      <c r="P210" s="50">
        <v>0</v>
      </c>
      <c r="Q210" s="76"/>
      <c r="R210" s="140">
        <f>IF((2*S9+2*S10)&gt;20,20,(2*S9+2*S10))</f>
        <v>20</v>
      </c>
      <c r="S210" s="79">
        <v>920.81000000000006</v>
      </c>
      <c r="T210" s="80">
        <v>63.27</v>
      </c>
    </row>
    <row r="211" spans="2:20" ht="56">
      <c r="B211" s="5" t="s">
        <v>545</v>
      </c>
      <c r="C211" s="45" t="s">
        <v>135</v>
      </c>
      <c r="D211" s="45">
        <v>102183</v>
      </c>
      <c r="E211" s="6" t="s">
        <v>1786</v>
      </c>
      <c r="F211" s="45" t="s">
        <v>210</v>
      </c>
      <c r="G211" s="46">
        <f t="shared" si="29"/>
        <v>10</v>
      </c>
      <c r="H211" s="46">
        <f>TRUNC(S211*(1-LOTE_03!$K$10),2)</f>
        <v>1695.75</v>
      </c>
      <c r="I211" s="46">
        <f>TRUNC(T211*(1-LOTE_03!$K$10),2)</f>
        <v>124.11</v>
      </c>
      <c r="J211" s="100">
        <f t="shared" si="30"/>
        <v>0.22470000000000001</v>
      </c>
      <c r="K211" s="48">
        <f t="shared" si="24"/>
        <v>2076.7800000000002</v>
      </c>
      <c r="L211" s="48">
        <f t="shared" si="25"/>
        <v>151.99</v>
      </c>
      <c r="M211" s="48">
        <f t="shared" si="26"/>
        <v>20767.8</v>
      </c>
      <c r="N211" s="48">
        <f t="shared" si="27"/>
        <v>1519.9</v>
      </c>
      <c r="O211" s="50">
        <f t="shared" si="28"/>
        <v>22287.7</v>
      </c>
      <c r="P211" s="50">
        <v>0</v>
      </c>
      <c r="Q211" s="76"/>
      <c r="R211" s="140">
        <f>IF((1*S9+1*S10)&gt;10,10,(1*S9+1*S10))</f>
        <v>10</v>
      </c>
      <c r="S211" s="79">
        <v>1695.75</v>
      </c>
      <c r="T211" s="80">
        <v>124.11</v>
      </c>
    </row>
    <row r="212" spans="2:20" ht="56">
      <c r="B212" s="5" t="s">
        <v>546</v>
      </c>
      <c r="C212" s="45" t="s">
        <v>135</v>
      </c>
      <c r="D212" s="45">
        <v>102184</v>
      </c>
      <c r="E212" s="6" t="s">
        <v>1787</v>
      </c>
      <c r="F212" s="45" t="s">
        <v>210</v>
      </c>
      <c r="G212" s="46">
        <f t="shared" si="29"/>
        <v>10</v>
      </c>
      <c r="H212" s="46">
        <f>TRUNC(S212*(1-LOTE_03!$K$10),2)</f>
        <v>1796.78</v>
      </c>
      <c r="I212" s="46">
        <f>TRUNC(T212*(1-LOTE_03!$K$10),2)</f>
        <v>98.15</v>
      </c>
      <c r="J212" s="100">
        <f t="shared" si="30"/>
        <v>0.22470000000000001</v>
      </c>
      <c r="K212" s="48">
        <f t="shared" si="24"/>
        <v>2200.5100000000002</v>
      </c>
      <c r="L212" s="48">
        <f t="shared" si="25"/>
        <v>120.2</v>
      </c>
      <c r="M212" s="48">
        <f t="shared" si="26"/>
        <v>22005.1</v>
      </c>
      <c r="N212" s="48">
        <f t="shared" si="27"/>
        <v>1202</v>
      </c>
      <c r="O212" s="50">
        <f t="shared" si="28"/>
        <v>23207.1</v>
      </c>
      <c r="P212" s="50">
        <v>0</v>
      </c>
      <c r="Q212" s="76"/>
      <c r="R212" s="140">
        <f>IF((1*S9+1*S10)&gt;10,10,(1*S9+1*S10))</f>
        <v>10</v>
      </c>
      <c r="S212" s="79">
        <v>1796.78</v>
      </c>
      <c r="T212" s="80">
        <v>98.15</v>
      </c>
    </row>
    <row r="213" spans="2:20" ht="70">
      <c r="B213" s="5" t="s">
        <v>547</v>
      </c>
      <c r="C213" s="45" t="s">
        <v>135</v>
      </c>
      <c r="D213" s="45">
        <v>102185</v>
      </c>
      <c r="E213" s="6" t="s">
        <v>1788</v>
      </c>
      <c r="F213" s="45" t="s">
        <v>210</v>
      </c>
      <c r="G213" s="46">
        <f t="shared" si="29"/>
        <v>10</v>
      </c>
      <c r="H213" s="46">
        <f>TRUNC(S213*(1-LOTE_03!$K$10),2)</f>
        <v>3596.78</v>
      </c>
      <c r="I213" s="46">
        <f>TRUNC(T213*(1-LOTE_03!$K$10),2)</f>
        <v>203.7</v>
      </c>
      <c r="J213" s="100">
        <f t="shared" si="30"/>
        <v>0.22470000000000001</v>
      </c>
      <c r="K213" s="48">
        <f t="shared" si="24"/>
        <v>4404.97</v>
      </c>
      <c r="L213" s="48">
        <f t="shared" si="25"/>
        <v>249.47</v>
      </c>
      <c r="M213" s="48">
        <f t="shared" si="26"/>
        <v>44049.7</v>
      </c>
      <c r="N213" s="48">
        <f t="shared" si="27"/>
        <v>2494.6999999999998</v>
      </c>
      <c r="O213" s="50">
        <f t="shared" si="28"/>
        <v>46544.4</v>
      </c>
      <c r="P213" s="50">
        <v>0</v>
      </c>
      <c r="Q213" s="76"/>
      <c r="R213" s="140">
        <f>IF((1*S9+1*S10)&gt;10,10,(1*S9+1*S10))</f>
        <v>10</v>
      </c>
      <c r="S213" s="79">
        <v>3596.78</v>
      </c>
      <c r="T213" s="80">
        <v>203.7</v>
      </c>
    </row>
    <row r="214" spans="2:20" ht="28">
      <c r="B214" s="5" t="s">
        <v>548</v>
      </c>
      <c r="C214" s="45" t="s">
        <v>97</v>
      </c>
      <c r="D214" s="45" t="s">
        <v>549</v>
      </c>
      <c r="E214" s="6" t="s">
        <v>550</v>
      </c>
      <c r="F214" s="45" t="s">
        <v>104</v>
      </c>
      <c r="G214" s="46">
        <f t="shared" si="29"/>
        <v>28</v>
      </c>
      <c r="H214" s="46">
        <f>TRUNC(S214*(1-LOTE_03!$K$10),2)</f>
        <v>17.57</v>
      </c>
      <c r="I214" s="46">
        <f>TRUNC(T214*(1-LOTE_03!$K$10),2)</f>
        <v>40.69</v>
      </c>
      <c r="J214" s="100">
        <f t="shared" si="30"/>
        <v>0.22470000000000001</v>
      </c>
      <c r="K214" s="48">
        <f t="shared" si="24"/>
        <v>21.51</v>
      </c>
      <c r="L214" s="48">
        <f t="shared" si="25"/>
        <v>49.83</v>
      </c>
      <c r="M214" s="48">
        <f t="shared" si="26"/>
        <v>602.28</v>
      </c>
      <c r="N214" s="48">
        <f t="shared" si="27"/>
        <v>1395.24</v>
      </c>
      <c r="O214" s="50">
        <f t="shared" si="28"/>
        <v>1997.52</v>
      </c>
      <c r="P214" s="50">
        <v>0</v>
      </c>
      <c r="Q214" s="76"/>
      <c r="R214" s="140">
        <f>IF((2*S9+2*S10)&gt;50,50,(2*S9+2*S10))</f>
        <v>28</v>
      </c>
      <c r="S214" s="79">
        <v>17.57</v>
      </c>
      <c r="T214" s="80">
        <v>40.69</v>
      </c>
    </row>
    <row r="215" spans="2:20" ht="70">
      <c r="B215" s="5" t="s">
        <v>551</v>
      </c>
      <c r="C215" s="45" t="s">
        <v>135</v>
      </c>
      <c r="D215" s="45">
        <v>100695</v>
      </c>
      <c r="E215" s="6" t="s">
        <v>1789</v>
      </c>
      <c r="F215" s="45" t="s">
        <v>210</v>
      </c>
      <c r="G215" s="46">
        <f t="shared" si="29"/>
        <v>28</v>
      </c>
      <c r="H215" s="46">
        <f>TRUNC(S215*(1-LOTE_03!$K$10),2)</f>
        <v>25.31</v>
      </c>
      <c r="I215" s="46">
        <f>TRUNC(T215*(1-LOTE_03!$K$10),2)</f>
        <v>51.14</v>
      </c>
      <c r="J215" s="100">
        <f t="shared" si="30"/>
        <v>0.22470000000000001</v>
      </c>
      <c r="K215" s="48">
        <f t="shared" si="24"/>
        <v>30.99</v>
      </c>
      <c r="L215" s="48">
        <f t="shared" si="25"/>
        <v>62.63</v>
      </c>
      <c r="M215" s="48">
        <f t="shared" si="26"/>
        <v>867.72</v>
      </c>
      <c r="N215" s="48">
        <f t="shared" si="27"/>
        <v>1753.64</v>
      </c>
      <c r="O215" s="50">
        <f t="shared" si="28"/>
        <v>2621.36</v>
      </c>
      <c r="P215" s="50">
        <v>0</v>
      </c>
      <c r="Q215" s="76"/>
      <c r="R215" s="140">
        <f>IF((2*S9+2*S10)&gt;50,50,(2*S9+2*S10))</f>
        <v>28</v>
      </c>
      <c r="S215" s="79">
        <v>25.310000000000002</v>
      </c>
      <c r="T215" s="80">
        <v>51.14</v>
      </c>
    </row>
    <row r="216" spans="2:20" ht="70">
      <c r="B216" s="5" t="s">
        <v>552</v>
      </c>
      <c r="C216" s="45" t="s">
        <v>135</v>
      </c>
      <c r="D216" s="45">
        <v>100697</v>
      </c>
      <c r="E216" s="6" t="s">
        <v>1790</v>
      </c>
      <c r="F216" s="45" t="s">
        <v>210</v>
      </c>
      <c r="G216" s="46">
        <f t="shared" si="29"/>
        <v>28</v>
      </c>
      <c r="H216" s="46">
        <f>TRUNC(S216*(1-LOTE_03!$K$10),2)</f>
        <v>30.5</v>
      </c>
      <c r="I216" s="46">
        <f>TRUNC(T216*(1-LOTE_03!$K$10),2)</f>
        <v>62.6</v>
      </c>
      <c r="J216" s="100">
        <f t="shared" si="30"/>
        <v>0.22470000000000001</v>
      </c>
      <c r="K216" s="48">
        <f t="shared" si="24"/>
        <v>37.35</v>
      </c>
      <c r="L216" s="48">
        <f t="shared" si="25"/>
        <v>76.66</v>
      </c>
      <c r="M216" s="48">
        <f t="shared" si="26"/>
        <v>1045.8</v>
      </c>
      <c r="N216" s="48">
        <f t="shared" si="27"/>
        <v>2146.48</v>
      </c>
      <c r="O216" s="50">
        <f t="shared" si="28"/>
        <v>3192.28</v>
      </c>
      <c r="P216" s="50">
        <v>0</v>
      </c>
      <c r="Q216" s="76"/>
      <c r="R216" s="140">
        <f>IF((2*S9+2*S10)&gt;50,50,(2*S9+2*S10))</f>
        <v>28</v>
      </c>
      <c r="S216" s="79">
        <v>30.499999999999993</v>
      </c>
      <c r="T216" s="80">
        <v>62.6</v>
      </c>
    </row>
    <row r="217" spans="2:20" ht="70">
      <c r="B217" s="5" t="s">
        <v>553</v>
      </c>
      <c r="C217" s="45" t="s">
        <v>135</v>
      </c>
      <c r="D217" s="45">
        <v>90820</v>
      </c>
      <c r="E217" s="6" t="s">
        <v>1791</v>
      </c>
      <c r="F217" s="45" t="s">
        <v>210</v>
      </c>
      <c r="G217" s="46">
        <f t="shared" si="29"/>
        <v>14</v>
      </c>
      <c r="H217" s="46">
        <f>TRUNC(S217*(1-LOTE_03!$K$10),2)</f>
        <v>406.14</v>
      </c>
      <c r="I217" s="46">
        <f>TRUNC(T217*(1-LOTE_03!$K$10),2)</f>
        <v>38.450000000000003</v>
      </c>
      <c r="J217" s="100">
        <f t="shared" si="30"/>
        <v>0.22470000000000001</v>
      </c>
      <c r="K217" s="48">
        <f t="shared" si="24"/>
        <v>497.39</v>
      </c>
      <c r="L217" s="48">
        <f t="shared" si="25"/>
        <v>47.08</v>
      </c>
      <c r="M217" s="48">
        <f t="shared" si="26"/>
        <v>6963.46</v>
      </c>
      <c r="N217" s="48">
        <f t="shared" si="27"/>
        <v>659.12</v>
      </c>
      <c r="O217" s="50">
        <f t="shared" si="28"/>
        <v>7622.58</v>
      </c>
      <c r="P217" s="50">
        <v>0</v>
      </c>
      <c r="Q217" s="76"/>
      <c r="R217" s="140">
        <f>IF((1*S9+1*S10)&gt;50,50,(1*S9+1*S10))</f>
        <v>14</v>
      </c>
      <c r="S217" s="79">
        <v>406.14</v>
      </c>
      <c r="T217" s="80">
        <v>38.450000000000003</v>
      </c>
    </row>
    <row r="218" spans="2:20" ht="70">
      <c r="B218" s="5" t="s">
        <v>554</v>
      </c>
      <c r="C218" s="45" t="s">
        <v>135</v>
      </c>
      <c r="D218" s="45">
        <v>90822</v>
      </c>
      <c r="E218" s="6" t="s">
        <v>1792</v>
      </c>
      <c r="F218" s="45" t="s">
        <v>210</v>
      </c>
      <c r="G218" s="46">
        <f t="shared" si="29"/>
        <v>28</v>
      </c>
      <c r="H218" s="46">
        <f>TRUNC(S218*(1-LOTE_03!$K$10),2)</f>
        <v>439.85</v>
      </c>
      <c r="I218" s="46">
        <f>TRUNC(T218*(1-LOTE_03!$K$10),2)</f>
        <v>46.38</v>
      </c>
      <c r="J218" s="100">
        <f t="shared" si="30"/>
        <v>0.22470000000000001</v>
      </c>
      <c r="K218" s="48">
        <f t="shared" si="24"/>
        <v>538.67999999999995</v>
      </c>
      <c r="L218" s="48">
        <f t="shared" si="25"/>
        <v>56.8</v>
      </c>
      <c r="M218" s="48">
        <f t="shared" si="26"/>
        <v>15083.04</v>
      </c>
      <c r="N218" s="48">
        <f t="shared" si="27"/>
        <v>1590.4</v>
      </c>
      <c r="O218" s="50">
        <f t="shared" si="28"/>
        <v>16673.439999999999</v>
      </c>
      <c r="P218" s="50">
        <v>0</v>
      </c>
      <c r="Q218" s="76"/>
      <c r="R218" s="140">
        <f>IF((2*S9+2*S10)&gt;50,50,(2*S9+2*S10))</f>
        <v>28</v>
      </c>
      <c r="S218" s="79">
        <v>439.85</v>
      </c>
      <c r="T218" s="80">
        <v>46.38</v>
      </c>
    </row>
    <row r="219" spans="2:20" ht="70">
      <c r="B219" s="5" t="s">
        <v>555</v>
      </c>
      <c r="C219" s="45" t="s">
        <v>135</v>
      </c>
      <c r="D219" s="45">
        <v>90823</v>
      </c>
      <c r="E219" s="6" t="s">
        <v>1793</v>
      </c>
      <c r="F219" s="45" t="s">
        <v>210</v>
      </c>
      <c r="G219" s="46">
        <f t="shared" si="29"/>
        <v>28</v>
      </c>
      <c r="H219" s="46">
        <f>TRUNC(S219*(1-LOTE_03!$K$10),2)</f>
        <v>547.86</v>
      </c>
      <c r="I219" s="46">
        <f>TRUNC(T219*(1-LOTE_03!$K$10),2)</f>
        <v>50.1</v>
      </c>
      <c r="J219" s="100">
        <f t="shared" si="30"/>
        <v>0.22470000000000001</v>
      </c>
      <c r="K219" s="48">
        <f t="shared" si="24"/>
        <v>670.96</v>
      </c>
      <c r="L219" s="48">
        <f t="shared" si="25"/>
        <v>61.35</v>
      </c>
      <c r="M219" s="48">
        <f t="shared" si="26"/>
        <v>18786.88</v>
      </c>
      <c r="N219" s="48">
        <f t="shared" si="27"/>
        <v>1717.8</v>
      </c>
      <c r="O219" s="50">
        <f t="shared" si="28"/>
        <v>20504.68</v>
      </c>
      <c r="P219" s="50">
        <v>0</v>
      </c>
      <c r="Q219" s="76"/>
      <c r="R219" s="140">
        <f>IF((2*S9+2*S10)&gt;50,50,(2*S9+2*S10))</f>
        <v>28</v>
      </c>
      <c r="S219" s="79">
        <v>547.86</v>
      </c>
      <c r="T219" s="80">
        <v>50.1</v>
      </c>
    </row>
    <row r="220" spans="2:20" ht="28">
      <c r="B220" s="5" t="s">
        <v>556</v>
      </c>
      <c r="C220" s="45" t="s">
        <v>165</v>
      </c>
      <c r="D220" s="45" t="s">
        <v>557</v>
      </c>
      <c r="E220" s="6" t="s">
        <v>558</v>
      </c>
      <c r="F220" s="45" t="s">
        <v>559</v>
      </c>
      <c r="G220" s="46">
        <f t="shared" si="29"/>
        <v>28</v>
      </c>
      <c r="H220" s="46">
        <f>TRUNC(S220*(1-LOTE_03!$K$10),2)</f>
        <v>892.01</v>
      </c>
      <c r="I220" s="46">
        <f>TRUNC(T220*(1-LOTE_03!$K$10),2)</f>
        <v>163.52000000000001</v>
      </c>
      <c r="J220" s="100">
        <f t="shared" si="30"/>
        <v>0.22470000000000001</v>
      </c>
      <c r="K220" s="48">
        <f t="shared" si="24"/>
        <v>1092.44</v>
      </c>
      <c r="L220" s="48">
        <f t="shared" si="25"/>
        <v>200.26</v>
      </c>
      <c r="M220" s="48">
        <f t="shared" si="26"/>
        <v>30588.32</v>
      </c>
      <c r="N220" s="48">
        <f t="shared" si="27"/>
        <v>5607.28</v>
      </c>
      <c r="O220" s="50">
        <f t="shared" si="28"/>
        <v>36195.599999999999</v>
      </c>
      <c r="P220" s="50">
        <v>0</v>
      </c>
      <c r="Q220" s="76"/>
      <c r="R220" s="140">
        <f>IF((2*S9+2*S10)&gt;50,50,(2*S9+2*S10))</f>
        <v>28</v>
      </c>
      <c r="S220" s="79">
        <v>892.01</v>
      </c>
      <c r="T220" s="80">
        <v>163.52000000000001</v>
      </c>
    </row>
    <row r="221" spans="2:20" ht="28">
      <c r="B221" s="5" t="s">
        <v>560</v>
      </c>
      <c r="C221" s="45" t="s">
        <v>165</v>
      </c>
      <c r="D221" s="45" t="s">
        <v>561</v>
      </c>
      <c r="E221" s="6" t="s">
        <v>562</v>
      </c>
      <c r="F221" s="45" t="s">
        <v>559</v>
      </c>
      <c r="G221" s="46">
        <f t="shared" si="29"/>
        <v>14</v>
      </c>
      <c r="H221" s="46">
        <f>TRUNC(S221*(1-LOTE_03!$K$10),2)</f>
        <v>1795.08</v>
      </c>
      <c r="I221" s="46">
        <f>TRUNC(T221*(1-LOTE_03!$K$10),2)</f>
        <v>163.52000000000001</v>
      </c>
      <c r="J221" s="100">
        <f t="shared" si="30"/>
        <v>0.22470000000000001</v>
      </c>
      <c r="K221" s="48">
        <f t="shared" si="24"/>
        <v>2198.4299999999998</v>
      </c>
      <c r="L221" s="48">
        <f t="shared" si="25"/>
        <v>200.26</v>
      </c>
      <c r="M221" s="48">
        <f t="shared" si="26"/>
        <v>30778.02</v>
      </c>
      <c r="N221" s="48">
        <f t="shared" si="27"/>
        <v>2803.64</v>
      </c>
      <c r="O221" s="50">
        <f t="shared" si="28"/>
        <v>33581.660000000003</v>
      </c>
      <c r="P221" s="50">
        <v>0</v>
      </c>
      <c r="Q221" s="76"/>
      <c r="R221" s="140">
        <f>IF((1*S9+1*S10)&gt;20,20,(1*S9+1*S10))</f>
        <v>14</v>
      </c>
      <c r="S221" s="79">
        <v>1795.08</v>
      </c>
      <c r="T221" s="80">
        <v>163.52000000000001</v>
      </c>
    </row>
    <row r="222" spans="2:20" ht="98">
      <c r="B222" s="5" t="s">
        <v>563</v>
      </c>
      <c r="C222" s="45" t="s">
        <v>135</v>
      </c>
      <c r="D222" s="45">
        <v>90793</v>
      </c>
      <c r="E222" s="6" t="s">
        <v>1794</v>
      </c>
      <c r="F222" s="45" t="s">
        <v>210</v>
      </c>
      <c r="G222" s="46">
        <f t="shared" si="29"/>
        <v>20</v>
      </c>
      <c r="H222" s="46">
        <f>TRUNC(S222*(1-LOTE_03!$K$10),2)</f>
        <v>1453.03</v>
      </c>
      <c r="I222" s="46">
        <f>TRUNC(T222*(1-LOTE_03!$K$10),2)</f>
        <v>27.38</v>
      </c>
      <c r="J222" s="100">
        <f t="shared" si="30"/>
        <v>0.22470000000000001</v>
      </c>
      <c r="K222" s="48">
        <f t="shared" si="24"/>
        <v>1779.52</v>
      </c>
      <c r="L222" s="48">
        <f t="shared" si="25"/>
        <v>33.53</v>
      </c>
      <c r="M222" s="48">
        <f t="shared" si="26"/>
        <v>35590.400000000001</v>
      </c>
      <c r="N222" s="48">
        <f t="shared" si="27"/>
        <v>670.6</v>
      </c>
      <c r="O222" s="50">
        <f t="shared" si="28"/>
        <v>36261</v>
      </c>
      <c r="P222" s="50">
        <v>0</v>
      </c>
      <c r="Q222" s="76"/>
      <c r="R222" s="140">
        <f>IF((2*S9+2*S10)&gt;20,20,(2*S9+2*S10))</f>
        <v>20</v>
      </c>
      <c r="S222" s="79">
        <v>1453.03</v>
      </c>
      <c r="T222" s="80">
        <v>27.38</v>
      </c>
    </row>
    <row r="223" spans="2:20" ht="56">
      <c r="B223" s="5" t="s">
        <v>564</v>
      </c>
      <c r="C223" s="45" t="s">
        <v>97</v>
      </c>
      <c r="D223" s="45" t="s">
        <v>565</v>
      </c>
      <c r="E223" s="6" t="s">
        <v>566</v>
      </c>
      <c r="F223" s="45" t="s">
        <v>104</v>
      </c>
      <c r="G223" s="46">
        <f t="shared" si="29"/>
        <v>70</v>
      </c>
      <c r="H223" s="46">
        <f>TRUNC(S223*(1-LOTE_03!$K$10),2)</f>
        <v>1698.82</v>
      </c>
      <c r="I223" s="46">
        <f>TRUNC(T223*(1-LOTE_03!$K$10),2)</f>
        <v>46.13</v>
      </c>
      <c r="J223" s="100">
        <f t="shared" si="30"/>
        <v>0.22470000000000001</v>
      </c>
      <c r="K223" s="48">
        <f t="shared" si="24"/>
        <v>2080.54</v>
      </c>
      <c r="L223" s="48">
        <f t="shared" si="25"/>
        <v>56.49</v>
      </c>
      <c r="M223" s="48">
        <f t="shared" si="26"/>
        <v>145637.79999999999</v>
      </c>
      <c r="N223" s="48">
        <f t="shared" si="27"/>
        <v>3954.3</v>
      </c>
      <c r="O223" s="50">
        <f t="shared" si="28"/>
        <v>149592.1</v>
      </c>
      <c r="P223" s="50">
        <v>0</v>
      </c>
      <c r="Q223" s="76"/>
      <c r="R223" s="140">
        <f>5*(S9+S10)</f>
        <v>70</v>
      </c>
      <c r="S223" s="79">
        <v>1698.82</v>
      </c>
      <c r="T223" s="80">
        <v>46.13</v>
      </c>
    </row>
    <row r="224" spans="2:20" ht="28">
      <c r="B224" s="5" t="s">
        <v>567</v>
      </c>
      <c r="C224" s="45" t="s">
        <v>97</v>
      </c>
      <c r="D224" s="45" t="s">
        <v>568</v>
      </c>
      <c r="E224" s="6" t="s">
        <v>569</v>
      </c>
      <c r="F224" s="45" t="s">
        <v>104</v>
      </c>
      <c r="G224" s="46">
        <f t="shared" si="29"/>
        <v>28</v>
      </c>
      <c r="H224" s="46">
        <f>TRUNC(S224*(1-LOTE_03!$K$10),2)</f>
        <v>290.67</v>
      </c>
      <c r="I224" s="46">
        <f>TRUNC(T224*(1-LOTE_03!$K$10),2)</f>
        <v>13.3</v>
      </c>
      <c r="J224" s="100">
        <f t="shared" si="30"/>
        <v>0.22470000000000001</v>
      </c>
      <c r="K224" s="48">
        <f t="shared" si="24"/>
        <v>355.98</v>
      </c>
      <c r="L224" s="48">
        <f t="shared" si="25"/>
        <v>16.28</v>
      </c>
      <c r="M224" s="48">
        <f t="shared" si="26"/>
        <v>9967.44</v>
      </c>
      <c r="N224" s="48">
        <f t="shared" si="27"/>
        <v>455.84</v>
      </c>
      <c r="O224" s="50">
        <f t="shared" si="28"/>
        <v>10423.280000000001</v>
      </c>
      <c r="P224" s="50">
        <v>0</v>
      </c>
      <c r="Q224" s="76"/>
      <c r="R224" s="140">
        <f>IF((2*S9+2*S10)&gt;50,50,(2*S9+2*S10))</f>
        <v>28</v>
      </c>
      <c r="S224" s="79">
        <v>290.67</v>
      </c>
      <c r="T224" s="80">
        <v>13.3</v>
      </c>
    </row>
    <row r="225" spans="2:20" ht="42">
      <c r="B225" s="5" t="s">
        <v>570</v>
      </c>
      <c r="C225" s="45" t="s">
        <v>135</v>
      </c>
      <c r="D225" s="45">
        <v>100701</v>
      </c>
      <c r="E225" s="6" t="s">
        <v>1795</v>
      </c>
      <c r="F225" s="45" t="s">
        <v>121</v>
      </c>
      <c r="G225" s="46">
        <f t="shared" si="29"/>
        <v>88</v>
      </c>
      <c r="H225" s="46">
        <f>TRUNC(S225*(1-LOTE_03!$K$10),2)</f>
        <v>670.43</v>
      </c>
      <c r="I225" s="46">
        <f>TRUNC(T225*(1-LOTE_03!$K$10),2)</f>
        <v>14.73</v>
      </c>
      <c r="J225" s="100">
        <f t="shared" si="30"/>
        <v>0.22470000000000001</v>
      </c>
      <c r="K225" s="48">
        <f t="shared" si="24"/>
        <v>821.07</v>
      </c>
      <c r="L225" s="48">
        <f t="shared" si="25"/>
        <v>18.03</v>
      </c>
      <c r="M225" s="48">
        <f t="shared" si="26"/>
        <v>72254.16</v>
      </c>
      <c r="N225" s="48">
        <f t="shared" si="27"/>
        <v>1586.64</v>
      </c>
      <c r="O225" s="50">
        <f t="shared" si="28"/>
        <v>73840.800000000003</v>
      </c>
      <c r="P225" s="50">
        <v>0</v>
      </c>
      <c r="Q225" s="76"/>
      <c r="R225" s="140">
        <f>IF((5*S9+7*S10)&gt;100,100,(5*S9+7*S10))</f>
        <v>88</v>
      </c>
      <c r="S225" s="79">
        <v>670.43</v>
      </c>
      <c r="T225" s="80">
        <v>14.73</v>
      </c>
    </row>
    <row r="226" spans="2:20" ht="42">
      <c r="B226" s="5" t="s">
        <v>571</v>
      </c>
      <c r="C226" s="45" t="s">
        <v>135</v>
      </c>
      <c r="D226" s="45">
        <v>90838</v>
      </c>
      <c r="E226" s="6" t="s">
        <v>1796</v>
      </c>
      <c r="F226" s="45" t="s">
        <v>210</v>
      </c>
      <c r="G226" s="46">
        <f t="shared" si="29"/>
        <v>10</v>
      </c>
      <c r="H226" s="46">
        <f>TRUNC(S226*(1-LOTE_03!$K$10),2)</f>
        <v>1571.76</v>
      </c>
      <c r="I226" s="46">
        <f>TRUNC(T226*(1-LOTE_03!$K$10),2)</f>
        <v>101.57</v>
      </c>
      <c r="J226" s="100">
        <f t="shared" si="30"/>
        <v>0.22470000000000001</v>
      </c>
      <c r="K226" s="48">
        <f t="shared" si="24"/>
        <v>1924.93</v>
      </c>
      <c r="L226" s="48">
        <f t="shared" si="25"/>
        <v>124.39</v>
      </c>
      <c r="M226" s="48">
        <f t="shared" si="26"/>
        <v>19249.3</v>
      </c>
      <c r="N226" s="48">
        <f t="shared" si="27"/>
        <v>1243.9000000000001</v>
      </c>
      <c r="O226" s="50">
        <f t="shared" si="28"/>
        <v>20493.2</v>
      </c>
      <c r="P226" s="50">
        <v>0</v>
      </c>
      <c r="Q226" s="76"/>
      <c r="R226" s="140">
        <f>IF((1*S9+1*S10)&gt;10,10,(1*S9+1*S10))</f>
        <v>10</v>
      </c>
      <c r="S226" s="79">
        <v>1571.76</v>
      </c>
      <c r="T226" s="80">
        <v>101.57</v>
      </c>
    </row>
    <row r="227" spans="2:20" ht="56">
      <c r="B227" s="5" t="s">
        <v>572</v>
      </c>
      <c r="C227" s="45" t="s">
        <v>135</v>
      </c>
      <c r="D227" s="45">
        <v>91341</v>
      </c>
      <c r="E227" s="6" t="s">
        <v>1797</v>
      </c>
      <c r="F227" s="45" t="s">
        <v>121</v>
      </c>
      <c r="G227" s="46">
        <f t="shared" si="29"/>
        <v>20</v>
      </c>
      <c r="H227" s="46">
        <f>TRUNC(S227*(1-LOTE_03!$K$10),2)</f>
        <v>703.46</v>
      </c>
      <c r="I227" s="46">
        <f>TRUNC(T227*(1-LOTE_03!$K$10),2)</f>
        <v>11.51</v>
      </c>
      <c r="J227" s="100">
        <f t="shared" si="30"/>
        <v>0.22470000000000001</v>
      </c>
      <c r="K227" s="48">
        <f t="shared" si="24"/>
        <v>861.52</v>
      </c>
      <c r="L227" s="48">
        <f t="shared" si="25"/>
        <v>14.09</v>
      </c>
      <c r="M227" s="48">
        <f t="shared" si="26"/>
        <v>17230.400000000001</v>
      </c>
      <c r="N227" s="48">
        <f t="shared" si="27"/>
        <v>281.8</v>
      </c>
      <c r="O227" s="50">
        <f t="shared" si="28"/>
        <v>17512.2</v>
      </c>
      <c r="P227" s="50">
        <v>0</v>
      </c>
      <c r="Q227" s="76"/>
      <c r="R227" s="140">
        <f>IF((1*S9+2*S10)&gt;20,20,(1*S9+2*S10))</f>
        <v>20</v>
      </c>
      <c r="S227" s="79">
        <v>703.46</v>
      </c>
      <c r="T227" s="80">
        <v>11.51</v>
      </c>
    </row>
    <row r="228" spans="2:20" ht="56">
      <c r="B228" s="5" t="s">
        <v>573</v>
      </c>
      <c r="C228" s="45" t="s">
        <v>135</v>
      </c>
      <c r="D228" s="45">
        <v>100702</v>
      </c>
      <c r="E228" s="6" t="s">
        <v>1798</v>
      </c>
      <c r="F228" s="45" t="s">
        <v>121</v>
      </c>
      <c r="G228" s="46">
        <f t="shared" si="29"/>
        <v>50</v>
      </c>
      <c r="H228" s="46">
        <f>TRUNC(S228*(1-LOTE_03!$K$10),2)</f>
        <v>494.19</v>
      </c>
      <c r="I228" s="46">
        <f>TRUNC(T228*(1-LOTE_03!$K$10),2)</f>
        <v>8.39</v>
      </c>
      <c r="J228" s="100">
        <f t="shared" si="30"/>
        <v>0.22470000000000001</v>
      </c>
      <c r="K228" s="48">
        <f t="shared" si="24"/>
        <v>605.23</v>
      </c>
      <c r="L228" s="48">
        <f t="shared" si="25"/>
        <v>10.27</v>
      </c>
      <c r="M228" s="48">
        <f t="shared" si="26"/>
        <v>30261.5</v>
      </c>
      <c r="N228" s="48">
        <f t="shared" si="27"/>
        <v>513.5</v>
      </c>
      <c r="O228" s="50">
        <f t="shared" si="28"/>
        <v>30775</v>
      </c>
      <c r="P228" s="50">
        <v>0</v>
      </c>
      <c r="Q228" s="76"/>
      <c r="R228" s="140">
        <f>IF((10*S9+10*S10)&gt;50,50,(10*S9+10*S10))</f>
        <v>50</v>
      </c>
      <c r="S228" s="79">
        <v>494.19</v>
      </c>
      <c r="T228" s="80">
        <v>8.39</v>
      </c>
    </row>
    <row r="229" spans="2:20" ht="112">
      <c r="B229" s="5" t="s">
        <v>574</v>
      </c>
      <c r="C229" s="45" t="s">
        <v>135</v>
      </c>
      <c r="D229" s="45">
        <v>94569</v>
      </c>
      <c r="E229" s="6" t="s">
        <v>575</v>
      </c>
      <c r="F229" s="45" t="s">
        <v>121</v>
      </c>
      <c r="G229" s="46">
        <f t="shared" si="29"/>
        <v>50</v>
      </c>
      <c r="H229" s="46">
        <f>TRUNC(S229*(1-LOTE_03!$K$10),2)</f>
        <v>637.86</v>
      </c>
      <c r="I229" s="46">
        <f>TRUNC(T229*(1-LOTE_03!$K$10),2)</f>
        <v>29.84</v>
      </c>
      <c r="J229" s="100">
        <f t="shared" si="30"/>
        <v>0.22470000000000001</v>
      </c>
      <c r="K229" s="48">
        <f t="shared" si="24"/>
        <v>781.18</v>
      </c>
      <c r="L229" s="48">
        <f t="shared" si="25"/>
        <v>36.54</v>
      </c>
      <c r="M229" s="48">
        <f t="shared" si="26"/>
        <v>39059</v>
      </c>
      <c r="N229" s="48">
        <f t="shared" si="27"/>
        <v>1827</v>
      </c>
      <c r="O229" s="50">
        <f t="shared" si="28"/>
        <v>40886</v>
      </c>
      <c r="P229" s="50">
        <v>0</v>
      </c>
      <c r="Q229" s="76"/>
      <c r="R229" s="140">
        <f>IF((5*S9+5*S10)&gt;50,50,(5*S9+5*S10))</f>
        <v>50</v>
      </c>
      <c r="S229" s="79">
        <v>637.86</v>
      </c>
      <c r="T229" s="80">
        <v>29.84</v>
      </c>
    </row>
    <row r="230" spans="2:20" ht="140">
      <c r="B230" s="5" t="s">
        <v>576</v>
      </c>
      <c r="C230" s="45" t="s">
        <v>135</v>
      </c>
      <c r="D230" s="45">
        <v>94570</v>
      </c>
      <c r="E230" s="6" t="s">
        <v>577</v>
      </c>
      <c r="F230" s="45" t="s">
        <v>121</v>
      </c>
      <c r="G230" s="46">
        <f t="shared" si="29"/>
        <v>50</v>
      </c>
      <c r="H230" s="46">
        <f>TRUNC(S230*(1-LOTE_03!$K$10),2)</f>
        <v>344.72</v>
      </c>
      <c r="I230" s="46">
        <f>TRUNC(T230*(1-LOTE_03!$K$10),2)</f>
        <v>9.27</v>
      </c>
      <c r="J230" s="100">
        <f t="shared" si="30"/>
        <v>0.22470000000000001</v>
      </c>
      <c r="K230" s="48">
        <f t="shared" si="24"/>
        <v>422.17</v>
      </c>
      <c r="L230" s="48">
        <f t="shared" si="25"/>
        <v>11.35</v>
      </c>
      <c r="M230" s="48">
        <f t="shared" si="26"/>
        <v>21108.5</v>
      </c>
      <c r="N230" s="48">
        <f t="shared" si="27"/>
        <v>567.5</v>
      </c>
      <c r="O230" s="50">
        <f t="shared" si="28"/>
        <v>21676</v>
      </c>
      <c r="P230" s="50">
        <v>0</v>
      </c>
      <c r="Q230" s="76"/>
      <c r="R230" s="140">
        <f>IF((5*S9+5*S10)&gt;50,50,(5*S9+5*S10))</f>
        <v>50</v>
      </c>
      <c r="S230" s="79">
        <v>344.72</v>
      </c>
      <c r="T230" s="80">
        <v>9.27</v>
      </c>
    </row>
    <row r="231" spans="2:20" ht="98">
      <c r="B231" s="5" t="s">
        <v>578</v>
      </c>
      <c r="C231" s="45" t="s">
        <v>135</v>
      </c>
      <c r="D231" s="45">
        <v>100674</v>
      </c>
      <c r="E231" s="6" t="s">
        <v>579</v>
      </c>
      <c r="F231" s="45" t="s">
        <v>121</v>
      </c>
      <c r="G231" s="46">
        <f t="shared" si="29"/>
        <v>50</v>
      </c>
      <c r="H231" s="46">
        <f>TRUNC(S231*(1-LOTE_03!$K$10),2)</f>
        <v>744.25</v>
      </c>
      <c r="I231" s="46">
        <f>TRUNC(T231*(1-LOTE_03!$K$10),2)</f>
        <v>21.91</v>
      </c>
      <c r="J231" s="100">
        <f t="shared" si="30"/>
        <v>0.22470000000000001</v>
      </c>
      <c r="K231" s="48">
        <f t="shared" si="24"/>
        <v>911.48</v>
      </c>
      <c r="L231" s="48">
        <f t="shared" si="25"/>
        <v>26.83</v>
      </c>
      <c r="M231" s="48">
        <f t="shared" si="26"/>
        <v>45574</v>
      </c>
      <c r="N231" s="48">
        <f t="shared" si="27"/>
        <v>1341.5</v>
      </c>
      <c r="O231" s="50">
        <f t="shared" si="28"/>
        <v>46915.5</v>
      </c>
      <c r="P231" s="50">
        <v>0</v>
      </c>
      <c r="Q231" s="76"/>
      <c r="R231" s="140">
        <f>IF((5*S9+5*S10)&gt;50,50,(5*S9+5*S10))</f>
        <v>50</v>
      </c>
      <c r="S231" s="79">
        <v>744.25</v>
      </c>
      <c r="T231" s="80">
        <v>21.91</v>
      </c>
    </row>
    <row r="232" spans="2:20" ht="140">
      <c r="B232" s="5" t="s">
        <v>580</v>
      </c>
      <c r="C232" s="45" t="s">
        <v>135</v>
      </c>
      <c r="D232" s="45">
        <v>94573</v>
      </c>
      <c r="E232" s="6" t="s">
        <v>581</v>
      </c>
      <c r="F232" s="45" t="s">
        <v>121</v>
      </c>
      <c r="G232" s="46">
        <f t="shared" si="29"/>
        <v>50</v>
      </c>
      <c r="H232" s="46">
        <f>TRUNC(S232*(1-LOTE_03!$K$10),2)</f>
        <v>383.32</v>
      </c>
      <c r="I232" s="46">
        <f>TRUNC(T232*(1-LOTE_03!$K$10),2)</f>
        <v>9.2200000000000006</v>
      </c>
      <c r="J232" s="100">
        <f t="shared" si="30"/>
        <v>0.22470000000000001</v>
      </c>
      <c r="K232" s="48">
        <f t="shared" si="24"/>
        <v>469.45</v>
      </c>
      <c r="L232" s="48">
        <f t="shared" si="25"/>
        <v>11.29</v>
      </c>
      <c r="M232" s="48">
        <f t="shared" si="26"/>
        <v>23472.5</v>
      </c>
      <c r="N232" s="48">
        <f t="shared" si="27"/>
        <v>564.5</v>
      </c>
      <c r="O232" s="50">
        <f t="shared" si="28"/>
        <v>24037</v>
      </c>
      <c r="P232" s="50">
        <v>0</v>
      </c>
      <c r="Q232" s="76"/>
      <c r="R232" s="140">
        <f>IF((5*S9+5*S10)&gt;50,50,(5*S9+5*S10))</f>
        <v>50</v>
      </c>
      <c r="S232" s="79">
        <v>383.32</v>
      </c>
      <c r="T232" s="80">
        <v>9.2200000000000006</v>
      </c>
    </row>
    <row r="233" spans="2:20" ht="28">
      <c r="B233" s="5" t="s">
        <v>582</v>
      </c>
      <c r="C233" s="45" t="s">
        <v>165</v>
      </c>
      <c r="D233" s="45" t="s">
        <v>583</v>
      </c>
      <c r="E233" s="6" t="s">
        <v>584</v>
      </c>
      <c r="F233" s="45" t="s">
        <v>168</v>
      </c>
      <c r="G233" s="46">
        <f t="shared" si="29"/>
        <v>100</v>
      </c>
      <c r="H233" s="46">
        <f>TRUNC(S233*(1-LOTE_03!$K$10),2)</f>
        <v>652.55999999999995</v>
      </c>
      <c r="I233" s="46">
        <f>TRUNC(T233*(1-LOTE_03!$K$10),2)</f>
        <v>94.19</v>
      </c>
      <c r="J233" s="100">
        <f t="shared" si="30"/>
        <v>0.22470000000000001</v>
      </c>
      <c r="K233" s="48">
        <f t="shared" si="24"/>
        <v>799.19</v>
      </c>
      <c r="L233" s="48">
        <f t="shared" si="25"/>
        <v>115.35</v>
      </c>
      <c r="M233" s="48">
        <f t="shared" si="26"/>
        <v>79919</v>
      </c>
      <c r="N233" s="48">
        <f t="shared" si="27"/>
        <v>11535</v>
      </c>
      <c r="O233" s="50">
        <f t="shared" si="28"/>
        <v>91454</v>
      </c>
      <c r="P233" s="50">
        <v>0</v>
      </c>
      <c r="Q233" s="76"/>
      <c r="R233" s="140">
        <f>IF((20*S9+20*S10)&gt;100,100,(20*S9+20*S10))</f>
        <v>100</v>
      </c>
      <c r="S233" s="79">
        <v>652.55999999999995</v>
      </c>
      <c r="T233" s="80">
        <v>94.19</v>
      </c>
    </row>
    <row r="234" spans="2:20" ht="42">
      <c r="B234" s="5" t="s">
        <v>585</v>
      </c>
      <c r="C234" s="45" t="s">
        <v>135</v>
      </c>
      <c r="D234" s="45">
        <v>99861</v>
      </c>
      <c r="E234" s="6" t="s">
        <v>1799</v>
      </c>
      <c r="F234" s="45" t="s">
        <v>121</v>
      </c>
      <c r="G234" s="46">
        <f t="shared" si="29"/>
        <v>100</v>
      </c>
      <c r="H234" s="46">
        <f>TRUNC(S234*(1-LOTE_03!$K$10),2)</f>
        <v>259.45</v>
      </c>
      <c r="I234" s="46">
        <f>TRUNC(T234*(1-LOTE_03!$K$10),2)</f>
        <v>223.15</v>
      </c>
      <c r="J234" s="100">
        <f t="shared" si="30"/>
        <v>0.22470000000000001</v>
      </c>
      <c r="K234" s="48">
        <f t="shared" si="24"/>
        <v>317.74</v>
      </c>
      <c r="L234" s="48">
        <f t="shared" si="25"/>
        <v>273.29000000000002</v>
      </c>
      <c r="M234" s="48">
        <f t="shared" si="26"/>
        <v>31774</v>
      </c>
      <c r="N234" s="48">
        <f t="shared" si="27"/>
        <v>27329</v>
      </c>
      <c r="O234" s="50">
        <f t="shared" si="28"/>
        <v>59103</v>
      </c>
      <c r="P234" s="50">
        <v>0</v>
      </c>
      <c r="Q234" s="76"/>
      <c r="R234" s="140">
        <f>IF((20*S9+20*S10)&gt;100,100,(20*S9+20*S10))</f>
        <v>100</v>
      </c>
      <c r="S234" s="79">
        <v>259.45000000000005</v>
      </c>
      <c r="T234" s="80">
        <v>223.15</v>
      </c>
    </row>
    <row r="235" spans="2:20" ht="28">
      <c r="B235" s="5" t="s">
        <v>586</v>
      </c>
      <c r="C235" s="45" t="s">
        <v>97</v>
      </c>
      <c r="D235" s="45" t="s">
        <v>587</v>
      </c>
      <c r="E235" s="6" t="s">
        <v>588</v>
      </c>
      <c r="F235" s="45" t="s">
        <v>187</v>
      </c>
      <c r="G235" s="46">
        <f t="shared" si="29"/>
        <v>100</v>
      </c>
      <c r="H235" s="46">
        <f>TRUNC(S235*(1-LOTE_03!$K$10),2)</f>
        <v>400.04</v>
      </c>
      <c r="I235" s="46">
        <f>TRUNC(T235*(1-LOTE_03!$K$10),2)</f>
        <v>45.76</v>
      </c>
      <c r="J235" s="100">
        <f t="shared" si="30"/>
        <v>0.22470000000000001</v>
      </c>
      <c r="K235" s="48">
        <f t="shared" si="24"/>
        <v>489.92</v>
      </c>
      <c r="L235" s="48">
        <f t="shared" si="25"/>
        <v>56.04</v>
      </c>
      <c r="M235" s="48">
        <f t="shared" si="26"/>
        <v>48992</v>
      </c>
      <c r="N235" s="48">
        <f t="shared" si="27"/>
        <v>5604</v>
      </c>
      <c r="O235" s="50">
        <f t="shared" si="28"/>
        <v>54596</v>
      </c>
      <c r="P235" s="50">
        <v>0</v>
      </c>
      <c r="Q235" s="76"/>
      <c r="R235" s="140">
        <f>IF((10*S10+10*S9)&gt;100,100,(10*S10+10*S9))</f>
        <v>100</v>
      </c>
      <c r="S235" s="79">
        <v>400.04</v>
      </c>
      <c r="T235" s="80">
        <v>45.76</v>
      </c>
    </row>
    <row r="236" spans="2:20" ht="28">
      <c r="B236" s="5" t="s">
        <v>589</v>
      </c>
      <c r="C236" s="45" t="s">
        <v>165</v>
      </c>
      <c r="D236" s="45" t="s">
        <v>590</v>
      </c>
      <c r="E236" s="6" t="s">
        <v>591</v>
      </c>
      <c r="F236" s="45" t="s">
        <v>559</v>
      </c>
      <c r="G236" s="46">
        <f t="shared" si="29"/>
        <v>10</v>
      </c>
      <c r="H236" s="46">
        <f>TRUNC(S236*(1-LOTE_03!$K$10),2)</f>
        <v>1008.6</v>
      </c>
      <c r="I236" s="46">
        <f>TRUNC(T236*(1-LOTE_03!$K$10),2)</f>
        <v>18.84</v>
      </c>
      <c r="J236" s="100">
        <f t="shared" si="30"/>
        <v>0.22470000000000001</v>
      </c>
      <c r="K236" s="48">
        <f t="shared" si="24"/>
        <v>1235.23</v>
      </c>
      <c r="L236" s="48">
        <f t="shared" si="25"/>
        <v>23.07</v>
      </c>
      <c r="M236" s="48">
        <f t="shared" si="26"/>
        <v>12352.3</v>
      </c>
      <c r="N236" s="48">
        <f t="shared" si="27"/>
        <v>230.7</v>
      </c>
      <c r="O236" s="50">
        <f t="shared" si="28"/>
        <v>12583</v>
      </c>
      <c r="P236" s="50">
        <v>0</v>
      </c>
      <c r="Q236" s="76"/>
      <c r="R236" s="140">
        <f>IF((1*S9+1*S10)&gt;10,10,(1*S9+1*S10))</f>
        <v>10</v>
      </c>
      <c r="S236" s="79">
        <v>1008.6</v>
      </c>
      <c r="T236" s="80">
        <v>18.84</v>
      </c>
    </row>
    <row r="237" spans="2:20" ht="42">
      <c r="B237" s="5" t="s">
        <v>592</v>
      </c>
      <c r="C237" s="45" t="s">
        <v>97</v>
      </c>
      <c r="D237" s="45" t="s">
        <v>593</v>
      </c>
      <c r="E237" s="6" t="s">
        <v>594</v>
      </c>
      <c r="F237" s="45" t="s">
        <v>187</v>
      </c>
      <c r="G237" s="46">
        <f t="shared" si="29"/>
        <v>1400</v>
      </c>
      <c r="H237" s="46">
        <f>TRUNC(S237*(1-LOTE_03!$K$10),2)</f>
        <v>87.93</v>
      </c>
      <c r="I237" s="46">
        <f>TRUNC(T237*(1-LOTE_03!$K$10),2)</f>
        <v>85.64</v>
      </c>
      <c r="J237" s="100">
        <f t="shared" si="30"/>
        <v>0.22470000000000001</v>
      </c>
      <c r="K237" s="48">
        <f t="shared" si="24"/>
        <v>107.68</v>
      </c>
      <c r="L237" s="48">
        <f t="shared" si="25"/>
        <v>104.88</v>
      </c>
      <c r="M237" s="48">
        <f t="shared" si="26"/>
        <v>150752</v>
      </c>
      <c r="N237" s="48">
        <f t="shared" si="27"/>
        <v>146832</v>
      </c>
      <c r="O237" s="50">
        <f t="shared" si="28"/>
        <v>297584</v>
      </c>
      <c r="P237" s="50">
        <v>0</v>
      </c>
      <c r="Q237" s="76"/>
      <c r="R237" s="140">
        <f>IF((100*S9+100*S10)&gt;1500,1500,(100*S9+100*S10))</f>
        <v>1400</v>
      </c>
      <c r="S237" s="79">
        <v>87.93</v>
      </c>
      <c r="T237" s="80">
        <v>85.64</v>
      </c>
    </row>
    <row r="238" spans="2:20" ht="28">
      <c r="B238" s="5" t="s">
        <v>595</v>
      </c>
      <c r="C238" s="45" t="s">
        <v>165</v>
      </c>
      <c r="D238" s="45" t="s">
        <v>596</v>
      </c>
      <c r="E238" s="6" t="s">
        <v>597</v>
      </c>
      <c r="F238" s="45" t="s">
        <v>531</v>
      </c>
      <c r="G238" s="46">
        <f t="shared" si="29"/>
        <v>10</v>
      </c>
      <c r="H238" s="46">
        <f>TRUNC(S238*(1-LOTE_03!$K$10),2)</f>
        <v>129.37</v>
      </c>
      <c r="I238" s="46">
        <f>TRUNC(T238*(1-LOTE_03!$K$10),2)</f>
        <v>31.4</v>
      </c>
      <c r="J238" s="100">
        <f t="shared" si="30"/>
        <v>0.22470000000000001</v>
      </c>
      <c r="K238" s="48">
        <f t="shared" si="24"/>
        <v>158.43</v>
      </c>
      <c r="L238" s="48">
        <f t="shared" si="25"/>
        <v>38.450000000000003</v>
      </c>
      <c r="M238" s="48">
        <f t="shared" si="26"/>
        <v>1584.3</v>
      </c>
      <c r="N238" s="48">
        <f t="shared" si="27"/>
        <v>384.5</v>
      </c>
      <c r="O238" s="50">
        <f t="shared" si="28"/>
        <v>1968.8</v>
      </c>
      <c r="P238" s="50">
        <v>0</v>
      </c>
      <c r="Q238" s="76"/>
      <c r="R238" s="140">
        <f>IF((1*S9+1*S10)&gt;10,10,(1*S9+1*S10))</f>
        <v>10</v>
      </c>
      <c r="S238" s="79">
        <v>129.37</v>
      </c>
      <c r="T238" s="80">
        <v>31.4</v>
      </c>
    </row>
    <row r="239" spans="2:20" ht="28">
      <c r="B239" s="5" t="s">
        <v>598</v>
      </c>
      <c r="C239" s="45" t="s">
        <v>165</v>
      </c>
      <c r="D239" s="45" t="s">
        <v>599</v>
      </c>
      <c r="E239" s="6" t="s">
        <v>600</v>
      </c>
      <c r="F239" s="45" t="s">
        <v>559</v>
      </c>
      <c r="G239" s="46">
        <f t="shared" si="29"/>
        <v>10</v>
      </c>
      <c r="H239" s="46">
        <f>TRUNC(S239*(1-LOTE_03!$K$10),2)</f>
        <v>37.82</v>
      </c>
      <c r="I239" s="46">
        <f>TRUNC(T239*(1-LOTE_03!$K$10),2)</f>
        <v>1.91</v>
      </c>
      <c r="J239" s="100">
        <f t="shared" si="30"/>
        <v>0.22470000000000001</v>
      </c>
      <c r="K239" s="48">
        <f t="shared" si="24"/>
        <v>46.31</v>
      </c>
      <c r="L239" s="48">
        <f t="shared" si="25"/>
        <v>2.33</v>
      </c>
      <c r="M239" s="48">
        <f t="shared" si="26"/>
        <v>463.1</v>
      </c>
      <c r="N239" s="48">
        <f t="shared" si="27"/>
        <v>23.3</v>
      </c>
      <c r="O239" s="50">
        <f t="shared" si="28"/>
        <v>486.4</v>
      </c>
      <c r="P239" s="50">
        <v>0</v>
      </c>
      <c r="Q239" s="76"/>
      <c r="R239" s="140">
        <f>IF((1*S9+1*S10)&gt;10,10,(1*S9+1*S10))</f>
        <v>10</v>
      </c>
      <c r="S239" s="79">
        <v>37.82</v>
      </c>
      <c r="T239" s="80">
        <v>1.91</v>
      </c>
    </row>
    <row r="240" spans="2:20" ht="28">
      <c r="B240" s="5" t="s">
        <v>601</v>
      </c>
      <c r="C240" s="45" t="s">
        <v>97</v>
      </c>
      <c r="D240" s="45" t="s">
        <v>602</v>
      </c>
      <c r="E240" s="6" t="s">
        <v>603</v>
      </c>
      <c r="F240" s="45" t="s">
        <v>121</v>
      </c>
      <c r="G240" s="46">
        <f t="shared" si="29"/>
        <v>50</v>
      </c>
      <c r="H240" s="46">
        <f>TRUNC(S240*(1-LOTE_03!$K$10),2)</f>
        <v>315.99</v>
      </c>
      <c r="I240" s="46">
        <f>TRUNC(T240*(1-LOTE_03!$K$10),2)</f>
        <v>313.75</v>
      </c>
      <c r="J240" s="100">
        <f t="shared" si="30"/>
        <v>0.22470000000000001</v>
      </c>
      <c r="K240" s="48">
        <f t="shared" si="24"/>
        <v>386.99</v>
      </c>
      <c r="L240" s="48">
        <f t="shared" si="25"/>
        <v>384.24</v>
      </c>
      <c r="M240" s="48">
        <f t="shared" si="26"/>
        <v>19349.5</v>
      </c>
      <c r="N240" s="48">
        <f t="shared" si="27"/>
        <v>19212</v>
      </c>
      <c r="O240" s="50">
        <f t="shared" si="28"/>
        <v>38561.5</v>
      </c>
      <c r="P240" s="50">
        <v>0</v>
      </c>
      <c r="Q240" s="76"/>
      <c r="R240" s="140">
        <f>IF((5*S9+5*S10)&gt;50,50,(5*S9+5*S10))</f>
        <v>50</v>
      </c>
      <c r="S240" s="79">
        <v>315.99</v>
      </c>
      <c r="T240" s="80">
        <v>313.75</v>
      </c>
    </row>
    <row r="241" spans="2:20" ht="28">
      <c r="B241" s="5" t="s">
        <v>604</v>
      </c>
      <c r="C241" s="45" t="s">
        <v>97</v>
      </c>
      <c r="D241" s="45" t="s">
        <v>605</v>
      </c>
      <c r="E241" s="6" t="s">
        <v>606</v>
      </c>
      <c r="F241" s="45" t="s">
        <v>187</v>
      </c>
      <c r="G241" s="46">
        <f t="shared" si="29"/>
        <v>500</v>
      </c>
      <c r="H241" s="46">
        <f>TRUNC(S241*(1-LOTE_03!$K$10),2)</f>
        <v>46.11</v>
      </c>
      <c r="I241" s="46">
        <f>TRUNC(T241*(1-LOTE_03!$K$10),2)</f>
        <v>17.18</v>
      </c>
      <c r="J241" s="100">
        <f t="shared" si="30"/>
        <v>0.22470000000000001</v>
      </c>
      <c r="K241" s="48">
        <f t="shared" si="24"/>
        <v>56.47</v>
      </c>
      <c r="L241" s="48">
        <f t="shared" si="25"/>
        <v>21.04</v>
      </c>
      <c r="M241" s="48">
        <f t="shared" si="26"/>
        <v>28235</v>
      </c>
      <c r="N241" s="48">
        <f t="shared" si="27"/>
        <v>10520</v>
      </c>
      <c r="O241" s="50">
        <f t="shared" si="28"/>
        <v>38755</v>
      </c>
      <c r="P241" s="50">
        <v>0</v>
      </c>
      <c r="Q241" s="76"/>
      <c r="R241" s="140">
        <f>IF((100*S10+100*S9)&gt;500,500,(100*S10+100*S9))</f>
        <v>500</v>
      </c>
      <c r="S241" s="79">
        <v>46.11</v>
      </c>
      <c r="T241" s="80">
        <v>17.18</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60463.18</v>
      </c>
      <c r="Q242" s="76"/>
      <c r="R242" s="154"/>
      <c r="S242" s="79" t="s">
        <v>22</v>
      </c>
      <c r="T242" s="80" t="s">
        <v>22</v>
      </c>
    </row>
    <row r="243" spans="2:20" ht="28">
      <c r="B243" s="5" t="s">
        <v>607</v>
      </c>
      <c r="C243" s="45" t="s">
        <v>135</v>
      </c>
      <c r="D243" s="45">
        <v>102188</v>
      </c>
      <c r="E243" s="6" t="s">
        <v>1800</v>
      </c>
      <c r="F243" s="45" t="s">
        <v>210</v>
      </c>
      <c r="G243" s="46">
        <f t="shared" si="29"/>
        <v>10</v>
      </c>
      <c r="H243" s="46">
        <f>TRUNC(S243*(1-LOTE_03!$K$10),2)</f>
        <v>880.41</v>
      </c>
      <c r="I243" s="46">
        <f>TRUNC(T243*(1-LOTE_03!$K$10),2)</f>
        <v>50.25</v>
      </c>
      <c r="J243" s="100">
        <f t="shared" si="30"/>
        <v>0.22470000000000001</v>
      </c>
      <c r="K243" s="48">
        <f t="shared" si="24"/>
        <v>1078.23</v>
      </c>
      <c r="L243" s="48">
        <f t="shared" si="25"/>
        <v>61.54</v>
      </c>
      <c r="M243" s="48">
        <f t="shared" si="26"/>
        <v>10782.3</v>
      </c>
      <c r="N243" s="48">
        <f t="shared" si="27"/>
        <v>615.4</v>
      </c>
      <c r="O243" s="50">
        <f t="shared" si="28"/>
        <v>11397.7</v>
      </c>
      <c r="P243" s="50">
        <v>0</v>
      </c>
      <c r="Q243" s="76"/>
      <c r="R243" s="140">
        <f>IF((1*S9+1*S10)&gt;10,10,(1*S9+1*S10))</f>
        <v>10</v>
      </c>
      <c r="S243" s="79">
        <v>880.41</v>
      </c>
      <c r="T243" s="80">
        <v>50.25</v>
      </c>
    </row>
    <row r="244" spans="2:20" ht="98">
      <c r="B244" s="5" t="s">
        <v>608</v>
      </c>
      <c r="C244" s="45" t="s">
        <v>135</v>
      </c>
      <c r="D244" s="45">
        <v>102189</v>
      </c>
      <c r="E244" s="6" t="s">
        <v>1801</v>
      </c>
      <c r="F244" s="45" t="s">
        <v>210</v>
      </c>
      <c r="G244" s="46">
        <f t="shared" si="29"/>
        <v>10</v>
      </c>
      <c r="H244" s="46">
        <f>TRUNC(S244*(1-LOTE_03!$K$10),2)</f>
        <v>181.56</v>
      </c>
      <c r="I244" s="46">
        <f>TRUNC(T244*(1-LOTE_03!$K$10),2)</f>
        <v>53.98</v>
      </c>
      <c r="J244" s="100">
        <f t="shared" si="30"/>
        <v>0.22470000000000001</v>
      </c>
      <c r="K244" s="48">
        <f t="shared" si="24"/>
        <v>222.35</v>
      </c>
      <c r="L244" s="48">
        <f t="shared" si="25"/>
        <v>66.099999999999994</v>
      </c>
      <c r="M244" s="48">
        <f t="shared" si="26"/>
        <v>2223.5</v>
      </c>
      <c r="N244" s="48">
        <f t="shared" si="27"/>
        <v>661</v>
      </c>
      <c r="O244" s="50">
        <f t="shared" si="28"/>
        <v>2884.5</v>
      </c>
      <c r="P244" s="50">
        <v>0</v>
      </c>
      <c r="Q244" s="76"/>
      <c r="R244" s="140">
        <f>IF((1*S9+1*S10)&gt;10,10,(1*S9+1*S10))</f>
        <v>10</v>
      </c>
      <c r="S244" s="79">
        <v>181.56</v>
      </c>
      <c r="T244" s="80">
        <v>53.98</v>
      </c>
    </row>
    <row r="245" spans="2:20" ht="28">
      <c r="B245" s="5" t="s">
        <v>609</v>
      </c>
      <c r="C245" s="45" t="s">
        <v>135</v>
      </c>
      <c r="D245" s="45">
        <v>100705</v>
      </c>
      <c r="E245" s="6" t="s">
        <v>1802</v>
      </c>
      <c r="F245" s="45" t="s">
        <v>210</v>
      </c>
      <c r="G245" s="46">
        <f t="shared" si="29"/>
        <v>50</v>
      </c>
      <c r="H245" s="46">
        <f>TRUNC(S245*(1-LOTE_03!$K$10),2)</f>
        <v>47.8</v>
      </c>
      <c r="I245" s="46">
        <f>TRUNC(T245*(1-LOTE_03!$K$10),2)</f>
        <v>21.98</v>
      </c>
      <c r="J245" s="100">
        <f t="shared" si="30"/>
        <v>0.22470000000000001</v>
      </c>
      <c r="K245" s="48">
        <f t="shared" si="24"/>
        <v>58.54</v>
      </c>
      <c r="L245" s="48">
        <f t="shared" si="25"/>
        <v>26.91</v>
      </c>
      <c r="M245" s="48">
        <f t="shared" si="26"/>
        <v>2927</v>
      </c>
      <c r="N245" s="48">
        <f t="shared" si="27"/>
        <v>1345.5</v>
      </c>
      <c r="O245" s="50">
        <f t="shared" si="28"/>
        <v>4272.5</v>
      </c>
      <c r="P245" s="50">
        <v>0</v>
      </c>
      <c r="Q245" s="76"/>
      <c r="R245" s="140">
        <f>IF((5*2*S10+2*S9)&gt;50,50,(5*2*S10+2*S9))</f>
        <v>50</v>
      </c>
      <c r="S245" s="79">
        <v>47.8</v>
      </c>
      <c r="T245" s="80">
        <v>21.98</v>
      </c>
    </row>
    <row r="246" spans="2:20" ht="56">
      <c r="B246" s="5" t="s">
        <v>610</v>
      </c>
      <c r="C246" s="45" t="s">
        <v>135</v>
      </c>
      <c r="D246" s="45">
        <v>100709</v>
      </c>
      <c r="E246" s="6" t="s">
        <v>1803</v>
      </c>
      <c r="F246" s="45" t="s">
        <v>210</v>
      </c>
      <c r="G246" s="46">
        <f t="shared" si="29"/>
        <v>50</v>
      </c>
      <c r="H246" s="46">
        <f>TRUNC(S246*(1-LOTE_03!$K$10),2)</f>
        <v>31.21</v>
      </c>
      <c r="I246" s="46">
        <f>TRUNC(T246*(1-LOTE_03!$K$10),2)</f>
        <v>29.54</v>
      </c>
      <c r="J246" s="100">
        <f t="shared" si="30"/>
        <v>0.22470000000000001</v>
      </c>
      <c r="K246" s="48">
        <f t="shared" si="24"/>
        <v>38.22</v>
      </c>
      <c r="L246" s="48">
        <f t="shared" si="25"/>
        <v>36.17</v>
      </c>
      <c r="M246" s="48">
        <f t="shared" si="26"/>
        <v>1911</v>
      </c>
      <c r="N246" s="48">
        <f t="shared" si="27"/>
        <v>1808.5</v>
      </c>
      <c r="O246" s="50">
        <f t="shared" si="28"/>
        <v>3719.5</v>
      </c>
      <c r="P246" s="50">
        <v>0</v>
      </c>
      <c r="Q246" s="76"/>
      <c r="R246" s="140">
        <f>IF((3*2*S9+3*2*S10)&gt;50,50,(3*2*S9+3*2*S10))</f>
        <v>50</v>
      </c>
      <c r="S246" s="79">
        <v>31.21</v>
      </c>
      <c r="T246" s="80">
        <v>29.54</v>
      </c>
    </row>
    <row r="247" spans="2:20" ht="28">
      <c r="B247" s="5" t="s">
        <v>611</v>
      </c>
      <c r="C247" s="45" t="s">
        <v>97</v>
      </c>
      <c r="D247" s="45" t="s">
        <v>612</v>
      </c>
      <c r="E247" s="6" t="s">
        <v>613</v>
      </c>
      <c r="F247" s="45" t="s">
        <v>104</v>
      </c>
      <c r="G247" s="46">
        <f t="shared" si="29"/>
        <v>14</v>
      </c>
      <c r="H247" s="46">
        <f>TRUNC(S247*(1-LOTE_03!$K$10),2)</f>
        <v>292.77999999999997</v>
      </c>
      <c r="I247" s="46">
        <f>TRUNC(T247*(1-LOTE_03!$K$10),2)</f>
        <v>19.96</v>
      </c>
      <c r="J247" s="100">
        <f t="shared" si="30"/>
        <v>0.22470000000000001</v>
      </c>
      <c r="K247" s="48">
        <f t="shared" si="24"/>
        <v>358.56</v>
      </c>
      <c r="L247" s="48">
        <f t="shared" si="25"/>
        <v>24.44</v>
      </c>
      <c r="M247" s="48">
        <f t="shared" si="26"/>
        <v>5019.84</v>
      </c>
      <c r="N247" s="48">
        <f t="shared" si="27"/>
        <v>342.16</v>
      </c>
      <c r="O247" s="50">
        <f t="shared" si="28"/>
        <v>5362</v>
      </c>
      <c r="P247" s="50">
        <v>0</v>
      </c>
      <c r="Q247" s="76"/>
      <c r="R247" s="140">
        <f>IF((1*S9+1*S10)&gt;30,30,(1*S9+1*S10))</f>
        <v>14</v>
      </c>
      <c r="S247" s="79">
        <v>292.77999999999997</v>
      </c>
      <c r="T247" s="80">
        <v>19.96</v>
      </c>
    </row>
    <row r="248" spans="2:20" ht="70">
      <c r="B248" s="5" t="s">
        <v>614</v>
      </c>
      <c r="C248" s="45" t="s">
        <v>135</v>
      </c>
      <c r="D248" s="45">
        <v>91306</v>
      </c>
      <c r="E248" s="6" t="s">
        <v>1804</v>
      </c>
      <c r="F248" s="45" t="s">
        <v>210</v>
      </c>
      <c r="G248" s="46">
        <f t="shared" si="29"/>
        <v>30</v>
      </c>
      <c r="H248" s="46">
        <f>TRUNC(S248*(1-LOTE_03!$K$10),2)</f>
        <v>139.72</v>
      </c>
      <c r="I248" s="46">
        <f>TRUNC(T248*(1-LOTE_03!$K$10),2)</f>
        <v>20.190000000000001</v>
      </c>
      <c r="J248" s="100">
        <f t="shared" si="30"/>
        <v>0.22470000000000001</v>
      </c>
      <c r="K248" s="48">
        <f t="shared" si="24"/>
        <v>171.11</v>
      </c>
      <c r="L248" s="48">
        <f t="shared" si="25"/>
        <v>24.72</v>
      </c>
      <c r="M248" s="48">
        <f t="shared" si="26"/>
        <v>5133.3</v>
      </c>
      <c r="N248" s="48">
        <f t="shared" si="27"/>
        <v>741.6</v>
      </c>
      <c r="O248" s="50">
        <f t="shared" si="28"/>
        <v>5874.9</v>
      </c>
      <c r="P248" s="50">
        <v>0</v>
      </c>
      <c r="Q248" s="76"/>
      <c r="R248" s="140">
        <f>IF((2*S9+3*S10)&gt;30,30,(2*S9+3*S10))</f>
        <v>30</v>
      </c>
      <c r="S248" s="79">
        <v>139.72</v>
      </c>
      <c r="T248" s="80">
        <v>20.190000000000001</v>
      </c>
    </row>
    <row r="249" spans="2:20" ht="70">
      <c r="B249" s="5" t="s">
        <v>615</v>
      </c>
      <c r="C249" s="45" t="s">
        <v>135</v>
      </c>
      <c r="D249" s="45">
        <v>90831</v>
      </c>
      <c r="E249" s="6" t="s">
        <v>1805</v>
      </c>
      <c r="F249" s="45" t="s">
        <v>210</v>
      </c>
      <c r="G249" s="46">
        <f t="shared" si="29"/>
        <v>28</v>
      </c>
      <c r="H249" s="46">
        <f>TRUNC(S249*(1-LOTE_03!$K$10),2)</f>
        <v>139.72</v>
      </c>
      <c r="I249" s="46">
        <f>TRUNC(T249*(1-LOTE_03!$K$10),2)</f>
        <v>20.190000000000001</v>
      </c>
      <c r="J249" s="100">
        <f t="shared" si="30"/>
        <v>0.22470000000000001</v>
      </c>
      <c r="K249" s="48">
        <f t="shared" si="24"/>
        <v>171.11</v>
      </c>
      <c r="L249" s="48">
        <f t="shared" si="25"/>
        <v>24.72</v>
      </c>
      <c r="M249" s="48">
        <f t="shared" si="26"/>
        <v>4791.08</v>
      </c>
      <c r="N249" s="48">
        <f t="shared" si="27"/>
        <v>692.16</v>
      </c>
      <c r="O249" s="50">
        <f t="shared" si="28"/>
        <v>5483.24</v>
      </c>
      <c r="P249" s="50">
        <v>0</v>
      </c>
      <c r="Q249" s="76"/>
      <c r="R249" s="140">
        <f>IF((2*S9+2*S10)&gt;30,30,(2*S9+2*S10))</f>
        <v>28</v>
      </c>
      <c r="S249" s="79">
        <v>139.72</v>
      </c>
      <c r="T249" s="80">
        <v>20.190000000000001</v>
      </c>
    </row>
    <row r="250" spans="2:20" ht="70">
      <c r="B250" s="5" t="s">
        <v>616</v>
      </c>
      <c r="C250" s="45" t="s">
        <v>135</v>
      </c>
      <c r="D250" s="45">
        <v>90830</v>
      </c>
      <c r="E250" s="6" t="s">
        <v>1806</v>
      </c>
      <c r="F250" s="45" t="s">
        <v>210</v>
      </c>
      <c r="G250" s="46">
        <f t="shared" si="29"/>
        <v>14</v>
      </c>
      <c r="H250" s="46">
        <f>TRUNC(S250*(1-LOTE_03!$K$10),2)</f>
        <v>157.22999999999999</v>
      </c>
      <c r="I250" s="46">
        <f>TRUNC(T250*(1-LOTE_03!$K$10),2)</f>
        <v>26.59</v>
      </c>
      <c r="J250" s="100">
        <f t="shared" si="30"/>
        <v>0.22470000000000001</v>
      </c>
      <c r="K250" s="48">
        <f t="shared" si="24"/>
        <v>192.55</v>
      </c>
      <c r="L250" s="48">
        <f t="shared" si="25"/>
        <v>32.56</v>
      </c>
      <c r="M250" s="48">
        <f t="shared" si="26"/>
        <v>2695.7</v>
      </c>
      <c r="N250" s="48">
        <f t="shared" si="27"/>
        <v>455.84</v>
      </c>
      <c r="O250" s="50">
        <f t="shared" si="28"/>
        <v>3151.54</v>
      </c>
      <c r="P250" s="50">
        <v>0</v>
      </c>
      <c r="Q250" s="76"/>
      <c r="R250" s="140">
        <f>IF((1*S9+1*S10)&gt;30,30,(1*S9+1*S10))</f>
        <v>14</v>
      </c>
      <c r="S250" s="79">
        <v>157.22999999999999</v>
      </c>
      <c r="T250" s="80">
        <v>26.59</v>
      </c>
    </row>
    <row r="251" spans="2:20" ht="42">
      <c r="B251" s="5" t="s">
        <v>617</v>
      </c>
      <c r="C251" s="45" t="s">
        <v>97</v>
      </c>
      <c r="D251" s="45" t="s">
        <v>618</v>
      </c>
      <c r="E251" s="6" t="s">
        <v>619</v>
      </c>
      <c r="F251" s="45" t="s">
        <v>104</v>
      </c>
      <c r="G251" s="46">
        <f t="shared" si="29"/>
        <v>10</v>
      </c>
      <c r="H251" s="46">
        <f>TRUNC(S251*(1-LOTE_03!$K$10),2)</f>
        <v>115.88</v>
      </c>
      <c r="I251" s="46">
        <f>TRUNC(T251*(1-LOTE_03!$K$10),2)</f>
        <v>26.07</v>
      </c>
      <c r="J251" s="100">
        <f t="shared" si="30"/>
        <v>0.22470000000000001</v>
      </c>
      <c r="K251" s="48">
        <f t="shared" si="24"/>
        <v>141.91</v>
      </c>
      <c r="L251" s="48">
        <f t="shared" si="25"/>
        <v>31.92</v>
      </c>
      <c r="M251" s="48">
        <f t="shared" si="26"/>
        <v>1419.1</v>
      </c>
      <c r="N251" s="48">
        <f t="shared" si="27"/>
        <v>319.2</v>
      </c>
      <c r="O251" s="50">
        <f t="shared" si="28"/>
        <v>1738.3</v>
      </c>
      <c r="P251" s="50">
        <v>0</v>
      </c>
      <c r="Q251" s="76"/>
      <c r="R251" s="140">
        <f>IF((1*S9+1*S10)&gt;10,10,(1*S9+1*S10))</f>
        <v>10</v>
      </c>
      <c r="S251" s="79">
        <v>115.88</v>
      </c>
      <c r="T251" s="80">
        <v>26.07</v>
      </c>
    </row>
    <row r="252" spans="2:20" ht="98">
      <c r="B252" s="5" t="s">
        <v>620</v>
      </c>
      <c r="C252" s="45" t="s">
        <v>97</v>
      </c>
      <c r="D252" s="45" t="s">
        <v>621</v>
      </c>
      <c r="E252" s="7" t="s">
        <v>622</v>
      </c>
      <c r="F252" s="45" t="s">
        <v>104</v>
      </c>
      <c r="G252" s="46">
        <f t="shared" si="29"/>
        <v>10</v>
      </c>
      <c r="H252" s="46">
        <f>TRUNC(S252*(1-LOTE_03!$K$10),2)</f>
        <v>719.03</v>
      </c>
      <c r="I252" s="46">
        <f>TRUNC(T252*(1-LOTE_03!$K$10),2)</f>
        <v>634.70000000000005</v>
      </c>
      <c r="J252" s="100">
        <f t="shared" si="30"/>
        <v>0.22470000000000001</v>
      </c>
      <c r="K252" s="48">
        <f t="shared" si="24"/>
        <v>880.59</v>
      </c>
      <c r="L252" s="48">
        <f t="shared" si="25"/>
        <v>777.31</v>
      </c>
      <c r="M252" s="48">
        <f t="shared" si="26"/>
        <v>8805.9</v>
      </c>
      <c r="N252" s="48">
        <f t="shared" si="27"/>
        <v>7773.1</v>
      </c>
      <c r="O252" s="50">
        <f t="shared" si="28"/>
        <v>16579</v>
      </c>
      <c r="P252" s="50">
        <v>0</v>
      </c>
      <c r="Q252" s="76"/>
      <c r="R252" s="140">
        <f>IF((1*S9+1*S10)&gt;10,10,(1*S9+1*S10))</f>
        <v>10</v>
      </c>
      <c r="S252" s="79">
        <v>719.03</v>
      </c>
      <c r="T252" s="80">
        <v>634.70000000000005</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2659989.7999999998</v>
      </c>
      <c r="Q253" s="76"/>
      <c r="R253" s="154"/>
      <c r="S253" s="79" t="s">
        <v>22</v>
      </c>
      <c r="T253" s="80" t="s">
        <v>22</v>
      </c>
    </row>
    <row r="254" spans="2:20" ht="70">
      <c r="B254" s="5" t="s">
        <v>623</v>
      </c>
      <c r="C254" s="45" t="s">
        <v>97</v>
      </c>
      <c r="D254" s="45" t="s">
        <v>624</v>
      </c>
      <c r="E254" s="6" t="s">
        <v>625</v>
      </c>
      <c r="F254" s="45" t="s">
        <v>121</v>
      </c>
      <c r="G254" s="46">
        <f t="shared" si="29"/>
        <v>2000</v>
      </c>
      <c r="H254" s="46">
        <f>TRUNC(S254*(1-LOTE_03!$K$10),2)</f>
        <v>17.61</v>
      </c>
      <c r="I254" s="46">
        <f>TRUNC(T254*(1-LOTE_03!$K$10),2)</f>
        <v>3.33</v>
      </c>
      <c r="J254" s="100">
        <f t="shared" si="30"/>
        <v>0.22470000000000001</v>
      </c>
      <c r="K254" s="48">
        <f t="shared" si="24"/>
        <v>21.56</v>
      </c>
      <c r="L254" s="48">
        <f t="shared" si="25"/>
        <v>4.07</v>
      </c>
      <c r="M254" s="48">
        <f t="shared" si="26"/>
        <v>43120</v>
      </c>
      <c r="N254" s="48">
        <f t="shared" si="27"/>
        <v>8140</v>
      </c>
      <c r="O254" s="50">
        <f t="shared" si="28"/>
        <v>51260</v>
      </c>
      <c r="P254" s="50">
        <v>0</v>
      </c>
      <c r="Q254" s="76"/>
      <c r="R254" s="140">
        <f>IF((50*S9+200*S10)&gt;2000,2000,(50*S9+200*S10))</f>
        <v>2000</v>
      </c>
      <c r="S254" s="79">
        <v>17.61</v>
      </c>
      <c r="T254" s="80">
        <v>3.33</v>
      </c>
    </row>
    <row r="255" spans="2:20" ht="84">
      <c r="B255" s="5" t="s">
        <v>626</v>
      </c>
      <c r="C255" s="45" t="s">
        <v>135</v>
      </c>
      <c r="D255" s="45">
        <v>92543</v>
      </c>
      <c r="E255" s="6" t="s">
        <v>1807</v>
      </c>
      <c r="F255" s="45" t="s">
        <v>121</v>
      </c>
      <c r="G255" s="46">
        <f t="shared" si="29"/>
        <v>1000</v>
      </c>
      <c r="H255" s="46">
        <f>TRUNC(S255*(1-LOTE_03!$K$10),2)</f>
        <v>24.28</v>
      </c>
      <c r="I255" s="46">
        <f>TRUNC(T255*(1-LOTE_03!$K$10),2)</f>
        <v>4.63</v>
      </c>
      <c r="J255" s="100">
        <f t="shared" si="30"/>
        <v>0.22470000000000001</v>
      </c>
      <c r="K255" s="48">
        <f t="shared" si="24"/>
        <v>29.73</v>
      </c>
      <c r="L255" s="48">
        <f t="shared" si="25"/>
        <v>5.67</v>
      </c>
      <c r="M255" s="48">
        <f t="shared" si="26"/>
        <v>29730</v>
      </c>
      <c r="N255" s="48">
        <f t="shared" si="27"/>
        <v>5670</v>
      </c>
      <c r="O255" s="50">
        <f t="shared" si="28"/>
        <v>35400</v>
      </c>
      <c r="P255" s="50">
        <v>0</v>
      </c>
      <c r="Q255" s="76"/>
      <c r="R255" s="140">
        <f>IF((10*S9+200*S10)&gt;1000,1000,(10*S9+200*S10))</f>
        <v>1000</v>
      </c>
      <c r="S255" s="79">
        <v>24.28</v>
      </c>
      <c r="T255" s="80">
        <v>4.63</v>
      </c>
    </row>
    <row r="256" spans="2:20" ht="98">
      <c r="B256" s="5" t="s">
        <v>627</v>
      </c>
      <c r="C256" s="45" t="s">
        <v>135</v>
      </c>
      <c r="D256" s="45">
        <v>92580</v>
      </c>
      <c r="E256" s="6" t="s">
        <v>1808</v>
      </c>
      <c r="F256" s="45" t="s">
        <v>121</v>
      </c>
      <c r="G256" s="46">
        <f t="shared" si="29"/>
        <v>1850</v>
      </c>
      <c r="H256" s="46">
        <f>TRUNC(S256*(1-LOTE_03!$K$10),2)</f>
        <v>42.15</v>
      </c>
      <c r="I256" s="46">
        <f>TRUNC(T256*(1-LOTE_03!$K$10),2)</f>
        <v>5.68</v>
      </c>
      <c r="J256" s="100">
        <f t="shared" si="30"/>
        <v>0.22470000000000001</v>
      </c>
      <c r="K256" s="48">
        <f t="shared" si="24"/>
        <v>51.62</v>
      </c>
      <c r="L256" s="48">
        <f t="shared" si="25"/>
        <v>6.95</v>
      </c>
      <c r="M256" s="48">
        <f t="shared" si="26"/>
        <v>95497</v>
      </c>
      <c r="N256" s="48">
        <f t="shared" si="27"/>
        <v>12857.5</v>
      </c>
      <c r="O256" s="50">
        <f t="shared" si="28"/>
        <v>108354.5</v>
      </c>
      <c r="P256" s="50">
        <v>0</v>
      </c>
      <c r="Q256" s="76"/>
      <c r="R256" s="140">
        <f>IF((10*S9+200*S10)&gt;5000,5000,(10*S9+200*S10))</f>
        <v>1850</v>
      </c>
      <c r="S256" s="79">
        <v>42.15</v>
      </c>
      <c r="T256" s="80">
        <v>5.68</v>
      </c>
    </row>
    <row r="257" spans="2:20" ht="84">
      <c r="B257" s="5" t="s">
        <v>628</v>
      </c>
      <c r="C257" s="45" t="s">
        <v>135</v>
      </c>
      <c r="D257" s="45">
        <v>94207</v>
      </c>
      <c r="E257" s="6" t="s">
        <v>629</v>
      </c>
      <c r="F257" s="45" t="s">
        <v>121</v>
      </c>
      <c r="G257" s="46">
        <f t="shared" si="29"/>
        <v>1000</v>
      </c>
      <c r="H257" s="46">
        <f>TRUNC(S257*(1-LOTE_03!$K$10),2)</f>
        <v>59.99</v>
      </c>
      <c r="I257" s="46">
        <f>TRUNC(T257*(1-LOTE_03!$K$10),2)</f>
        <v>4.3</v>
      </c>
      <c r="J257" s="100">
        <f t="shared" si="30"/>
        <v>0.22470000000000001</v>
      </c>
      <c r="K257" s="48">
        <f t="shared" si="24"/>
        <v>73.459999999999994</v>
      </c>
      <c r="L257" s="48">
        <f t="shared" si="25"/>
        <v>5.26</v>
      </c>
      <c r="M257" s="48">
        <f t="shared" si="26"/>
        <v>73460</v>
      </c>
      <c r="N257" s="48">
        <f t="shared" si="27"/>
        <v>5260</v>
      </c>
      <c r="O257" s="50">
        <f t="shared" si="28"/>
        <v>78720</v>
      </c>
      <c r="P257" s="50">
        <v>0</v>
      </c>
      <c r="Q257" s="76"/>
      <c r="R257" s="140">
        <f>IF((10*S9+200*S10)&gt;1000,1000,(10*S9+200*S10))</f>
        <v>1000</v>
      </c>
      <c r="S257" s="79">
        <v>59.990000000000009</v>
      </c>
      <c r="T257" s="80">
        <v>4.3</v>
      </c>
    </row>
    <row r="258" spans="2:20" ht="42">
      <c r="B258" s="5" t="s">
        <v>630</v>
      </c>
      <c r="C258" s="45" t="s">
        <v>135</v>
      </c>
      <c r="D258" s="45">
        <v>94216</v>
      </c>
      <c r="E258" s="6" t="s">
        <v>631</v>
      </c>
      <c r="F258" s="45" t="s">
        <v>121</v>
      </c>
      <c r="G258" s="46">
        <f t="shared" si="29"/>
        <v>1000</v>
      </c>
      <c r="H258" s="46">
        <f>TRUNC(S258*(1-LOTE_03!$K$10),2)</f>
        <v>214.13</v>
      </c>
      <c r="I258" s="46">
        <f>TRUNC(T258*(1-LOTE_03!$K$10),2)</f>
        <v>2.2000000000000002</v>
      </c>
      <c r="J258" s="100">
        <f t="shared" si="30"/>
        <v>0.22470000000000001</v>
      </c>
      <c r="K258" s="48">
        <f t="shared" si="24"/>
        <v>262.24</v>
      </c>
      <c r="L258" s="48">
        <f t="shared" si="25"/>
        <v>2.69</v>
      </c>
      <c r="M258" s="48">
        <f t="shared" si="26"/>
        <v>262240</v>
      </c>
      <c r="N258" s="48">
        <f t="shared" si="27"/>
        <v>2690</v>
      </c>
      <c r="O258" s="50">
        <f t="shared" si="28"/>
        <v>264930</v>
      </c>
      <c r="P258" s="50">
        <v>0</v>
      </c>
      <c r="Q258" s="76"/>
      <c r="R258" s="140">
        <f>IF((10*S9+200*S10)&gt;1000,1000,(10*S9+200*S10))</f>
        <v>1000</v>
      </c>
      <c r="S258" s="79">
        <v>214.13000000000002</v>
      </c>
      <c r="T258" s="80">
        <v>2.2000000000000002</v>
      </c>
    </row>
    <row r="259" spans="2:20" ht="42">
      <c r="B259" s="5" t="s">
        <v>632</v>
      </c>
      <c r="C259" s="45" t="s">
        <v>135</v>
      </c>
      <c r="D259" s="45">
        <v>94213</v>
      </c>
      <c r="E259" s="6" t="s">
        <v>633</v>
      </c>
      <c r="F259" s="45" t="s">
        <v>121</v>
      </c>
      <c r="G259" s="46">
        <f t="shared" si="29"/>
        <v>1000</v>
      </c>
      <c r="H259" s="46">
        <f>TRUNC(S259*(1-LOTE_03!$K$10),2)</f>
        <v>74.16</v>
      </c>
      <c r="I259" s="46">
        <f>TRUNC(T259*(1-LOTE_03!$K$10),2)</f>
        <v>3.47</v>
      </c>
      <c r="J259" s="100">
        <f t="shared" si="30"/>
        <v>0.22470000000000001</v>
      </c>
      <c r="K259" s="48">
        <f t="shared" si="24"/>
        <v>90.82</v>
      </c>
      <c r="L259" s="48">
        <f t="shared" si="25"/>
        <v>4.24</v>
      </c>
      <c r="M259" s="48">
        <f t="shared" si="26"/>
        <v>90820</v>
      </c>
      <c r="N259" s="48">
        <f t="shared" si="27"/>
        <v>4240</v>
      </c>
      <c r="O259" s="50">
        <f t="shared" si="28"/>
        <v>95060</v>
      </c>
      <c r="P259" s="50">
        <v>0</v>
      </c>
      <c r="Q259" s="76"/>
      <c r="R259" s="140">
        <f>IF((10*S9+200*S10)&gt;1000,1000,(10*S9+200*S10))</f>
        <v>1000</v>
      </c>
      <c r="S259" s="79">
        <v>74.16</v>
      </c>
      <c r="T259" s="80">
        <v>3.47</v>
      </c>
    </row>
    <row r="260" spans="2:20" ht="56">
      <c r="B260" s="5" t="s">
        <v>634</v>
      </c>
      <c r="C260" s="45" t="s">
        <v>135</v>
      </c>
      <c r="D260" s="45">
        <v>94227</v>
      </c>
      <c r="E260" s="6" t="s">
        <v>635</v>
      </c>
      <c r="F260" s="45" t="s">
        <v>187</v>
      </c>
      <c r="G260" s="46">
        <f t="shared" si="29"/>
        <v>500</v>
      </c>
      <c r="H260" s="46">
        <f>TRUNC(S260*(1-LOTE_03!$K$10),2)</f>
        <v>45.33</v>
      </c>
      <c r="I260" s="46">
        <f>TRUNC(T260*(1-LOTE_03!$K$10),2)</f>
        <v>8.84</v>
      </c>
      <c r="J260" s="100">
        <f t="shared" si="30"/>
        <v>0.22470000000000001</v>
      </c>
      <c r="K260" s="48">
        <f t="shared" si="24"/>
        <v>55.51</v>
      </c>
      <c r="L260" s="48">
        <f t="shared" si="25"/>
        <v>10.82</v>
      </c>
      <c r="M260" s="48">
        <f t="shared" si="26"/>
        <v>27755</v>
      </c>
      <c r="N260" s="48">
        <f t="shared" si="27"/>
        <v>5410</v>
      </c>
      <c r="O260" s="50">
        <f t="shared" si="28"/>
        <v>33165</v>
      </c>
      <c r="P260" s="50">
        <v>0</v>
      </c>
      <c r="Q260" s="76"/>
      <c r="R260" s="140">
        <f>IF((50*S10+50*S9)&gt;500,500,(50*S10+50*S9))</f>
        <v>500</v>
      </c>
      <c r="S260" s="79">
        <v>45.33</v>
      </c>
      <c r="T260" s="80">
        <v>8.84</v>
      </c>
    </row>
    <row r="261" spans="2:20" ht="56">
      <c r="B261" s="5" t="s">
        <v>636</v>
      </c>
      <c r="C261" s="45" t="s">
        <v>135</v>
      </c>
      <c r="D261" s="45">
        <v>94228</v>
      </c>
      <c r="E261" s="6" t="s">
        <v>637</v>
      </c>
      <c r="F261" s="45" t="s">
        <v>187</v>
      </c>
      <c r="G261" s="46">
        <f t="shared" si="29"/>
        <v>500</v>
      </c>
      <c r="H261" s="46">
        <f>TRUNC(S261*(1-LOTE_03!$K$10),2)</f>
        <v>61.29</v>
      </c>
      <c r="I261" s="46">
        <f>TRUNC(T261*(1-LOTE_03!$K$10),2)</f>
        <v>12.09</v>
      </c>
      <c r="J261" s="100">
        <f t="shared" si="30"/>
        <v>0.22470000000000001</v>
      </c>
      <c r="K261" s="48">
        <f t="shared" si="24"/>
        <v>75.06</v>
      </c>
      <c r="L261" s="48">
        <f t="shared" si="25"/>
        <v>14.8</v>
      </c>
      <c r="M261" s="48">
        <f t="shared" si="26"/>
        <v>37530</v>
      </c>
      <c r="N261" s="48">
        <f t="shared" si="27"/>
        <v>7400</v>
      </c>
      <c r="O261" s="50">
        <f t="shared" si="28"/>
        <v>44930</v>
      </c>
      <c r="P261" s="50">
        <v>0</v>
      </c>
      <c r="Q261" s="76"/>
      <c r="R261" s="140">
        <f>IF((50*S10+20*S9)&gt;500,500,(50*S10+20*S9))</f>
        <v>500</v>
      </c>
      <c r="S261" s="79">
        <v>61.289999999999992</v>
      </c>
      <c r="T261" s="80">
        <v>12.09</v>
      </c>
    </row>
    <row r="262" spans="2:20" ht="56">
      <c r="B262" s="5" t="s">
        <v>638</v>
      </c>
      <c r="C262" s="45" t="s">
        <v>135</v>
      </c>
      <c r="D262" s="45">
        <v>94229</v>
      </c>
      <c r="E262" s="6" t="s">
        <v>639</v>
      </c>
      <c r="F262" s="45" t="s">
        <v>187</v>
      </c>
      <c r="G262" s="46">
        <f t="shared" si="29"/>
        <v>500</v>
      </c>
      <c r="H262" s="46">
        <f>TRUNC(S262*(1-LOTE_03!$K$10),2)</f>
        <v>119.61</v>
      </c>
      <c r="I262" s="46">
        <f>TRUNC(T262*(1-LOTE_03!$K$10),2)</f>
        <v>21.68</v>
      </c>
      <c r="J262" s="100">
        <f t="shared" si="30"/>
        <v>0.22470000000000001</v>
      </c>
      <c r="K262" s="48">
        <f t="shared" si="24"/>
        <v>146.47999999999999</v>
      </c>
      <c r="L262" s="48">
        <f t="shared" si="25"/>
        <v>26.55</v>
      </c>
      <c r="M262" s="48">
        <f t="shared" si="26"/>
        <v>73240</v>
      </c>
      <c r="N262" s="48">
        <f t="shared" si="27"/>
        <v>13275</v>
      </c>
      <c r="O262" s="50">
        <f t="shared" si="28"/>
        <v>86515</v>
      </c>
      <c r="P262" s="50">
        <v>0</v>
      </c>
      <c r="Q262" s="76"/>
      <c r="R262" s="140">
        <f>IF((50*S10+20*S9)&gt;500,500,(50*S10+20*S9))</f>
        <v>500</v>
      </c>
      <c r="S262" s="79">
        <v>119.60999999999999</v>
      </c>
      <c r="T262" s="80">
        <v>21.68</v>
      </c>
    </row>
    <row r="263" spans="2:20" ht="56">
      <c r="B263" s="5" t="s">
        <v>640</v>
      </c>
      <c r="C263" s="45" t="s">
        <v>135</v>
      </c>
      <c r="D263" s="45">
        <v>94223</v>
      </c>
      <c r="E263" s="6" t="s">
        <v>641</v>
      </c>
      <c r="F263" s="45" t="s">
        <v>187</v>
      </c>
      <c r="G263" s="46">
        <f t="shared" si="29"/>
        <v>500</v>
      </c>
      <c r="H263" s="46">
        <f>TRUNC(S263*(1-LOTE_03!$K$10),2)</f>
        <v>111.74</v>
      </c>
      <c r="I263" s="46">
        <f>TRUNC(T263*(1-LOTE_03!$K$10),2)</f>
        <v>2.16</v>
      </c>
      <c r="J263" s="100">
        <f t="shared" si="30"/>
        <v>0.22470000000000001</v>
      </c>
      <c r="K263" s="48">
        <f t="shared" si="24"/>
        <v>136.84</v>
      </c>
      <c r="L263" s="48">
        <f t="shared" si="25"/>
        <v>2.64</v>
      </c>
      <c r="M263" s="48">
        <f t="shared" si="26"/>
        <v>68420</v>
      </c>
      <c r="N263" s="48">
        <f t="shared" si="27"/>
        <v>1320</v>
      </c>
      <c r="O263" s="50">
        <f t="shared" si="28"/>
        <v>69740</v>
      </c>
      <c r="P263" s="50">
        <v>0</v>
      </c>
      <c r="Q263" s="76"/>
      <c r="R263" s="140">
        <f>IF((50*S10+50*S9)&gt;500,500,(50*S10+50*S9))</f>
        <v>500</v>
      </c>
      <c r="S263" s="79">
        <v>111.74000000000001</v>
      </c>
      <c r="T263" s="80">
        <v>2.16</v>
      </c>
    </row>
    <row r="264" spans="2:20" ht="28">
      <c r="B264" s="5" t="s">
        <v>642</v>
      </c>
      <c r="C264" s="45" t="s">
        <v>165</v>
      </c>
      <c r="D264" s="45" t="s">
        <v>643</v>
      </c>
      <c r="E264" s="6" t="s">
        <v>644</v>
      </c>
      <c r="F264" s="45" t="s">
        <v>531</v>
      </c>
      <c r="G264" s="46">
        <f t="shared" si="29"/>
        <v>500</v>
      </c>
      <c r="H264" s="46">
        <f>TRUNC(S264*(1-LOTE_03!$K$10),2)</f>
        <v>119.54</v>
      </c>
      <c r="I264" s="46">
        <f>TRUNC(T264*(1-LOTE_03!$K$10),2)</f>
        <v>3.83</v>
      </c>
      <c r="J264" s="100">
        <f t="shared" si="30"/>
        <v>0.22470000000000001</v>
      </c>
      <c r="K264" s="48">
        <f t="shared" si="24"/>
        <v>146.4</v>
      </c>
      <c r="L264" s="48">
        <f t="shared" si="25"/>
        <v>4.6900000000000004</v>
      </c>
      <c r="M264" s="48">
        <f t="shared" si="26"/>
        <v>73200</v>
      </c>
      <c r="N264" s="48">
        <f t="shared" si="27"/>
        <v>2345</v>
      </c>
      <c r="O264" s="50">
        <f t="shared" si="28"/>
        <v>75545</v>
      </c>
      <c r="P264" s="50">
        <v>0</v>
      </c>
      <c r="Q264" s="76"/>
      <c r="R264" s="140">
        <f>IF((50*S10+50*S9)&gt;500,500,(50*S10+50*S9))</f>
        <v>500</v>
      </c>
      <c r="S264" s="79">
        <v>119.54</v>
      </c>
      <c r="T264" s="80">
        <v>3.83</v>
      </c>
    </row>
    <row r="265" spans="2:20" ht="28">
      <c r="B265" s="5" t="s">
        <v>645</v>
      </c>
      <c r="C265" s="45" t="s">
        <v>97</v>
      </c>
      <c r="D265" s="45" t="s">
        <v>646</v>
      </c>
      <c r="E265" s="6" t="s">
        <v>647</v>
      </c>
      <c r="F265" s="45" t="s">
        <v>187</v>
      </c>
      <c r="G265" s="46">
        <f t="shared" si="29"/>
        <v>500</v>
      </c>
      <c r="H265" s="46">
        <f>TRUNC(S265*(1-LOTE_03!$K$10),2)</f>
        <v>61.11</v>
      </c>
      <c r="I265" s="46">
        <f>TRUNC(T265*(1-LOTE_03!$K$10),2)</f>
        <v>3.72</v>
      </c>
      <c r="J265" s="100">
        <f t="shared" si="30"/>
        <v>0.22470000000000001</v>
      </c>
      <c r="K265" s="48">
        <f t="shared" si="24"/>
        <v>74.84</v>
      </c>
      <c r="L265" s="48">
        <f t="shared" si="25"/>
        <v>4.55</v>
      </c>
      <c r="M265" s="48">
        <f t="shared" si="26"/>
        <v>37420</v>
      </c>
      <c r="N265" s="48">
        <f t="shared" si="27"/>
        <v>2275</v>
      </c>
      <c r="O265" s="50">
        <f t="shared" si="28"/>
        <v>39695</v>
      </c>
      <c r="P265" s="50">
        <v>0</v>
      </c>
      <c r="Q265" s="76"/>
      <c r="R265" s="140">
        <f>IF((50*S10+50*S9)&gt;500,500,(50*S10+50*S9))</f>
        <v>500</v>
      </c>
      <c r="S265" s="79">
        <v>61.11</v>
      </c>
      <c r="T265" s="80">
        <v>3.72</v>
      </c>
    </row>
    <row r="266" spans="2:20" ht="56">
      <c r="B266" s="5" t="s">
        <v>648</v>
      </c>
      <c r="C266" s="45" t="s">
        <v>135</v>
      </c>
      <c r="D266" s="45">
        <v>100327</v>
      </c>
      <c r="E266" s="6" t="s">
        <v>649</v>
      </c>
      <c r="F266" s="45" t="s">
        <v>187</v>
      </c>
      <c r="G266" s="46">
        <f t="shared" si="29"/>
        <v>500</v>
      </c>
      <c r="H266" s="46">
        <f>TRUNC(S266*(1-LOTE_03!$K$10),2)</f>
        <v>45.64</v>
      </c>
      <c r="I266" s="46">
        <f>TRUNC(T266*(1-LOTE_03!$K$10),2)</f>
        <v>7.51</v>
      </c>
      <c r="J266" s="100">
        <f t="shared" si="30"/>
        <v>0.22470000000000001</v>
      </c>
      <c r="K266" s="48">
        <f t="shared" si="24"/>
        <v>55.89</v>
      </c>
      <c r="L266" s="48">
        <f t="shared" si="25"/>
        <v>9.19</v>
      </c>
      <c r="M266" s="48">
        <f t="shared" si="26"/>
        <v>27945</v>
      </c>
      <c r="N266" s="48">
        <f t="shared" si="27"/>
        <v>4595</v>
      </c>
      <c r="O266" s="50">
        <f t="shared" si="28"/>
        <v>32540</v>
      </c>
      <c r="P266" s="50">
        <v>0</v>
      </c>
      <c r="Q266" s="76"/>
      <c r="R266" s="140">
        <f>IF((50*S10+50*S9)&gt;500,500,(50*S10+50*S9))</f>
        <v>500</v>
      </c>
      <c r="S266" s="79">
        <v>45.64</v>
      </c>
      <c r="T266" s="80">
        <v>7.51</v>
      </c>
    </row>
    <row r="267" spans="2:20" ht="56">
      <c r="B267" s="5" t="s">
        <v>650</v>
      </c>
      <c r="C267" s="45" t="s">
        <v>135</v>
      </c>
      <c r="D267" s="45">
        <v>100435</v>
      </c>
      <c r="E267" s="6" t="s">
        <v>651</v>
      </c>
      <c r="F267" s="45" t="s">
        <v>187</v>
      </c>
      <c r="G267" s="46">
        <f t="shared" si="29"/>
        <v>500</v>
      </c>
      <c r="H267" s="46">
        <f>TRUNC(S267*(1-LOTE_03!$K$10),2)</f>
        <v>80.680000000000007</v>
      </c>
      <c r="I267" s="46">
        <f>TRUNC(T267*(1-LOTE_03!$K$10),2)</f>
        <v>4.38</v>
      </c>
      <c r="J267" s="100">
        <f t="shared" si="30"/>
        <v>0.22470000000000001</v>
      </c>
      <c r="K267" s="48">
        <f t="shared" si="24"/>
        <v>98.8</v>
      </c>
      <c r="L267" s="48">
        <f t="shared" si="25"/>
        <v>5.36</v>
      </c>
      <c r="M267" s="48">
        <f t="shared" si="26"/>
        <v>49400</v>
      </c>
      <c r="N267" s="48">
        <f t="shared" si="27"/>
        <v>2680</v>
      </c>
      <c r="O267" s="50">
        <f t="shared" si="28"/>
        <v>52080</v>
      </c>
      <c r="P267" s="50">
        <v>0</v>
      </c>
      <c r="Q267" s="76"/>
      <c r="R267" s="140">
        <f>IF((50*S10+50*S9)&gt;500,500,(50*S10+50*S9))</f>
        <v>500</v>
      </c>
      <c r="S267" s="79">
        <v>80.680000000000007</v>
      </c>
      <c r="T267" s="80">
        <v>4.38</v>
      </c>
    </row>
    <row r="268" spans="2:20" ht="42">
      <c r="B268" s="5" t="s">
        <v>652</v>
      </c>
      <c r="C268" s="45" t="s">
        <v>135</v>
      </c>
      <c r="D268" s="45">
        <v>94231</v>
      </c>
      <c r="E268" s="6" t="s">
        <v>653</v>
      </c>
      <c r="F268" s="45" t="s">
        <v>187</v>
      </c>
      <c r="G268" s="46">
        <f t="shared" si="29"/>
        <v>500</v>
      </c>
      <c r="H268" s="46">
        <f>TRUNC(S268*(1-LOTE_03!$K$10),2)</f>
        <v>41.29</v>
      </c>
      <c r="I268" s="46">
        <f>TRUNC(T268*(1-LOTE_03!$K$10),2)</f>
        <v>6.3</v>
      </c>
      <c r="J268" s="100">
        <f t="shared" si="30"/>
        <v>0.22470000000000001</v>
      </c>
      <c r="K268" s="48">
        <f t="shared" si="24"/>
        <v>50.56</v>
      </c>
      <c r="L268" s="48">
        <f t="shared" si="25"/>
        <v>7.71</v>
      </c>
      <c r="M268" s="48">
        <f t="shared" si="26"/>
        <v>25280</v>
      </c>
      <c r="N268" s="48">
        <f t="shared" si="27"/>
        <v>3855</v>
      </c>
      <c r="O268" s="50">
        <f t="shared" si="28"/>
        <v>29135</v>
      </c>
      <c r="P268" s="50">
        <v>0</v>
      </c>
      <c r="Q268" s="76"/>
      <c r="R268" s="140">
        <f>IF((50*S10+50*S9)&gt;500,500,(50*S10+50*S9))</f>
        <v>500</v>
      </c>
      <c r="S268" s="79">
        <v>41.290000000000006</v>
      </c>
      <c r="T268" s="80">
        <v>6.3</v>
      </c>
    </row>
    <row r="269" spans="2:20" ht="28">
      <c r="B269" s="5" t="s">
        <v>654</v>
      </c>
      <c r="C269" s="45" t="s">
        <v>97</v>
      </c>
      <c r="D269" s="45" t="s">
        <v>655</v>
      </c>
      <c r="E269" s="6" t="s">
        <v>656</v>
      </c>
      <c r="F269" s="45" t="s">
        <v>161</v>
      </c>
      <c r="G269" s="46">
        <f t="shared" si="29"/>
        <v>23</v>
      </c>
      <c r="H269" s="46">
        <f>TRUNC(S269*(1-LOTE_03!$K$10),2)</f>
        <v>2817.68</v>
      </c>
      <c r="I269" s="46">
        <f>TRUNC(T269*(1-LOTE_03!$K$10),2)</f>
        <v>805.34</v>
      </c>
      <c r="J269" s="100">
        <f t="shared" si="30"/>
        <v>0.22470000000000001</v>
      </c>
      <c r="K269" s="48">
        <f t="shared" si="24"/>
        <v>3450.81</v>
      </c>
      <c r="L269" s="48">
        <f t="shared" si="25"/>
        <v>986.29</v>
      </c>
      <c r="M269" s="48">
        <f t="shared" si="26"/>
        <v>79368.63</v>
      </c>
      <c r="N269" s="48">
        <f t="shared" si="27"/>
        <v>22684.67</v>
      </c>
      <c r="O269" s="50">
        <f t="shared" si="28"/>
        <v>102053.3</v>
      </c>
      <c r="P269" s="50">
        <v>0</v>
      </c>
      <c r="Q269" s="76"/>
      <c r="R269" s="140">
        <f>IF((S9+2*S10)&gt;50,50,(S9+2*S10))</f>
        <v>23</v>
      </c>
      <c r="S269" s="79">
        <v>2817.68</v>
      </c>
      <c r="T269" s="80">
        <v>805.34</v>
      </c>
    </row>
    <row r="270" spans="2:20" ht="56">
      <c r="B270" s="5" t="s">
        <v>657</v>
      </c>
      <c r="C270" s="45" t="s">
        <v>135</v>
      </c>
      <c r="D270" s="45">
        <v>98562</v>
      </c>
      <c r="E270" s="6" t="s">
        <v>658</v>
      </c>
      <c r="F270" s="45" t="s">
        <v>121</v>
      </c>
      <c r="G270" s="46">
        <f t="shared" si="29"/>
        <v>700</v>
      </c>
      <c r="H270" s="46">
        <f>TRUNC(S270*(1-LOTE_03!$K$10),2)</f>
        <v>28.97</v>
      </c>
      <c r="I270" s="46">
        <f>TRUNC(T270*(1-LOTE_03!$K$10),2)</f>
        <v>26.25</v>
      </c>
      <c r="J270" s="100">
        <f t="shared" si="30"/>
        <v>0.22470000000000001</v>
      </c>
      <c r="K270" s="48">
        <f t="shared" si="24"/>
        <v>35.47</v>
      </c>
      <c r="L270" s="48">
        <f t="shared" si="25"/>
        <v>32.14</v>
      </c>
      <c r="M270" s="48">
        <f t="shared" si="26"/>
        <v>24829</v>
      </c>
      <c r="N270" s="48">
        <f t="shared" si="27"/>
        <v>22498</v>
      </c>
      <c r="O270" s="50">
        <f t="shared" si="28"/>
        <v>47327</v>
      </c>
      <c r="P270" s="50">
        <v>0</v>
      </c>
      <c r="Q270" s="76"/>
      <c r="R270" s="140">
        <f>50*S9+50*S10</f>
        <v>700</v>
      </c>
      <c r="S270" s="79">
        <v>28.97</v>
      </c>
      <c r="T270" s="80">
        <v>26.25</v>
      </c>
    </row>
    <row r="271" spans="2:20" ht="56">
      <c r="B271" s="5" t="s">
        <v>659</v>
      </c>
      <c r="C271" s="45" t="s">
        <v>135</v>
      </c>
      <c r="D271" s="45">
        <v>98555</v>
      </c>
      <c r="E271" s="6" t="s">
        <v>660</v>
      </c>
      <c r="F271" s="45" t="s">
        <v>121</v>
      </c>
      <c r="G271" s="46">
        <f t="shared" si="29"/>
        <v>1400</v>
      </c>
      <c r="H271" s="46">
        <f>TRUNC(S271*(1-LOTE_03!$K$10),2)</f>
        <v>21.63</v>
      </c>
      <c r="I271" s="46">
        <f>TRUNC(T271*(1-LOTE_03!$K$10),2)</f>
        <v>16.16</v>
      </c>
      <c r="J271" s="100">
        <f t="shared" si="30"/>
        <v>0.22470000000000001</v>
      </c>
      <c r="K271" s="48">
        <f t="shared" si="24"/>
        <v>26.49</v>
      </c>
      <c r="L271" s="48">
        <f t="shared" si="25"/>
        <v>19.79</v>
      </c>
      <c r="M271" s="48">
        <f t="shared" si="26"/>
        <v>37086</v>
      </c>
      <c r="N271" s="48">
        <f t="shared" si="27"/>
        <v>27706</v>
      </c>
      <c r="O271" s="50">
        <f t="shared" si="28"/>
        <v>64792</v>
      </c>
      <c r="P271" s="50">
        <v>0</v>
      </c>
      <c r="Q271" s="76"/>
      <c r="R271" s="140">
        <f>100*S9+100*S10</f>
        <v>1400</v>
      </c>
      <c r="S271" s="79">
        <v>21.63</v>
      </c>
      <c r="T271" s="80">
        <v>16.16</v>
      </c>
    </row>
    <row r="272" spans="2:20" ht="70">
      <c r="B272" s="5" t="s">
        <v>661</v>
      </c>
      <c r="C272" s="45" t="s">
        <v>135</v>
      </c>
      <c r="D272" s="45">
        <v>98556</v>
      </c>
      <c r="E272" s="6" t="s">
        <v>1809</v>
      </c>
      <c r="F272" s="45" t="s">
        <v>121</v>
      </c>
      <c r="G272" s="46">
        <f t="shared" si="29"/>
        <v>1400</v>
      </c>
      <c r="H272" s="46">
        <f>TRUNC(S272*(1-LOTE_03!$K$10),2)</f>
        <v>40.53</v>
      </c>
      <c r="I272" s="46">
        <f>TRUNC(T272*(1-LOTE_03!$K$10),2)</f>
        <v>25.9</v>
      </c>
      <c r="J272" s="100">
        <f t="shared" si="30"/>
        <v>0.22470000000000001</v>
      </c>
      <c r="K272" s="48">
        <f t="shared" ref="K272:K335" si="31">TRUNC(H272*(1+J272),2)</f>
        <v>49.63</v>
      </c>
      <c r="L272" s="48">
        <f t="shared" ref="L272:L335" si="32">TRUNC(I272*(1+J272),2)</f>
        <v>31.71</v>
      </c>
      <c r="M272" s="48">
        <f t="shared" ref="M272:M335" si="33">TRUNC(K272*G272,2)</f>
        <v>69482</v>
      </c>
      <c r="N272" s="48">
        <f t="shared" ref="N272:N335" si="34">TRUNC(L272*G272,2)</f>
        <v>44394</v>
      </c>
      <c r="O272" s="50">
        <f t="shared" ref="O272:O335" si="35">TRUNC(M272+N272,2)</f>
        <v>113876</v>
      </c>
      <c r="P272" s="50">
        <v>0</v>
      </c>
      <c r="Q272" s="76"/>
      <c r="R272" s="140">
        <f>100*S9+100*S10</f>
        <v>1400</v>
      </c>
      <c r="S272" s="79">
        <v>40.530000000000008</v>
      </c>
      <c r="T272" s="80">
        <v>25.9</v>
      </c>
    </row>
    <row r="273" spans="2:20" ht="70">
      <c r="B273" s="5" t="s">
        <v>662</v>
      </c>
      <c r="C273" s="45" t="s">
        <v>135</v>
      </c>
      <c r="D273" s="45">
        <v>98547</v>
      </c>
      <c r="E273" s="6" t="s">
        <v>663</v>
      </c>
      <c r="F273" s="45" t="s">
        <v>121</v>
      </c>
      <c r="G273" s="46">
        <f t="shared" si="29"/>
        <v>1400</v>
      </c>
      <c r="H273" s="46">
        <f>TRUNC(S273*(1-LOTE_03!$K$10),2)</f>
        <v>169.92</v>
      </c>
      <c r="I273" s="46">
        <f>TRUNC(T273*(1-LOTE_03!$K$10),2)</f>
        <v>36.94</v>
      </c>
      <c r="J273" s="100">
        <f t="shared" si="30"/>
        <v>0.22470000000000001</v>
      </c>
      <c r="K273" s="48">
        <f t="shared" si="31"/>
        <v>208.1</v>
      </c>
      <c r="L273" s="48">
        <f t="shared" si="32"/>
        <v>45.24</v>
      </c>
      <c r="M273" s="48">
        <f t="shared" si="33"/>
        <v>291340</v>
      </c>
      <c r="N273" s="48">
        <f t="shared" si="34"/>
        <v>63336</v>
      </c>
      <c r="O273" s="50">
        <f t="shared" si="35"/>
        <v>354676</v>
      </c>
      <c r="P273" s="50">
        <v>0</v>
      </c>
      <c r="Q273" s="76"/>
      <c r="R273" s="140">
        <f>100*S9+100*S10</f>
        <v>1400</v>
      </c>
      <c r="S273" s="79">
        <v>169.92000000000002</v>
      </c>
      <c r="T273" s="80">
        <v>36.94</v>
      </c>
    </row>
    <row r="274" spans="2:20" ht="42">
      <c r="B274" s="5" t="s">
        <v>664</v>
      </c>
      <c r="C274" s="45" t="s">
        <v>135</v>
      </c>
      <c r="D274" s="45">
        <v>98553</v>
      </c>
      <c r="E274" s="6" t="s">
        <v>665</v>
      </c>
      <c r="F274" s="45" t="s">
        <v>121</v>
      </c>
      <c r="G274" s="46">
        <f t="shared" ref="G274:G337" si="36">TRUNC(R274,2)</f>
        <v>1400</v>
      </c>
      <c r="H274" s="46">
        <f>TRUNC(S274*(1-LOTE_03!$K$10),2)</f>
        <v>218.75</v>
      </c>
      <c r="I274" s="46">
        <f>TRUNC(T274*(1-LOTE_03!$K$10),2)</f>
        <v>14.98</v>
      </c>
      <c r="J274" s="100">
        <f t="shared" ref="J274:J337" si="37">$J$4</f>
        <v>0.22470000000000001</v>
      </c>
      <c r="K274" s="48">
        <f t="shared" si="31"/>
        <v>267.89999999999998</v>
      </c>
      <c r="L274" s="48">
        <f t="shared" si="32"/>
        <v>18.34</v>
      </c>
      <c r="M274" s="48">
        <f t="shared" si="33"/>
        <v>375060</v>
      </c>
      <c r="N274" s="48">
        <f t="shared" si="34"/>
        <v>25676</v>
      </c>
      <c r="O274" s="50">
        <f t="shared" si="35"/>
        <v>400736</v>
      </c>
      <c r="P274" s="50">
        <v>0</v>
      </c>
      <c r="Q274" s="76"/>
      <c r="R274" s="140">
        <f>100*S9+100*S10</f>
        <v>1400</v>
      </c>
      <c r="S274" s="79">
        <v>218.75</v>
      </c>
      <c r="T274" s="80">
        <v>14.98</v>
      </c>
    </row>
    <row r="275" spans="2:20" ht="42">
      <c r="B275" s="5" t="s">
        <v>666</v>
      </c>
      <c r="C275" s="45" t="s">
        <v>135</v>
      </c>
      <c r="D275" s="45">
        <v>98557</v>
      </c>
      <c r="E275" s="6" t="s">
        <v>667</v>
      </c>
      <c r="F275" s="45" t="s">
        <v>121</v>
      </c>
      <c r="G275" s="46">
        <f t="shared" si="36"/>
        <v>1400</v>
      </c>
      <c r="H275" s="46">
        <f>TRUNC(S275*(1-LOTE_03!$K$10),2)</f>
        <v>33.979999999999997</v>
      </c>
      <c r="I275" s="46">
        <f>TRUNC(T275*(1-LOTE_03!$K$10),2)</f>
        <v>10.59</v>
      </c>
      <c r="J275" s="100">
        <f t="shared" si="37"/>
        <v>0.22470000000000001</v>
      </c>
      <c r="K275" s="48">
        <f t="shared" si="31"/>
        <v>41.61</v>
      </c>
      <c r="L275" s="48">
        <f t="shared" si="32"/>
        <v>12.96</v>
      </c>
      <c r="M275" s="48">
        <f t="shared" si="33"/>
        <v>58254</v>
      </c>
      <c r="N275" s="48">
        <f t="shared" si="34"/>
        <v>18144</v>
      </c>
      <c r="O275" s="50">
        <f t="shared" si="35"/>
        <v>76398</v>
      </c>
      <c r="P275" s="50">
        <v>0</v>
      </c>
      <c r="Q275" s="76"/>
      <c r="R275" s="140">
        <f>100*S9+100*S10</f>
        <v>1400</v>
      </c>
      <c r="S275" s="79">
        <v>33.980000000000004</v>
      </c>
      <c r="T275" s="80">
        <v>10.59</v>
      </c>
    </row>
    <row r="276" spans="2:20" ht="42">
      <c r="B276" s="5" t="s">
        <v>668</v>
      </c>
      <c r="C276" s="45" t="s">
        <v>135</v>
      </c>
      <c r="D276" s="45">
        <v>98554</v>
      </c>
      <c r="E276" s="6" t="s">
        <v>669</v>
      </c>
      <c r="F276" s="45" t="s">
        <v>121</v>
      </c>
      <c r="G276" s="46">
        <f t="shared" si="36"/>
        <v>1400</v>
      </c>
      <c r="H276" s="46">
        <f>TRUNC(S276*(1-LOTE_03!$K$10),2)</f>
        <v>45.86</v>
      </c>
      <c r="I276" s="46">
        <f>TRUNC(T276*(1-LOTE_03!$K$10),2)</f>
        <v>16.32</v>
      </c>
      <c r="J276" s="100">
        <f t="shared" si="37"/>
        <v>0.22470000000000001</v>
      </c>
      <c r="K276" s="48">
        <f t="shared" si="31"/>
        <v>56.16</v>
      </c>
      <c r="L276" s="48">
        <f t="shared" si="32"/>
        <v>19.98</v>
      </c>
      <c r="M276" s="48">
        <f t="shared" si="33"/>
        <v>78624</v>
      </c>
      <c r="N276" s="48">
        <f t="shared" si="34"/>
        <v>27972</v>
      </c>
      <c r="O276" s="50">
        <f t="shared" si="35"/>
        <v>106596</v>
      </c>
      <c r="P276" s="50">
        <v>0</v>
      </c>
      <c r="Q276" s="76"/>
      <c r="R276" s="140">
        <f>100*S9+100*S10</f>
        <v>1400</v>
      </c>
      <c r="S276" s="79">
        <v>45.86</v>
      </c>
      <c r="T276" s="80">
        <v>16.32</v>
      </c>
    </row>
    <row r="277" spans="2:20" ht="28">
      <c r="B277" s="5" t="s">
        <v>670</v>
      </c>
      <c r="C277" s="45" t="s">
        <v>165</v>
      </c>
      <c r="D277" s="45" t="s">
        <v>671</v>
      </c>
      <c r="E277" s="6" t="s">
        <v>672</v>
      </c>
      <c r="F277" s="45" t="s">
        <v>531</v>
      </c>
      <c r="G277" s="46">
        <f t="shared" si="36"/>
        <v>700</v>
      </c>
      <c r="H277" s="46">
        <f>TRUNC(S277*(1-LOTE_03!$K$10),2)</f>
        <v>17.25</v>
      </c>
      <c r="I277" s="46">
        <f>TRUNC(T277*(1-LOTE_03!$K$10),2)</f>
        <v>5.27</v>
      </c>
      <c r="J277" s="100">
        <f t="shared" si="37"/>
        <v>0.22470000000000001</v>
      </c>
      <c r="K277" s="48">
        <f t="shared" si="31"/>
        <v>21.12</v>
      </c>
      <c r="L277" s="48">
        <f t="shared" si="32"/>
        <v>6.45</v>
      </c>
      <c r="M277" s="48">
        <f t="shared" si="33"/>
        <v>14784</v>
      </c>
      <c r="N277" s="48">
        <f t="shared" si="34"/>
        <v>4515</v>
      </c>
      <c r="O277" s="50">
        <f t="shared" si="35"/>
        <v>19299</v>
      </c>
      <c r="P277" s="50">
        <v>0</v>
      </c>
      <c r="Q277" s="76"/>
      <c r="R277" s="140">
        <f>50*S9+50*S10</f>
        <v>700</v>
      </c>
      <c r="S277" s="79">
        <v>17.25</v>
      </c>
      <c r="T277" s="80">
        <v>5.27</v>
      </c>
    </row>
    <row r="278" spans="2:20" ht="42">
      <c r="B278" s="5" t="s">
        <v>673</v>
      </c>
      <c r="C278" s="45" t="s">
        <v>165</v>
      </c>
      <c r="D278" s="45" t="s">
        <v>674</v>
      </c>
      <c r="E278" s="6" t="s">
        <v>675</v>
      </c>
      <c r="F278" s="45" t="s">
        <v>168</v>
      </c>
      <c r="G278" s="46">
        <f t="shared" si="36"/>
        <v>700</v>
      </c>
      <c r="H278" s="46">
        <f>TRUNC(S278*(1-LOTE_03!$K$10),2)</f>
        <v>58.1</v>
      </c>
      <c r="I278" s="46">
        <f>TRUNC(T278*(1-LOTE_03!$K$10),2)</f>
        <v>10.93</v>
      </c>
      <c r="J278" s="100">
        <f t="shared" si="37"/>
        <v>0.22470000000000001</v>
      </c>
      <c r="K278" s="48">
        <f t="shared" si="31"/>
        <v>71.150000000000006</v>
      </c>
      <c r="L278" s="48">
        <f t="shared" si="32"/>
        <v>13.38</v>
      </c>
      <c r="M278" s="48">
        <f t="shared" si="33"/>
        <v>49805</v>
      </c>
      <c r="N278" s="48">
        <f t="shared" si="34"/>
        <v>9366</v>
      </c>
      <c r="O278" s="50">
        <f t="shared" si="35"/>
        <v>59171</v>
      </c>
      <c r="P278" s="50">
        <v>0</v>
      </c>
      <c r="Q278" s="76"/>
      <c r="R278" s="140">
        <f>50*S9+50*S10</f>
        <v>700</v>
      </c>
      <c r="S278" s="79">
        <v>58.1</v>
      </c>
      <c r="T278" s="80">
        <v>10.93</v>
      </c>
    </row>
    <row r="279" spans="2:20" ht="42">
      <c r="B279" s="5" t="s">
        <v>676</v>
      </c>
      <c r="C279" s="45" t="s">
        <v>165</v>
      </c>
      <c r="D279" s="45" t="s">
        <v>677</v>
      </c>
      <c r="E279" s="6" t="s">
        <v>678</v>
      </c>
      <c r="F279" s="45" t="s">
        <v>168</v>
      </c>
      <c r="G279" s="46">
        <f t="shared" si="36"/>
        <v>700</v>
      </c>
      <c r="H279" s="46">
        <f>TRUNC(S279*(1-LOTE_03!$K$10),2)</f>
        <v>110.11</v>
      </c>
      <c r="I279" s="46">
        <f>TRUNC(T279*(1-LOTE_03!$K$10),2)</f>
        <v>79.19</v>
      </c>
      <c r="J279" s="100">
        <f t="shared" si="37"/>
        <v>0.22470000000000001</v>
      </c>
      <c r="K279" s="48">
        <f t="shared" si="31"/>
        <v>134.85</v>
      </c>
      <c r="L279" s="48">
        <f t="shared" si="32"/>
        <v>96.98</v>
      </c>
      <c r="M279" s="48">
        <f t="shared" si="33"/>
        <v>94395</v>
      </c>
      <c r="N279" s="48">
        <f t="shared" si="34"/>
        <v>67886</v>
      </c>
      <c r="O279" s="50">
        <f t="shared" si="35"/>
        <v>162281</v>
      </c>
      <c r="P279" s="50">
        <v>0</v>
      </c>
      <c r="Q279" s="76"/>
      <c r="R279" s="140">
        <f>50*S9+50*S10</f>
        <v>700</v>
      </c>
      <c r="S279" s="79">
        <v>110.11</v>
      </c>
      <c r="T279" s="80">
        <v>79.19</v>
      </c>
    </row>
    <row r="280" spans="2:20" ht="28">
      <c r="B280" s="5" t="s">
        <v>679</v>
      </c>
      <c r="C280" s="45" t="s">
        <v>165</v>
      </c>
      <c r="D280" s="45" t="s">
        <v>680</v>
      </c>
      <c r="E280" s="6" t="s">
        <v>681</v>
      </c>
      <c r="F280" s="45" t="s">
        <v>168</v>
      </c>
      <c r="G280" s="46">
        <f t="shared" si="36"/>
        <v>700</v>
      </c>
      <c r="H280" s="46">
        <f>TRUNC(S280*(1-LOTE_03!$K$10),2)</f>
        <v>32.67</v>
      </c>
      <c r="I280" s="46">
        <f>TRUNC(T280*(1-LOTE_03!$K$10),2)</f>
        <v>9.92</v>
      </c>
      <c r="J280" s="100">
        <f t="shared" si="37"/>
        <v>0.22470000000000001</v>
      </c>
      <c r="K280" s="48">
        <f t="shared" si="31"/>
        <v>40.01</v>
      </c>
      <c r="L280" s="48">
        <f t="shared" si="32"/>
        <v>12.14</v>
      </c>
      <c r="M280" s="48">
        <f t="shared" si="33"/>
        <v>28007</v>
      </c>
      <c r="N280" s="48">
        <f t="shared" si="34"/>
        <v>8498</v>
      </c>
      <c r="O280" s="50">
        <f t="shared" si="35"/>
        <v>36505</v>
      </c>
      <c r="P280" s="50">
        <v>0</v>
      </c>
      <c r="Q280" s="76"/>
      <c r="R280" s="140">
        <f>50*S9+50*S10</f>
        <v>700</v>
      </c>
      <c r="S280" s="79">
        <v>32.67</v>
      </c>
      <c r="T280" s="80">
        <v>9.92</v>
      </c>
    </row>
    <row r="281" spans="2:20" ht="42">
      <c r="B281" s="5" t="s">
        <v>682</v>
      </c>
      <c r="C281" s="45" t="s">
        <v>97</v>
      </c>
      <c r="D281" s="45" t="s">
        <v>683</v>
      </c>
      <c r="E281" s="6" t="s">
        <v>684</v>
      </c>
      <c r="F281" s="45" t="s">
        <v>104</v>
      </c>
      <c r="G281" s="46">
        <f t="shared" si="36"/>
        <v>50</v>
      </c>
      <c r="H281" s="46">
        <f>TRUNC(S281*(1-LOTE_03!$K$10),2)</f>
        <v>21.55</v>
      </c>
      <c r="I281" s="46">
        <f>TRUNC(T281*(1-LOTE_03!$K$10),2)</f>
        <v>1.44</v>
      </c>
      <c r="J281" s="100">
        <f t="shared" si="37"/>
        <v>0.22470000000000001</v>
      </c>
      <c r="K281" s="48">
        <f t="shared" si="31"/>
        <v>26.39</v>
      </c>
      <c r="L281" s="48">
        <f t="shared" si="32"/>
        <v>1.76</v>
      </c>
      <c r="M281" s="48">
        <f t="shared" si="33"/>
        <v>1319.5</v>
      </c>
      <c r="N281" s="48">
        <f t="shared" si="34"/>
        <v>88</v>
      </c>
      <c r="O281" s="50">
        <f t="shared" si="35"/>
        <v>1407.5</v>
      </c>
      <c r="P281" s="50">
        <v>0</v>
      </c>
      <c r="Q281" s="76"/>
      <c r="R281" s="140">
        <f>IF((4*S10+4*S9)&gt;50,50,(4*S10+4*S9))</f>
        <v>50</v>
      </c>
      <c r="S281" s="79">
        <v>21.55</v>
      </c>
      <c r="T281" s="80">
        <v>1.44</v>
      </c>
    </row>
    <row r="282" spans="2:20" ht="42">
      <c r="B282" s="5" t="s">
        <v>685</v>
      </c>
      <c r="C282" s="45" t="s">
        <v>97</v>
      </c>
      <c r="D282" s="45" t="s">
        <v>686</v>
      </c>
      <c r="E282" s="6" t="s">
        <v>687</v>
      </c>
      <c r="F282" s="45" t="s">
        <v>121</v>
      </c>
      <c r="G282" s="46">
        <f t="shared" si="36"/>
        <v>1000</v>
      </c>
      <c r="H282" s="46">
        <f>TRUNC(S282*(1-LOTE_03!$K$10),2)</f>
        <v>3.92</v>
      </c>
      <c r="I282" s="46">
        <f>TRUNC(T282*(1-LOTE_03!$K$10),2)</f>
        <v>2.89</v>
      </c>
      <c r="J282" s="100">
        <f t="shared" si="37"/>
        <v>0.22470000000000001</v>
      </c>
      <c r="K282" s="48">
        <f t="shared" si="31"/>
        <v>4.8</v>
      </c>
      <c r="L282" s="48">
        <f t="shared" si="32"/>
        <v>3.53</v>
      </c>
      <c r="M282" s="48">
        <f t="shared" si="33"/>
        <v>4800</v>
      </c>
      <c r="N282" s="48">
        <f t="shared" si="34"/>
        <v>3530</v>
      </c>
      <c r="O282" s="50">
        <f t="shared" si="35"/>
        <v>8330</v>
      </c>
      <c r="P282" s="50">
        <v>0</v>
      </c>
      <c r="Q282" s="76"/>
      <c r="R282" s="140">
        <f>IF((100*S9+100*S10)&gt;1000,1000,(100*S9+100*S10))</f>
        <v>1000</v>
      </c>
      <c r="S282" s="79">
        <v>3.92</v>
      </c>
      <c r="T282" s="80">
        <v>2.89</v>
      </c>
    </row>
    <row r="283" spans="2:20" ht="28">
      <c r="B283" s="5" t="s">
        <v>688</v>
      </c>
      <c r="C283" s="45" t="s">
        <v>97</v>
      </c>
      <c r="D283" s="45" t="s">
        <v>689</v>
      </c>
      <c r="E283" s="6" t="s">
        <v>690</v>
      </c>
      <c r="F283" s="45" t="s">
        <v>187</v>
      </c>
      <c r="G283" s="46">
        <f t="shared" si="36"/>
        <v>500</v>
      </c>
      <c r="H283" s="46">
        <f>TRUNC(S283*(1-LOTE_03!$K$10),2)</f>
        <v>0.51</v>
      </c>
      <c r="I283" s="46">
        <f>TRUNC(T283*(1-LOTE_03!$K$10),2)</f>
        <v>1.39</v>
      </c>
      <c r="J283" s="100">
        <f t="shared" si="37"/>
        <v>0.22470000000000001</v>
      </c>
      <c r="K283" s="48">
        <f t="shared" si="31"/>
        <v>0.62</v>
      </c>
      <c r="L283" s="48">
        <f t="shared" si="32"/>
        <v>1.7</v>
      </c>
      <c r="M283" s="48">
        <f t="shared" si="33"/>
        <v>310</v>
      </c>
      <c r="N283" s="48">
        <f t="shared" si="34"/>
        <v>850</v>
      </c>
      <c r="O283" s="50">
        <f t="shared" si="35"/>
        <v>1160</v>
      </c>
      <c r="P283" s="50">
        <v>0</v>
      </c>
      <c r="Q283" s="76"/>
      <c r="R283" s="140">
        <f>IF((50*S10+50*S9)&gt;500,500,(50*S10+50*S9))</f>
        <v>500</v>
      </c>
      <c r="S283" s="79">
        <v>0.51</v>
      </c>
      <c r="T283" s="80">
        <v>1.39</v>
      </c>
    </row>
    <row r="284" spans="2:20" ht="28">
      <c r="B284" s="5" t="s">
        <v>691</v>
      </c>
      <c r="C284" s="45" t="s">
        <v>97</v>
      </c>
      <c r="D284" s="45" t="s">
        <v>692</v>
      </c>
      <c r="E284" s="6" t="s">
        <v>693</v>
      </c>
      <c r="F284" s="45" t="s">
        <v>104</v>
      </c>
      <c r="G284" s="46">
        <f t="shared" si="36"/>
        <v>140</v>
      </c>
      <c r="H284" s="46">
        <f>TRUNC(S284*(1-LOTE_03!$K$10),2)</f>
        <v>7.35</v>
      </c>
      <c r="I284" s="46">
        <f>TRUNC(T284*(1-LOTE_03!$K$10),2)</f>
        <v>16.989999999999998</v>
      </c>
      <c r="J284" s="100">
        <f t="shared" si="37"/>
        <v>0.22470000000000001</v>
      </c>
      <c r="K284" s="48">
        <f t="shared" si="31"/>
        <v>9</v>
      </c>
      <c r="L284" s="48">
        <f t="shared" si="32"/>
        <v>20.8</v>
      </c>
      <c r="M284" s="48">
        <f t="shared" si="33"/>
        <v>1260</v>
      </c>
      <c r="N284" s="48">
        <f t="shared" si="34"/>
        <v>2912</v>
      </c>
      <c r="O284" s="50">
        <f t="shared" si="35"/>
        <v>4172</v>
      </c>
      <c r="P284" s="50">
        <v>0</v>
      </c>
      <c r="Q284" s="76"/>
      <c r="R284" s="140">
        <f>10*S9+10*S10</f>
        <v>140</v>
      </c>
      <c r="S284" s="79">
        <v>7.35</v>
      </c>
      <c r="T284" s="80">
        <v>16.989999999999998</v>
      </c>
    </row>
    <row r="285" spans="2:20" ht="28">
      <c r="B285" s="5" t="s">
        <v>694</v>
      </c>
      <c r="C285" s="45" t="s">
        <v>97</v>
      </c>
      <c r="D285" s="45" t="s">
        <v>695</v>
      </c>
      <c r="E285" s="6" t="s">
        <v>696</v>
      </c>
      <c r="F285" s="45" t="s">
        <v>104</v>
      </c>
      <c r="G285" s="46">
        <f t="shared" si="36"/>
        <v>50</v>
      </c>
      <c r="H285" s="46">
        <f>TRUNC(S285*(1-LOTE_03!$K$10),2)</f>
        <v>43.18</v>
      </c>
      <c r="I285" s="46">
        <f>TRUNC(T285*(1-LOTE_03!$K$10),2)</f>
        <v>24.44</v>
      </c>
      <c r="J285" s="100">
        <f t="shared" si="37"/>
        <v>0.22470000000000001</v>
      </c>
      <c r="K285" s="48">
        <f t="shared" si="31"/>
        <v>52.88</v>
      </c>
      <c r="L285" s="48">
        <f t="shared" si="32"/>
        <v>29.93</v>
      </c>
      <c r="M285" s="48">
        <f t="shared" si="33"/>
        <v>2644</v>
      </c>
      <c r="N285" s="48">
        <f t="shared" si="34"/>
        <v>1496.5</v>
      </c>
      <c r="O285" s="50">
        <f t="shared" si="35"/>
        <v>4140.5</v>
      </c>
      <c r="P285" s="50">
        <v>0</v>
      </c>
      <c r="Q285" s="76"/>
      <c r="R285" s="140">
        <f>IF((5*S9+5*S10)&gt;50,50,(5*S9+5*S10))</f>
        <v>50</v>
      </c>
      <c r="S285" s="79">
        <v>43.18</v>
      </c>
      <c r="T285" s="80">
        <v>24.44</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511509.69</v>
      </c>
      <c r="Q286" s="76"/>
      <c r="R286" s="154"/>
      <c r="S286" s="79" t="s">
        <v>22</v>
      </c>
      <c r="T286" s="80" t="s">
        <v>22</v>
      </c>
    </row>
    <row r="287" spans="2:20" ht="56">
      <c r="B287" s="5" t="s">
        <v>697</v>
      </c>
      <c r="C287" s="45" t="s">
        <v>135</v>
      </c>
      <c r="D287" s="45">
        <v>101094</v>
      </c>
      <c r="E287" s="6" t="s">
        <v>1810</v>
      </c>
      <c r="F287" s="45" t="s">
        <v>187</v>
      </c>
      <c r="G287" s="46">
        <f t="shared" si="36"/>
        <v>280</v>
      </c>
      <c r="H287" s="46">
        <f>TRUNC(S287*(1-LOTE_03!$K$10),2)</f>
        <v>193.42</v>
      </c>
      <c r="I287" s="46">
        <f>TRUNC(T287*(1-LOTE_03!$K$10),2)</f>
        <v>16.559999999999999</v>
      </c>
      <c r="J287" s="100">
        <f t="shared" si="37"/>
        <v>0.22470000000000001</v>
      </c>
      <c r="K287" s="48">
        <f t="shared" si="31"/>
        <v>236.88</v>
      </c>
      <c r="L287" s="48">
        <f t="shared" si="32"/>
        <v>20.28</v>
      </c>
      <c r="M287" s="48">
        <f t="shared" si="33"/>
        <v>66326.399999999994</v>
      </c>
      <c r="N287" s="48">
        <f t="shared" si="34"/>
        <v>5678.4</v>
      </c>
      <c r="O287" s="50">
        <f t="shared" si="35"/>
        <v>72004.800000000003</v>
      </c>
      <c r="P287" s="50">
        <v>0</v>
      </c>
      <c r="Q287" s="76"/>
      <c r="R287" s="140">
        <f>20*S9+20*S10</f>
        <v>280</v>
      </c>
      <c r="S287" s="79">
        <v>193.42</v>
      </c>
      <c r="T287" s="80">
        <v>16.559999999999999</v>
      </c>
    </row>
    <row r="288" spans="2:20" ht="28">
      <c r="B288" s="5" t="s">
        <v>698</v>
      </c>
      <c r="C288" s="45" t="s">
        <v>97</v>
      </c>
      <c r="D288" s="45" t="s">
        <v>699</v>
      </c>
      <c r="E288" s="6" t="s">
        <v>700</v>
      </c>
      <c r="F288" s="45" t="s">
        <v>187</v>
      </c>
      <c r="G288" s="46">
        <f t="shared" si="36"/>
        <v>413</v>
      </c>
      <c r="H288" s="46">
        <f>TRUNC(S288*(1-LOTE_03!$K$10),2)</f>
        <v>141.11000000000001</v>
      </c>
      <c r="I288" s="46">
        <f>TRUNC(T288*(1-LOTE_03!$K$10),2)</f>
        <v>19.29</v>
      </c>
      <c r="J288" s="100">
        <f t="shared" si="37"/>
        <v>0.22470000000000001</v>
      </c>
      <c r="K288" s="48">
        <f t="shared" si="31"/>
        <v>172.81</v>
      </c>
      <c r="L288" s="48">
        <f t="shared" si="32"/>
        <v>23.62</v>
      </c>
      <c r="M288" s="48">
        <f t="shared" si="33"/>
        <v>71370.53</v>
      </c>
      <c r="N288" s="48">
        <f t="shared" si="34"/>
        <v>9755.06</v>
      </c>
      <c r="O288" s="50">
        <f t="shared" si="35"/>
        <v>81125.59</v>
      </c>
      <c r="P288" s="50">
        <v>0</v>
      </c>
      <c r="Q288" s="76"/>
      <c r="R288" s="140">
        <f>((28+17+33+40)*0.25)*(S9+S10)</f>
        <v>413</v>
      </c>
      <c r="S288" s="79">
        <v>141.11000000000001</v>
      </c>
      <c r="T288" s="80">
        <v>19.29</v>
      </c>
    </row>
    <row r="289" spans="2:20" ht="28">
      <c r="B289" s="5" t="s">
        <v>701</v>
      </c>
      <c r="C289" s="45" t="s">
        <v>97</v>
      </c>
      <c r="D289" s="45" t="s">
        <v>702</v>
      </c>
      <c r="E289" s="6" t="s">
        <v>703</v>
      </c>
      <c r="F289" s="45" t="s">
        <v>187</v>
      </c>
      <c r="G289" s="46">
        <f t="shared" si="36"/>
        <v>448</v>
      </c>
      <c r="H289" s="46">
        <f>TRUNC(S289*(1-LOTE_03!$K$10),2)</f>
        <v>154.03</v>
      </c>
      <c r="I289" s="46">
        <f>TRUNC(T289*(1-LOTE_03!$K$10),2)</f>
        <v>19.29</v>
      </c>
      <c r="J289" s="100">
        <f t="shared" si="37"/>
        <v>0.22470000000000001</v>
      </c>
      <c r="K289" s="48">
        <f t="shared" si="31"/>
        <v>188.64</v>
      </c>
      <c r="L289" s="48">
        <f t="shared" si="32"/>
        <v>23.62</v>
      </c>
      <c r="M289" s="48">
        <f t="shared" si="33"/>
        <v>84510.720000000001</v>
      </c>
      <c r="N289" s="48">
        <f t="shared" si="34"/>
        <v>10581.76</v>
      </c>
      <c r="O289" s="50">
        <f t="shared" si="35"/>
        <v>95092.479999999996</v>
      </c>
      <c r="P289" s="50">
        <v>0</v>
      </c>
      <c r="Q289" s="76"/>
      <c r="R289" s="140">
        <f>((17+22+60+29)*0.25)*(S9+S10)</f>
        <v>448</v>
      </c>
      <c r="S289" s="79">
        <v>154.03</v>
      </c>
      <c r="T289" s="80">
        <v>19.29</v>
      </c>
    </row>
    <row r="290" spans="2:20" ht="28">
      <c r="B290" s="5" t="s">
        <v>704</v>
      </c>
      <c r="C290" s="45" t="s">
        <v>165</v>
      </c>
      <c r="D290" s="45" t="s">
        <v>705</v>
      </c>
      <c r="E290" s="6" t="s">
        <v>706</v>
      </c>
      <c r="F290" s="45" t="s">
        <v>168</v>
      </c>
      <c r="G290" s="46">
        <f t="shared" si="36"/>
        <v>280</v>
      </c>
      <c r="H290" s="46">
        <f>TRUNC(S290*(1-LOTE_03!$K$10),2)</f>
        <v>130.87</v>
      </c>
      <c r="I290" s="46">
        <f>TRUNC(T290*(1-LOTE_03!$K$10),2)</f>
        <v>21.74</v>
      </c>
      <c r="J290" s="100">
        <f t="shared" si="37"/>
        <v>0.22470000000000001</v>
      </c>
      <c r="K290" s="48">
        <f t="shared" si="31"/>
        <v>160.27000000000001</v>
      </c>
      <c r="L290" s="48">
        <f t="shared" si="32"/>
        <v>26.62</v>
      </c>
      <c r="M290" s="48">
        <f t="shared" si="33"/>
        <v>44875.6</v>
      </c>
      <c r="N290" s="48">
        <f t="shared" si="34"/>
        <v>7453.6</v>
      </c>
      <c r="O290" s="50">
        <f t="shared" si="35"/>
        <v>52329.2</v>
      </c>
      <c r="P290" s="50">
        <v>0</v>
      </c>
      <c r="Q290" s="76"/>
      <c r="R290" s="140">
        <f>20*S9+20*S10</f>
        <v>280</v>
      </c>
      <c r="S290" s="79">
        <v>130.87</v>
      </c>
      <c r="T290" s="80">
        <v>21.74</v>
      </c>
    </row>
    <row r="291" spans="2:20" ht="56">
      <c r="B291" s="5" t="s">
        <v>707</v>
      </c>
      <c r="C291" s="45" t="s">
        <v>135</v>
      </c>
      <c r="D291" s="45">
        <v>104658</v>
      </c>
      <c r="E291" s="6" t="s">
        <v>708</v>
      </c>
      <c r="F291" s="45" t="s">
        <v>121</v>
      </c>
      <c r="G291" s="46">
        <f t="shared" si="36"/>
        <v>280</v>
      </c>
      <c r="H291" s="46">
        <f>TRUNC(S291*(1-LOTE_03!$K$10),2)</f>
        <v>129.52000000000001</v>
      </c>
      <c r="I291" s="46">
        <f>TRUNC(T291*(1-LOTE_03!$K$10),2)</f>
        <v>34.130000000000003</v>
      </c>
      <c r="J291" s="100">
        <f t="shared" si="37"/>
        <v>0.22470000000000001</v>
      </c>
      <c r="K291" s="48">
        <f t="shared" si="31"/>
        <v>158.62</v>
      </c>
      <c r="L291" s="48">
        <f t="shared" si="32"/>
        <v>41.79</v>
      </c>
      <c r="M291" s="48">
        <f t="shared" si="33"/>
        <v>44413.599999999999</v>
      </c>
      <c r="N291" s="48">
        <f t="shared" si="34"/>
        <v>11701.2</v>
      </c>
      <c r="O291" s="50">
        <f t="shared" si="35"/>
        <v>56114.8</v>
      </c>
      <c r="P291" s="50">
        <v>0</v>
      </c>
      <c r="Q291" s="76"/>
      <c r="R291" s="140">
        <f>20*S9+20*S10</f>
        <v>280</v>
      </c>
      <c r="S291" s="79">
        <v>129.52000000000001</v>
      </c>
      <c r="T291" s="80">
        <v>34.130000000000003</v>
      </c>
    </row>
    <row r="292" spans="2:20" ht="84">
      <c r="B292" s="5" t="s">
        <v>709</v>
      </c>
      <c r="C292" s="45" t="s">
        <v>97</v>
      </c>
      <c r="D292" s="45" t="s">
        <v>710</v>
      </c>
      <c r="E292" s="6" t="s">
        <v>711</v>
      </c>
      <c r="F292" s="45" t="s">
        <v>104</v>
      </c>
      <c r="G292" s="46">
        <f t="shared" si="36"/>
        <v>14</v>
      </c>
      <c r="H292" s="46">
        <f>TRUNC(S292*(1-LOTE_03!$K$10),2)</f>
        <v>201.99</v>
      </c>
      <c r="I292" s="46">
        <f>TRUNC(T292*(1-LOTE_03!$K$10),2)</f>
        <v>2.89</v>
      </c>
      <c r="J292" s="100">
        <f t="shared" si="37"/>
        <v>0.22470000000000001</v>
      </c>
      <c r="K292" s="48">
        <f t="shared" si="31"/>
        <v>247.37</v>
      </c>
      <c r="L292" s="48">
        <f t="shared" si="32"/>
        <v>3.53</v>
      </c>
      <c r="M292" s="48">
        <f t="shared" si="33"/>
        <v>3463.18</v>
      </c>
      <c r="N292" s="48">
        <f t="shared" si="34"/>
        <v>49.42</v>
      </c>
      <c r="O292" s="50">
        <f t="shared" si="35"/>
        <v>3512.6</v>
      </c>
      <c r="P292" s="50">
        <v>0</v>
      </c>
      <c r="Q292" s="76"/>
      <c r="R292" s="140">
        <f>1*S9+1*S10</f>
        <v>14</v>
      </c>
      <c r="S292" s="79">
        <v>201.99</v>
      </c>
      <c r="T292" s="80">
        <v>2.89</v>
      </c>
    </row>
    <row r="293" spans="2:20" ht="56">
      <c r="B293" s="5" t="s">
        <v>712</v>
      </c>
      <c r="C293" s="45" t="s">
        <v>97</v>
      </c>
      <c r="D293" s="45" t="s">
        <v>713</v>
      </c>
      <c r="E293" s="6" t="s">
        <v>714</v>
      </c>
      <c r="F293" s="45" t="s">
        <v>104</v>
      </c>
      <c r="G293" s="46">
        <f t="shared" si="36"/>
        <v>70</v>
      </c>
      <c r="H293" s="46">
        <f>TRUNC(S293*(1-LOTE_03!$K$10),2)</f>
        <v>14.25</v>
      </c>
      <c r="I293" s="46">
        <f>TRUNC(T293*(1-LOTE_03!$K$10),2)</f>
        <v>0.72</v>
      </c>
      <c r="J293" s="100">
        <f t="shared" si="37"/>
        <v>0.22470000000000001</v>
      </c>
      <c r="K293" s="48">
        <f t="shared" si="31"/>
        <v>17.45</v>
      </c>
      <c r="L293" s="48">
        <f t="shared" si="32"/>
        <v>0.88</v>
      </c>
      <c r="M293" s="48">
        <f t="shared" si="33"/>
        <v>1221.5</v>
      </c>
      <c r="N293" s="48">
        <f t="shared" si="34"/>
        <v>61.6</v>
      </c>
      <c r="O293" s="50">
        <f t="shared" si="35"/>
        <v>1283.0999999999999</v>
      </c>
      <c r="P293" s="50">
        <v>0</v>
      </c>
      <c r="Q293" s="76"/>
      <c r="R293" s="140">
        <f>5*S9+5*S10</f>
        <v>70</v>
      </c>
      <c r="S293" s="79">
        <v>14.25</v>
      </c>
      <c r="T293" s="80">
        <v>0.72</v>
      </c>
    </row>
    <row r="294" spans="2:20" ht="70">
      <c r="B294" s="5" t="s">
        <v>715</v>
      </c>
      <c r="C294" s="45" t="s">
        <v>97</v>
      </c>
      <c r="D294" s="45" t="s">
        <v>716</v>
      </c>
      <c r="E294" s="6" t="s">
        <v>717</v>
      </c>
      <c r="F294" s="45" t="s">
        <v>104</v>
      </c>
      <c r="G294" s="46">
        <f t="shared" si="36"/>
        <v>28</v>
      </c>
      <c r="H294" s="46">
        <f>TRUNC(S294*(1-LOTE_03!$K$10),2)</f>
        <v>225.55</v>
      </c>
      <c r="I294" s="46">
        <f>TRUNC(T294*(1-LOTE_03!$K$10),2)</f>
        <v>2.89</v>
      </c>
      <c r="J294" s="100">
        <f t="shared" si="37"/>
        <v>0.22470000000000001</v>
      </c>
      <c r="K294" s="48">
        <f t="shared" si="31"/>
        <v>276.23</v>
      </c>
      <c r="L294" s="48">
        <f t="shared" si="32"/>
        <v>3.53</v>
      </c>
      <c r="M294" s="48">
        <f t="shared" si="33"/>
        <v>7734.44</v>
      </c>
      <c r="N294" s="48">
        <f t="shared" si="34"/>
        <v>98.84</v>
      </c>
      <c r="O294" s="50">
        <f t="shared" si="35"/>
        <v>7833.28</v>
      </c>
      <c r="P294" s="50">
        <v>0</v>
      </c>
      <c r="Q294" s="76"/>
      <c r="R294" s="140">
        <f>2*S9+2*S10</f>
        <v>28</v>
      </c>
      <c r="S294" s="79">
        <v>225.55</v>
      </c>
      <c r="T294" s="80">
        <v>2.89</v>
      </c>
    </row>
    <row r="295" spans="2:20" ht="56">
      <c r="B295" s="5" t="s">
        <v>718</v>
      </c>
      <c r="C295" s="45" t="s">
        <v>97</v>
      </c>
      <c r="D295" s="45" t="s">
        <v>719</v>
      </c>
      <c r="E295" s="6" t="s">
        <v>720</v>
      </c>
      <c r="F295" s="45" t="s">
        <v>104</v>
      </c>
      <c r="G295" s="46">
        <f t="shared" si="36"/>
        <v>28</v>
      </c>
      <c r="H295" s="46">
        <f>TRUNC(S295*(1-LOTE_03!$K$10),2)</f>
        <v>26.51</v>
      </c>
      <c r="I295" s="46">
        <f>TRUNC(T295*(1-LOTE_03!$K$10),2)</f>
        <v>4.0199999999999996</v>
      </c>
      <c r="J295" s="100">
        <f t="shared" si="37"/>
        <v>0.22470000000000001</v>
      </c>
      <c r="K295" s="48">
        <f t="shared" si="31"/>
        <v>32.46</v>
      </c>
      <c r="L295" s="48">
        <f t="shared" si="32"/>
        <v>4.92</v>
      </c>
      <c r="M295" s="48">
        <f t="shared" si="33"/>
        <v>908.88</v>
      </c>
      <c r="N295" s="48">
        <f t="shared" si="34"/>
        <v>137.76</v>
      </c>
      <c r="O295" s="50">
        <f t="shared" si="35"/>
        <v>1046.6400000000001</v>
      </c>
      <c r="P295" s="50">
        <v>0</v>
      </c>
      <c r="Q295" s="76"/>
      <c r="R295" s="140">
        <f>2*S9+2*S10</f>
        <v>28</v>
      </c>
      <c r="S295" s="79">
        <v>26.51</v>
      </c>
      <c r="T295" s="80">
        <v>4.0199999999999996</v>
      </c>
    </row>
    <row r="296" spans="2:20" ht="42">
      <c r="B296" s="5" t="s">
        <v>721</v>
      </c>
      <c r="C296" s="45" t="s">
        <v>97</v>
      </c>
      <c r="D296" s="45" t="s">
        <v>722</v>
      </c>
      <c r="E296" s="6" t="s">
        <v>723</v>
      </c>
      <c r="F296" s="45" t="s">
        <v>104</v>
      </c>
      <c r="G296" s="46">
        <f t="shared" si="36"/>
        <v>28</v>
      </c>
      <c r="H296" s="46">
        <f>TRUNC(S296*(1-LOTE_03!$K$10),2)</f>
        <v>42.97</v>
      </c>
      <c r="I296" s="46">
        <f>TRUNC(T296*(1-LOTE_03!$K$10),2)</f>
        <v>4.0199999999999996</v>
      </c>
      <c r="J296" s="100">
        <f t="shared" si="37"/>
        <v>0.22470000000000001</v>
      </c>
      <c r="K296" s="48">
        <f t="shared" si="31"/>
        <v>52.62</v>
      </c>
      <c r="L296" s="48">
        <f t="shared" si="32"/>
        <v>4.92</v>
      </c>
      <c r="M296" s="48">
        <f t="shared" si="33"/>
        <v>1473.36</v>
      </c>
      <c r="N296" s="48">
        <f t="shared" si="34"/>
        <v>137.76</v>
      </c>
      <c r="O296" s="50">
        <f t="shared" si="35"/>
        <v>1611.12</v>
      </c>
      <c r="P296" s="50">
        <v>0</v>
      </c>
      <c r="Q296" s="76"/>
      <c r="R296" s="140">
        <f>2*S9+2*S10</f>
        <v>28</v>
      </c>
      <c r="S296" s="79">
        <v>42.97</v>
      </c>
      <c r="T296" s="80">
        <v>4.0199999999999996</v>
      </c>
    </row>
    <row r="297" spans="2:20" ht="56">
      <c r="B297" s="5" t="s">
        <v>724</v>
      </c>
      <c r="C297" s="45" t="s">
        <v>135</v>
      </c>
      <c r="D297" s="45">
        <v>100868</v>
      </c>
      <c r="E297" s="6" t="s">
        <v>1811</v>
      </c>
      <c r="F297" s="45" t="s">
        <v>210</v>
      </c>
      <c r="G297" s="46">
        <f t="shared" si="36"/>
        <v>14</v>
      </c>
      <c r="H297" s="46">
        <f>TRUNC(S297*(1-LOTE_03!$K$10),2)</f>
        <v>368.64</v>
      </c>
      <c r="I297" s="46">
        <f>TRUNC(T297*(1-LOTE_03!$K$10),2)</f>
        <v>25.07</v>
      </c>
      <c r="J297" s="100">
        <f t="shared" si="37"/>
        <v>0.22470000000000001</v>
      </c>
      <c r="K297" s="48">
        <f t="shared" si="31"/>
        <v>451.47</v>
      </c>
      <c r="L297" s="48">
        <f t="shared" si="32"/>
        <v>30.7</v>
      </c>
      <c r="M297" s="48">
        <f t="shared" si="33"/>
        <v>6320.58</v>
      </c>
      <c r="N297" s="48">
        <f t="shared" si="34"/>
        <v>429.8</v>
      </c>
      <c r="O297" s="50">
        <f t="shared" si="35"/>
        <v>6750.38</v>
      </c>
      <c r="P297" s="50">
        <v>0</v>
      </c>
      <c r="Q297" s="76"/>
      <c r="R297" s="140">
        <f>1*S9+1*S10</f>
        <v>14</v>
      </c>
      <c r="S297" s="79">
        <v>368.64</v>
      </c>
      <c r="T297" s="80">
        <v>25.07</v>
      </c>
    </row>
    <row r="298" spans="2:20" ht="56">
      <c r="B298" s="5" t="s">
        <v>725</v>
      </c>
      <c r="C298" s="45" t="s">
        <v>135</v>
      </c>
      <c r="D298" s="45">
        <v>100871</v>
      </c>
      <c r="E298" s="6" t="s">
        <v>1812</v>
      </c>
      <c r="F298" s="45" t="s">
        <v>210</v>
      </c>
      <c r="G298" s="46">
        <f t="shared" si="36"/>
        <v>14</v>
      </c>
      <c r="H298" s="46">
        <f>TRUNC(S298*(1-LOTE_03!$K$10),2)</f>
        <v>235.68</v>
      </c>
      <c r="I298" s="46">
        <f>TRUNC(T298*(1-LOTE_03!$K$10),2)</f>
        <v>18.47</v>
      </c>
      <c r="J298" s="100">
        <f t="shared" si="37"/>
        <v>0.22470000000000001</v>
      </c>
      <c r="K298" s="48">
        <f t="shared" si="31"/>
        <v>288.63</v>
      </c>
      <c r="L298" s="48">
        <f t="shared" si="32"/>
        <v>22.62</v>
      </c>
      <c r="M298" s="48">
        <f t="shared" si="33"/>
        <v>4040.82</v>
      </c>
      <c r="N298" s="48">
        <f t="shared" si="34"/>
        <v>316.68</v>
      </c>
      <c r="O298" s="50">
        <f t="shared" si="35"/>
        <v>4357.5</v>
      </c>
      <c r="P298" s="50">
        <v>0</v>
      </c>
      <c r="Q298" s="76"/>
      <c r="R298" s="140">
        <f>1*S9+1*S10</f>
        <v>14</v>
      </c>
      <c r="S298" s="79">
        <v>235.68</v>
      </c>
      <c r="T298" s="80">
        <v>18.47</v>
      </c>
    </row>
    <row r="299" spans="2:20" ht="56">
      <c r="B299" s="5" t="s">
        <v>726</v>
      </c>
      <c r="C299" s="45" t="s">
        <v>135</v>
      </c>
      <c r="D299" s="45">
        <v>100866</v>
      </c>
      <c r="E299" s="6" t="s">
        <v>1813</v>
      </c>
      <c r="F299" s="45" t="s">
        <v>210</v>
      </c>
      <c r="G299" s="46">
        <f t="shared" si="36"/>
        <v>28</v>
      </c>
      <c r="H299" s="46">
        <f>TRUNC(S299*(1-LOTE_03!$K$10),2)</f>
        <v>327.92</v>
      </c>
      <c r="I299" s="46">
        <f>TRUNC(T299*(1-LOTE_03!$K$10),2)</f>
        <v>24.9</v>
      </c>
      <c r="J299" s="100">
        <f t="shared" si="37"/>
        <v>0.22470000000000001</v>
      </c>
      <c r="K299" s="48">
        <f t="shared" si="31"/>
        <v>401.6</v>
      </c>
      <c r="L299" s="48">
        <f t="shared" si="32"/>
        <v>30.49</v>
      </c>
      <c r="M299" s="48">
        <f t="shared" si="33"/>
        <v>11244.8</v>
      </c>
      <c r="N299" s="48">
        <f t="shared" si="34"/>
        <v>853.72</v>
      </c>
      <c r="O299" s="50">
        <f t="shared" si="35"/>
        <v>12098.52</v>
      </c>
      <c r="P299" s="50">
        <v>0</v>
      </c>
      <c r="Q299" s="76"/>
      <c r="R299" s="140">
        <f>2*S9+2*S10</f>
        <v>28</v>
      </c>
      <c r="S299" s="79">
        <v>327.92</v>
      </c>
      <c r="T299" s="80">
        <v>24.9</v>
      </c>
    </row>
    <row r="300" spans="2:20" ht="112">
      <c r="B300" s="5" t="s">
        <v>727</v>
      </c>
      <c r="C300" s="45" t="s">
        <v>97</v>
      </c>
      <c r="D300" s="45" t="s">
        <v>728</v>
      </c>
      <c r="E300" s="6" t="s">
        <v>729</v>
      </c>
      <c r="F300" s="45" t="s">
        <v>104</v>
      </c>
      <c r="G300" s="46">
        <f t="shared" si="36"/>
        <v>10</v>
      </c>
      <c r="H300" s="46">
        <f>TRUNC(S300*(1-LOTE_03!$K$10),2)</f>
        <v>546.28</v>
      </c>
      <c r="I300" s="46">
        <f>TRUNC(T300*(1-LOTE_03!$K$10),2)</f>
        <v>6.05</v>
      </c>
      <c r="J300" s="100">
        <f t="shared" si="37"/>
        <v>0.22470000000000001</v>
      </c>
      <c r="K300" s="48">
        <f t="shared" si="31"/>
        <v>669.02</v>
      </c>
      <c r="L300" s="48">
        <f t="shared" si="32"/>
        <v>7.4</v>
      </c>
      <c r="M300" s="48">
        <f t="shared" si="33"/>
        <v>6690.2</v>
      </c>
      <c r="N300" s="48">
        <f t="shared" si="34"/>
        <v>74</v>
      </c>
      <c r="O300" s="50">
        <f t="shared" si="35"/>
        <v>6764.2</v>
      </c>
      <c r="P300" s="50">
        <v>0</v>
      </c>
      <c r="Q300" s="76"/>
      <c r="R300" s="140">
        <f>IF((1*S9+1*S10)&gt;10,10,(1*S9+1*S10))</f>
        <v>10</v>
      </c>
      <c r="S300" s="79">
        <v>546.28</v>
      </c>
      <c r="T300" s="80">
        <v>6.05</v>
      </c>
    </row>
    <row r="301" spans="2:20" ht="42">
      <c r="B301" s="5" t="s">
        <v>730</v>
      </c>
      <c r="C301" s="45" t="s">
        <v>97</v>
      </c>
      <c r="D301" s="45" t="s">
        <v>731</v>
      </c>
      <c r="E301" s="6" t="s">
        <v>732</v>
      </c>
      <c r="F301" s="45" t="s">
        <v>104</v>
      </c>
      <c r="G301" s="46">
        <f t="shared" si="36"/>
        <v>14</v>
      </c>
      <c r="H301" s="46">
        <f>TRUNC(S301*(1-LOTE_03!$K$10),2)</f>
        <v>790</v>
      </c>
      <c r="I301" s="46">
        <f>TRUNC(T301*(1-LOTE_03!$K$10),2)</f>
        <v>0</v>
      </c>
      <c r="J301" s="100">
        <f t="shared" si="37"/>
        <v>0.22470000000000001</v>
      </c>
      <c r="K301" s="48">
        <f t="shared" si="31"/>
        <v>967.51</v>
      </c>
      <c r="L301" s="48">
        <f t="shared" si="32"/>
        <v>0</v>
      </c>
      <c r="M301" s="48">
        <f t="shared" si="33"/>
        <v>13545.14</v>
      </c>
      <c r="N301" s="48">
        <f t="shared" si="34"/>
        <v>0</v>
      </c>
      <c r="O301" s="50">
        <f t="shared" si="35"/>
        <v>13545.14</v>
      </c>
      <c r="P301" s="50">
        <v>0</v>
      </c>
      <c r="Q301" s="76"/>
      <c r="R301" s="140">
        <f>1*S9+1*S10</f>
        <v>14</v>
      </c>
      <c r="S301" s="79">
        <v>790</v>
      </c>
      <c r="T301" s="80">
        <v>0</v>
      </c>
    </row>
    <row r="302" spans="2:20" ht="42">
      <c r="B302" s="5" t="s">
        <v>733</v>
      </c>
      <c r="C302" s="45" t="s">
        <v>97</v>
      </c>
      <c r="D302" s="45" t="s">
        <v>734</v>
      </c>
      <c r="E302" s="6" t="s">
        <v>735</v>
      </c>
      <c r="F302" s="45" t="s">
        <v>104</v>
      </c>
      <c r="G302" s="46">
        <f t="shared" si="36"/>
        <v>10</v>
      </c>
      <c r="H302" s="46">
        <f>TRUNC(S302*(1-LOTE_03!$K$10),2)</f>
        <v>2668.79</v>
      </c>
      <c r="I302" s="46">
        <f>TRUNC(T302*(1-LOTE_03!$K$10),2)</f>
        <v>0</v>
      </c>
      <c r="J302" s="100">
        <f t="shared" si="37"/>
        <v>0.22470000000000001</v>
      </c>
      <c r="K302" s="48">
        <f t="shared" si="31"/>
        <v>3268.46</v>
      </c>
      <c r="L302" s="48">
        <f t="shared" si="32"/>
        <v>0</v>
      </c>
      <c r="M302" s="48">
        <f t="shared" si="33"/>
        <v>32684.6</v>
      </c>
      <c r="N302" s="48">
        <f t="shared" si="34"/>
        <v>0</v>
      </c>
      <c r="O302" s="50">
        <f t="shared" si="35"/>
        <v>32684.6</v>
      </c>
      <c r="P302" s="50">
        <v>0</v>
      </c>
      <c r="Q302" s="76"/>
      <c r="R302" s="140">
        <f>IF((1*S9+1*S10)&gt;10,10,(1*S9+1*S10))</f>
        <v>10</v>
      </c>
      <c r="S302" s="79">
        <v>2668.79</v>
      </c>
      <c r="T302" s="80">
        <v>0</v>
      </c>
    </row>
    <row r="303" spans="2:20">
      <c r="B303" s="5" t="s">
        <v>736</v>
      </c>
      <c r="C303" s="45" t="s">
        <v>97</v>
      </c>
      <c r="D303" s="45" t="s">
        <v>737</v>
      </c>
      <c r="E303" s="6" t="s">
        <v>738</v>
      </c>
      <c r="F303" s="45" t="s">
        <v>104</v>
      </c>
      <c r="G303" s="46">
        <f t="shared" si="36"/>
        <v>10</v>
      </c>
      <c r="H303" s="46">
        <f>TRUNC(S303*(1-LOTE_03!$K$10),2)</f>
        <v>1474.76</v>
      </c>
      <c r="I303" s="46">
        <f>TRUNC(T303*(1-LOTE_03!$K$10),2)</f>
        <v>2.89</v>
      </c>
      <c r="J303" s="100">
        <f t="shared" si="37"/>
        <v>0.22470000000000001</v>
      </c>
      <c r="K303" s="48">
        <f t="shared" si="31"/>
        <v>1806.13</v>
      </c>
      <c r="L303" s="48">
        <f t="shared" si="32"/>
        <v>3.53</v>
      </c>
      <c r="M303" s="48">
        <f t="shared" si="33"/>
        <v>18061.3</v>
      </c>
      <c r="N303" s="48">
        <f t="shared" si="34"/>
        <v>35.299999999999997</v>
      </c>
      <c r="O303" s="50">
        <f t="shared" si="35"/>
        <v>18096.599999999999</v>
      </c>
      <c r="P303" s="50">
        <v>0</v>
      </c>
      <c r="Q303" s="76"/>
      <c r="R303" s="140">
        <f>IF((1*S9+1*S10)&gt;10,10,(1*S9+1*S10))</f>
        <v>10</v>
      </c>
      <c r="S303" s="79">
        <v>1474.76</v>
      </c>
      <c r="T303" s="80">
        <v>2.89</v>
      </c>
    </row>
    <row r="304" spans="2:20" ht="42">
      <c r="B304" s="5" t="s">
        <v>739</v>
      </c>
      <c r="C304" s="45" t="s">
        <v>97</v>
      </c>
      <c r="D304" s="45" t="s">
        <v>740</v>
      </c>
      <c r="E304" s="6" t="s">
        <v>741</v>
      </c>
      <c r="F304" s="45" t="s">
        <v>104</v>
      </c>
      <c r="G304" s="46">
        <f t="shared" si="36"/>
        <v>56</v>
      </c>
      <c r="H304" s="46">
        <f>TRUNC(S304*(1-LOTE_03!$K$10),2)</f>
        <v>66.3</v>
      </c>
      <c r="I304" s="46">
        <f>TRUNC(T304*(1-LOTE_03!$K$10),2)</f>
        <v>0</v>
      </c>
      <c r="J304" s="100">
        <f t="shared" si="37"/>
        <v>0.22470000000000001</v>
      </c>
      <c r="K304" s="48">
        <f t="shared" si="31"/>
        <v>81.19</v>
      </c>
      <c r="L304" s="48">
        <f t="shared" si="32"/>
        <v>0</v>
      </c>
      <c r="M304" s="48">
        <f t="shared" si="33"/>
        <v>4546.6400000000003</v>
      </c>
      <c r="N304" s="48">
        <f t="shared" si="34"/>
        <v>0</v>
      </c>
      <c r="O304" s="50">
        <f t="shared" si="35"/>
        <v>4546.6400000000003</v>
      </c>
      <c r="P304" s="50">
        <v>0</v>
      </c>
      <c r="Q304" s="76"/>
      <c r="R304" s="140">
        <f>4*S9+4*S10</f>
        <v>56</v>
      </c>
      <c r="S304" s="79">
        <v>66.3</v>
      </c>
      <c r="T304" s="80">
        <v>0</v>
      </c>
    </row>
    <row r="305" spans="2:20" ht="84">
      <c r="B305" s="5" t="s">
        <v>742</v>
      </c>
      <c r="C305" s="45" t="s">
        <v>97</v>
      </c>
      <c r="D305" s="45" t="s">
        <v>743</v>
      </c>
      <c r="E305" s="6" t="s">
        <v>744</v>
      </c>
      <c r="F305" s="45" t="s">
        <v>104</v>
      </c>
      <c r="G305" s="46">
        <f t="shared" si="36"/>
        <v>10</v>
      </c>
      <c r="H305" s="46">
        <f>TRUNC(S305*(1-LOTE_03!$K$10),2)</f>
        <v>75.55</v>
      </c>
      <c r="I305" s="46">
        <f>TRUNC(T305*(1-LOTE_03!$K$10),2)</f>
        <v>2.89</v>
      </c>
      <c r="J305" s="100">
        <f t="shared" si="37"/>
        <v>0.22470000000000001</v>
      </c>
      <c r="K305" s="48">
        <f t="shared" si="31"/>
        <v>92.52</v>
      </c>
      <c r="L305" s="48">
        <f t="shared" si="32"/>
        <v>3.53</v>
      </c>
      <c r="M305" s="48">
        <f t="shared" si="33"/>
        <v>925.2</v>
      </c>
      <c r="N305" s="48">
        <f t="shared" si="34"/>
        <v>35.299999999999997</v>
      </c>
      <c r="O305" s="50">
        <f t="shared" si="35"/>
        <v>960.5</v>
      </c>
      <c r="P305" s="50">
        <v>0</v>
      </c>
      <c r="Q305" s="76"/>
      <c r="R305" s="140">
        <f>IF((1*S9+1*S10)&gt;10,10,(1*S9+1*S10))</f>
        <v>10</v>
      </c>
      <c r="S305" s="79">
        <v>75.55</v>
      </c>
      <c r="T305" s="80">
        <v>2.89</v>
      </c>
    </row>
    <row r="306" spans="2:20" ht="98">
      <c r="B306" s="5" t="s">
        <v>745</v>
      </c>
      <c r="C306" s="45" t="s">
        <v>97</v>
      </c>
      <c r="D306" s="45" t="s">
        <v>746</v>
      </c>
      <c r="E306" s="6" t="s">
        <v>747</v>
      </c>
      <c r="F306" s="45" t="s">
        <v>104</v>
      </c>
      <c r="G306" s="46">
        <f t="shared" si="36"/>
        <v>14</v>
      </c>
      <c r="H306" s="46">
        <f>TRUNC(S306*(1-LOTE_03!$K$10),2)</f>
        <v>64.39</v>
      </c>
      <c r="I306" s="46">
        <f>TRUNC(T306*(1-LOTE_03!$K$10),2)</f>
        <v>0</v>
      </c>
      <c r="J306" s="100">
        <f t="shared" si="37"/>
        <v>0.22470000000000001</v>
      </c>
      <c r="K306" s="48">
        <f t="shared" si="31"/>
        <v>78.849999999999994</v>
      </c>
      <c r="L306" s="48">
        <f t="shared" si="32"/>
        <v>0</v>
      </c>
      <c r="M306" s="48">
        <f t="shared" si="33"/>
        <v>1103.9000000000001</v>
      </c>
      <c r="N306" s="48">
        <f t="shared" si="34"/>
        <v>0</v>
      </c>
      <c r="O306" s="50">
        <f t="shared" si="35"/>
        <v>1103.9000000000001</v>
      </c>
      <c r="P306" s="50">
        <v>0</v>
      </c>
      <c r="Q306" s="76"/>
      <c r="R306" s="140">
        <f>S9+S10</f>
        <v>14</v>
      </c>
      <c r="S306" s="79">
        <v>64.39</v>
      </c>
      <c r="T306" s="80">
        <v>0</v>
      </c>
    </row>
    <row r="307" spans="2:20" ht="84">
      <c r="B307" s="5" t="s">
        <v>748</v>
      </c>
      <c r="C307" s="45" t="s">
        <v>97</v>
      </c>
      <c r="D307" s="45" t="s">
        <v>749</v>
      </c>
      <c r="E307" s="6" t="s">
        <v>750</v>
      </c>
      <c r="F307" s="45" t="s">
        <v>104</v>
      </c>
      <c r="G307" s="46">
        <f t="shared" si="36"/>
        <v>10</v>
      </c>
      <c r="H307" s="46">
        <f>TRUNC(S307*(1-LOTE_03!$K$10),2)</f>
        <v>690.35</v>
      </c>
      <c r="I307" s="46">
        <f>TRUNC(T307*(1-LOTE_03!$K$10),2)</f>
        <v>23.27</v>
      </c>
      <c r="J307" s="100">
        <f t="shared" si="37"/>
        <v>0.22470000000000001</v>
      </c>
      <c r="K307" s="48">
        <f t="shared" si="31"/>
        <v>845.47</v>
      </c>
      <c r="L307" s="48">
        <f t="shared" si="32"/>
        <v>28.49</v>
      </c>
      <c r="M307" s="48">
        <f t="shared" si="33"/>
        <v>8454.7000000000007</v>
      </c>
      <c r="N307" s="48">
        <f t="shared" si="34"/>
        <v>284.89999999999998</v>
      </c>
      <c r="O307" s="50">
        <f t="shared" si="35"/>
        <v>8739.6</v>
      </c>
      <c r="P307" s="50">
        <v>0</v>
      </c>
      <c r="Q307" s="76"/>
      <c r="R307" s="140">
        <f>IF((1*S9+1*S10)&gt;10,10,(1*S9+1*S10))</f>
        <v>10</v>
      </c>
      <c r="S307" s="79">
        <v>690.35</v>
      </c>
      <c r="T307" s="80">
        <v>23.27</v>
      </c>
    </row>
    <row r="308" spans="2:20" ht="70">
      <c r="B308" s="5" t="s">
        <v>751</v>
      </c>
      <c r="C308" s="45" t="s">
        <v>97</v>
      </c>
      <c r="D308" s="45" t="s">
        <v>752</v>
      </c>
      <c r="E308" s="6" t="s">
        <v>753</v>
      </c>
      <c r="F308" s="45" t="s">
        <v>104</v>
      </c>
      <c r="G308" s="46">
        <f t="shared" si="36"/>
        <v>10</v>
      </c>
      <c r="H308" s="46">
        <f>TRUNC(S308*(1-LOTE_03!$K$10),2)</f>
        <v>249.38</v>
      </c>
      <c r="I308" s="46">
        <f>TRUNC(T308*(1-LOTE_03!$K$10),2)</f>
        <v>10.15</v>
      </c>
      <c r="J308" s="100">
        <f t="shared" si="37"/>
        <v>0.22470000000000001</v>
      </c>
      <c r="K308" s="48">
        <f t="shared" si="31"/>
        <v>305.41000000000003</v>
      </c>
      <c r="L308" s="48">
        <f t="shared" si="32"/>
        <v>12.43</v>
      </c>
      <c r="M308" s="48">
        <f t="shared" si="33"/>
        <v>3054.1</v>
      </c>
      <c r="N308" s="48">
        <f t="shared" si="34"/>
        <v>124.3</v>
      </c>
      <c r="O308" s="50">
        <f t="shared" si="35"/>
        <v>3178.4</v>
      </c>
      <c r="P308" s="50">
        <v>0</v>
      </c>
      <c r="Q308" s="76"/>
      <c r="R308" s="140">
        <f>IF((1*S9+1*S10)&gt;10,10,(1*S9+1*S10))</f>
        <v>10</v>
      </c>
      <c r="S308" s="79">
        <v>249.38</v>
      </c>
      <c r="T308" s="80">
        <v>10.15</v>
      </c>
    </row>
    <row r="309" spans="2:20" ht="28">
      <c r="B309" s="5" t="s">
        <v>754</v>
      </c>
      <c r="C309" s="45" t="s">
        <v>97</v>
      </c>
      <c r="D309" s="45" t="s">
        <v>755</v>
      </c>
      <c r="E309" s="6" t="s">
        <v>756</v>
      </c>
      <c r="F309" s="45" t="s">
        <v>187</v>
      </c>
      <c r="G309" s="46">
        <f t="shared" si="36"/>
        <v>50</v>
      </c>
      <c r="H309" s="46">
        <f>TRUNC(S309*(1-LOTE_03!$K$10),2)</f>
        <v>277.29000000000002</v>
      </c>
      <c r="I309" s="46">
        <f>TRUNC(T309*(1-LOTE_03!$K$10),2)</f>
        <v>34.56</v>
      </c>
      <c r="J309" s="100">
        <f t="shared" si="37"/>
        <v>0.22470000000000001</v>
      </c>
      <c r="K309" s="48">
        <f t="shared" si="31"/>
        <v>339.59</v>
      </c>
      <c r="L309" s="48">
        <f t="shared" si="32"/>
        <v>42.32</v>
      </c>
      <c r="M309" s="48">
        <f t="shared" si="33"/>
        <v>16979.5</v>
      </c>
      <c r="N309" s="48">
        <f t="shared" si="34"/>
        <v>2116</v>
      </c>
      <c r="O309" s="50">
        <f t="shared" si="35"/>
        <v>19095.5</v>
      </c>
      <c r="P309" s="50">
        <v>0</v>
      </c>
      <c r="Q309" s="76"/>
      <c r="R309" s="140">
        <f>IF((10*S9+10*S10)&gt;50,50,(10*S9+10*S10))</f>
        <v>50</v>
      </c>
      <c r="S309" s="79">
        <v>277.29000000000002</v>
      </c>
      <c r="T309" s="80">
        <v>34.56</v>
      </c>
    </row>
    <row r="310" spans="2:20" ht="84">
      <c r="B310" s="5" t="s">
        <v>757</v>
      </c>
      <c r="C310" s="45" t="s">
        <v>97</v>
      </c>
      <c r="D310" s="45" t="s">
        <v>758</v>
      </c>
      <c r="E310" s="6" t="s">
        <v>759</v>
      </c>
      <c r="F310" s="45" t="s">
        <v>104</v>
      </c>
      <c r="G310" s="46">
        <f t="shared" si="36"/>
        <v>10</v>
      </c>
      <c r="H310" s="46">
        <f>TRUNC(S310*(1-LOTE_03!$K$10),2)</f>
        <v>610.01</v>
      </c>
      <c r="I310" s="46">
        <f>TRUNC(T310*(1-LOTE_03!$K$10),2)</f>
        <v>13.39</v>
      </c>
      <c r="J310" s="100">
        <f t="shared" si="37"/>
        <v>0.22470000000000001</v>
      </c>
      <c r="K310" s="48">
        <f t="shared" si="31"/>
        <v>747.07</v>
      </c>
      <c r="L310" s="48">
        <f t="shared" si="32"/>
        <v>16.39</v>
      </c>
      <c r="M310" s="48">
        <f t="shared" si="33"/>
        <v>7470.7</v>
      </c>
      <c r="N310" s="48">
        <f t="shared" si="34"/>
        <v>163.9</v>
      </c>
      <c r="O310" s="50">
        <f t="shared" si="35"/>
        <v>7634.6</v>
      </c>
      <c r="P310" s="50">
        <v>0</v>
      </c>
      <c r="Q310" s="76"/>
      <c r="R310" s="140">
        <f>IF((1*S9+1*S10)&gt;10,10,(1*S9+1*S10))</f>
        <v>10</v>
      </c>
      <c r="S310" s="79">
        <v>610.01</v>
      </c>
      <c r="T310" s="80">
        <v>13.39</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2985576.8000000003</v>
      </c>
      <c r="Q311" s="76"/>
      <c r="R311" s="154"/>
      <c r="S311" s="79" t="s">
        <v>22</v>
      </c>
      <c r="T311" s="80" t="s">
        <v>22</v>
      </c>
    </row>
    <row r="312" spans="2:20" ht="28">
      <c r="B312" s="5" t="s">
        <v>760</v>
      </c>
      <c r="C312" s="45" t="s">
        <v>165</v>
      </c>
      <c r="D312" s="45" t="s">
        <v>761</v>
      </c>
      <c r="E312" s="6" t="s">
        <v>762</v>
      </c>
      <c r="F312" s="45" t="s">
        <v>168</v>
      </c>
      <c r="G312" s="46">
        <f t="shared" si="36"/>
        <v>7560</v>
      </c>
      <c r="H312" s="46">
        <f>TRUNC(S312*(1-LOTE_03!$K$10),2)</f>
        <v>0</v>
      </c>
      <c r="I312" s="46">
        <f>TRUNC(T312*(1-LOTE_03!$K$10),2)</f>
        <v>15.81</v>
      </c>
      <c r="J312" s="100">
        <f t="shared" si="37"/>
        <v>0.22470000000000001</v>
      </c>
      <c r="K312" s="48">
        <f t="shared" si="31"/>
        <v>0</v>
      </c>
      <c r="L312" s="48">
        <f t="shared" si="32"/>
        <v>19.36</v>
      </c>
      <c r="M312" s="48">
        <f t="shared" si="33"/>
        <v>0</v>
      </c>
      <c r="N312" s="48">
        <f t="shared" si="34"/>
        <v>146361.60000000001</v>
      </c>
      <c r="O312" s="50">
        <f t="shared" si="35"/>
        <v>146361.60000000001</v>
      </c>
      <c r="P312" s="50">
        <v>0</v>
      </c>
      <c r="Q312" s="76"/>
      <c r="R312" s="140">
        <f>90*6*(S9+S10)</f>
        <v>7560</v>
      </c>
      <c r="S312" s="79">
        <v>0</v>
      </c>
      <c r="T312" s="80">
        <v>15.81</v>
      </c>
    </row>
    <row r="313" spans="2:20" ht="28">
      <c r="B313" s="5" t="s">
        <v>763</v>
      </c>
      <c r="C313" s="45" t="s">
        <v>165</v>
      </c>
      <c r="D313" s="45" t="s">
        <v>764</v>
      </c>
      <c r="E313" s="6" t="s">
        <v>765</v>
      </c>
      <c r="F313" s="45" t="s">
        <v>168</v>
      </c>
      <c r="G313" s="46">
        <f t="shared" si="36"/>
        <v>430</v>
      </c>
      <c r="H313" s="46">
        <f>TRUNC(S313*(1-LOTE_03!$K$10),2)</f>
        <v>27.97</v>
      </c>
      <c r="I313" s="46">
        <f>TRUNC(T313*(1-LOTE_03!$K$10),2)</f>
        <v>21.74</v>
      </c>
      <c r="J313" s="100">
        <f t="shared" si="37"/>
        <v>0.22470000000000001</v>
      </c>
      <c r="K313" s="48">
        <f t="shared" si="31"/>
        <v>34.25</v>
      </c>
      <c r="L313" s="48">
        <f t="shared" si="32"/>
        <v>26.62</v>
      </c>
      <c r="M313" s="48">
        <f t="shared" si="33"/>
        <v>14727.5</v>
      </c>
      <c r="N313" s="48">
        <f t="shared" si="34"/>
        <v>11446.6</v>
      </c>
      <c r="O313" s="50">
        <f t="shared" si="35"/>
        <v>26174.1</v>
      </c>
      <c r="P313" s="50">
        <v>0</v>
      </c>
      <c r="Q313" s="76"/>
      <c r="R313" s="140">
        <f>50*S9+20*(S10)</f>
        <v>430</v>
      </c>
      <c r="S313" s="79">
        <v>27.97</v>
      </c>
      <c r="T313" s="80">
        <v>21.74</v>
      </c>
    </row>
    <row r="314" spans="2:20" ht="28">
      <c r="B314" s="5" t="s">
        <v>766</v>
      </c>
      <c r="C314" s="45" t="s">
        <v>135</v>
      </c>
      <c r="D314" s="45">
        <v>100717</v>
      </c>
      <c r="E314" s="6" t="s">
        <v>767</v>
      </c>
      <c r="F314" s="45" t="s">
        <v>121</v>
      </c>
      <c r="G314" s="46">
        <f t="shared" si="36"/>
        <v>3300</v>
      </c>
      <c r="H314" s="46">
        <f>TRUNC(S314*(1-LOTE_03!$K$10),2)</f>
        <v>3.71</v>
      </c>
      <c r="I314" s="46">
        <f>TRUNC(T314*(1-LOTE_03!$K$10),2)</f>
        <v>6.43</v>
      </c>
      <c r="J314" s="100">
        <f t="shared" si="37"/>
        <v>0.22470000000000001</v>
      </c>
      <c r="K314" s="48">
        <f t="shared" si="31"/>
        <v>4.54</v>
      </c>
      <c r="L314" s="48">
        <f t="shared" si="32"/>
        <v>7.87</v>
      </c>
      <c r="M314" s="48">
        <f t="shared" si="33"/>
        <v>14982</v>
      </c>
      <c r="N314" s="48">
        <f t="shared" si="34"/>
        <v>25971</v>
      </c>
      <c r="O314" s="50">
        <f t="shared" si="35"/>
        <v>40953</v>
      </c>
      <c r="P314" s="50">
        <v>0</v>
      </c>
      <c r="Q314" s="76"/>
      <c r="R314" s="140">
        <f>R330</f>
        <v>3300</v>
      </c>
      <c r="S314" s="79">
        <v>3.7100000000000009</v>
      </c>
      <c r="T314" s="80">
        <v>6.43</v>
      </c>
    </row>
    <row r="315" spans="2:20" ht="28">
      <c r="B315" s="5" t="s">
        <v>768</v>
      </c>
      <c r="C315" s="45" t="s">
        <v>135</v>
      </c>
      <c r="D315" s="45">
        <v>102197</v>
      </c>
      <c r="E315" s="6" t="s">
        <v>769</v>
      </c>
      <c r="F315" s="45" t="s">
        <v>121</v>
      </c>
      <c r="G315" s="46">
        <f t="shared" si="36"/>
        <v>1850</v>
      </c>
      <c r="H315" s="46">
        <f>TRUNC(S315*(1-LOTE_03!$K$10),2)</f>
        <v>17.809999999999999</v>
      </c>
      <c r="I315" s="46">
        <f>TRUNC(T315*(1-LOTE_03!$K$10),2)</f>
        <v>6.47</v>
      </c>
      <c r="J315" s="100">
        <f t="shared" si="37"/>
        <v>0.22470000000000001</v>
      </c>
      <c r="K315" s="48">
        <f t="shared" si="31"/>
        <v>21.81</v>
      </c>
      <c r="L315" s="48">
        <f t="shared" si="32"/>
        <v>7.92</v>
      </c>
      <c r="M315" s="48">
        <f t="shared" si="33"/>
        <v>40348.5</v>
      </c>
      <c r="N315" s="48">
        <f t="shared" si="34"/>
        <v>14652</v>
      </c>
      <c r="O315" s="50">
        <f t="shared" si="35"/>
        <v>55000.5</v>
      </c>
      <c r="P315" s="50">
        <v>0</v>
      </c>
      <c r="Q315" s="76"/>
      <c r="R315" s="140">
        <f>R256</f>
        <v>1850</v>
      </c>
      <c r="S315" s="79">
        <v>17.810000000000002</v>
      </c>
      <c r="T315" s="80">
        <v>6.47</v>
      </c>
    </row>
    <row r="316" spans="2:20" ht="70">
      <c r="B316" s="5" t="s">
        <v>770</v>
      </c>
      <c r="C316" s="45" t="s">
        <v>135</v>
      </c>
      <c r="D316" s="45">
        <v>88412</v>
      </c>
      <c r="E316" s="6" t="s">
        <v>771</v>
      </c>
      <c r="F316" s="45" t="s">
        <v>121</v>
      </c>
      <c r="G316" s="46">
        <f t="shared" si="36"/>
        <v>21000</v>
      </c>
      <c r="H316" s="46">
        <f>TRUNC(S316*(1-LOTE_03!$K$10),2)</f>
        <v>2.41</v>
      </c>
      <c r="I316" s="46">
        <f>TRUNC(T316*(1-LOTE_03!$K$10),2)</f>
        <v>0.8</v>
      </c>
      <c r="J316" s="100">
        <f t="shared" si="37"/>
        <v>0.22470000000000001</v>
      </c>
      <c r="K316" s="48">
        <f t="shared" si="31"/>
        <v>2.95</v>
      </c>
      <c r="L316" s="48">
        <f t="shared" si="32"/>
        <v>0.97</v>
      </c>
      <c r="M316" s="48">
        <f t="shared" si="33"/>
        <v>61950</v>
      </c>
      <c r="N316" s="48">
        <f t="shared" si="34"/>
        <v>20370</v>
      </c>
      <c r="O316" s="50">
        <f t="shared" si="35"/>
        <v>82320</v>
      </c>
      <c r="P316" s="50">
        <v>0</v>
      </c>
      <c r="Q316" s="76"/>
      <c r="R316" s="140">
        <f>1500*S9+1500*S10</f>
        <v>21000</v>
      </c>
      <c r="S316" s="79">
        <v>2.41</v>
      </c>
      <c r="T316" s="80">
        <v>0.8</v>
      </c>
    </row>
    <row r="317" spans="2:20" ht="42">
      <c r="B317" s="5" t="s">
        <v>772</v>
      </c>
      <c r="C317" s="45" t="s">
        <v>135</v>
      </c>
      <c r="D317" s="45">
        <v>88484</v>
      </c>
      <c r="E317" s="6" t="s">
        <v>773</v>
      </c>
      <c r="F317" s="45" t="s">
        <v>121</v>
      </c>
      <c r="G317" s="46">
        <f t="shared" si="36"/>
        <v>21000</v>
      </c>
      <c r="H317" s="46">
        <f>TRUNC(S317*(1-LOTE_03!$K$10),2)</f>
        <v>2.29</v>
      </c>
      <c r="I317" s="46">
        <f>TRUNC(T317*(1-LOTE_03!$K$10),2)</f>
        <v>2.4900000000000002</v>
      </c>
      <c r="J317" s="100">
        <f t="shared" si="37"/>
        <v>0.22470000000000001</v>
      </c>
      <c r="K317" s="48">
        <f t="shared" si="31"/>
        <v>2.8</v>
      </c>
      <c r="L317" s="48">
        <f t="shared" si="32"/>
        <v>3.04</v>
      </c>
      <c r="M317" s="48">
        <f t="shared" si="33"/>
        <v>58800</v>
      </c>
      <c r="N317" s="48">
        <f t="shared" si="34"/>
        <v>63840</v>
      </c>
      <c r="O317" s="50">
        <f t="shared" si="35"/>
        <v>122640</v>
      </c>
      <c r="P317" s="50">
        <v>0</v>
      </c>
      <c r="Q317" s="76"/>
      <c r="R317" s="140">
        <f>1500*S9+1500*S10</f>
        <v>21000</v>
      </c>
      <c r="S317" s="79">
        <v>2.29</v>
      </c>
      <c r="T317" s="80">
        <v>2.4900000000000002</v>
      </c>
    </row>
    <row r="318" spans="2:20" ht="42">
      <c r="B318" s="5" t="s">
        <v>774</v>
      </c>
      <c r="C318" s="45" t="s">
        <v>135</v>
      </c>
      <c r="D318" s="45">
        <v>88485</v>
      </c>
      <c r="E318" s="6" t="s">
        <v>775</v>
      </c>
      <c r="F318" s="45" t="s">
        <v>121</v>
      </c>
      <c r="G318" s="46">
        <f t="shared" si="36"/>
        <v>21000</v>
      </c>
      <c r="H318" s="46">
        <f>TRUNC(S318*(1-LOTE_03!$K$10),2)</f>
        <v>1.97</v>
      </c>
      <c r="I318" s="46">
        <f>TRUNC(T318*(1-LOTE_03!$K$10),2)</f>
        <v>1.82</v>
      </c>
      <c r="J318" s="100">
        <f t="shared" si="37"/>
        <v>0.22470000000000001</v>
      </c>
      <c r="K318" s="48">
        <f t="shared" si="31"/>
        <v>2.41</v>
      </c>
      <c r="L318" s="48">
        <f t="shared" si="32"/>
        <v>2.2200000000000002</v>
      </c>
      <c r="M318" s="48">
        <f t="shared" si="33"/>
        <v>50610</v>
      </c>
      <c r="N318" s="48">
        <f t="shared" si="34"/>
        <v>46620</v>
      </c>
      <c r="O318" s="50">
        <f t="shared" si="35"/>
        <v>97230</v>
      </c>
      <c r="P318" s="50">
        <v>0</v>
      </c>
      <c r="Q318" s="76"/>
      <c r="R318" s="140">
        <f>1500*S9+1500*S10</f>
        <v>21000</v>
      </c>
      <c r="S318" s="79">
        <v>1.97</v>
      </c>
      <c r="T318" s="80">
        <v>1.82</v>
      </c>
    </row>
    <row r="319" spans="2:20" ht="42">
      <c r="B319" s="5" t="s">
        <v>776</v>
      </c>
      <c r="C319" s="45" t="s">
        <v>135</v>
      </c>
      <c r="D319" s="45">
        <v>88495</v>
      </c>
      <c r="E319" s="6" t="s">
        <v>777</v>
      </c>
      <c r="F319" s="45" t="s">
        <v>121</v>
      </c>
      <c r="G319" s="46">
        <f t="shared" si="36"/>
        <v>21000</v>
      </c>
      <c r="H319" s="46">
        <f>TRUNC(S319*(1-LOTE_03!$K$10),2)</f>
        <v>5.07</v>
      </c>
      <c r="I319" s="46">
        <f>TRUNC(T319*(1-LOTE_03!$K$10),2)</f>
        <v>6.57</v>
      </c>
      <c r="J319" s="100">
        <f t="shared" si="37"/>
        <v>0.22470000000000001</v>
      </c>
      <c r="K319" s="48">
        <f t="shared" si="31"/>
        <v>6.2</v>
      </c>
      <c r="L319" s="48">
        <f t="shared" si="32"/>
        <v>8.0399999999999991</v>
      </c>
      <c r="M319" s="48">
        <f t="shared" si="33"/>
        <v>130200</v>
      </c>
      <c r="N319" s="48">
        <f t="shared" si="34"/>
        <v>168840</v>
      </c>
      <c r="O319" s="50">
        <f t="shared" si="35"/>
        <v>299040</v>
      </c>
      <c r="P319" s="50">
        <v>0</v>
      </c>
      <c r="Q319" s="76"/>
      <c r="R319" s="140">
        <f>R316</f>
        <v>21000</v>
      </c>
      <c r="S319" s="79">
        <v>5.07</v>
      </c>
      <c r="T319" s="80">
        <v>6.57</v>
      </c>
    </row>
    <row r="320" spans="2:20" ht="42">
      <c r="B320" s="5" t="s">
        <v>778</v>
      </c>
      <c r="C320" s="45" t="s">
        <v>135</v>
      </c>
      <c r="D320" s="45">
        <v>88497</v>
      </c>
      <c r="E320" s="6" t="s">
        <v>779</v>
      </c>
      <c r="F320" s="45" t="s">
        <v>121</v>
      </c>
      <c r="G320" s="46">
        <f t="shared" si="36"/>
        <v>21000</v>
      </c>
      <c r="H320" s="46">
        <f>TRUNC(S320*(1-LOTE_03!$K$10),2)</f>
        <v>8.2100000000000009</v>
      </c>
      <c r="I320" s="46">
        <f>TRUNC(T320*(1-LOTE_03!$K$10),2)</f>
        <v>9.69</v>
      </c>
      <c r="J320" s="100">
        <f t="shared" si="37"/>
        <v>0.22470000000000001</v>
      </c>
      <c r="K320" s="48">
        <f t="shared" si="31"/>
        <v>10.050000000000001</v>
      </c>
      <c r="L320" s="48">
        <f t="shared" si="32"/>
        <v>11.86</v>
      </c>
      <c r="M320" s="48">
        <f t="shared" si="33"/>
        <v>211050</v>
      </c>
      <c r="N320" s="48">
        <f t="shared" si="34"/>
        <v>249060</v>
      </c>
      <c r="O320" s="50">
        <f t="shared" si="35"/>
        <v>460110</v>
      </c>
      <c r="P320" s="50">
        <v>0</v>
      </c>
      <c r="Q320" s="76"/>
      <c r="R320" s="140">
        <f>R316</f>
        <v>21000</v>
      </c>
      <c r="S320" s="79">
        <v>8.2099999999999991</v>
      </c>
      <c r="T320" s="80">
        <v>9.69</v>
      </c>
    </row>
    <row r="321" spans="2:20" ht="42">
      <c r="B321" s="5" t="s">
        <v>780</v>
      </c>
      <c r="C321" s="45" t="s">
        <v>135</v>
      </c>
      <c r="D321" s="45">
        <v>88494</v>
      </c>
      <c r="E321" s="6" t="s">
        <v>781</v>
      </c>
      <c r="F321" s="45" t="s">
        <v>121</v>
      </c>
      <c r="G321" s="46">
        <f t="shared" si="36"/>
        <v>5250</v>
      </c>
      <c r="H321" s="46">
        <f>TRUNC(S321*(1-LOTE_03!$K$10),2)</f>
        <v>8.2200000000000006</v>
      </c>
      <c r="I321" s="46">
        <f>TRUNC(T321*(1-LOTE_03!$K$10),2)</f>
        <v>13.37</v>
      </c>
      <c r="J321" s="100">
        <f t="shared" si="37"/>
        <v>0.22470000000000001</v>
      </c>
      <c r="K321" s="48">
        <f t="shared" si="31"/>
        <v>10.06</v>
      </c>
      <c r="L321" s="48">
        <f t="shared" si="32"/>
        <v>16.37</v>
      </c>
      <c r="M321" s="48">
        <f t="shared" si="33"/>
        <v>52815</v>
      </c>
      <c r="N321" s="48">
        <f t="shared" si="34"/>
        <v>85942.5</v>
      </c>
      <c r="O321" s="50">
        <f t="shared" si="35"/>
        <v>138757.5</v>
      </c>
      <c r="P321" s="50">
        <v>0</v>
      </c>
      <c r="Q321" s="76"/>
      <c r="R321" s="140">
        <f>R316/4</f>
        <v>5250</v>
      </c>
      <c r="S321" s="79">
        <v>8.2200000000000006</v>
      </c>
      <c r="T321" s="80">
        <v>13.37</v>
      </c>
    </row>
    <row r="322" spans="2:20" ht="42">
      <c r="B322" s="5" t="s">
        <v>782</v>
      </c>
      <c r="C322" s="45" t="s">
        <v>135</v>
      </c>
      <c r="D322" s="45">
        <v>88496</v>
      </c>
      <c r="E322" s="6" t="s">
        <v>783</v>
      </c>
      <c r="F322" s="45" t="s">
        <v>121</v>
      </c>
      <c r="G322" s="46">
        <f t="shared" si="36"/>
        <v>5250</v>
      </c>
      <c r="H322" s="46">
        <f>TRUNC(S322*(1-LOTE_03!$K$10),2)</f>
        <v>12.82</v>
      </c>
      <c r="I322" s="46">
        <f>TRUNC(T322*(1-LOTE_03!$K$10),2)</f>
        <v>19.690000000000001</v>
      </c>
      <c r="J322" s="100">
        <f t="shared" si="37"/>
        <v>0.22470000000000001</v>
      </c>
      <c r="K322" s="48">
        <f t="shared" si="31"/>
        <v>15.7</v>
      </c>
      <c r="L322" s="48">
        <f t="shared" si="32"/>
        <v>24.11</v>
      </c>
      <c r="M322" s="48">
        <f t="shared" si="33"/>
        <v>82425</v>
      </c>
      <c r="N322" s="48">
        <f t="shared" si="34"/>
        <v>126577.5</v>
      </c>
      <c r="O322" s="50">
        <f t="shared" si="35"/>
        <v>209002.5</v>
      </c>
      <c r="P322" s="50">
        <v>0</v>
      </c>
      <c r="Q322" s="76"/>
      <c r="R322" s="140">
        <f>R316/4</f>
        <v>5250</v>
      </c>
      <c r="S322" s="79">
        <v>12.819999999999997</v>
      </c>
      <c r="T322" s="80">
        <v>19.690000000000001</v>
      </c>
    </row>
    <row r="323" spans="2:20" ht="56">
      <c r="B323" s="5" t="s">
        <v>784</v>
      </c>
      <c r="C323" s="45" t="s">
        <v>135</v>
      </c>
      <c r="D323" s="45">
        <v>96132</v>
      </c>
      <c r="E323" s="6" t="s">
        <v>785</v>
      </c>
      <c r="F323" s="45" t="s">
        <v>121</v>
      </c>
      <c r="G323" s="46">
        <f t="shared" si="36"/>
        <v>21000</v>
      </c>
      <c r="H323" s="46">
        <f>TRUNC(S323*(1-LOTE_03!$K$10),2)</f>
        <v>10.14</v>
      </c>
      <c r="I323" s="46">
        <f>TRUNC(T323*(1-LOTE_03!$K$10),2)</f>
        <v>7.43</v>
      </c>
      <c r="J323" s="100">
        <f t="shared" si="37"/>
        <v>0.22470000000000001</v>
      </c>
      <c r="K323" s="48">
        <f t="shared" si="31"/>
        <v>12.41</v>
      </c>
      <c r="L323" s="48">
        <f t="shared" si="32"/>
        <v>9.09</v>
      </c>
      <c r="M323" s="48">
        <f t="shared" si="33"/>
        <v>260610</v>
      </c>
      <c r="N323" s="48">
        <f t="shared" si="34"/>
        <v>190890</v>
      </c>
      <c r="O323" s="50">
        <f t="shared" si="35"/>
        <v>451500</v>
      </c>
      <c r="P323" s="50">
        <v>0</v>
      </c>
      <c r="Q323" s="76"/>
      <c r="R323" s="140">
        <f>R316</f>
        <v>21000</v>
      </c>
      <c r="S323" s="79">
        <v>10.14</v>
      </c>
      <c r="T323" s="80">
        <v>7.43</v>
      </c>
    </row>
    <row r="324" spans="2:20" ht="42">
      <c r="B324" s="5" t="s">
        <v>786</v>
      </c>
      <c r="C324" s="45" t="s">
        <v>135</v>
      </c>
      <c r="D324" s="45">
        <v>88489</v>
      </c>
      <c r="E324" s="6" t="s">
        <v>787</v>
      </c>
      <c r="F324" s="45" t="s">
        <v>121</v>
      </c>
      <c r="G324" s="46">
        <f t="shared" si="36"/>
        <v>21000</v>
      </c>
      <c r="H324" s="46">
        <f>TRUNC(S324*(1-LOTE_03!$K$10),2)</f>
        <v>10.93</v>
      </c>
      <c r="I324" s="46">
        <f>TRUNC(T324*(1-LOTE_03!$K$10),2)</f>
        <v>4.29</v>
      </c>
      <c r="J324" s="100">
        <f t="shared" si="37"/>
        <v>0.22470000000000001</v>
      </c>
      <c r="K324" s="48">
        <f t="shared" si="31"/>
        <v>13.38</v>
      </c>
      <c r="L324" s="48">
        <f t="shared" si="32"/>
        <v>5.25</v>
      </c>
      <c r="M324" s="48">
        <f t="shared" si="33"/>
        <v>280980</v>
      </c>
      <c r="N324" s="48">
        <f t="shared" si="34"/>
        <v>110250</v>
      </c>
      <c r="O324" s="50">
        <f t="shared" si="35"/>
        <v>391230</v>
      </c>
      <c r="P324" s="50">
        <v>0</v>
      </c>
      <c r="Q324" s="76"/>
      <c r="R324" s="140">
        <f>R316</f>
        <v>21000</v>
      </c>
      <c r="S324" s="79">
        <v>10.93</v>
      </c>
      <c r="T324" s="80">
        <v>4.29</v>
      </c>
    </row>
    <row r="325" spans="2:20" ht="56">
      <c r="B325" s="5" t="s">
        <v>788</v>
      </c>
      <c r="C325" s="45" t="s">
        <v>135</v>
      </c>
      <c r="D325" s="45">
        <v>102491</v>
      </c>
      <c r="E325" s="6" t="s">
        <v>789</v>
      </c>
      <c r="F325" s="45" t="s">
        <v>121</v>
      </c>
      <c r="G325" s="46">
        <f t="shared" si="36"/>
        <v>2100</v>
      </c>
      <c r="H325" s="46">
        <f>TRUNC(S325*(1-LOTE_03!$K$10),2)</f>
        <v>16.02</v>
      </c>
      <c r="I325" s="46">
        <f>TRUNC(T325*(1-LOTE_03!$K$10),2)</f>
        <v>7.64</v>
      </c>
      <c r="J325" s="100">
        <f t="shared" si="37"/>
        <v>0.22470000000000001</v>
      </c>
      <c r="K325" s="48">
        <f t="shared" si="31"/>
        <v>19.61</v>
      </c>
      <c r="L325" s="48">
        <f t="shared" si="32"/>
        <v>9.35</v>
      </c>
      <c r="M325" s="48">
        <f t="shared" si="33"/>
        <v>41181</v>
      </c>
      <c r="N325" s="48">
        <f t="shared" si="34"/>
        <v>19635</v>
      </c>
      <c r="O325" s="50">
        <f t="shared" si="35"/>
        <v>60816</v>
      </c>
      <c r="P325" s="50">
        <v>0</v>
      </c>
      <c r="Q325" s="76"/>
      <c r="R325" s="140">
        <f>150*S9+150*S10</f>
        <v>2100</v>
      </c>
      <c r="S325" s="79">
        <v>16.02</v>
      </c>
      <c r="T325" s="80">
        <v>7.64</v>
      </c>
    </row>
    <row r="326" spans="2:20" ht="56">
      <c r="B326" s="5" t="s">
        <v>790</v>
      </c>
      <c r="C326" s="45" t="s">
        <v>135</v>
      </c>
      <c r="D326" s="45">
        <v>102513</v>
      </c>
      <c r="E326" s="6" t="s">
        <v>791</v>
      </c>
      <c r="F326" s="45" t="s">
        <v>121</v>
      </c>
      <c r="G326" s="46">
        <f t="shared" si="36"/>
        <v>560</v>
      </c>
      <c r="H326" s="46">
        <f>TRUNC(S326*(1-LOTE_03!$K$10),2)</f>
        <v>26.77</v>
      </c>
      <c r="I326" s="46">
        <f>TRUNC(T326*(1-LOTE_03!$K$10),2)</f>
        <v>26.63</v>
      </c>
      <c r="J326" s="100">
        <f t="shared" si="37"/>
        <v>0.22470000000000001</v>
      </c>
      <c r="K326" s="48">
        <f t="shared" si="31"/>
        <v>32.78</v>
      </c>
      <c r="L326" s="48">
        <f t="shared" si="32"/>
        <v>32.61</v>
      </c>
      <c r="M326" s="48">
        <f t="shared" si="33"/>
        <v>18356.8</v>
      </c>
      <c r="N326" s="48">
        <f t="shared" si="34"/>
        <v>18261.599999999999</v>
      </c>
      <c r="O326" s="50">
        <f t="shared" si="35"/>
        <v>36618.400000000001</v>
      </c>
      <c r="P326" s="50">
        <v>0</v>
      </c>
      <c r="Q326" s="76"/>
      <c r="R326" s="140">
        <f>40*S9+40*S10</f>
        <v>560</v>
      </c>
      <c r="S326" s="79">
        <v>26.77</v>
      </c>
      <c r="T326" s="80">
        <v>26.63</v>
      </c>
    </row>
    <row r="327" spans="2:20" ht="42">
      <c r="B327" s="5" t="s">
        <v>792</v>
      </c>
      <c r="C327" s="45" t="s">
        <v>135</v>
      </c>
      <c r="D327" s="45">
        <v>102501</v>
      </c>
      <c r="E327" s="6" t="s">
        <v>793</v>
      </c>
      <c r="F327" s="45" t="s">
        <v>121</v>
      </c>
      <c r="G327" s="46">
        <f t="shared" si="36"/>
        <v>210</v>
      </c>
      <c r="H327" s="46">
        <f>TRUNC(S327*(1-LOTE_03!$K$10),2)</f>
        <v>16.91</v>
      </c>
      <c r="I327" s="46">
        <f>TRUNC(T327*(1-LOTE_03!$K$10),2)</f>
        <v>11.9</v>
      </c>
      <c r="J327" s="100">
        <f t="shared" si="37"/>
        <v>0.22470000000000001</v>
      </c>
      <c r="K327" s="48">
        <f t="shared" si="31"/>
        <v>20.7</v>
      </c>
      <c r="L327" s="48">
        <f t="shared" si="32"/>
        <v>14.57</v>
      </c>
      <c r="M327" s="48">
        <f t="shared" si="33"/>
        <v>4347</v>
      </c>
      <c r="N327" s="48">
        <f t="shared" si="34"/>
        <v>3059.7</v>
      </c>
      <c r="O327" s="50">
        <f t="shared" si="35"/>
        <v>7406.7</v>
      </c>
      <c r="P327" s="50">
        <v>0</v>
      </c>
      <c r="Q327" s="76"/>
      <c r="R327" s="140">
        <f>15*S9+15*S10</f>
        <v>210</v>
      </c>
      <c r="S327" s="79">
        <v>16.909999999999997</v>
      </c>
      <c r="T327" s="80">
        <v>11.9</v>
      </c>
    </row>
    <row r="328" spans="2:20" ht="98">
      <c r="B328" s="5" t="s">
        <v>794</v>
      </c>
      <c r="C328" s="45" t="s">
        <v>135</v>
      </c>
      <c r="D328" s="45">
        <v>100726</v>
      </c>
      <c r="E328" s="6" t="s">
        <v>795</v>
      </c>
      <c r="F328" s="45" t="s">
        <v>121</v>
      </c>
      <c r="G328" s="46">
        <f t="shared" si="36"/>
        <v>3300</v>
      </c>
      <c r="H328" s="46">
        <f>TRUNC(S328*(1-LOTE_03!$K$10),2)</f>
        <v>13.11</v>
      </c>
      <c r="I328" s="46">
        <f>TRUNC(T328*(1-LOTE_03!$K$10),2)</f>
        <v>14.83</v>
      </c>
      <c r="J328" s="100">
        <f t="shared" si="37"/>
        <v>0.22470000000000001</v>
      </c>
      <c r="K328" s="48">
        <f t="shared" si="31"/>
        <v>16.05</v>
      </c>
      <c r="L328" s="48">
        <f t="shared" si="32"/>
        <v>18.16</v>
      </c>
      <c r="M328" s="48">
        <f t="shared" si="33"/>
        <v>52965</v>
      </c>
      <c r="N328" s="48">
        <f t="shared" si="34"/>
        <v>59928</v>
      </c>
      <c r="O328" s="50">
        <f t="shared" si="35"/>
        <v>112893</v>
      </c>
      <c r="P328" s="50">
        <v>0</v>
      </c>
      <c r="Q328" s="76"/>
      <c r="R328" s="140">
        <f>300*S9+200*S10</f>
        <v>3300</v>
      </c>
      <c r="S328" s="79">
        <v>13.110000000000001</v>
      </c>
      <c r="T328" s="80">
        <v>14.83</v>
      </c>
    </row>
    <row r="329" spans="2:20" ht="28">
      <c r="B329" s="5" t="s">
        <v>796</v>
      </c>
      <c r="C329" s="45" t="s">
        <v>135</v>
      </c>
      <c r="D329" s="45">
        <v>102234</v>
      </c>
      <c r="E329" s="6" t="s">
        <v>797</v>
      </c>
      <c r="F329" s="45" t="s">
        <v>121</v>
      </c>
      <c r="G329" s="46">
        <f t="shared" si="36"/>
        <v>1850</v>
      </c>
      <c r="H329" s="46">
        <f>TRUNC(S329*(1-LOTE_03!$K$10),2)</f>
        <v>14.06</v>
      </c>
      <c r="I329" s="46">
        <f>TRUNC(T329*(1-LOTE_03!$K$10),2)</f>
        <v>9.9</v>
      </c>
      <c r="J329" s="100">
        <f t="shared" si="37"/>
        <v>0.22470000000000001</v>
      </c>
      <c r="K329" s="48">
        <f t="shared" si="31"/>
        <v>17.21</v>
      </c>
      <c r="L329" s="48">
        <f t="shared" si="32"/>
        <v>12.12</v>
      </c>
      <c r="M329" s="48">
        <f t="shared" si="33"/>
        <v>31838.5</v>
      </c>
      <c r="N329" s="48">
        <f t="shared" si="34"/>
        <v>22422</v>
      </c>
      <c r="O329" s="50">
        <f t="shared" si="35"/>
        <v>54260.5</v>
      </c>
      <c r="P329" s="50">
        <v>0</v>
      </c>
      <c r="Q329" s="76"/>
      <c r="R329" s="140">
        <f>IF((10*S9+200*S10)&gt;5000,5000,(10*S9+200*S10))</f>
        <v>1850</v>
      </c>
      <c r="S329" s="79">
        <v>14.06</v>
      </c>
      <c r="T329" s="80">
        <v>9.9</v>
      </c>
    </row>
    <row r="330" spans="2:20" ht="84">
      <c r="B330" s="5" t="s">
        <v>798</v>
      </c>
      <c r="C330" s="45" t="s">
        <v>135</v>
      </c>
      <c r="D330" s="45">
        <v>100749</v>
      </c>
      <c r="E330" s="6" t="s">
        <v>799</v>
      </c>
      <c r="F330" s="45" t="s">
        <v>121</v>
      </c>
      <c r="G330" s="46">
        <f t="shared" si="36"/>
        <v>3300</v>
      </c>
      <c r="H330" s="46">
        <f>TRUNC(S330*(1-LOTE_03!$K$10),2)</f>
        <v>13.11</v>
      </c>
      <c r="I330" s="46">
        <f>TRUNC(T330*(1-LOTE_03!$K$10),2)</f>
        <v>11.65</v>
      </c>
      <c r="J330" s="100">
        <f t="shared" si="37"/>
        <v>0.22470000000000001</v>
      </c>
      <c r="K330" s="48">
        <f t="shared" si="31"/>
        <v>16.05</v>
      </c>
      <c r="L330" s="48">
        <f t="shared" si="32"/>
        <v>14.26</v>
      </c>
      <c r="M330" s="48">
        <f t="shared" si="33"/>
        <v>52965</v>
      </c>
      <c r="N330" s="48">
        <f t="shared" si="34"/>
        <v>47058</v>
      </c>
      <c r="O330" s="50">
        <f t="shared" si="35"/>
        <v>100023</v>
      </c>
      <c r="P330" s="50">
        <v>0</v>
      </c>
      <c r="Q330" s="76"/>
      <c r="R330" s="140">
        <f>300*S9+200*S10</f>
        <v>3300</v>
      </c>
      <c r="S330" s="79">
        <v>13.110000000000001</v>
      </c>
      <c r="T330" s="80">
        <v>11.65</v>
      </c>
    </row>
    <row r="331" spans="2:20" ht="70">
      <c r="B331" s="5" t="s">
        <v>800</v>
      </c>
      <c r="C331" s="45" t="s">
        <v>135</v>
      </c>
      <c r="D331" s="45">
        <v>88429</v>
      </c>
      <c r="E331" s="6" t="s">
        <v>801</v>
      </c>
      <c r="F331" s="45" t="s">
        <v>121</v>
      </c>
      <c r="G331" s="46">
        <f t="shared" si="36"/>
        <v>700</v>
      </c>
      <c r="H331" s="46">
        <f>TRUNC(S331*(1-LOTE_03!$K$10),2)</f>
        <v>30.98</v>
      </c>
      <c r="I331" s="46">
        <f>TRUNC(T331*(1-LOTE_03!$K$10),2)</f>
        <v>12.89</v>
      </c>
      <c r="J331" s="100">
        <f t="shared" si="37"/>
        <v>0.22470000000000001</v>
      </c>
      <c r="K331" s="48">
        <f t="shared" si="31"/>
        <v>37.94</v>
      </c>
      <c r="L331" s="48">
        <f t="shared" si="32"/>
        <v>15.78</v>
      </c>
      <c r="M331" s="48">
        <f t="shared" si="33"/>
        <v>26558</v>
      </c>
      <c r="N331" s="48">
        <f t="shared" si="34"/>
        <v>11046</v>
      </c>
      <c r="O331" s="50">
        <f t="shared" si="35"/>
        <v>37604</v>
      </c>
      <c r="P331" s="50">
        <v>0</v>
      </c>
      <c r="Q331" s="76"/>
      <c r="R331" s="140">
        <f>50*(S9+S10)</f>
        <v>700</v>
      </c>
      <c r="S331" s="79">
        <v>30.979999999999997</v>
      </c>
      <c r="T331" s="80">
        <v>12.89</v>
      </c>
    </row>
    <row r="332" spans="2:20" ht="56">
      <c r="B332" s="5" t="s">
        <v>802</v>
      </c>
      <c r="C332" s="45" t="s">
        <v>97</v>
      </c>
      <c r="D332" s="45" t="s">
        <v>803</v>
      </c>
      <c r="E332" s="6" t="s">
        <v>804</v>
      </c>
      <c r="F332" s="45" t="s">
        <v>121</v>
      </c>
      <c r="G332" s="46">
        <f t="shared" si="36"/>
        <v>700</v>
      </c>
      <c r="H332" s="46">
        <f>TRUNC(S332*(1-LOTE_03!$K$10),2)</f>
        <v>51.56</v>
      </c>
      <c r="I332" s="46">
        <f>TRUNC(T332*(1-LOTE_03!$K$10),2)</f>
        <v>13.35</v>
      </c>
      <c r="J332" s="100">
        <f t="shared" si="37"/>
        <v>0.22470000000000001</v>
      </c>
      <c r="K332" s="48">
        <f t="shared" si="31"/>
        <v>63.14</v>
      </c>
      <c r="L332" s="48">
        <f t="shared" si="32"/>
        <v>16.34</v>
      </c>
      <c r="M332" s="48">
        <f t="shared" si="33"/>
        <v>44198</v>
      </c>
      <c r="N332" s="48">
        <f t="shared" si="34"/>
        <v>11438</v>
      </c>
      <c r="O332" s="50">
        <f t="shared" si="35"/>
        <v>55636</v>
      </c>
      <c r="P332" s="50">
        <v>0</v>
      </c>
      <c r="Q332" s="76"/>
      <c r="R332" s="140">
        <f>50*(S9+S10)</f>
        <v>700</v>
      </c>
      <c r="S332" s="79">
        <v>51.56</v>
      </c>
      <c r="T332" s="80">
        <v>13.35</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4579613.4400000023</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50">
        <v>0</v>
      </c>
      <c r="Q334" s="76"/>
      <c r="R334" s="154"/>
      <c r="S334" s="79" t="s">
        <v>22</v>
      </c>
      <c r="T334" s="80" t="s">
        <v>22</v>
      </c>
    </row>
    <row r="335" spans="2:20" ht="56">
      <c r="B335" s="5" t="s">
        <v>807</v>
      </c>
      <c r="C335" s="45" t="s">
        <v>135</v>
      </c>
      <c r="D335" s="45">
        <v>90443</v>
      </c>
      <c r="E335" s="6" t="s">
        <v>808</v>
      </c>
      <c r="F335" s="45" t="s">
        <v>187</v>
      </c>
      <c r="G335" s="46">
        <f t="shared" si="36"/>
        <v>420</v>
      </c>
      <c r="H335" s="46">
        <f>TRUNC(S335*(1-LOTE_03!$K$10),2)</f>
        <v>2.2000000000000002</v>
      </c>
      <c r="I335" s="46">
        <f>TRUNC(T335*(1-LOTE_03!$K$10),2)</f>
        <v>5.75</v>
      </c>
      <c r="J335" s="100">
        <f t="shared" si="37"/>
        <v>0.22470000000000001</v>
      </c>
      <c r="K335" s="48">
        <f t="shared" si="31"/>
        <v>2.69</v>
      </c>
      <c r="L335" s="48">
        <f t="shared" si="32"/>
        <v>7.04</v>
      </c>
      <c r="M335" s="48">
        <f t="shared" si="33"/>
        <v>1129.8</v>
      </c>
      <c r="N335" s="48">
        <f t="shared" si="34"/>
        <v>2956.8</v>
      </c>
      <c r="O335" s="50">
        <f t="shared" si="35"/>
        <v>4086.6</v>
      </c>
      <c r="P335" s="50">
        <v>0</v>
      </c>
      <c r="Q335" s="76"/>
      <c r="R335" s="140">
        <f>30*S9+30*S10</f>
        <v>420</v>
      </c>
      <c r="S335" s="79">
        <v>2.2000000000000002</v>
      </c>
      <c r="T335" s="80">
        <v>5.75</v>
      </c>
    </row>
    <row r="336" spans="2:20" ht="70">
      <c r="B336" s="5" t="s">
        <v>809</v>
      </c>
      <c r="C336" s="45" t="s">
        <v>135</v>
      </c>
      <c r="D336" s="45">
        <v>90444</v>
      </c>
      <c r="E336" s="6" t="s">
        <v>810</v>
      </c>
      <c r="F336" s="45" t="s">
        <v>187</v>
      </c>
      <c r="G336" s="46">
        <f t="shared" si="36"/>
        <v>100</v>
      </c>
      <c r="H336" s="46">
        <f>TRUNC(S336*(1-LOTE_03!$K$10),2)</f>
        <v>4</v>
      </c>
      <c r="I336" s="46">
        <f>TRUNC(T336*(1-LOTE_03!$K$10),2)</f>
        <v>8.09</v>
      </c>
      <c r="J336" s="100">
        <f t="shared" si="37"/>
        <v>0.22470000000000001</v>
      </c>
      <c r="K336" s="48">
        <f t="shared" ref="K336:K399" si="38">TRUNC(H336*(1+J336),2)</f>
        <v>4.8899999999999997</v>
      </c>
      <c r="L336" s="48">
        <f t="shared" ref="L336:L399" si="39">TRUNC(I336*(1+J336),2)</f>
        <v>9.9</v>
      </c>
      <c r="M336" s="48">
        <f t="shared" ref="M336:M399" si="40">TRUNC(K336*G336,2)</f>
        <v>489</v>
      </c>
      <c r="N336" s="48">
        <f t="shared" ref="N336:N399" si="41">TRUNC(L336*G336,2)</f>
        <v>990</v>
      </c>
      <c r="O336" s="50">
        <f t="shared" ref="O336:O399" si="42">TRUNC(M336+N336,2)</f>
        <v>1479</v>
      </c>
      <c r="P336" s="50">
        <v>0</v>
      </c>
      <c r="Q336" s="76"/>
      <c r="R336" s="140">
        <f>IF((5*S9+30*S10)&gt;100,100,(5*S9+30*S10))</f>
        <v>100</v>
      </c>
      <c r="S336" s="79">
        <v>4</v>
      </c>
      <c r="T336" s="80">
        <v>8.09</v>
      </c>
    </row>
    <row r="337" spans="2:20" ht="42">
      <c r="B337" s="5" t="s">
        <v>811</v>
      </c>
      <c r="C337" s="45" t="s">
        <v>135</v>
      </c>
      <c r="D337" s="45">
        <v>104795</v>
      </c>
      <c r="E337" s="6" t="s">
        <v>812</v>
      </c>
      <c r="F337" s="45" t="s">
        <v>187</v>
      </c>
      <c r="G337" s="46">
        <f t="shared" si="36"/>
        <v>7000</v>
      </c>
      <c r="H337" s="46">
        <f>TRUNC(S337*(1-LOTE_03!$K$10),2)</f>
        <v>0.46</v>
      </c>
      <c r="I337" s="46">
        <f>TRUNC(T337*(1-LOTE_03!$K$10),2)</f>
        <v>0.93</v>
      </c>
      <c r="J337" s="100">
        <f t="shared" si="37"/>
        <v>0.22470000000000001</v>
      </c>
      <c r="K337" s="48">
        <f t="shared" si="38"/>
        <v>0.56000000000000005</v>
      </c>
      <c r="L337" s="48">
        <f t="shared" si="39"/>
        <v>1.1299999999999999</v>
      </c>
      <c r="M337" s="48">
        <f t="shared" si="40"/>
        <v>3920</v>
      </c>
      <c r="N337" s="48">
        <f t="shared" si="41"/>
        <v>7910</v>
      </c>
      <c r="O337" s="50">
        <f t="shared" si="42"/>
        <v>11830</v>
      </c>
      <c r="P337" s="50">
        <v>0</v>
      </c>
      <c r="Q337" s="76"/>
      <c r="R337" s="140">
        <f>500*S9+500*S10</f>
        <v>7000</v>
      </c>
      <c r="S337" s="79">
        <v>0.45999999999999985</v>
      </c>
      <c r="T337" s="80">
        <v>0.93</v>
      </c>
    </row>
    <row r="338" spans="2:20" ht="56">
      <c r="B338" s="5" t="s">
        <v>813</v>
      </c>
      <c r="C338" s="45" t="s">
        <v>135</v>
      </c>
      <c r="D338" s="45">
        <v>104792</v>
      </c>
      <c r="E338" s="6" t="s">
        <v>814</v>
      </c>
      <c r="F338" s="45" t="s">
        <v>187</v>
      </c>
      <c r="G338" s="46">
        <f t="shared" ref="G338:G401" si="43">TRUNC(R338,2)</f>
        <v>7000</v>
      </c>
      <c r="H338" s="46">
        <f>TRUNC(S338*(1-LOTE_03!$K$10),2)</f>
        <v>0.14000000000000001</v>
      </c>
      <c r="I338" s="46">
        <f>TRUNC(T338*(1-LOTE_03!$K$10),2)</f>
        <v>0.26</v>
      </c>
      <c r="J338" s="100">
        <f t="shared" ref="J338:J401" si="44">$J$4</f>
        <v>0.22470000000000001</v>
      </c>
      <c r="K338" s="48">
        <f t="shared" si="38"/>
        <v>0.17</v>
      </c>
      <c r="L338" s="48">
        <f t="shared" si="39"/>
        <v>0.31</v>
      </c>
      <c r="M338" s="48">
        <f t="shared" si="40"/>
        <v>1190</v>
      </c>
      <c r="N338" s="48">
        <f t="shared" si="41"/>
        <v>2170</v>
      </c>
      <c r="O338" s="50">
        <f t="shared" si="42"/>
        <v>3360</v>
      </c>
      <c r="P338" s="50">
        <v>0</v>
      </c>
      <c r="Q338" s="76"/>
      <c r="R338" s="140">
        <f>500*S9+500*S10</f>
        <v>7000</v>
      </c>
      <c r="S338" s="79">
        <v>0.14000000000000001</v>
      </c>
      <c r="T338" s="80">
        <v>0.26</v>
      </c>
    </row>
    <row r="339" spans="2:20" ht="42">
      <c r="B339" s="5" t="s">
        <v>815</v>
      </c>
      <c r="C339" s="45" t="s">
        <v>135</v>
      </c>
      <c r="D339" s="45">
        <v>97661</v>
      </c>
      <c r="E339" s="6" t="s">
        <v>816</v>
      </c>
      <c r="F339" s="45" t="s">
        <v>187</v>
      </c>
      <c r="G339" s="46">
        <f t="shared" si="43"/>
        <v>700</v>
      </c>
      <c r="H339" s="46">
        <f>TRUNC(S339*(1-LOTE_03!$K$10),2)</f>
        <v>0.25</v>
      </c>
      <c r="I339" s="46">
        <f>TRUNC(T339*(1-LOTE_03!$K$10),2)</f>
        <v>0.49</v>
      </c>
      <c r="J339" s="100">
        <f t="shared" si="44"/>
        <v>0.22470000000000001</v>
      </c>
      <c r="K339" s="48">
        <f t="shared" si="38"/>
        <v>0.3</v>
      </c>
      <c r="L339" s="48">
        <f t="shared" si="39"/>
        <v>0.6</v>
      </c>
      <c r="M339" s="48">
        <f t="shared" si="40"/>
        <v>210</v>
      </c>
      <c r="N339" s="48">
        <f t="shared" si="41"/>
        <v>420</v>
      </c>
      <c r="O339" s="50">
        <f t="shared" si="42"/>
        <v>630</v>
      </c>
      <c r="P339" s="50">
        <v>0</v>
      </c>
      <c r="Q339" s="76"/>
      <c r="R339" s="140">
        <f>50*S9+50*S10</f>
        <v>700</v>
      </c>
      <c r="S339" s="79">
        <v>0.25</v>
      </c>
      <c r="T339" s="80">
        <v>0.49</v>
      </c>
    </row>
    <row r="340" spans="2:20" ht="28">
      <c r="B340" s="5" t="s">
        <v>817</v>
      </c>
      <c r="C340" s="45" t="s">
        <v>97</v>
      </c>
      <c r="D340" s="45" t="s">
        <v>818</v>
      </c>
      <c r="E340" s="6" t="s">
        <v>819</v>
      </c>
      <c r="F340" s="45" t="s">
        <v>187</v>
      </c>
      <c r="G340" s="46">
        <f t="shared" si="43"/>
        <v>1400</v>
      </c>
      <c r="H340" s="46">
        <f>TRUNC(S340*(1-LOTE_03!$K$10),2)</f>
        <v>0.31</v>
      </c>
      <c r="I340" s="46">
        <f>TRUNC(T340*(1-LOTE_03!$K$10),2)</f>
        <v>0.71</v>
      </c>
      <c r="J340" s="100">
        <f t="shared" si="44"/>
        <v>0.22470000000000001</v>
      </c>
      <c r="K340" s="48">
        <f t="shared" si="38"/>
        <v>0.37</v>
      </c>
      <c r="L340" s="48">
        <f t="shared" si="39"/>
        <v>0.86</v>
      </c>
      <c r="M340" s="48">
        <f t="shared" si="40"/>
        <v>518</v>
      </c>
      <c r="N340" s="48">
        <f t="shared" si="41"/>
        <v>1204</v>
      </c>
      <c r="O340" s="50">
        <f t="shared" si="42"/>
        <v>1722</v>
      </c>
      <c r="P340" s="50">
        <v>0</v>
      </c>
      <c r="Q340" s="76"/>
      <c r="R340" s="140">
        <f>100*S9+100*S10</f>
        <v>1400</v>
      </c>
      <c r="S340" s="79">
        <v>0.31</v>
      </c>
      <c r="T340" s="80">
        <v>0.71</v>
      </c>
    </row>
    <row r="341" spans="2:20" ht="42">
      <c r="B341" s="5" t="s">
        <v>820</v>
      </c>
      <c r="C341" s="45" t="s">
        <v>97</v>
      </c>
      <c r="D341" s="45" t="s">
        <v>821</v>
      </c>
      <c r="E341" s="6" t="s">
        <v>822</v>
      </c>
      <c r="F341" s="45" t="s">
        <v>104</v>
      </c>
      <c r="G341" s="46">
        <f t="shared" si="43"/>
        <v>42</v>
      </c>
      <c r="H341" s="46">
        <f>TRUNC(S341*(1-LOTE_03!$K$10),2)</f>
        <v>46.04</v>
      </c>
      <c r="I341" s="46">
        <f>TRUNC(T341*(1-LOTE_03!$K$10),2)</f>
        <v>17.55</v>
      </c>
      <c r="J341" s="100">
        <f t="shared" si="44"/>
        <v>0.22470000000000001</v>
      </c>
      <c r="K341" s="48">
        <f t="shared" si="38"/>
        <v>56.38</v>
      </c>
      <c r="L341" s="48">
        <f t="shared" si="39"/>
        <v>21.49</v>
      </c>
      <c r="M341" s="48">
        <f t="shared" si="40"/>
        <v>2367.96</v>
      </c>
      <c r="N341" s="48">
        <f t="shared" si="41"/>
        <v>902.58</v>
      </c>
      <c r="O341" s="50">
        <f t="shared" si="42"/>
        <v>3270.54</v>
      </c>
      <c r="P341" s="50">
        <v>0</v>
      </c>
      <c r="Q341" s="76"/>
      <c r="R341" s="140">
        <f>3*(S9+S10)</f>
        <v>42</v>
      </c>
      <c r="S341" s="79">
        <v>46.04</v>
      </c>
      <c r="T341" s="80">
        <v>17.55</v>
      </c>
    </row>
    <row r="342" spans="2:20" ht="28">
      <c r="B342" s="5" t="s">
        <v>823</v>
      </c>
      <c r="C342" s="45" t="s">
        <v>165</v>
      </c>
      <c r="D342" s="45" t="s">
        <v>824</v>
      </c>
      <c r="E342" s="6" t="s">
        <v>825</v>
      </c>
      <c r="F342" s="45" t="s">
        <v>559</v>
      </c>
      <c r="G342" s="46">
        <f t="shared" si="43"/>
        <v>230</v>
      </c>
      <c r="H342" s="46">
        <f>TRUNC(S342*(1-LOTE_03!$K$10),2)</f>
        <v>266.56</v>
      </c>
      <c r="I342" s="46">
        <f>TRUNC(T342*(1-LOTE_03!$K$10),2)</f>
        <v>125.27</v>
      </c>
      <c r="J342" s="100">
        <f t="shared" si="44"/>
        <v>0.22470000000000001</v>
      </c>
      <c r="K342" s="48">
        <f t="shared" si="38"/>
        <v>326.45</v>
      </c>
      <c r="L342" s="48">
        <f t="shared" si="39"/>
        <v>153.41</v>
      </c>
      <c r="M342" s="48">
        <f t="shared" si="40"/>
        <v>75083.5</v>
      </c>
      <c r="N342" s="48">
        <f t="shared" si="41"/>
        <v>35284.300000000003</v>
      </c>
      <c r="O342" s="50">
        <f t="shared" si="42"/>
        <v>110367.8</v>
      </c>
      <c r="P342" s="50">
        <v>0</v>
      </c>
      <c r="Q342" s="76"/>
      <c r="R342" s="140">
        <f>IF((10*S9+20*S10)&gt;500,500,(10*S9+20*S10))</f>
        <v>230</v>
      </c>
      <c r="S342" s="79">
        <v>266.56</v>
      </c>
      <c r="T342" s="80">
        <v>125.27</v>
      </c>
    </row>
    <row r="343" spans="2:20" ht="42">
      <c r="B343" s="5" t="s">
        <v>826</v>
      </c>
      <c r="C343" s="45" t="s">
        <v>165</v>
      </c>
      <c r="D343" s="45" t="s">
        <v>827</v>
      </c>
      <c r="E343" s="6" t="s">
        <v>828</v>
      </c>
      <c r="F343" s="45" t="s">
        <v>559</v>
      </c>
      <c r="G343" s="46">
        <f t="shared" si="43"/>
        <v>70</v>
      </c>
      <c r="H343" s="46">
        <f>TRUNC(S343*(1-LOTE_03!$K$10),2)</f>
        <v>155.19</v>
      </c>
      <c r="I343" s="46">
        <f>TRUNC(T343*(1-LOTE_03!$K$10),2)</f>
        <v>74.25</v>
      </c>
      <c r="J343" s="100">
        <f t="shared" si="44"/>
        <v>0.22470000000000001</v>
      </c>
      <c r="K343" s="48">
        <f t="shared" si="38"/>
        <v>190.06</v>
      </c>
      <c r="L343" s="48">
        <f t="shared" si="39"/>
        <v>90.93</v>
      </c>
      <c r="M343" s="48">
        <f t="shared" si="40"/>
        <v>13304.2</v>
      </c>
      <c r="N343" s="48">
        <f t="shared" si="41"/>
        <v>6365.1</v>
      </c>
      <c r="O343" s="50">
        <f t="shared" si="42"/>
        <v>19669.3</v>
      </c>
      <c r="P343" s="50">
        <v>0</v>
      </c>
      <c r="Q343" s="76"/>
      <c r="R343" s="140">
        <f>IF((5*S9+5*S10)&gt;200,200,(5*S9+5*S10))</f>
        <v>70</v>
      </c>
      <c r="S343" s="79">
        <v>155.19</v>
      </c>
      <c r="T343" s="80">
        <v>74.25</v>
      </c>
    </row>
    <row r="344" spans="2:20" ht="28">
      <c r="B344" s="5" t="s">
        <v>829</v>
      </c>
      <c r="C344" s="45" t="s">
        <v>165</v>
      </c>
      <c r="D344" s="45" t="s">
        <v>830</v>
      </c>
      <c r="E344" s="6" t="s">
        <v>831</v>
      </c>
      <c r="F344" s="45" t="s">
        <v>559</v>
      </c>
      <c r="G344" s="46">
        <f t="shared" si="43"/>
        <v>200</v>
      </c>
      <c r="H344" s="46">
        <f>TRUNC(S344*(1-LOTE_03!$K$10),2)</f>
        <v>254.47</v>
      </c>
      <c r="I344" s="46">
        <f>TRUNC(T344*(1-LOTE_03!$K$10),2)</f>
        <v>141.21</v>
      </c>
      <c r="J344" s="100">
        <f t="shared" si="44"/>
        <v>0.22470000000000001</v>
      </c>
      <c r="K344" s="48">
        <f t="shared" si="38"/>
        <v>311.64</v>
      </c>
      <c r="L344" s="48">
        <f t="shared" si="39"/>
        <v>172.93</v>
      </c>
      <c r="M344" s="48">
        <f t="shared" si="40"/>
        <v>62328</v>
      </c>
      <c r="N344" s="48">
        <f t="shared" si="41"/>
        <v>34586</v>
      </c>
      <c r="O344" s="50">
        <f t="shared" si="42"/>
        <v>96914</v>
      </c>
      <c r="P344" s="50">
        <v>0</v>
      </c>
      <c r="Q344" s="76"/>
      <c r="R344" s="140">
        <f>IF((10*S9+20*S10)&gt;200,200,(10*S9+20*S10))</f>
        <v>200</v>
      </c>
      <c r="S344" s="79">
        <v>254.47</v>
      </c>
      <c r="T344" s="80">
        <v>141.21</v>
      </c>
    </row>
    <row r="345" spans="2:20" ht="28">
      <c r="B345" s="5" t="s">
        <v>832</v>
      </c>
      <c r="C345" s="45" t="s">
        <v>97</v>
      </c>
      <c r="D345" s="45" t="s">
        <v>833</v>
      </c>
      <c r="E345" s="6" t="s">
        <v>834</v>
      </c>
      <c r="F345" s="45" t="s">
        <v>104</v>
      </c>
      <c r="G345" s="46">
        <f t="shared" si="43"/>
        <v>140</v>
      </c>
      <c r="H345" s="46">
        <f>TRUNC(S345*(1-LOTE_03!$K$10),2)</f>
        <v>49.35</v>
      </c>
      <c r="I345" s="46">
        <f>TRUNC(T345*(1-LOTE_03!$K$10),2)</f>
        <v>11.1</v>
      </c>
      <c r="J345" s="100">
        <f t="shared" si="44"/>
        <v>0.22470000000000001</v>
      </c>
      <c r="K345" s="48">
        <f t="shared" si="38"/>
        <v>60.43</v>
      </c>
      <c r="L345" s="48">
        <f t="shared" si="39"/>
        <v>13.59</v>
      </c>
      <c r="M345" s="48">
        <f t="shared" si="40"/>
        <v>8460.2000000000007</v>
      </c>
      <c r="N345" s="48">
        <f t="shared" si="41"/>
        <v>1902.6</v>
      </c>
      <c r="O345" s="50">
        <f t="shared" si="42"/>
        <v>10362.799999999999</v>
      </c>
      <c r="P345" s="50">
        <v>0</v>
      </c>
      <c r="Q345" s="76"/>
      <c r="R345" s="140">
        <f>IF((10*S9+10*S10)&gt;200,200,(10*S9+10*S10))</f>
        <v>140</v>
      </c>
      <c r="S345" s="79">
        <v>49.35</v>
      </c>
      <c r="T345" s="80">
        <v>11.1</v>
      </c>
    </row>
    <row r="346" spans="2:20" ht="70">
      <c r="B346" s="5" t="s">
        <v>835</v>
      </c>
      <c r="C346" s="45" t="s">
        <v>135</v>
      </c>
      <c r="D346" s="45">
        <v>91863</v>
      </c>
      <c r="E346" s="6" t="s">
        <v>836</v>
      </c>
      <c r="F346" s="45" t="s">
        <v>187</v>
      </c>
      <c r="G346" s="46">
        <f t="shared" si="43"/>
        <v>1000</v>
      </c>
      <c r="H346" s="46">
        <f>TRUNC(S346*(1-LOTE_03!$K$10),2)</f>
        <v>7.5</v>
      </c>
      <c r="I346" s="46">
        <f>TRUNC(T346*(1-LOTE_03!$K$10),2)</f>
        <v>4.38</v>
      </c>
      <c r="J346" s="100">
        <f t="shared" si="44"/>
        <v>0.22470000000000001</v>
      </c>
      <c r="K346" s="48">
        <f t="shared" si="38"/>
        <v>9.18</v>
      </c>
      <c r="L346" s="48">
        <f t="shared" si="39"/>
        <v>5.36</v>
      </c>
      <c r="M346" s="48">
        <f t="shared" si="40"/>
        <v>9180</v>
      </c>
      <c r="N346" s="48">
        <f t="shared" si="41"/>
        <v>5360</v>
      </c>
      <c r="O346" s="50">
        <f t="shared" si="42"/>
        <v>14540</v>
      </c>
      <c r="P346" s="50">
        <v>0</v>
      </c>
      <c r="Q346" s="76"/>
      <c r="R346" s="140">
        <f>IF((20*S9+100*S10)&gt;1000,1000,(20*S9+100*S10))</f>
        <v>1000</v>
      </c>
      <c r="S346" s="79">
        <v>7.5000000000000009</v>
      </c>
      <c r="T346" s="80">
        <v>4.38</v>
      </c>
    </row>
    <row r="347" spans="2:20" ht="70">
      <c r="B347" s="5" t="s">
        <v>837</v>
      </c>
      <c r="C347" s="45" t="s">
        <v>135</v>
      </c>
      <c r="D347" s="45">
        <v>91864</v>
      </c>
      <c r="E347" s="6" t="s">
        <v>838</v>
      </c>
      <c r="F347" s="45" t="s">
        <v>187</v>
      </c>
      <c r="G347" s="46">
        <f t="shared" si="43"/>
        <v>500</v>
      </c>
      <c r="H347" s="46">
        <f>TRUNC(S347*(1-LOTE_03!$K$10),2)</f>
        <v>10.98</v>
      </c>
      <c r="I347" s="46">
        <f>TRUNC(T347*(1-LOTE_03!$K$10),2)</f>
        <v>5.13</v>
      </c>
      <c r="J347" s="100">
        <f t="shared" si="44"/>
        <v>0.22470000000000001</v>
      </c>
      <c r="K347" s="48">
        <f t="shared" si="38"/>
        <v>13.44</v>
      </c>
      <c r="L347" s="48">
        <f t="shared" si="39"/>
        <v>6.28</v>
      </c>
      <c r="M347" s="48">
        <f t="shared" si="40"/>
        <v>6720</v>
      </c>
      <c r="N347" s="48">
        <f t="shared" si="41"/>
        <v>3140</v>
      </c>
      <c r="O347" s="50">
        <f t="shared" si="42"/>
        <v>9860</v>
      </c>
      <c r="P347" s="50">
        <v>0</v>
      </c>
      <c r="Q347" s="76"/>
      <c r="R347" s="140">
        <f>IF((20*S9+100*S10)&gt;500,500,(20*S9+100*S10))</f>
        <v>500</v>
      </c>
      <c r="S347" s="79">
        <v>10.98</v>
      </c>
      <c r="T347" s="80">
        <v>5.13</v>
      </c>
    </row>
    <row r="348" spans="2:20" ht="56">
      <c r="B348" s="5" t="s">
        <v>839</v>
      </c>
      <c r="C348" s="45" t="s">
        <v>135</v>
      </c>
      <c r="D348" s="45">
        <v>91926</v>
      </c>
      <c r="E348" s="6" t="s">
        <v>840</v>
      </c>
      <c r="F348" s="45" t="s">
        <v>187</v>
      </c>
      <c r="G348" s="46">
        <f t="shared" si="43"/>
        <v>8400</v>
      </c>
      <c r="H348" s="46">
        <f>TRUNC(S348*(1-LOTE_03!$K$10),2)</f>
        <v>3.91</v>
      </c>
      <c r="I348" s="46">
        <f>TRUNC(T348*(1-LOTE_03!$K$10),2)</f>
        <v>1.1100000000000001</v>
      </c>
      <c r="J348" s="100">
        <f t="shared" si="44"/>
        <v>0.22470000000000001</v>
      </c>
      <c r="K348" s="48">
        <f t="shared" si="38"/>
        <v>4.78</v>
      </c>
      <c r="L348" s="48">
        <f t="shared" si="39"/>
        <v>1.35</v>
      </c>
      <c r="M348" s="48">
        <f t="shared" si="40"/>
        <v>40152</v>
      </c>
      <c r="N348" s="48">
        <f t="shared" si="41"/>
        <v>11340</v>
      </c>
      <c r="O348" s="50">
        <f t="shared" si="42"/>
        <v>51492</v>
      </c>
      <c r="P348" s="50">
        <v>0</v>
      </c>
      <c r="Q348" s="76"/>
      <c r="R348" s="140">
        <f>600*S9+600*S10</f>
        <v>8400</v>
      </c>
      <c r="S348" s="79">
        <v>3.9099999999999993</v>
      </c>
      <c r="T348" s="80">
        <v>1.1100000000000001</v>
      </c>
    </row>
    <row r="349" spans="2:20" ht="56">
      <c r="B349" s="5" t="s">
        <v>841</v>
      </c>
      <c r="C349" s="45" t="s">
        <v>135</v>
      </c>
      <c r="D349" s="45">
        <v>91924</v>
      </c>
      <c r="E349" s="6" t="s">
        <v>842</v>
      </c>
      <c r="F349" s="45" t="s">
        <v>187</v>
      </c>
      <c r="G349" s="46">
        <f t="shared" si="43"/>
        <v>8400</v>
      </c>
      <c r="H349" s="46">
        <f>TRUNC(S349*(1-LOTE_03!$K$10),2)</f>
        <v>2.5499999999999998</v>
      </c>
      <c r="I349" s="46">
        <f>TRUNC(T349*(1-LOTE_03!$K$10),2)</f>
        <v>0.88</v>
      </c>
      <c r="J349" s="100">
        <f t="shared" si="44"/>
        <v>0.22470000000000001</v>
      </c>
      <c r="K349" s="48">
        <f t="shared" si="38"/>
        <v>3.12</v>
      </c>
      <c r="L349" s="48">
        <f t="shared" si="39"/>
        <v>1.07</v>
      </c>
      <c r="M349" s="48">
        <f t="shared" si="40"/>
        <v>26208</v>
      </c>
      <c r="N349" s="48">
        <f t="shared" si="41"/>
        <v>8988</v>
      </c>
      <c r="O349" s="50">
        <f t="shared" si="42"/>
        <v>35196</v>
      </c>
      <c r="P349" s="50">
        <v>0</v>
      </c>
      <c r="Q349" s="76"/>
      <c r="R349" s="140">
        <f>600*S9+600*S10</f>
        <v>8400</v>
      </c>
      <c r="S349" s="79">
        <v>2.5500000000000003</v>
      </c>
      <c r="T349" s="80">
        <v>0.88</v>
      </c>
    </row>
    <row r="350" spans="2:20" ht="56">
      <c r="B350" s="5" t="s">
        <v>843</v>
      </c>
      <c r="C350" s="45" t="s">
        <v>135</v>
      </c>
      <c r="D350" s="45">
        <v>91928</v>
      </c>
      <c r="E350" s="6" t="s">
        <v>844</v>
      </c>
      <c r="F350" s="45" t="s">
        <v>187</v>
      </c>
      <c r="G350" s="46">
        <f t="shared" si="43"/>
        <v>2800</v>
      </c>
      <c r="H350" s="46">
        <f>TRUNC(S350*(1-LOTE_03!$K$10),2)</f>
        <v>6.34</v>
      </c>
      <c r="I350" s="46">
        <f>TRUNC(T350*(1-LOTE_03!$K$10),2)</f>
        <v>1.5</v>
      </c>
      <c r="J350" s="100">
        <f t="shared" si="44"/>
        <v>0.22470000000000001</v>
      </c>
      <c r="K350" s="48">
        <f t="shared" si="38"/>
        <v>7.76</v>
      </c>
      <c r="L350" s="48">
        <f t="shared" si="39"/>
        <v>1.83</v>
      </c>
      <c r="M350" s="48">
        <f t="shared" si="40"/>
        <v>21728</v>
      </c>
      <c r="N350" s="48">
        <f t="shared" si="41"/>
        <v>5124</v>
      </c>
      <c r="O350" s="50">
        <f t="shared" si="42"/>
        <v>26852</v>
      </c>
      <c r="P350" s="50">
        <v>0</v>
      </c>
      <c r="Q350" s="76"/>
      <c r="R350" s="140">
        <f>200*S9+200*S10</f>
        <v>2800</v>
      </c>
      <c r="S350" s="79">
        <v>6.34</v>
      </c>
      <c r="T350" s="80">
        <v>1.5</v>
      </c>
    </row>
    <row r="351" spans="2:20" ht="56">
      <c r="B351" s="5" t="s">
        <v>845</v>
      </c>
      <c r="C351" s="45" t="s">
        <v>135</v>
      </c>
      <c r="D351" s="45">
        <v>91952</v>
      </c>
      <c r="E351" s="6" t="s">
        <v>846</v>
      </c>
      <c r="F351" s="45" t="s">
        <v>210</v>
      </c>
      <c r="G351" s="46">
        <f t="shared" si="43"/>
        <v>350</v>
      </c>
      <c r="H351" s="46">
        <f>TRUNC(S351*(1-LOTE_03!$K$10),2)</f>
        <v>9.82</v>
      </c>
      <c r="I351" s="46">
        <f>TRUNC(T351*(1-LOTE_03!$K$10),2)</f>
        <v>8.61</v>
      </c>
      <c r="J351" s="100">
        <f t="shared" si="44"/>
        <v>0.22470000000000001</v>
      </c>
      <c r="K351" s="48">
        <f t="shared" si="38"/>
        <v>12.02</v>
      </c>
      <c r="L351" s="48">
        <f t="shared" si="39"/>
        <v>10.54</v>
      </c>
      <c r="M351" s="48">
        <f t="shared" si="40"/>
        <v>4207</v>
      </c>
      <c r="N351" s="48">
        <f t="shared" si="41"/>
        <v>3689</v>
      </c>
      <c r="O351" s="50">
        <f t="shared" si="42"/>
        <v>7896</v>
      </c>
      <c r="P351" s="50">
        <v>0</v>
      </c>
      <c r="Q351" s="76"/>
      <c r="R351" s="140">
        <f>25*S9+25*S10</f>
        <v>350</v>
      </c>
      <c r="S351" s="79">
        <v>9.82</v>
      </c>
      <c r="T351" s="80">
        <v>8.61</v>
      </c>
    </row>
    <row r="352" spans="2:20" ht="56">
      <c r="B352" s="5" t="s">
        <v>847</v>
      </c>
      <c r="C352" s="45" t="s">
        <v>135</v>
      </c>
      <c r="D352" s="45">
        <v>91959</v>
      </c>
      <c r="E352" s="6" t="s">
        <v>848</v>
      </c>
      <c r="F352" s="45" t="s">
        <v>210</v>
      </c>
      <c r="G352" s="46">
        <f t="shared" si="43"/>
        <v>140</v>
      </c>
      <c r="H352" s="46">
        <f>TRUNC(S352*(1-LOTE_03!$K$10),2)</f>
        <v>24.65</v>
      </c>
      <c r="I352" s="46">
        <f>TRUNC(T352*(1-LOTE_03!$K$10),2)</f>
        <v>19.72</v>
      </c>
      <c r="J352" s="100">
        <f t="shared" si="44"/>
        <v>0.22470000000000001</v>
      </c>
      <c r="K352" s="48">
        <f t="shared" si="38"/>
        <v>30.18</v>
      </c>
      <c r="L352" s="48">
        <f t="shared" si="39"/>
        <v>24.15</v>
      </c>
      <c r="M352" s="48">
        <f t="shared" si="40"/>
        <v>4225.2</v>
      </c>
      <c r="N352" s="48">
        <f t="shared" si="41"/>
        <v>3381</v>
      </c>
      <c r="O352" s="50">
        <f t="shared" si="42"/>
        <v>7606.2</v>
      </c>
      <c r="P352" s="50">
        <v>0</v>
      </c>
      <c r="Q352" s="76"/>
      <c r="R352" s="140">
        <f>10*S9+10*S10</f>
        <v>140</v>
      </c>
      <c r="S352" s="79">
        <v>24.65</v>
      </c>
      <c r="T352" s="80">
        <v>19.72</v>
      </c>
    </row>
    <row r="353" spans="2:20" ht="56">
      <c r="B353" s="5" t="s">
        <v>849</v>
      </c>
      <c r="C353" s="45" t="s">
        <v>135</v>
      </c>
      <c r="D353" s="45">
        <v>91967</v>
      </c>
      <c r="E353" s="6" t="s">
        <v>850</v>
      </c>
      <c r="F353" s="45" t="s">
        <v>210</v>
      </c>
      <c r="G353" s="46">
        <f t="shared" si="43"/>
        <v>140</v>
      </c>
      <c r="H353" s="46">
        <f>TRUNC(S353*(1-LOTE_03!$K$10),2)</f>
        <v>33.5</v>
      </c>
      <c r="I353" s="46">
        <f>TRUNC(T353*(1-LOTE_03!$K$10),2)</f>
        <v>26.06</v>
      </c>
      <c r="J353" s="100">
        <f t="shared" si="44"/>
        <v>0.22470000000000001</v>
      </c>
      <c r="K353" s="48">
        <f t="shared" si="38"/>
        <v>41.02</v>
      </c>
      <c r="L353" s="48">
        <f t="shared" si="39"/>
        <v>31.91</v>
      </c>
      <c r="M353" s="48">
        <f t="shared" si="40"/>
        <v>5742.8</v>
      </c>
      <c r="N353" s="48">
        <f t="shared" si="41"/>
        <v>4467.3999999999996</v>
      </c>
      <c r="O353" s="50">
        <f t="shared" si="42"/>
        <v>10210.200000000001</v>
      </c>
      <c r="P353" s="50">
        <v>0</v>
      </c>
      <c r="Q353" s="76"/>
      <c r="R353" s="140">
        <f>10*S9+10*S10</f>
        <v>140</v>
      </c>
      <c r="S353" s="79">
        <v>33.5</v>
      </c>
      <c r="T353" s="80">
        <v>26.06</v>
      </c>
    </row>
    <row r="354" spans="2:20" ht="56">
      <c r="B354" s="5" t="s">
        <v>851</v>
      </c>
      <c r="C354" s="45" t="s">
        <v>135</v>
      </c>
      <c r="D354" s="45">
        <v>92005</v>
      </c>
      <c r="E354" s="6" t="s">
        <v>852</v>
      </c>
      <c r="F354" s="45" t="s">
        <v>210</v>
      </c>
      <c r="G354" s="46">
        <f t="shared" si="43"/>
        <v>230</v>
      </c>
      <c r="H354" s="46">
        <f>TRUNC(S354*(1-LOTE_03!$K$10),2)</f>
        <v>32.950000000000003</v>
      </c>
      <c r="I354" s="46">
        <f>TRUNC(T354*(1-LOTE_03!$K$10),2)</f>
        <v>26.05</v>
      </c>
      <c r="J354" s="100">
        <f t="shared" si="44"/>
        <v>0.22470000000000001</v>
      </c>
      <c r="K354" s="48">
        <f t="shared" si="38"/>
        <v>40.35</v>
      </c>
      <c r="L354" s="48">
        <f t="shared" si="39"/>
        <v>31.9</v>
      </c>
      <c r="M354" s="48">
        <f t="shared" si="40"/>
        <v>9280.5</v>
      </c>
      <c r="N354" s="48">
        <f t="shared" si="41"/>
        <v>7337</v>
      </c>
      <c r="O354" s="50">
        <f t="shared" si="42"/>
        <v>16617.5</v>
      </c>
      <c r="P354" s="50">
        <v>0</v>
      </c>
      <c r="Q354" s="76"/>
      <c r="R354" s="140">
        <f>IF((10*S9+20*S10)&gt;500,500,(10*S9+20*S10))</f>
        <v>230</v>
      </c>
      <c r="S354" s="79">
        <v>32.950000000000003</v>
      </c>
      <c r="T354" s="80">
        <v>26.05</v>
      </c>
    </row>
    <row r="355" spans="2:20" ht="56">
      <c r="B355" s="5" t="s">
        <v>853</v>
      </c>
      <c r="C355" s="45" t="s">
        <v>135</v>
      </c>
      <c r="D355" s="45">
        <v>92008</v>
      </c>
      <c r="E355" s="6" t="s">
        <v>854</v>
      </c>
      <c r="F355" s="45" t="s">
        <v>210</v>
      </c>
      <c r="G355" s="46">
        <f t="shared" si="43"/>
        <v>230</v>
      </c>
      <c r="H355" s="46">
        <f>TRUNC(S355*(1-LOTE_03!$K$10),2)</f>
        <v>26.66</v>
      </c>
      <c r="I355" s="46">
        <f>TRUNC(T355*(1-LOTE_03!$K$10),2)</f>
        <v>20.440000000000001</v>
      </c>
      <c r="J355" s="100">
        <f t="shared" si="44"/>
        <v>0.22470000000000001</v>
      </c>
      <c r="K355" s="48">
        <f t="shared" si="38"/>
        <v>32.65</v>
      </c>
      <c r="L355" s="48">
        <f t="shared" si="39"/>
        <v>25.03</v>
      </c>
      <c r="M355" s="48">
        <f t="shared" si="40"/>
        <v>7509.5</v>
      </c>
      <c r="N355" s="48">
        <f t="shared" si="41"/>
        <v>5756.9</v>
      </c>
      <c r="O355" s="50">
        <f t="shared" si="42"/>
        <v>13266.4</v>
      </c>
      <c r="P355" s="50">
        <v>0</v>
      </c>
      <c r="Q355" s="76"/>
      <c r="R355" s="140">
        <f>IF((10*S9+20*S10)&gt;500,500,(10*S9+20*S10))</f>
        <v>230</v>
      </c>
      <c r="S355" s="79">
        <v>26.66</v>
      </c>
      <c r="T355" s="80">
        <v>20.440000000000001</v>
      </c>
    </row>
    <row r="356" spans="2:20" ht="56">
      <c r="B356" s="5" t="s">
        <v>855</v>
      </c>
      <c r="C356" s="45" t="s">
        <v>135</v>
      </c>
      <c r="D356" s="45">
        <v>92000</v>
      </c>
      <c r="E356" s="6" t="s">
        <v>856</v>
      </c>
      <c r="F356" s="45" t="s">
        <v>210</v>
      </c>
      <c r="G356" s="46">
        <f t="shared" si="43"/>
        <v>420</v>
      </c>
      <c r="H356" s="46">
        <f>TRUNC(S356*(1-LOTE_03!$K$10),2)</f>
        <v>16.809999999999999</v>
      </c>
      <c r="I356" s="46">
        <f>TRUNC(T356*(1-LOTE_03!$K$10),2)</f>
        <v>13.74</v>
      </c>
      <c r="J356" s="100">
        <f t="shared" si="44"/>
        <v>0.22470000000000001</v>
      </c>
      <c r="K356" s="48">
        <f t="shared" si="38"/>
        <v>20.58</v>
      </c>
      <c r="L356" s="48">
        <f t="shared" si="39"/>
        <v>16.82</v>
      </c>
      <c r="M356" s="48">
        <f t="shared" si="40"/>
        <v>8643.6</v>
      </c>
      <c r="N356" s="48">
        <f t="shared" si="41"/>
        <v>7064.4</v>
      </c>
      <c r="O356" s="50">
        <f t="shared" si="42"/>
        <v>15708</v>
      </c>
      <c r="P356" s="50">
        <v>0</v>
      </c>
      <c r="Q356" s="76"/>
      <c r="R356" s="140">
        <f>30*S9+30*S10</f>
        <v>420</v>
      </c>
      <c r="S356" s="79">
        <v>16.810000000000002</v>
      </c>
      <c r="T356" s="80">
        <v>13.74</v>
      </c>
    </row>
    <row r="357" spans="2:20" ht="42">
      <c r="B357" s="5" t="s">
        <v>857</v>
      </c>
      <c r="C357" s="45" t="s">
        <v>97</v>
      </c>
      <c r="D357" s="45" t="s">
        <v>858</v>
      </c>
      <c r="E357" s="6" t="s">
        <v>859</v>
      </c>
      <c r="F357" s="45" t="s">
        <v>104</v>
      </c>
      <c r="G357" s="46">
        <f t="shared" si="43"/>
        <v>600</v>
      </c>
      <c r="H357" s="46">
        <f>TRUNC(S357*(1-LOTE_03!$K$10),2)</f>
        <v>11.94</v>
      </c>
      <c r="I357" s="46">
        <f>TRUNC(T357*(1-LOTE_03!$K$10),2)</f>
        <v>21.37</v>
      </c>
      <c r="J357" s="100">
        <f t="shared" si="44"/>
        <v>0.22470000000000001</v>
      </c>
      <c r="K357" s="48">
        <f t="shared" si="38"/>
        <v>14.62</v>
      </c>
      <c r="L357" s="48">
        <f t="shared" si="39"/>
        <v>26.17</v>
      </c>
      <c r="M357" s="48">
        <f t="shared" si="40"/>
        <v>8772</v>
      </c>
      <c r="N357" s="48">
        <f t="shared" si="41"/>
        <v>15702</v>
      </c>
      <c r="O357" s="50">
        <f t="shared" si="42"/>
        <v>24474</v>
      </c>
      <c r="P357" s="50">
        <v>0</v>
      </c>
      <c r="Q357" s="76"/>
      <c r="R357" s="140">
        <f>30*S9+50*S10</f>
        <v>600</v>
      </c>
      <c r="S357" s="79">
        <v>11.94</v>
      </c>
      <c r="T357" s="80">
        <v>21.37</v>
      </c>
    </row>
    <row r="358" spans="2:20" ht="28">
      <c r="B358" s="5" t="s">
        <v>860</v>
      </c>
      <c r="C358" s="45" t="s">
        <v>97</v>
      </c>
      <c r="D358" s="45" t="s">
        <v>861</v>
      </c>
      <c r="E358" s="6" t="s">
        <v>862</v>
      </c>
      <c r="F358" s="45" t="s">
        <v>104</v>
      </c>
      <c r="G358" s="46">
        <f t="shared" si="43"/>
        <v>50</v>
      </c>
      <c r="H358" s="46">
        <f>TRUNC(S358*(1-LOTE_03!$K$10),2)</f>
        <v>29.47</v>
      </c>
      <c r="I358" s="46">
        <f>TRUNC(T358*(1-LOTE_03!$K$10),2)</f>
        <v>16.02</v>
      </c>
      <c r="J358" s="100">
        <f t="shared" si="44"/>
        <v>0.22470000000000001</v>
      </c>
      <c r="K358" s="48">
        <f t="shared" si="38"/>
        <v>36.090000000000003</v>
      </c>
      <c r="L358" s="48">
        <f t="shared" si="39"/>
        <v>19.61</v>
      </c>
      <c r="M358" s="48">
        <f t="shared" si="40"/>
        <v>1804.5</v>
      </c>
      <c r="N358" s="48">
        <f t="shared" si="41"/>
        <v>980.5</v>
      </c>
      <c r="O358" s="50">
        <f t="shared" si="42"/>
        <v>2785</v>
      </c>
      <c r="P358" s="50">
        <v>0</v>
      </c>
      <c r="Q358" s="76"/>
      <c r="R358" s="140">
        <f>IF((10*S9+10*S10)&gt;50,50,(10*S9+10*S10))</f>
        <v>50</v>
      </c>
      <c r="S358" s="79">
        <v>29.47</v>
      </c>
      <c r="T358" s="80">
        <v>16.02</v>
      </c>
    </row>
    <row r="359" spans="2:20" ht="84">
      <c r="B359" s="5" t="s">
        <v>863</v>
      </c>
      <c r="C359" s="45" t="s">
        <v>97</v>
      </c>
      <c r="D359" s="45" t="s">
        <v>864</v>
      </c>
      <c r="E359" s="6" t="s">
        <v>865</v>
      </c>
      <c r="F359" s="45" t="s">
        <v>104</v>
      </c>
      <c r="G359" s="46">
        <f t="shared" si="43"/>
        <v>200</v>
      </c>
      <c r="H359" s="46">
        <f>TRUNC(S359*(1-LOTE_03!$K$10),2)</f>
        <v>191.43</v>
      </c>
      <c r="I359" s="46">
        <f>TRUNC(T359*(1-LOTE_03!$K$10),2)</f>
        <v>32.049999999999997</v>
      </c>
      <c r="J359" s="100">
        <f t="shared" si="44"/>
        <v>0.22470000000000001</v>
      </c>
      <c r="K359" s="48">
        <f t="shared" si="38"/>
        <v>234.44</v>
      </c>
      <c r="L359" s="48">
        <f t="shared" si="39"/>
        <v>39.25</v>
      </c>
      <c r="M359" s="48">
        <f t="shared" si="40"/>
        <v>46888</v>
      </c>
      <c r="N359" s="48">
        <f t="shared" si="41"/>
        <v>7850</v>
      </c>
      <c r="O359" s="50">
        <f t="shared" si="42"/>
        <v>54738</v>
      </c>
      <c r="P359" s="50">
        <v>0</v>
      </c>
      <c r="Q359" s="76"/>
      <c r="R359" s="140">
        <f>IF((20*S9+20*S10)&gt;200,200,(20*S9+20*S10))</f>
        <v>200</v>
      </c>
      <c r="S359" s="79">
        <v>191.43</v>
      </c>
      <c r="T359" s="80">
        <v>32.049999999999997</v>
      </c>
    </row>
    <row r="360" spans="2:20" ht="98">
      <c r="B360" s="5" t="s">
        <v>866</v>
      </c>
      <c r="C360" s="45" t="s">
        <v>97</v>
      </c>
      <c r="D360" s="45" t="s">
        <v>867</v>
      </c>
      <c r="E360" s="6" t="s">
        <v>868</v>
      </c>
      <c r="F360" s="45" t="s">
        <v>104</v>
      </c>
      <c r="G360" s="46">
        <f t="shared" si="43"/>
        <v>28</v>
      </c>
      <c r="H360" s="46">
        <f>TRUNC(S360*(1-LOTE_03!$K$10),2)</f>
        <v>255.71</v>
      </c>
      <c r="I360" s="46">
        <f>TRUNC(T360*(1-LOTE_03!$K$10),2)</f>
        <v>73.09</v>
      </c>
      <c r="J360" s="100">
        <f t="shared" si="44"/>
        <v>0.22470000000000001</v>
      </c>
      <c r="K360" s="48">
        <f t="shared" si="38"/>
        <v>313.16000000000003</v>
      </c>
      <c r="L360" s="48">
        <f t="shared" si="39"/>
        <v>89.51</v>
      </c>
      <c r="M360" s="48">
        <f t="shared" si="40"/>
        <v>8768.48</v>
      </c>
      <c r="N360" s="48">
        <f t="shared" si="41"/>
        <v>2506.2800000000002</v>
      </c>
      <c r="O360" s="50">
        <f t="shared" si="42"/>
        <v>11274.76</v>
      </c>
      <c r="P360" s="50">
        <v>0</v>
      </c>
      <c r="Q360" s="76"/>
      <c r="R360" s="140">
        <f>IF((2*S9+2*S10)&gt;50,100,(2*S9+2*S10))</f>
        <v>28</v>
      </c>
      <c r="S360" s="79">
        <v>255.71</v>
      </c>
      <c r="T360" s="80">
        <v>73.09</v>
      </c>
    </row>
    <row r="361" spans="2:20" ht="56">
      <c r="B361" s="5" t="s">
        <v>869</v>
      </c>
      <c r="C361" s="45" t="s">
        <v>135</v>
      </c>
      <c r="D361" s="45">
        <v>97607</v>
      </c>
      <c r="E361" s="6" t="s">
        <v>870</v>
      </c>
      <c r="F361" s="45" t="s">
        <v>210</v>
      </c>
      <c r="G361" s="46">
        <f t="shared" si="43"/>
        <v>50</v>
      </c>
      <c r="H361" s="46">
        <f>TRUNC(S361*(1-LOTE_03!$K$10),2)</f>
        <v>77.88</v>
      </c>
      <c r="I361" s="46">
        <f>TRUNC(T361*(1-LOTE_03!$K$10),2)</f>
        <v>13.3</v>
      </c>
      <c r="J361" s="100">
        <f t="shared" si="44"/>
        <v>0.22470000000000001</v>
      </c>
      <c r="K361" s="48">
        <f t="shared" si="38"/>
        <v>95.37</v>
      </c>
      <c r="L361" s="48">
        <f t="shared" si="39"/>
        <v>16.28</v>
      </c>
      <c r="M361" s="48">
        <f t="shared" si="40"/>
        <v>4768.5</v>
      </c>
      <c r="N361" s="48">
        <f t="shared" si="41"/>
        <v>814</v>
      </c>
      <c r="O361" s="50">
        <f t="shared" si="42"/>
        <v>5582.5</v>
      </c>
      <c r="P361" s="50">
        <v>0</v>
      </c>
      <c r="Q361" s="76"/>
      <c r="R361" s="140">
        <f>IF((5*S9+5*S10)&gt;50,50,(5*S9+5*S10))</f>
        <v>50</v>
      </c>
      <c r="S361" s="79">
        <v>77.88000000000001</v>
      </c>
      <c r="T361" s="80">
        <v>13.3</v>
      </c>
    </row>
    <row r="362" spans="2:20" ht="28">
      <c r="B362" s="5" t="s">
        <v>871</v>
      </c>
      <c r="C362" s="45" t="s">
        <v>165</v>
      </c>
      <c r="D362" s="45" t="s">
        <v>872</v>
      </c>
      <c r="E362" s="6" t="s">
        <v>873</v>
      </c>
      <c r="F362" s="45" t="s">
        <v>559</v>
      </c>
      <c r="G362" s="46">
        <f t="shared" si="43"/>
        <v>50</v>
      </c>
      <c r="H362" s="46">
        <f>TRUNC(S362*(1-LOTE_03!$K$10),2)</f>
        <v>338.8</v>
      </c>
      <c r="I362" s="46">
        <f>TRUNC(T362*(1-LOTE_03!$K$10),2)</f>
        <v>47.83</v>
      </c>
      <c r="J362" s="100">
        <f t="shared" si="44"/>
        <v>0.22470000000000001</v>
      </c>
      <c r="K362" s="48">
        <f t="shared" si="38"/>
        <v>414.92</v>
      </c>
      <c r="L362" s="48">
        <f t="shared" si="39"/>
        <v>58.57</v>
      </c>
      <c r="M362" s="48">
        <f t="shared" si="40"/>
        <v>20746</v>
      </c>
      <c r="N362" s="48">
        <f t="shared" si="41"/>
        <v>2928.5</v>
      </c>
      <c r="O362" s="50">
        <f t="shared" si="42"/>
        <v>23674.5</v>
      </c>
      <c r="P362" s="50">
        <v>0</v>
      </c>
      <c r="Q362" s="76"/>
      <c r="R362" s="140">
        <f>IF((5*S9+5*S10)&gt;50,50,(5*S9+5*S10))</f>
        <v>50</v>
      </c>
      <c r="S362" s="79">
        <v>338.8</v>
      </c>
      <c r="T362" s="80">
        <v>47.83</v>
      </c>
    </row>
    <row r="363" spans="2:20" ht="42">
      <c r="B363" s="5" t="s">
        <v>874</v>
      </c>
      <c r="C363" s="45" t="s">
        <v>135</v>
      </c>
      <c r="D363" s="45">
        <v>100903</v>
      </c>
      <c r="E363" s="6" t="s">
        <v>875</v>
      </c>
      <c r="F363" s="45" t="s">
        <v>210</v>
      </c>
      <c r="G363" s="46">
        <f t="shared" si="43"/>
        <v>500</v>
      </c>
      <c r="H363" s="46">
        <f>TRUNC(S363*(1-LOTE_03!$K$10),2)</f>
        <v>17.37</v>
      </c>
      <c r="I363" s="46">
        <f>TRUNC(T363*(1-LOTE_03!$K$10),2)</f>
        <v>10.19</v>
      </c>
      <c r="J363" s="100">
        <f t="shared" si="44"/>
        <v>0.22470000000000001</v>
      </c>
      <c r="K363" s="48">
        <f t="shared" si="38"/>
        <v>21.27</v>
      </c>
      <c r="L363" s="48">
        <f t="shared" si="39"/>
        <v>12.47</v>
      </c>
      <c r="M363" s="48">
        <f t="shared" si="40"/>
        <v>10635</v>
      </c>
      <c r="N363" s="48">
        <f t="shared" si="41"/>
        <v>6235</v>
      </c>
      <c r="O363" s="50">
        <f t="shared" si="42"/>
        <v>16870</v>
      </c>
      <c r="P363" s="50">
        <v>0</v>
      </c>
      <c r="Q363" s="76"/>
      <c r="R363" s="140">
        <f>IF((100*S9+100*S10)&gt;500,500,(100*S9+100*S10))</f>
        <v>500</v>
      </c>
      <c r="S363" s="79">
        <v>17.369999999999997</v>
      </c>
      <c r="T363" s="80">
        <v>10.19</v>
      </c>
    </row>
    <row r="364" spans="2:20" ht="56">
      <c r="B364" s="5" t="s">
        <v>876</v>
      </c>
      <c r="C364" s="45" t="s">
        <v>135</v>
      </c>
      <c r="D364" s="45">
        <v>97599</v>
      </c>
      <c r="E364" s="6" t="s">
        <v>877</v>
      </c>
      <c r="F364" s="45" t="s">
        <v>210</v>
      </c>
      <c r="G364" s="46">
        <f t="shared" si="43"/>
        <v>100</v>
      </c>
      <c r="H364" s="46">
        <f>TRUNC(S364*(1-LOTE_03!$K$10),2)</f>
        <v>12.85</v>
      </c>
      <c r="I364" s="46">
        <f>TRUNC(T364*(1-LOTE_03!$K$10),2)</f>
        <v>4.28</v>
      </c>
      <c r="J364" s="100">
        <f t="shared" si="44"/>
        <v>0.22470000000000001</v>
      </c>
      <c r="K364" s="48">
        <f t="shared" si="38"/>
        <v>15.73</v>
      </c>
      <c r="L364" s="48">
        <f t="shared" si="39"/>
        <v>5.24</v>
      </c>
      <c r="M364" s="48">
        <f t="shared" si="40"/>
        <v>1573</v>
      </c>
      <c r="N364" s="48">
        <f t="shared" si="41"/>
        <v>524</v>
      </c>
      <c r="O364" s="50">
        <f t="shared" si="42"/>
        <v>2097</v>
      </c>
      <c r="P364" s="50">
        <v>0</v>
      </c>
      <c r="Q364" s="76"/>
      <c r="R364" s="140">
        <f>IF((20*S9+20*S10)&gt;100,100,(20*S9+20*S10))</f>
        <v>100</v>
      </c>
      <c r="S364" s="79">
        <v>12.849999999999998</v>
      </c>
      <c r="T364" s="80">
        <v>4.28</v>
      </c>
    </row>
    <row r="365" spans="2:20" ht="28">
      <c r="B365" s="5" t="s">
        <v>878</v>
      </c>
      <c r="C365" s="45" t="s">
        <v>97</v>
      </c>
      <c r="D365" s="45" t="s">
        <v>879</v>
      </c>
      <c r="E365" s="6" t="s">
        <v>880</v>
      </c>
      <c r="F365" s="45" t="s">
        <v>881</v>
      </c>
      <c r="G365" s="46">
        <f t="shared" si="43"/>
        <v>770</v>
      </c>
      <c r="H365" s="46">
        <f>TRUNC(S365*(1-LOTE_03!$K$10),2)</f>
        <v>114.72</v>
      </c>
      <c r="I365" s="46">
        <f>TRUNC(T365*(1-LOTE_03!$K$10),2)</f>
        <v>32.049999999999997</v>
      </c>
      <c r="J365" s="100">
        <f t="shared" si="44"/>
        <v>0.22470000000000001</v>
      </c>
      <c r="K365" s="48">
        <f t="shared" si="38"/>
        <v>140.49</v>
      </c>
      <c r="L365" s="48">
        <f t="shared" si="39"/>
        <v>39.25</v>
      </c>
      <c r="M365" s="48">
        <f t="shared" si="40"/>
        <v>108177.3</v>
      </c>
      <c r="N365" s="48">
        <f t="shared" si="41"/>
        <v>30222.5</v>
      </c>
      <c r="O365" s="50">
        <f t="shared" si="42"/>
        <v>138399.79999999999</v>
      </c>
      <c r="P365" s="50">
        <v>0</v>
      </c>
      <c r="Q365" s="76"/>
      <c r="R365" s="141">
        <f>(6+6+3+2+2+6+4+2+2+4+6+6+6)*(S9+S10)</f>
        <v>770</v>
      </c>
      <c r="S365" s="79">
        <v>114.72</v>
      </c>
      <c r="T365" s="80">
        <v>32.049999999999997</v>
      </c>
    </row>
    <row r="366" spans="2:20" ht="28">
      <c r="B366" s="5" t="s">
        <v>882</v>
      </c>
      <c r="C366" s="45" t="s">
        <v>97</v>
      </c>
      <c r="D366" s="45" t="s">
        <v>883</v>
      </c>
      <c r="E366" s="6" t="s">
        <v>884</v>
      </c>
      <c r="F366" s="45" t="s">
        <v>104</v>
      </c>
      <c r="G366" s="46">
        <f t="shared" si="43"/>
        <v>462</v>
      </c>
      <c r="H366" s="46">
        <f>TRUNC(S366*(1-LOTE_03!$K$10),2)</f>
        <v>113.72</v>
      </c>
      <c r="I366" s="46">
        <f>TRUNC(T366*(1-LOTE_03!$K$10),2)</f>
        <v>32.049999999999997</v>
      </c>
      <c r="J366" s="100">
        <f t="shared" si="44"/>
        <v>0.22470000000000001</v>
      </c>
      <c r="K366" s="48">
        <f t="shared" si="38"/>
        <v>139.27000000000001</v>
      </c>
      <c r="L366" s="48">
        <f t="shared" si="39"/>
        <v>39.25</v>
      </c>
      <c r="M366" s="48">
        <f t="shared" si="40"/>
        <v>64342.74</v>
      </c>
      <c r="N366" s="48">
        <f t="shared" si="41"/>
        <v>18133.5</v>
      </c>
      <c r="O366" s="50">
        <f t="shared" si="42"/>
        <v>82476.240000000005</v>
      </c>
      <c r="P366" s="50">
        <v>0</v>
      </c>
      <c r="Q366" s="76"/>
      <c r="R366" s="141">
        <f>(3+9+14+7)*(S9+S10)</f>
        <v>462</v>
      </c>
      <c r="S366" s="79">
        <v>113.72</v>
      </c>
      <c r="T366" s="80">
        <v>32.049999999999997</v>
      </c>
    </row>
    <row r="367" spans="2:20" ht="42">
      <c r="B367" s="5" t="s">
        <v>885</v>
      </c>
      <c r="C367" s="45" t="s">
        <v>97</v>
      </c>
      <c r="D367" s="45" t="s">
        <v>886</v>
      </c>
      <c r="E367" s="6" t="s">
        <v>887</v>
      </c>
      <c r="F367" s="45" t="s">
        <v>104</v>
      </c>
      <c r="G367" s="46">
        <f t="shared" si="43"/>
        <v>140</v>
      </c>
      <c r="H367" s="46">
        <f>TRUNC(S367*(1-LOTE_03!$K$10),2)</f>
        <v>113.72</v>
      </c>
      <c r="I367" s="46">
        <f>TRUNC(T367*(1-LOTE_03!$K$10),2)</f>
        <v>32.049999999999997</v>
      </c>
      <c r="J367" s="100">
        <f t="shared" si="44"/>
        <v>0.22470000000000001</v>
      </c>
      <c r="K367" s="48">
        <f t="shared" si="38"/>
        <v>139.27000000000001</v>
      </c>
      <c r="L367" s="48">
        <f t="shared" si="39"/>
        <v>39.25</v>
      </c>
      <c r="M367" s="48">
        <f t="shared" si="40"/>
        <v>19497.8</v>
      </c>
      <c r="N367" s="48">
        <f t="shared" si="41"/>
        <v>5495</v>
      </c>
      <c r="O367" s="50">
        <f t="shared" si="42"/>
        <v>24992.799999999999</v>
      </c>
      <c r="P367" s="50">
        <v>0</v>
      </c>
      <c r="Q367" s="76"/>
      <c r="R367" s="141">
        <f>10*(S9+S10)</f>
        <v>140</v>
      </c>
      <c r="S367" s="79">
        <v>113.72</v>
      </c>
      <c r="T367" s="80">
        <v>32.049999999999997</v>
      </c>
    </row>
    <row r="368" spans="2:20" ht="28">
      <c r="B368" s="5" t="s">
        <v>888</v>
      </c>
      <c r="C368" s="45" t="s">
        <v>97</v>
      </c>
      <c r="D368" s="45" t="s">
        <v>889</v>
      </c>
      <c r="E368" s="6" t="s">
        <v>890</v>
      </c>
      <c r="F368" s="45" t="s">
        <v>104</v>
      </c>
      <c r="G368" s="46">
        <f t="shared" si="43"/>
        <v>280</v>
      </c>
      <c r="H368" s="46">
        <f>TRUNC(S368*(1-LOTE_03!$K$10),2)</f>
        <v>2031.57</v>
      </c>
      <c r="I368" s="46">
        <f>TRUNC(T368*(1-LOTE_03!$K$10),2)</f>
        <v>35.619999999999997</v>
      </c>
      <c r="J368" s="100">
        <f t="shared" si="44"/>
        <v>0.22470000000000001</v>
      </c>
      <c r="K368" s="48">
        <f t="shared" si="38"/>
        <v>2488.06</v>
      </c>
      <c r="L368" s="48">
        <f t="shared" si="39"/>
        <v>43.62</v>
      </c>
      <c r="M368" s="48">
        <f t="shared" si="40"/>
        <v>696656.8</v>
      </c>
      <c r="N368" s="48">
        <f t="shared" si="41"/>
        <v>12213.6</v>
      </c>
      <c r="O368" s="50">
        <f t="shared" si="42"/>
        <v>708870.4</v>
      </c>
      <c r="P368" s="50">
        <v>0</v>
      </c>
      <c r="Q368" s="76"/>
      <c r="R368" s="141">
        <f>20*(S9+S10)</f>
        <v>280</v>
      </c>
      <c r="S368" s="79">
        <v>2031.57</v>
      </c>
      <c r="T368" s="80">
        <v>35.619999999999997</v>
      </c>
    </row>
    <row r="369" spans="2:20" ht="28">
      <c r="B369" s="5" t="s">
        <v>891</v>
      </c>
      <c r="C369" s="45" t="s">
        <v>97</v>
      </c>
      <c r="D369" s="45" t="s">
        <v>892</v>
      </c>
      <c r="E369" s="6" t="s">
        <v>893</v>
      </c>
      <c r="F369" s="45" t="s">
        <v>104</v>
      </c>
      <c r="G369" s="46">
        <f t="shared" si="43"/>
        <v>168</v>
      </c>
      <c r="H369" s="46">
        <f>TRUNC(S369*(1-LOTE_03!$K$10),2)</f>
        <v>1894.89</v>
      </c>
      <c r="I369" s="46">
        <f>TRUNC(T369*(1-LOTE_03!$K$10),2)</f>
        <v>35.619999999999997</v>
      </c>
      <c r="J369" s="100">
        <f t="shared" si="44"/>
        <v>0.22470000000000001</v>
      </c>
      <c r="K369" s="48">
        <f t="shared" si="38"/>
        <v>2320.67</v>
      </c>
      <c r="L369" s="48">
        <f t="shared" si="39"/>
        <v>43.62</v>
      </c>
      <c r="M369" s="48">
        <f t="shared" si="40"/>
        <v>389872.56</v>
      </c>
      <c r="N369" s="48">
        <f t="shared" si="41"/>
        <v>7328.16</v>
      </c>
      <c r="O369" s="50">
        <f t="shared" si="42"/>
        <v>397200.72</v>
      </c>
      <c r="P369" s="50">
        <v>0</v>
      </c>
      <c r="Q369" s="76"/>
      <c r="R369" s="141">
        <f>12*(S9+S10)</f>
        <v>168</v>
      </c>
      <c r="S369" s="79">
        <v>1894.89</v>
      </c>
      <c r="T369" s="80">
        <v>35.619999999999997</v>
      </c>
    </row>
    <row r="370" spans="2:20" ht="28">
      <c r="B370" s="5" t="s">
        <v>894</v>
      </c>
      <c r="C370" s="45" t="s">
        <v>97</v>
      </c>
      <c r="D370" s="45" t="s">
        <v>895</v>
      </c>
      <c r="E370" s="6" t="s">
        <v>896</v>
      </c>
      <c r="F370" s="45" t="s">
        <v>104</v>
      </c>
      <c r="G370" s="46">
        <f t="shared" si="43"/>
        <v>448</v>
      </c>
      <c r="H370" s="46">
        <f>TRUNC(S370*(1-LOTE_03!$K$10),2)</f>
        <v>864.72</v>
      </c>
      <c r="I370" s="46">
        <f>TRUNC(T370*(1-LOTE_03!$K$10),2)</f>
        <v>35.619999999999997</v>
      </c>
      <c r="J370" s="100">
        <f t="shared" si="44"/>
        <v>0.22470000000000001</v>
      </c>
      <c r="K370" s="48">
        <f t="shared" si="38"/>
        <v>1059.02</v>
      </c>
      <c r="L370" s="48">
        <f t="shared" si="39"/>
        <v>43.62</v>
      </c>
      <c r="M370" s="48">
        <f t="shared" si="40"/>
        <v>474440.96000000002</v>
      </c>
      <c r="N370" s="48">
        <f t="shared" si="41"/>
        <v>19541.759999999998</v>
      </c>
      <c r="O370" s="50">
        <f t="shared" si="42"/>
        <v>493982.71999999997</v>
      </c>
      <c r="P370" s="50">
        <v>0</v>
      </c>
      <c r="Q370" s="76"/>
      <c r="R370" s="141">
        <f>(19+13)*(S9+S10)</f>
        <v>448</v>
      </c>
      <c r="S370" s="79">
        <v>864.72</v>
      </c>
      <c r="T370" s="80">
        <v>35.619999999999997</v>
      </c>
    </row>
    <row r="371" spans="2:20" ht="56">
      <c r="B371" s="5" t="s">
        <v>897</v>
      </c>
      <c r="C371" s="45" t="s">
        <v>97</v>
      </c>
      <c r="D371" s="45" t="s">
        <v>898</v>
      </c>
      <c r="E371" s="6" t="s">
        <v>899</v>
      </c>
      <c r="F371" s="45" t="s">
        <v>104</v>
      </c>
      <c r="G371" s="46">
        <f t="shared" si="43"/>
        <v>200.9</v>
      </c>
      <c r="H371" s="46">
        <f>TRUNC(S371*(1-LOTE_03!$K$10),2)</f>
        <v>156.53</v>
      </c>
      <c r="I371" s="46">
        <f>TRUNC(T371*(1-LOTE_03!$K$10),2)</f>
        <v>39.18</v>
      </c>
      <c r="J371" s="100">
        <f t="shared" si="44"/>
        <v>0.22470000000000001</v>
      </c>
      <c r="K371" s="48">
        <f t="shared" si="38"/>
        <v>191.7</v>
      </c>
      <c r="L371" s="48">
        <f t="shared" si="39"/>
        <v>47.98</v>
      </c>
      <c r="M371" s="48">
        <f t="shared" si="40"/>
        <v>38512.53</v>
      </c>
      <c r="N371" s="48">
        <f t="shared" si="41"/>
        <v>9639.18</v>
      </c>
      <c r="O371" s="50">
        <f t="shared" si="42"/>
        <v>48151.71</v>
      </c>
      <c r="P371" s="50">
        <v>0</v>
      </c>
      <c r="Q371" s="76"/>
      <c r="R371" s="141">
        <f>(4+4.85+5.5)*(S9+S10)</f>
        <v>200.9</v>
      </c>
      <c r="S371" s="79">
        <v>156.53</v>
      </c>
      <c r="T371" s="80">
        <v>39.18</v>
      </c>
    </row>
    <row r="372" spans="2:20" ht="28">
      <c r="B372" s="5" t="s">
        <v>900</v>
      </c>
      <c r="C372" s="45" t="s">
        <v>97</v>
      </c>
      <c r="D372" s="45" t="s">
        <v>901</v>
      </c>
      <c r="E372" s="6" t="s">
        <v>902</v>
      </c>
      <c r="F372" s="45" t="s">
        <v>187</v>
      </c>
      <c r="G372" s="46">
        <f t="shared" si="43"/>
        <v>200.9</v>
      </c>
      <c r="H372" s="46">
        <f>TRUNC(S372*(1-LOTE_03!$K$10),2)</f>
        <v>56.82</v>
      </c>
      <c r="I372" s="46">
        <f>TRUNC(T372*(1-LOTE_03!$K$10),2)</f>
        <v>17.28</v>
      </c>
      <c r="J372" s="100">
        <f t="shared" si="44"/>
        <v>0.22470000000000001</v>
      </c>
      <c r="K372" s="48">
        <f t="shared" si="38"/>
        <v>69.58</v>
      </c>
      <c r="L372" s="48">
        <f t="shared" si="39"/>
        <v>21.16</v>
      </c>
      <c r="M372" s="48">
        <f t="shared" si="40"/>
        <v>13978.62</v>
      </c>
      <c r="N372" s="48">
        <f t="shared" si="41"/>
        <v>4251.04</v>
      </c>
      <c r="O372" s="50">
        <f t="shared" si="42"/>
        <v>18229.66</v>
      </c>
      <c r="P372" s="50">
        <v>0</v>
      </c>
      <c r="Q372" s="76"/>
      <c r="R372" s="141">
        <f>R371</f>
        <v>200.9</v>
      </c>
      <c r="S372" s="79">
        <v>56.82</v>
      </c>
      <c r="T372" s="80">
        <v>17.28</v>
      </c>
    </row>
    <row r="373" spans="2:20" ht="42">
      <c r="B373" s="5" t="s">
        <v>903</v>
      </c>
      <c r="C373" s="45" t="s">
        <v>97</v>
      </c>
      <c r="D373" s="45" t="s">
        <v>904</v>
      </c>
      <c r="E373" s="6" t="s">
        <v>905</v>
      </c>
      <c r="F373" s="45" t="s">
        <v>104</v>
      </c>
      <c r="G373" s="46">
        <f t="shared" si="43"/>
        <v>56</v>
      </c>
      <c r="H373" s="46">
        <f>TRUNC(S373*(1-LOTE_03!$K$10),2)</f>
        <v>262.11</v>
      </c>
      <c r="I373" s="46">
        <f>TRUNC(T373*(1-LOTE_03!$K$10),2)</f>
        <v>7.12</v>
      </c>
      <c r="J373" s="100">
        <f t="shared" si="44"/>
        <v>0.22470000000000001</v>
      </c>
      <c r="K373" s="48">
        <f t="shared" si="38"/>
        <v>321</v>
      </c>
      <c r="L373" s="48">
        <f t="shared" si="39"/>
        <v>8.7100000000000009</v>
      </c>
      <c r="M373" s="48">
        <f t="shared" si="40"/>
        <v>17976</v>
      </c>
      <c r="N373" s="48">
        <f t="shared" si="41"/>
        <v>487.76</v>
      </c>
      <c r="O373" s="50">
        <f t="shared" si="42"/>
        <v>18463.759999999998</v>
      </c>
      <c r="P373" s="50">
        <v>0</v>
      </c>
      <c r="Q373" s="76"/>
      <c r="R373" s="140">
        <f>4*S9+4*S10</f>
        <v>56</v>
      </c>
      <c r="S373" s="79">
        <v>262.11</v>
      </c>
      <c r="T373" s="80">
        <v>7.12</v>
      </c>
    </row>
    <row r="374" spans="2:20" ht="28">
      <c r="B374" s="5" t="s">
        <v>906</v>
      </c>
      <c r="C374" s="45" t="s">
        <v>97</v>
      </c>
      <c r="D374" s="45" t="s">
        <v>907</v>
      </c>
      <c r="E374" s="6" t="s">
        <v>908</v>
      </c>
      <c r="F374" s="45" t="s">
        <v>104</v>
      </c>
      <c r="G374" s="46">
        <f t="shared" si="43"/>
        <v>56</v>
      </c>
      <c r="H374" s="46">
        <f>TRUNC(S374*(1-LOTE_03!$K$10),2)</f>
        <v>235.11</v>
      </c>
      <c r="I374" s="46">
        <f>TRUNC(T374*(1-LOTE_03!$K$10),2)</f>
        <v>7.12</v>
      </c>
      <c r="J374" s="100">
        <f t="shared" si="44"/>
        <v>0.22470000000000001</v>
      </c>
      <c r="K374" s="48">
        <f t="shared" si="38"/>
        <v>287.93</v>
      </c>
      <c r="L374" s="48">
        <f t="shared" si="39"/>
        <v>8.7100000000000009</v>
      </c>
      <c r="M374" s="48">
        <f t="shared" si="40"/>
        <v>16124.08</v>
      </c>
      <c r="N374" s="48">
        <f t="shared" si="41"/>
        <v>487.76</v>
      </c>
      <c r="O374" s="50">
        <f t="shared" si="42"/>
        <v>16611.84</v>
      </c>
      <c r="P374" s="50">
        <v>0</v>
      </c>
      <c r="Q374" s="76"/>
      <c r="R374" s="140">
        <f>4*S9+4*S10</f>
        <v>56</v>
      </c>
      <c r="S374" s="79">
        <v>235.11</v>
      </c>
      <c r="T374" s="80">
        <v>7.12</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50">
        <v>0</v>
      </c>
      <c r="Q375" s="76"/>
      <c r="R375" s="154"/>
      <c r="S375" s="79" t="s">
        <v>22</v>
      </c>
      <c r="T375" s="80" t="s">
        <v>22</v>
      </c>
    </row>
    <row r="376" spans="2:20" ht="56">
      <c r="B376" s="5" t="s">
        <v>911</v>
      </c>
      <c r="C376" s="45" t="s">
        <v>135</v>
      </c>
      <c r="D376" s="45">
        <v>93661</v>
      </c>
      <c r="E376" s="6" t="s">
        <v>912</v>
      </c>
      <c r="F376" s="45" t="s">
        <v>210</v>
      </c>
      <c r="G376" s="46">
        <f t="shared" si="43"/>
        <v>28</v>
      </c>
      <c r="H376" s="46">
        <f>TRUNC(S376*(1-LOTE_03!$K$10),2)</f>
        <v>47.67</v>
      </c>
      <c r="I376" s="46">
        <f>TRUNC(T376*(1-LOTE_03!$K$10),2)</f>
        <v>2.5</v>
      </c>
      <c r="J376" s="100">
        <f t="shared" si="44"/>
        <v>0.22470000000000001</v>
      </c>
      <c r="K376" s="48">
        <f t="shared" si="38"/>
        <v>58.38</v>
      </c>
      <c r="L376" s="48">
        <f t="shared" si="39"/>
        <v>3.06</v>
      </c>
      <c r="M376" s="48">
        <f t="shared" si="40"/>
        <v>1634.64</v>
      </c>
      <c r="N376" s="48">
        <f t="shared" si="41"/>
        <v>85.68</v>
      </c>
      <c r="O376" s="50">
        <f t="shared" si="42"/>
        <v>1720.32</v>
      </c>
      <c r="P376" s="50">
        <v>0</v>
      </c>
      <c r="Q376" s="76"/>
      <c r="R376" s="140">
        <f>2*S9+2*S10</f>
        <v>28</v>
      </c>
      <c r="S376" s="79">
        <v>47.67</v>
      </c>
      <c r="T376" s="80">
        <v>2.5</v>
      </c>
    </row>
    <row r="377" spans="2:20" ht="56">
      <c r="B377" s="5" t="s">
        <v>913</v>
      </c>
      <c r="C377" s="45" t="s">
        <v>135</v>
      </c>
      <c r="D377" s="45">
        <v>93662</v>
      </c>
      <c r="E377" s="6" t="s">
        <v>914</v>
      </c>
      <c r="F377" s="45" t="s">
        <v>210</v>
      </c>
      <c r="G377" s="46">
        <f t="shared" si="43"/>
        <v>28</v>
      </c>
      <c r="H377" s="46">
        <f>TRUNC(S377*(1-LOTE_03!$K$10),2)</f>
        <v>48.72</v>
      </c>
      <c r="I377" s="46">
        <f>TRUNC(T377*(1-LOTE_03!$K$10),2)</f>
        <v>3.32</v>
      </c>
      <c r="J377" s="100">
        <f t="shared" si="44"/>
        <v>0.22470000000000001</v>
      </c>
      <c r="K377" s="48">
        <f t="shared" si="38"/>
        <v>59.66</v>
      </c>
      <c r="L377" s="48">
        <f t="shared" si="39"/>
        <v>4.0599999999999996</v>
      </c>
      <c r="M377" s="48">
        <f t="shared" si="40"/>
        <v>1670.48</v>
      </c>
      <c r="N377" s="48">
        <f t="shared" si="41"/>
        <v>113.68</v>
      </c>
      <c r="O377" s="50">
        <f t="shared" si="42"/>
        <v>1784.16</v>
      </c>
      <c r="P377" s="50">
        <v>0</v>
      </c>
      <c r="Q377" s="76"/>
      <c r="R377" s="140">
        <f>2*S9+2*S10</f>
        <v>28</v>
      </c>
      <c r="S377" s="79">
        <v>48.72</v>
      </c>
      <c r="T377" s="80">
        <v>3.32</v>
      </c>
    </row>
    <row r="378" spans="2:20" ht="56">
      <c r="B378" s="5" t="s">
        <v>915</v>
      </c>
      <c r="C378" s="45" t="s">
        <v>135</v>
      </c>
      <c r="D378" s="45">
        <v>93663</v>
      </c>
      <c r="E378" s="6" t="s">
        <v>916</v>
      </c>
      <c r="F378" s="45" t="s">
        <v>210</v>
      </c>
      <c r="G378" s="46">
        <f t="shared" si="43"/>
        <v>50</v>
      </c>
      <c r="H378" s="46">
        <f>TRUNC(S378*(1-LOTE_03!$K$10),2)</f>
        <v>49.28</v>
      </c>
      <c r="I378" s="46">
        <f>TRUNC(T378*(1-LOTE_03!$K$10),2)</f>
        <v>4.54</v>
      </c>
      <c r="J378" s="100">
        <f t="shared" si="44"/>
        <v>0.22470000000000001</v>
      </c>
      <c r="K378" s="48">
        <f t="shared" si="38"/>
        <v>60.35</v>
      </c>
      <c r="L378" s="48">
        <f t="shared" si="39"/>
        <v>5.56</v>
      </c>
      <c r="M378" s="48">
        <f t="shared" si="40"/>
        <v>3017.5</v>
      </c>
      <c r="N378" s="48">
        <f t="shared" si="41"/>
        <v>278</v>
      </c>
      <c r="O378" s="50">
        <f t="shared" si="42"/>
        <v>3295.5</v>
      </c>
      <c r="P378" s="50">
        <v>0</v>
      </c>
      <c r="Q378" s="76"/>
      <c r="R378" s="140">
        <f>IF((10*S9+10*S10)&gt;50,50,(10*S9+10*S10))</f>
        <v>50</v>
      </c>
      <c r="S378" s="79">
        <v>49.28</v>
      </c>
      <c r="T378" s="80">
        <v>4.54</v>
      </c>
    </row>
    <row r="379" spans="2:20" ht="56">
      <c r="B379" s="5" t="s">
        <v>917</v>
      </c>
      <c r="C379" s="45" t="s">
        <v>135</v>
      </c>
      <c r="D379" s="45">
        <v>101896</v>
      </c>
      <c r="E379" s="6" t="s">
        <v>918</v>
      </c>
      <c r="F379" s="45" t="s">
        <v>210</v>
      </c>
      <c r="G379" s="46">
        <f t="shared" si="43"/>
        <v>5</v>
      </c>
      <c r="H379" s="46">
        <f>TRUNC(S379*(1-LOTE_03!$K$10),2)</f>
        <v>518.80999999999995</v>
      </c>
      <c r="I379" s="46">
        <f>TRUNC(T379*(1-LOTE_03!$K$10),2)</f>
        <v>43.46</v>
      </c>
      <c r="J379" s="100">
        <f t="shared" si="44"/>
        <v>0.22470000000000001</v>
      </c>
      <c r="K379" s="48">
        <f t="shared" si="38"/>
        <v>635.38</v>
      </c>
      <c r="L379" s="48">
        <f t="shared" si="39"/>
        <v>53.22</v>
      </c>
      <c r="M379" s="48">
        <f t="shared" si="40"/>
        <v>3176.9</v>
      </c>
      <c r="N379" s="48">
        <f t="shared" si="41"/>
        <v>266.10000000000002</v>
      </c>
      <c r="O379" s="50">
        <f t="shared" si="42"/>
        <v>3443</v>
      </c>
      <c r="P379" s="50">
        <v>0</v>
      </c>
      <c r="Q379" s="76"/>
      <c r="R379" s="140">
        <f>IF((1*S9+1*S10)&gt;5,5,(1*S9+1*S10))</f>
        <v>5</v>
      </c>
      <c r="S379" s="79">
        <v>518.80999999999995</v>
      </c>
      <c r="T379" s="80">
        <v>43.46</v>
      </c>
    </row>
    <row r="380" spans="2:20" ht="42">
      <c r="B380" s="5" t="s">
        <v>919</v>
      </c>
      <c r="C380" s="45" t="s">
        <v>165</v>
      </c>
      <c r="D380" s="45" t="s">
        <v>920</v>
      </c>
      <c r="E380" s="6" t="s">
        <v>921</v>
      </c>
      <c r="F380" s="45" t="s">
        <v>559</v>
      </c>
      <c r="G380" s="46">
        <f t="shared" si="43"/>
        <v>5</v>
      </c>
      <c r="H380" s="46">
        <f>TRUNC(S380*(1-LOTE_03!$K$10),2)</f>
        <v>1395.79</v>
      </c>
      <c r="I380" s="46">
        <f>TRUNC(T380*(1-LOTE_03!$K$10),2)</f>
        <v>63.77</v>
      </c>
      <c r="J380" s="100">
        <f t="shared" si="44"/>
        <v>0.22470000000000001</v>
      </c>
      <c r="K380" s="48">
        <f t="shared" si="38"/>
        <v>1709.42</v>
      </c>
      <c r="L380" s="48">
        <f t="shared" si="39"/>
        <v>78.09</v>
      </c>
      <c r="M380" s="48">
        <f t="shared" si="40"/>
        <v>8547.1</v>
      </c>
      <c r="N380" s="48">
        <f t="shared" si="41"/>
        <v>390.45</v>
      </c>
      <c r="O380" s="50">
        <f t="shared" si="42"/>
        <v>8937.5499999999993</v>
      </c>
      <c r="P380" s="50">
        <v>0</v>
      </c>
      <c r="Q380" s="76"/>
      <c r="R380" s="140">
        <f>IF((1*S9+1*S10)&gt;5,5,(1*S9+1*S10))</f>
        <v>5</v>
      </c>
      <c r="S380" s="79">
        <v>1395.79</v>
      </c>
      <c r="T380" s="80">
        <v>63.77</v>
      </c>
    </row>
    <row r="381" spans="2:20" ht="56">
      <c r="B381" s="5" t="s">
        <v>922</v>
      </c>
      <c r="C381" s="45" t="s">
        <v>97</v>
      </c>
      <c r="D381" s="45" t="s">
        <v>923</v>
      </c>
      <c r="E381" s="6" t="s">
        <v>924</v>
      </c>
      <c r="F381" s="45" t="s">
        <v>925</v>
      </c>
      <c r="G381" s="46">
        <f t="shared" si="43"/>
        <v>200</v>
      </c>
      <c r="H381" s="46">
        <f>TRUNC(S381*(1-LOTE_03!$K$10),2)</f>
        <v>51.7</v>
      </c>
      <c r="I381" s="46">
        <f>TRUNC(T381*(1-LOTE_03!$K$10),2)</f>
        <v>10.68</v>
      </c>
      <c r="J381" s="100">
        <f t="shared" si="44"/>
        <v>0.22470000000000001</v>
      </c>
      <c r="K381" s="48">
        <f t="shared" si="38"/>
        <v>63.31</v>
      </c>
      <c r="L381" s="48">
        <f t="shared" si="39"/>
        <v>13.07</v>
      </c>
      <c r="M381" s="48">
        <f t="shared" si="40"/>
        <v>12662</v>
      </c>
      <c r="N381" s="48">
        <f t="shared" si="41"/>
        <v>2614</v>
      </c>
      <c r="O381" s="50">
        <f t="shared" si="42"/>
        <v>15276</v>
      </c>
      <c r="P381" s="50">
        <v>0</v>
      </c>
      <c r="Q381" s="76"/>
      <c r="R381" s="140">
        <f>IF((20*S9+20*S10)&gt;200,200,(20*S9+20*S10))</f>
        <v>200</v>
      </c>
      <c r="S381" s="79">
        <v>51.7</v>
      </c>
      <c r="T381" s="80">
        <v>10.68</v>
      </c>
    </row>
    <row r="382" spans="2:20" ht="70">
      <c r="B382" s="5" t="s">
        <v>926</v>
      </c>
      <c r="C382" s="45" t="s">
        <v>135</v>
      </c>
      <c r="D382" s="45">
        <v>91867</v>
      </c>
      <c r="E382" s="6" t="s">
        <v>927</v>
      </c>
      <c r="F382" s="45" t="s">
        <v>187</v>
      </c>
      <c r="G382" s="46">
        <f t="shared" si="43"/>
        <v>500</v>
      </c>
      <c r="H382" s="46">
        <f>TRUNC(S382*(1-LOTE_03!$K$10),2)</f>
        <v>7.12</v>
      </c>
      <c r="I382" s="46">
        <f>TRUNC(T382*(1-LOTE_03!$K$10),2)</f>
        <v>3.47</v>
      </c>
      <c r="J382" s="100">
        <f t="shared" si="44"/>
        <v>0.22470000000000001</v>
      </c>
      <c r="K382" s="48">
        <f t="shared" si="38"/>
        <v>8.7100000000000009</v>
      </c>
      <c r="L382" s="48">
        <f t="shared" si="39"/>
        <v>4.24</v>
      </c>
      <c r="M382" s="48">
        <f t="shared" si="40"/>
        <v>4355</v>
      </c>
      <c r="N382" s="48">
        <f t="shared" si="41"/>
        <v>2120</v>
      </c>
      <c r="O382" s="50">
        <f t="shared" si="42"/>
        <v>6475</v>
      </c>
      <c r="P382" s="50">
        <v>0</v>
      </c>
      <c r="Q382" s="76"/>
      <c r="R382" s="140">
        <f>IF((50*S9+50*S10)&gt;500,500,(50*S9+50*S10))</f>
        <v>500</v>
      </c>
      <c r="S382" s="79">
        <v>7.1199999999999992</v>
      </c>
      <c r="T382" s="80">
        <v>3.47</v>
      </c>
    </row>
    <row r="383" spans="2:20" ht="70">
      <c r="B383" s="5" t="s">
        <v>928</v>
      </c>
      <c r="C383" s="45" t="s">
        <v>135</v>
      </c>
      <c r="D383" s="45">
        <v>91864</v>
      </c>
      <c r="E383" s="6" t="s">
        <v>838</v>
      </c>
      <c r="F383" s="45" t="s">
        <v>187</v>
      </c>
      <c r="G383" s="46">
        <f t="shared" si="43"/>
        <v>100</v>
      </c>
      <c r="H383" s="46">
        <f>TRUNC(S383*(1-LOTE_03!$K$10),2)</f>
        <v>10.98</v>
      </c>
      <c r="I383" s="46">
        <f>TRUNC(T383*(1-LOTE_03!$K$10),2)</f>
        <v>5.13</v>
      </c>
      <c r="J383" s="100">
        <f t="shared" si="44"/>
        <v>0.22470000000000001</v>
      </c>
      <c r="K383" s="48">
        <f t="shared" si="38"/>
        <v>13.44</v>
      </c>
      <c r="L383" s="48">
        <f t="shared" si="39"/>
        <v>6.28</v>
      </c>
      <c r="M383" s="48">
        <f t="shared" si="40"/>
        <v>1344</v>
      </c>
      <c r="N383" s="48">
        <f t="shared" si="41"/>
        <v>628</v>
      </c>
      <c r="O383" s="50">
        <f t="shared" si="42"/>
        <v>1972</v>
      </c>
      <c r="P383" s="50">
        <v>0</v>
      </c>
      <c r="Q383" s="76"/>
      <c r="R383" s="140">
        <f>IF((20*S9+20*S10)&gt;100,100,(20*S9+20*S10))</f>
        <v>100</v>
      </c>
      <c r="S383" s="79">
        <v>10.98</v>
      </c>
      <c r="T383" s="80">
        <v>5.13</v>
      </c>
    </row>
    <row r="384" spans="2:20" ht="42">
      <c r="B384" s="5" t="s">
        <v>929</v>
      </c>
      <c r="C384" s="45" t="s">
        <v>165</v>
      </c>
      <c r="D384" s="45" t="s">
        <v>930</v>
      </c>
      <c r="E384" s="6" t="s">
        <v>931</v>
      </c>
      <c r="F384" s="45" t="s">
        <v>531</v>
      </c>
      <c r="G384" s="46">
        <f t="shared" si="43"/>
        <v>200</v>
      </c>
      <c r="H384" s="46">
        <f>TRUNC(S384*(1-LOTE_03!$K$10),2)</f>
        <v>46.69</v>
      </c>
      <c r="I384" s="46">
        <f>TRUNC(T384*(1-LOTE_03!$K$10),2)</f>
        <v>15.42</v>
      </c>
      <c r="J384" s="100">
        <f t="shared" si="44"/>
        <v>0.22470000000000001</v>
      </c>
      <c r="K384" s="48">
        <f t="shared" si="38"/>
        <v>57.18</v>
      </c>
      <c r="L384" s="48">
        <f t="shared" si="39"/>
        <v>18.88</v>
      </c>
      <c r="M384" s="48">
        <f t="shared" si="40"/>
        <v>11436</v>
      </c>
      <c r="N384" s="48">
        <f t="shared" si="41"/>
        <v>3776</v>
      </c>
      <c r="O384" s="50">
        <f t="shared" si="42"/>
        <v>15212</v>
      </c>
      <c r="P384" s="50">
        <v>0</v>
      </c>
      <c r="Q384" s="76"/>
      <c r="R384" s="140">
        <f>IF((20*S9+20*S10)&gt;200,200,(20*S9+20*S10))</f>
        <v>200</v>
      </c>
      <c r="S384" s="79">
        <v>46.69</v>
      </c>
      <c r="T384" s="80">
        <v>15.42</v>
      </c>
    </row>
    <row r="385" spans="2:20" ht="56">
      <c r="B385" s="5" t="s">
        <v>932</v>
      </c>
      <c r="C385" s="45" t="s">
        <v>135</v>
      </c>
      <c r="D385" s="45">
        <v>95778</v>
      </c>
      <c r="E385" s="6" t="s">
        <v>1814</v>
      </c>
      <c r="F385" s="45" t="s">
        <v>210</v>
      </c>
      <c r="G385" s="46">
        <f t="shared" si="43"/>
        <v>100</v>
      </c>
      <c r="H385" s="46">
        <f>TRUNC(S385*(1-LOTE_03!$K$10),2)</f>
        <v>23.37</v>
      </c>
      <c r="I385" s="46">
        <f>TRUNC(T385*(1-LOTE_03!$K$10),2)</f>
        <v>10.25</v>
      </c>
      <c r="J385" s="100">
        <f t="shared" si="44"/>
        <v>0.22470000000000001</v>
      </c>
      <c r="K385" s="48">
        <f t="shared" si="38"/>
        <v>28.62</v>
      </c>
      <c r="L385" s="48">
        <f t="shared" si="39"/>
        <v>12.55</v>
      </c>
      <c r="M385" s="48">
        <f t="shared" si="40"/>
        <v>2862</v>
      </c>
      <c r="N385" s="48">
        <f t="shared" si="41"/>
        <v>1255</v>
      </c>
      <c r="O385" s="50">
        <f t="shared" si="42"/>
        <v>4117</v>
      </c>
      <c r="P385" s="50">
        <v>0</v>
      </c>
      <c r="Q385" s="76"/>
      <c r="R385" s="140">
        <f>IF((10*S9+15*S10)&gt;100,100,(10*S9+15*S10))</f>
        <v>100</v>
      </c>
      <c r="S385" s="79">
        <v>23.369999999999997</v>
      </c>
      <c r="T385" s="80">
        <v>10.25</v>
      </c>
    </row>
    <row r="386" spans="2:20" ht="56">
      <c r="B386" s="5" t="s">
        <v>933</v>
      </c>
      <c r="C386" s="45" t="s">
        <v>135</v>
      </c>
      <c r="D386" s="45">
        <v>95780</v>
      </c>
      <c r="E386" s="6" t="s">
        <v>1815</v>
      </c>
      <c r="F386" s="45" t="s">
        <v>210</v>
      </c>
      <c r="G386" s="46">
        <f t="shared" si="43"/>
        <v>100</v>
      </c>
      <c r="H386" s="46">
        <f>TRUNC(S386*(1-LOTE_03!$K$10),2)</f>
        <v>25.77</v>
      </c>
      <c r="I386" s="46">
        <f>TRUNC(T386*(1-LOTE_03!$K$10),2)</f>
        <v>9.17</v>
      </c>
      <c r="J386" s="100">
        <f t="shared" si="44"/>
        <v>0.22470000000000001</v>
      </c>
      <c r="K386" s="48">
        <f t="shared" si="38"/>
        <v>31.56</v>
      </c>
      <c r="L386" s="48">
        <f t="shared" si="39"/>
        <v>11.23</v>
      </c>
      <c r="M386" s="48">
        <f t="shared" si="40"/>
        <v>3156</v>
      </c>
      <c r="N386" s="48">
        <f t="shared" si="41"/>
        <v>1123</v>
      </c>
      <c r="O386" s="50">
        <f t="shared" si="42"/>
        <v>4279</v>
      </c>
      <c r="P386" s="50">
        <v>0</v>
      </c>
      <c r="Q386" s="76"/>
      <c r="R386" s="140">
        <f>IF((10*S9+15*S10)&gt;100,100,(10*S9+15*S10))</f>
        <v>100</v>
      </c>
      <c r="S386" s="79">
        <v>25.769999999999996</v>
      </c>
      <c r="T386" s="80">
        <v>9.17</v>
      </c>
    </row>
    <row r="387" spans="2:20" ht="56">
      <c r="B387" s="5" t="s">
        <v>934</v>
      </c>
      <c r="C387" s="45" t="s">
        <v>135</v>
      </c>
      <c r="D387" s="45">
        <v>91944</v>
      </c>
      <c r="E387" s="6" t="s">
        <v>935</v>
      </c>
      <c r="F387" s="45" t="s">
        <v>210</v>
      </c>
      <c r="G387" s="46">
        <f t="shared" si="43"/>
        <v>100</v>
      </c>
      <c r="H387" s="46">
        <f>TRUNC(S387*(1-LOTE_03!$K$10),2)</f>
        <v>8.7100000000000009</v>
      </c>
      <c r="I387" s="46">
        <f>TRUNC(T387*(1-LOTE_03!$K$10),2)</f>
        <v>6.48</v>
      </c>
      <c r="J387" s="100">
        <f t="shared" si="44"/>
        <v>0.22470000000000001</v>
      </c>
      <c r="K387" s="48">
        <f t="shared" si="38"/>
        <v>10.66</v>
      </c>
      <c r="L387" s="48">
        <f t="shared" si="39"/>
        <v>7.93</v>
      </c>
      <c r="M387" s="48">
        <f t="shared" si="40"/>
        <v>1066</v>
      </c>
      <c r="N387" s="48">
        <f t="shared" si="41"/>
        <v>793</v>
      </c>
      <c r="O387" s="50">
        <f t="shared" si="42"/>
        <v>1859</v>
      </c>
      <c r="P387" s="50">
        <v>0</v>
      </c>
      <c r="Q387" s="76"/>
      <c r="R387" s="140">
        <f>IF((10*S9+15*S10)&gt;100,100,(10*S9+15*S10))</f>
        <v>100</v>
      </c>
      <c r="S387" s="79">
        <v>8.7099999999999991</v>
      </c>
      <c r="T387" s="80">
        <v>6.48</v>
      </c>
    </row>
    <row r="388" spans="2:20" ht="56">
      <c r="B388" s="5" t="s">
        <v>936</v>
      </c>
      <c r="C388" s="45" t="s">
        <v>135</v>
      </c>
      <c r="D388" s="45">
        <v>91926</v>
      </c>
      <c r="E388" s="6" t="s">
        <v>840</v>
      </c>
      <c r="F388" s="45" t="s">
        <v>187</v>
      </c>
      <c r="G388" s="46">
        <f t="shared" si="43"/>
        <v>4100</v>
      </c>
      <c r="H388" s="46">
        <f>TRUNC(S388*(1-LOTE_03!$K$10),2)</f>
        <v>3.91</v>
      </c>
      <c r="I388" s="46">
        <f>TRUNC(T388*(1-LOTE_03!$K$10),2)</f>
        <v>1.1100000000000001</v>
      </c>
      <c r="J388" s="100">
        <f t="shared" si="44"/>
        <v>0.22470000000000001</v>
      </c>
      <c r="K388" s="48">
        <f t="shared" si="38"/>
        <v>4.78</v>
      </c>
      <c r="L388" s="48">
        <f t="shared" si="39"/>
        <v>1.35</v>
      </c>
      <c r="M388" s="48">
        <f t="shared" si="40"/>
        <v>19598</v>
      </c>
      <c r="N388" s="48">
        <f t="shared" si="41"/>
        <v>5535</v>
      </c>
      <c r="O388" s="50">
        <f t="shared" si="42"/>
        <v>25133</v>
      </c>
      <c r="P388" s="50">
        <v>0</v>
      </c>
      <c r="Q388" s="76"/>
      <c r="R388" s="140">
        <f>100*S9+400*S10</f>
        <v>4100</v>
      </c>
      <c r="S388" s="79">
        <v>3.9099999999999993</v>
      </c>
      <c r="T388" s="80">
        <v>1.1100000000000001</v>
      </c>
    </row>
    <row r="389" spans="2:20" ht="56">
      <c r="B389" s="5" t="s">
        <v>937</v>
      </c>
      <c r="C389" s="45" t="s">
        <v>135</v>
      </c>
      <c r="D389" s="45">
        <v>91928</v>
      </c>
      <c r="E389" s="6" t="s">
        <v>844</v>
      </c>
      <c r="F389" s="45" t="s">
        <v>187</v>
      </c>
      <c r="G389" s="46">
        <f t="shared" si="43"/>
        <v>2300</v>
      </c>
      <c r="H389" s="46">
        <f>TRUNC(S389*(1-LOTE_03!$K$10),2)</f>
        <v>6.34</v>
      </c>
      <c r="I389" s="46">
        <f>TRUNC(T389*(1-LOTE_03!$K$10),2)</f>
        <v>1.5</v>
      </c>
      <c r="J389" s="100">
        <f t="shared" si="44"/>
        <v>0.22470000000000001</v>
      </c>
      <c r="K389" s="48">
        <f t="shared" si="38"/>
        <v>7.76</v>
      </c>
      <c r="L389" s="48">
        <f t="shared" si="39"/>
        <v>1.83</v>
      </c>
      <c r="M389" s="48">
        <f t="shared" si="40"/>
        <v>17848</v>
      </c>
      <c r="N389" s="48">
        <f t="shared" si="41"/>
        <v>4209</v>
      </c>
      <c r="O389" s="50">
        <f t="shared" si="42"/>
        <v>22057</v>
      </c>
      <c r="P389" s="50">
        <v>0</v>
      </c>
      <c r="Q389" s="76"/>
      <c r="R389" s="140">
        <f>100*S9+200*S10</f>
        <v>2300</v>
      </c>
      <c r="S389" s="79">
        <v>6.34</v>
      </c>
      <c r="T389" s="80">
        <v>1.5</v>
      </c>
    </row>
    <row r="390" spans="2:20" ht="56">
      <c r="B390" s="5" t="s">
        <v>938</v>
      </c>
      <c r="C390" s="45" t="s">
        <v>135</v>
      </c>
      <c r="D390" s="45">
        <v>91930</v>
      </c>
      <c r="E390" s="6" t="s">
        <v>939</v>
      </c>
      <c r="F390" s="45" t="s">
        <v>187</v>
      </c>
      <c r="G390" s="46">
        <f t="shared" si="43"/>
        <v>2050</v>
      </c>
      <c r="H390" s="46">
        <f>TRUNC(S390*(1-LOTE_03!$K$10),2)</f>
        <v>9.02</v>
      </c>
      <c r="I390" s="46">
        <f>TRUNC(T390*(1-LOTE_03!$K$10),2)</f>
        <v>1.97</v>
      </c>
      <c r="J390" s="100">
        <f t="shared" si="44"/>
        <v>0.22470000000000001</v>
      </c>
      <c r="K390" s="48">
        <f t="shared" si="38"/>
        <v>11.04</v>
      </c>
      <c r="L390" s="48">
        <f t="shared" si="39"/>
        <v>2.41</v>
      </c>
      <c r="M390" s="48">
        <f t="shared" si="40"/>
        <v>22632</v>
      </c>
      <c r="N390" s="48">
        <f t="shared" si="41"/>
        <v>4940.5</v>
      </c>
      <c r="O390" s="50">
        <f t="shared" si="42"/>
        <v>27572.5</v>
      </c>
      <c r="P390" s="50">
        <v>0</v>
      </c>
      <c r="Q390" s="76"/>
      <c r="R390" s="140">
        <f>50*S9+200*S10</f>
        <v>2050</v>
      </c>
      <c r="S390" s="79">
        <v>9.02</v>
      </c>
      <c r="T390" s="80">
        <v>1.97</v>
      </c>
    </row>
    <row r="391" spans="2:20" ht="42">
      <c r="B391" s="5" t="s">
        <v>940</v>
      </c>
      <c r="C391" s="45" t="s">
        <v>97</v>
      </c>
      <c r="D391" s="45" t="s">
        <v>904</v>
      </c>
      <c r="E391" s="6" t="s">
        <v>905</v>
      </c>
      <c r="F391" s="45" t="s">
        <v>104</v>
      </c>
      <c r="G391" s="46">
        <f t="shared" si="43"/>
        <v>56</v>
      </c>
      <c r="H391" s="46">
        <f>TRUNC(S391*(1-LOTE_03!$K$10),2)</f>
        <v>262.11</v>
      </c>
      <c r="I391" s="46">
        <f>TRUNC(T391*(1-LOTE_03!$K$10),2)</f>
        <v>7.12</v>
      </c>
      <c r="J391" s="100">
        <f t="shared" si="44"/>
        <v>0.22470000000000001</v>
      </c>
      <c r="K391" s="48">
        <f t="shared" si="38"/>
        <v>321</v>
      </c>
      <c r="L391" s="48">
        <f t="shared" si="39"/>
        <v>8.7100000000000009</v>
      </c>
      <c r="M391" s="48">
        <f t="shared" si="40"/>
        <v>17976</v>
      </c>
      <c r="N391" s="48">
        <f t="shared" si="41"/>
        <v>487.76</v>
      </c>
      <c r="O391" s="50">
        <f t="shared" si="42"/>
        <v>18463.759999999998</v>
      </c>
      <c r="P391" s="50">
        <v>0</v>
      </c>
      <c r="Q391" s="76"/>
      <c r="R391" s="140">
        <f>4*S9+4*S10</f>
        <v>56</v>
      </c>
      <c r="S391" s="79">
        <v>262.11</v>
      </c>
      <c r="T391" s="80">
        <v>7.12</v>
      </c>
    </row>
    <row r="392" spans="2:20" ht="28">
      <c r="B392" s="5" t="s">
        <v>941</v>
      </c>
      <c r="C392" s="45" t="s">
        <v>97</v>
      </c>
      <c r="D392" s="45" t="s">
        <v>907</v>
      </c>
      <c r="E392" s="6" t="s">
        <v>908</v>
      </c>
      <c r="F392" s="45" t="s">
        <v>104</v>
      </c>
      <c r="G392" s="46">
        <f t="shared" si="43"/>
        <v>28</v>
      </c>
      <c r="H392" s="46">
        <f>TRUNC(S392*(1-LOTE_03!$K$10),2)</f>
        <v>235.11</v>
      </c>
      <c r="I392" s="46">
        <f>TRUNC(T392*(1-LOTE_03!$K$10),2)</f>
        <v>7.12</v>
      </c>
      <c r="J392" s="100">
        <f t="shared" si="44"/>
        <v>0.22470000000000001</v>
      </c>
      <c r="K392" s="48">
        <f t="shared" si="38"/>
        <v>287.93</v>
      </c>
      <c r="L392" s="48">
        <f t="shared" si="39"/>
        <v>8.7100000000000009</v>
      </c>
      <c r="M392" s="48">
        <f t="shared" si="40"/>
        <v>8062.04</v>
      </c>
      <c r="N392" s="48">
        <f t="shared" si="41"/>
        <v>243.88</v>
      </c>
      <c r="O392" s="50">
        <f t="shared" si="42"/>
        <v>8305.92</v>
      </c>
      <c r="P392" s="50">
        <v>0</v>
      </c>
      <c r="Q392" s="76"/>
      <c r="R392" s="140">
        <f>2*S9+2*S10</f>
        <v>28</v>
      </c>
      <c r="S392" s="79">
        <v>235.11</v>
      </c>
      <c r="T392" s="80">
        <v>7.12</v>
      </c>
    </row>
    <row r="393" spans="2:20" ht="42">
      <c r="B393" s="5" t="s">
        <v>942</v>
      </c>
      <c r="C393" s="45" t="s">
        <v>135</v>
      </c>
      <c r="D393" s="45">
        <v>101903</v>
      </c>
      <c r="E393" s="6" t="s">
        <v>943</v>
      </c>
      <c r="F393" s="45" t="s">
        <v>210</v>
      </c>
      <c r="G393" s="46">
        <f t="shared" si="43"/>
        <v>28</v>
      </c>
      <c r="H393" s="46">
        <f>TRUNC(S393*(1-LOTE_03!$K$10),2)</f>
        <v>365.31</v>
      </c>
      <c r="I393" s="46">
        <f>TRUNC(T393*(1-LOTE_03!$K$10),2)</f>
        <v>8.2899999999999991</v>
      </c>
      <c r="J393" s="100">
        <f t="shared" si="44"/>
        <v>0.22470000000000001</v>
      </c>
      <c r="K393" s="48">
        <f t="shared" si="38"/>
        <v>447.39</v>
      </c>
      <c r="L393" s="48">
        <f t="shared" si="39"/>
        <v>10.15</v>
      </c>
      <c r="M393" s="48">
        <f t="shared" si="40"/>
        <v>12526.92</v>
      </c>
      <c r="N393" s="48">
        <f t="shared" si="41"/>
        <v>284.2</v>
      </c>
      <c r="O393" s="50">
        <f t="shared" si="42"/>
        <v>12811.12</v>
      </c>
      <c r="P393" s="50">
        <v>0</v>
      </c>
      <c r="Q393" s="76"/>
      <c r="R393" s="140">
        <f>2*S9+2*S10</f>
        <v>28</v>
      </c>
      <c r="S393" s="79">
        <v>365.31</v>
      </c>
      <c r="T393" s="80">
        <v>8.2899999999999991</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50">
        <v>0</v>
      </c>
      <c r="Q394" s="76"/>
      <c r="R394" s="154"/>
      <c r="S394" s="79" t="s">
        <v>22</v>
      </c>
      <c r="T394" s="80" t="s">
        <v>22</v>
      </c>
    </row>
    <row r="395" spans="2:20" ht="56">
      <c r="B395" s="5" t="s">
        <v>946</v>
      </c>
      <c r="C395" s="45" t="s">
        <v>135</v>
      </c>
      <c r="D395" s="45">
        <v>96984</v>
      </c>
      <c r="E395" s="6" t="s">
        <v>947</v>
      </c>
      <c r="F395" s="45" t="s">
        <v>210</v>
      </c>
      <c r="G395" s="46">
        <f t="shared" si="43"/>
        <v>140</v>
      </c>
      <c r="H395" s="46">
        <f>TRUNC(S395*(1-LOTE_03!$K$10),2)</f>
        <v>32.53</v>
      </c>
      <c r="I395" s="46">
        <f>TRUNC(T395*(1-LOTE_03!$K$10),2)</f>
        <v>27.38</v>
      </c>
      <c r="J395" s="100">
        <f t="shared" si="44"/>
        <v>0.22470000000000001</v>
      </c>
      <c r="K395" s="48">
        <f t="shared" si="38"/>
        <v>39.83</v>
      </c>
      <c r="L395" s="48">
        <f t="shared" si="39"/>
        <v>33.53</v>
      </c>
      <c r="M395" s="48">
        <f t="shared" si="40"/>
        <v>5576.2</v>
      </c>
      <c r="N395" s="48">
        <f t="shared" si="41"/>
        <v>4694.2</v>
      </c>
      <c r="O395" s="50">
        <f t="shared" si="42"/>
        <v>10270.4</v>
      </c>
      <c r="P395" s="50">
        <v>0</v>
      </c>
      <c r="Q395" s="76"/>
      <c r="R395" s="140">
        <f>10*S9+10*S10</f>
        <v>140</v>
      </c>
      <c r="S395" s="79">
        <v>32.53</v>
      </c>
      <c r="T395" s="80">
        <v>27.38</v>
      </c>
    </row>
    <row r="396" spans="2:20" ht="42">
      <c r="B396" s="5" t="s">
        <v>948</v>
      </c>
      <c r="C396" s="45" t="s">
        <v>97</v>
      </c>
      <c r="D396" s="45" t="s">
        <v>949</v>
      </c>
      <c r="E396" s="6" t="s">
        <v>950</v>
      </c>
      <c r="F396" s="45" t="s">
        <v>104</v>
      </c>
      <c r="G396" s="46">
        <f t="shared" si="43"/>
        <v>84</v>
      </c>
      <c r="H396" s="46">
        <f>TRUNC(S396*(1-LOTE_03!$K$10),2)</f>
        <v>3.45</v>
      </c>
      <c r="I396" s="46">
        <f>TRUNC(T396*(1-LOTE_03!$K$10),2)</f>
        <v>0.89</v>
      </c>
      <c r="J396" s="100">
        <f t="shared" si="44"/>
        <v>0.22470000000000001</v>
      </c>
      <c r="K396" s="48">
        <f t="shared" si="38"/>
        <v>4.22</v>
      </c>
      <c r="L396" s="48">
        <f t="shared" si="39"/>
        <v>1.08</v>
      </c>
      <c r="M396" s="48">
        <f t="shared" si="40"/>
        <v>354.48</v>
      </c>
      <c r="N396" s="48">
        <f t="shared" si="41"/>
        <v>90.72</v>
      </c>
      <c r="O396" s="50">
        <f t="shared" si="42"/>
        <v>445.2</v>
      </c>
      <c r="P396" s="50">
        <v>0</v>
      </c>
      <c r="Q396" s="76"/>
      <c r="R396" s="140">
        <f>6*S9+6*S10</f>
        <v>84</v>
      </c>
      <c r="S396" s="79">
        <v>3.45</v>
      </c>
      <c r="T396" s="80">
        <v>0.89</v>
      </c>
    </row>
    <row r="397" spans="2:20" ht="42">
      <c r="B397" s="5" t="s">
        <v>951</v>
      </c>
      <c r="C397" s="45" t="s">
        <v>135</v>
      </c>
      <c r="D397" s="45">
        <v>96985</v>
      </c>
      <c r="E397" s="6" t="s">
        <v>952</v>
      </c>
      <c r="F397" s="45" t="s">
        <v>210</v>
      </c>
      <c r="G397" s="46">
        <f t="shared" si="43"/>
        <v>140</v>
      </c>
      <c r="H397" s="46">
        <f>TRUNC(S397*(1-LOTE_03!$K$10),2)</f>
        <v>69.92</v>
      </c>
      <c r="I397" s="46">
        <f>TRUNC(T397*(1-LOTE_03!$K$10),2)</f>
        <v>9.1300000000000008</v>
      </c>
      <c r="J397" s="100">
        <f t="shared" si="44"/>
        <v>0.22470000000000001</v>
      </c>
      <c r="K397" s="48">
        <f t="shared" si="38"/>
        <v>85.63</v>
      </c>
      <c r="L397" s="48">
        <f t="shared" si="39"/>
        <v>11.18</v>
      </c>
      <c r="M397" s="48">
        <f t="shared" si="40"/>
        <v>11988.2</v>
      </c>
      <c r="N397" s="48">
        <f t="shared" si="41"/>
        <v>1565.2</v>
      </c>
      <c r="O397" s="50">
        <f t="shared" si="42"/>
        <v>13553.4</v>
      </c>
      <c r="P397" s="50">
        <v>0</v>
      </c>
      <c r="Q397" s="76"/>
      <c r="R397" s="140">
        <f>10*S9+10*S10</f>
        <v>140</v>
      </c>
      <c r="S397" s="79">
        <v>69.92</v>
      </c>
      <c r="T397" s="80">
        <v>9.1300000000000008</v>
      </c>
    </row>
    <row r="398" spans="2:20" ht="56">
      <c r="B398" s="5" t="s">
        <v>953</v>
      </c>
      <c r="C398" s="45" t="s">
        <v>135</v>
      </c>
      <c r="D398" s="45">
        <v>98111</v>
      </c>
      <c r="E398" s="6" t="s">
        <v>954</v>
      </c>
      <c r="F398" s="45" t="s">
        <v>210</v>
      </c>
      <c r="G398" s="46">
        <f t="shared" si="43"/>
        <v>42</v>
      </c>
      <c r="H398" s="46">
        <f>TRUNC(S398*(1-LOTE_03!$K$10),2)</f>
        <v>52.85</v>
      </c>
      <c r="I398" s="46">
        <f>TRUNC(T398*(1-LOTE_03!$K$10),2)</f>
        <v>6.25</v>
      </c>
      <c r="J398" s="100">
        <f t="shared" si="44"/>
        <v>0.22470000000000001</v>
      </c>
      <c r="K398" s="48">
        <f t="shared" si="38"/>
        <v>64.72</v>
      </c>
      <c r="L398" s="48">
        <f t="shared" si="39"/>
        <v>7.65</v>
      </c>
      <c r="M398" s="48">
        <f t="shared" si="40"/>
        <v>2718.24</v>
      </c>
      <c r="N398" s="48">
        <f t="shared" si="41"/>
        <v>321.3</v>
      </c>
      <c r="O398" s="50">
        <f t="shared" si="42"/>
        <v>3039.54</v>
      </c>
      <c r="P398" s="50">
        <v>0</v>
      </c>
      <c r="Q398" s="76"/>
      <c r="R398" s="140">
        <f>3*S9+3*S10</f>
        <v>42</v>
      </c>
      <c r="S398" s="79">
        <v>52.85</v>
      </c>
      <c r="T398" s="80">
        <v>6.25</v>
      </c>
    </row>
    <row r="399" spans="2:20" ht="28">
      <c r="B399" s="5" t="s">
        <v>955</v>
      </c>
      <c r="C399" s="45" t="s">
        <v>97</v>
      </c>
      <c r="D399" s="45" t="s">
        <v>956</v>
      </c>
      <c r="E399" s="6" t="s">
        <v>957</v>
      </c>
      <c r="F399" s="45" t="s">
        <v>187</v>
      </c>
      <c r="G399" s="46">
        <f t="shared" si="43"/>
        <v>700</v>
      </c>
      <c r="H399" s="46">
        <f>TRUNC(S399*(1-LOTE_03!$K$10),2)</f>
        <v>67.349999999999994</v>
      </c>
      <c r="I399" s="46">
        <f>TRUNC(T399*(1-LOTE_03!$K$10),2)</f>
        <v>3.56</v>
      </c>
      <c r="J399" s="100">
        <f t="shared" si="44"/>
        <v>0.22470000000000001</v>
      </c>
      <c r="K399" s="48">
        <f t="shared" si="38"/>
        <v>82.48</v>
      </c>
      <c r="L399" s="48">
        <f t="shared" si="39"/>
        <v>4.3499999999999996</v>
      </c>
      <c r="M399" s="48">
        <f t="shared" si="40"/>
        <v>57736</v>
      </c>
      <c r="N399" s="48">
        <f t="shared" si="41"/>
        <v>3045</v>
      </c>
      <c r="O399" s="50">
        <f t="shared" si="42"/>
        <v>60781</v>
      </c>
      <c r="P399" s="50">
        <v>0</v>
      </c>
      <c r="Q399" s="76"/>
      <c r="R399" s="140">
        <f>50*S9+50*S10</f>
        <v>700</v>
      </c>
      <c r="S399" s="79">
        <v>67.349999999999994</v>
      </c>
      <c r="T399" s="80">
        <v>3.56</v>
      </c>
    </row>
    <row r="400" spans="2:20" ht="42">
      <c r="B400" s="5" t="s">
        <v>958</v>
      </c>
      <c r="C400" s="45" t="s">
        <v>135</v>
      </c>
      <c r="D400" s="45">
        <v>96977</v>
      </c>
      <c r="E400" s="6" t="s">
        <v>959</v>
      </c>
      <c r="F400" s="45" t="s">
        <v>187</v>
      </c>
      <c r="G400" s="46">
        <f t="shared" si="43"/>
        <v>700</v>
      </c>
      <c r="H400" s="46">
        <f>TRUNC(S400*(1-LOTE_03!$K$10),2)</f>
        <v>69.510000000000005</v>
      </c>
      <c r="I400" s="46">
        <f>TRUNC(T400*(1-LOTE_03!$K$10),2)</f>
        <v>1.3</v>
      </c>
      <c r="J400" s="100">
        <f t="shared" si="44"/>
        <v>0.22470000000000001</v>
      </c>
      <c r="K400" s="48">
        <f t="shared" ref="K400:K463" si="45">TRUNC(H400*(1+J400),2)</f>
        <v>85.12</v>
      </c>
      <c r="L400" s="48">
        <f t="shared" ref="L400:L463" si="46">TRUNC(I400*(1+J400),2)</f>
        <v>1.59</v>
      </c>
      <c r="M400" s="48">
        <f t="shared" ref="M400:M463" si="47">TRUNC(K400*G400,2)</f>
        <v>59584</v>
      </c>
      <c r="N400" s="48">
        <f t="shared" ref="N400:N463" si="48">TRUNC(L400*G400,2)</f>
        <v>1113</v>
      </c>
      <c r="O400" s="50">
        <f t="shared" ref="O400:O463" si="49">TRUNC(M400+N400,2)</f>
        <v>60697</v>
      </c>
      <c r="P400" s="50">
        <v>0</v>
      </c>
      <c r="Q400" s="76"/>
      <c r="R400" s="140">
        <f>50*S9+50*S10</f>
        <v>700</v>
      </c>
      <c r="S400" s="79">
        <v>69.510000000000005</v>
      </c>
      <c r="T400" s="80">
        <v>1.3</v>
      </c>
    </row>
    <row r="401" spans="2:20" ht="28">
      <c r="B401" s="5" t="s">
        <v>960</v>
      </c>
      <c r="C401" s="45" t="s">
        <v>97</v>
      </c>
      <c r="D401" s="45" t="s">
        <v>961</v>
      </c>
      <c r="E401" s="6" t="s">
        <v>962</v>
      </c>
      <c r="F401" s="45" t="s">
        <v>187</v>
      </c>
      <c r="G401" s="46">
        <f t="shared" si="43"/>
        <v>2520</v>
      </c>
      <c r="H401" s="46">
        <f>TRUNC(S401*(1-LOTE_03!$K$10),2)</f>
        <v>13.73</v>
      </c>
      <c r="I401" s="46">
        <f>TRUNC(T401*(1-LOTE_03!$K$10),2)</f>
        <v>3.7</v>
      </c>
      <c r="J401" s="100">
        <f t="shared" si="44"/>
        <v>0.22470000000000001</v>
      </c>
      <c r="K401" s="48">
        <f t="shared" si="45"/>
        <v>16.809999999999999</v>
      </c>
      <c r="L401" s="48">
        <f t="shared" si="46"/>
        <v>4.53</v>
      </c>
      <c r="M401" s="48">
        <f t="shared" si="47"/>
        <v>42361.2</v>
      </c>
      <c r="N401" s="48">
        <f t="shared" si="48"/>
        <v>11415.6</v>
      </c>
      <c r="O401" s="50">
        <f t="shared" si="49"/>
        <v>53776.800000000003</v>
      </c>
      <c r="P401" s="50">
        <v>0</v>
      </c>
      <c r="Q401" s="76"/>
      <c r="R401" s="140">
        <f>60*3*S9+180*S10</f>
        <v>2520</v>
      </c>
      <c r="S401" s="79">
        <v>13.73</v>
      </c>
      <c r="T401" s="80">
        <v>3.7</v>
      </c>
    </row>
    <row r="402" spans="2:20" ht="42">
      <c r="B402" s="5" t="s">
        <v>963</v>
      </c>
      <c r="C402" s="45" t="s">
        <v>97</v>
      </c>
      <c r="D402" s="45" t="s">
        <v>964</v>
      </c>
      <c r="E402" s="6" t="s">
        <v>965</v>
      </c>
      <c r="F402" s="45" t="s">
        <v>104</v>
      </c>
      <c r="G402" s="46">
        <f t="shared" ref="G402:G465" si="50">TRUNC(R402,2)</f>
        <v>70</v>
      </c>
      <c r="H402" s="46">
        <f>TRUNC(S402*(1-LOTE_03!$K$10),2)</f>
        <v>17.079999999999998</v>
      </c>
      <c r="I402" s="46">
        <f>TRUNC(T402*(1-LOTE_03!$K$10),2)</f>
        <v>1.68</v>
      </c>
      <c r="J402" s="100">
        <f t="shared" ref="J402:J465" si="51">$J$4</f>
        <v>0.22470000000000001</v>
      </c>
      <c r="K402" s="48">
        <f t="shared" si="45"/>
        <v>20.91</v>
      </c>
      <c r="L402" s="48">
        <f t="shared" si="46"/>
        <v>2.0499999999999998</v>
      </c>
      <c r="M402" s="48">
        <f t="shared" si="47"/>
        <v>1463.7</v>
      </c>
      <c r="N402" s="48">
        <f t="shared" si="48"/>
        <v>143.5</v>
      </c>
      <c r="O402" s="50">
        <f t="shared" si="49"/>
        <v>1607.2</v>
      </c>
      <c r="P402" s="50">
        <v>0</v>
      </c>
      <c r="Q402" s="76"/>
      <c r="R402" s="140">
        <f>5*S9+5*S10</f>
        <v>70</v>
      </c>
      <c r="S402" s="79">
        <v>17.079999999999998</v>
      </c>
      <c r="T402" s="80">
        <v>1.68</v>
      </c>
    </row>
    <row r="403" spans="2:20" ht="28">
      <c r="B403" s="5" t="s">
        <v>966</v>
      </c>
      <c r="C403" s="45" t="s">
        <v>97</v>
      </c>
      <c r="D403" s="45" t="s">
        <v>967</v>
      </c>
      <c r="E403" s="6" t="s">
        <v>968</v>
      </c>
      <c r="F403" s="45" t="s">
        <v>104</v>
      </c>
      <c r="G403" s="46">
        <f t="shared" si="50"/>
        <v>140</v>
      </c>
      <c r="H403" s="46">
        <f>TRUNC(S403*(1-LOTE_03!$K$10),2)</f>
        <v>25.72</v>
      </c>
      <c r="I403" s="46">
        <f>TRUNC(T403*(1-LOTE_03!$K$10),2)</f>
        <v>28.49</v>
      </c>
      <c r="J403" s="100">
        <f t="shared" si="51"/>
        <v>0.22470000000000001</v>
      </c>
      <c r="K403" s="48">
        <f t="shared" si="45"/>
        <v>31.49</v>
      </c>
      <c r="L403" s="48">
        <f t="shared" si="46"/>
        <v>34.89</v>
      </c>
      <c r="M403" s="48">
        <f t="shared" si="47"/>
        <v>4408.6000000000004</v>
      </c>
      <c r="N403" s="48">
        <f t="shared" si="48"/>
        <v>4884.6000000000004</v>
      </c>
      <c r="O403" s="50">
        <f t="shared" si="49"/>
        <v>9293.2000000000007</v>
      </c>
      <c r="P403" s="50">
        <v>0</v>
      </c>
      <c r="Q403" s="76"/>
      <c r="R403" s="140">
        <f>10*S9+10*S10</f>
        <v>140</v>
      </c>
      <c r="S403" s="79">
        <v>25.72</v>
      </c>
      <c r="T403" s="80">
        <v>28.49</v>
      </c>
    </row>
    <row r="404" spans="2:20" ht="56">
      <c r="B404" s="5" t="s">
        <v>969</v>
      </c>
      <c r="C404" s="45" t="s">
        <v>97</v>
      </c>
      <c r="D404" s="45" t="s">
        <v>970</v>
      </c>
      <c r="E404" s="6" t="s">
        <v>971</v>
      </c>
      <c r="F404" s="45" t="s">
        <v>104</v>
      </c>
      <c r="G404" s="46">
        <f t="shared" si="50"/>
        <v>70</v>
      </c>
      <c r="H404" s="46">
        <f>TRUNC(S404*(1-LOTE_03!$K$10),2)</f>
        <v>129.13999999999999</v>
      </c>
      <c r="I404" s="46">
        <f>TRUNC(T404*(1-LOTE_03!$K$10),2)</f>
        <v>10.36</v>
      </c>
      <c r="J404" s="100">
        <f t="shared" si="51"/>
        <v>0.22470000000000001</v>
      </c>
      <c r="K404" s="48">
        <f t="shared" si="45"/>
        <v>158.15</v>
      </c>
      <c r="L404" s="48">
        <f t="shared" si="46"/>
        <v>12.68</v>
      </c>
      <c r="M404" s="48">
        <f t="shared" si="47"/>
        <v>11070.5</v>
      </c>
      <c r="N404" s="48">
        <f t="shared" si="48"/>
        <v>887.6</v>
      </c>
      <c r="O404" s="50">
        <f t="shared" si="49"/>
        <v>11958.1</v>
      </c>
      <c r="P404" s="50">
        <v>0</v>
      </c>
      <c r="Q404" s="76"/>
      <c r="R404" s="140">
        <f>5*S9+5*S10</f>
        <v>70</v>
      </c>
      <c r="S404" s="79">
        <v>129.13999999999999</v>
      </c>
      <c r="T404" s="80">
        <v>10.36</v>
      </c>
    </row>
    <row r="405" spans="2:20" ht="56">
      <c r="B405" s="5" t="s">
        <v>972</v>
      </c>
      <c r="C405" s="45" t="s">
        <v>97</v>
      </c>
      <c r="D405" s="45" t="s">
        <v>973</v>
      </c>
      <c r="E405" s="6" t="s">
        <v>974</v>
      </c>
      <c r="F405" s="45" t="s">
        <v>104</v>
      </c>
      <c r="G405" s="46">
        <f t="shared" si="50"/>
        <v>14</v>
      </c>
      <c r="H405" s="46">
        <f>TRUNC(S405*(1-LOTE_03!$K$10),2)</f>
        <v>87.21</v>
      </c>
      <c r="I405" s="46">
        <f>TRUNC(T405*(1-LOTE_03!$K$10),2)</f>
        <v>240.64</v>
      </c>
      <c r="J405" s="100">
        <f t="shared" si="51"/>
        <v>0.22470000000000001</v>
      </c>
      <c r="K405" s="48">
        <f t="shared" si="45"/>
        <v>106.8</v>
      </c>
      <c r="L405" s="48">
        <f t="shared" si="46"/>
        <v>294.70999999999998</v>
      </c>
      <c r="M405" s="48">
        <f t="shared" si="47"/>
        <v>1495.2</v>
      </c>
      <c r="N405" s="48">
        <f t="shared" si="48"/>
        <v>4125.9399999999996</v>
      </c>
      <c r="O405" s="50">
        <f t="shared" si="49"/>
        <v>5621.14</v>
      </c>
      <c r="P405" s="50">
        <v>0</v>
      </c>
      <c r="Q405" s="76"/>
      <c r="R405" s="140">
        <f>1*S9+1*S10</f>
        <v>14</v>
      </c>
      <c r="S405" s="79">
        <v>87.21</v>
      </c>
      <c r="T405" s="80">
        <v>240.64</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50">
        <v>0</v>
      </c>
      <c r="Q406" s="76"/>
      <c r="R406" s="154"/>
      <c r="S406" s="79" t="s">
        <v>22</v>
      </c>
      <c r="T406" s="80" t="s">
        <v>22</v>
      </c>
    </row>
    <row r="407" spans="2:20" ht="98">
      <c r="B407" s="5" t="s">
        <v>977</v>
      </c>
      <c r="C407" s="45" t="s">
        <v>97</v>
      </c>
      <c r="D407" s="45" t="s">
        <v>978</v>
      </c>
      <c r="E407" s="6" t="s">
        <v>979</v>
      </c>
      <c r="F407" s="45" t="s">
        <v>104</v>
      </c>
      <c r="G407" s="46">
        <f t="shared" si="50"/>
        <v>5</v>
      </c>
      <c r="H407" s="46">
        <f>TRUNC(S407*(1-LOTE_03!$K$10),2)</f>
        <v>3310.24</v>
      </c>
      <c r="I407" s="46">
        <f>TRUNC(T407*(1-LOTE_03!$K$10),2)</f>
        <v>427.44</v>
      </c>
      <c r="J407" s="100">
        <f t="shared" si="51"/>
        <v>0.22470000000000001</v>
      </c>
      <c r="K407" s="48">
        <f t="shared" si="45"/>
        <v>4054.05</v>
      </c>
      <c r="L407" s="48">
        <f t="shared" si="46"/>
        <v>523.48</v>
      </c>
      <c r="M407" s="48">
        <f t="shared" si="47"/>
        <v>20270.25</v>
      </c>
      <c r="N407" s="48">
        <f t="shared" si="48"/>
        <v>2617.4</v>
      </c>
      <c r="O407" s="50">
        <f t="shared" si="49"/>
        <v>22887.65</v>
      </c>
      <c r="P407" s="50">
        <v>0</v>
      </c>
      <c r="Q407" s="76"/>
      <c r="R407" s="140">
        <f>IF((1*S9+1*S10)&gt;5,5,(1*S9+1*S10))</f>
        <v>5</v>
      </c>
      <c r="S407" s="79">
        <v>3310.24</v>
      </c>
      <c r="T407" s="80">
        <v>427.44</v>
      </c>
    </row>
    <row r="408" spans="2:20" ht="56">
      <c r="B408" s="5" t="s">
        <v>980</v>
      </c>
      <c r="C408" s="45" t="s">
        <v>97</v>
      </c>
      <c r="D408" s="45" t="s">
        <v>981</v>
      </c>
      <c r="E408" s="6" t="s">
        <v>982</v>
      </c>
      <c r="F408" s="45" t="s">
        <v>104</v>
      </c>
      <c r="G408" s="46">
        <f t="shared" si="50"/>
        <v>14</v>
      </c>
      <c r="H408" s="46">
        <f>TRUNC(S408*(1-LOTE_03!$K$10),2)</f>
        <v>124.56</v>
      </c>
      <c r="I408" s="46">
        <f>TRUNC(T408*(1-LOTE_03!$K$10),2)</f>
        <v>284.95999999999998</v>
      </c>
      <c r="J408" s="100">
        <f t="shared" si="51"/>
        <v>0.22470000000000001</v>
      </c>
      <c r="K408" s="48">
        <f t="shared" si="45"/>
        <v>152.54</v>
      </c>
      <c r="L408" s="48">
        <f t="shared" si="46"/>
        <v>348.99</v>
      </c>
      <c r="M408" s="48">
        <f t="shared" si="47"/>
        <v>2135.56</v>
      </c>
      <c r="N408" s="48">
        <f t="shared" si="48"/>
        <v>4885.8599999999997</v>
      </c>
      <c r="O408" s="50">
        <f t="shared" si="49"/>
        <v>7021.42</v>
      </c>
      <c r="P408" s="50">
        <v>0</v>
      </c>
      <c r="Q408" s="76"/>
      <c r="R408" s="140">
        <f>1*S9+1*S10</f>
        <v>14</v>
      </c>
      <c r="S408" s="79">
        <v>124.56</v>
      </c>
      <c r="T408" s="80">
        <v>284.95999999999998</v>
      </c>
    </row>
    <row r="409" spans="2:20" ht="28">
      <c r="B409" s="5" t="s">
        <v>983</v>
      </c>
      <c r="C409" s="45" t="s">
        <v>97</v>
      </c>
      <c r="D409" s="45" t="s">
        <v>984</v>
      </c>
      <c r="E409" s="6" t="s">
        <v>985</v>
      </c>
      <c r="F409" s="45" t="s">
        <v>104</v>
      </c>
      <c r="G409" s="46">
        <f t="shared" si="50"/>
        <v>10</v>
      </c>
      <c r="H409" s="46">
        <f>TRUNC(S409*(1-LOTE_03!$K$10),2)</f>
        <v>124.56</v>
      </c>
      <c r="I409" s="46">
        <f>TRUNC(T409*(1-LOTE_03!$K$10),2)</f>
        <v>284.95999999999998</v>
      </c>
      <c r="J409" s="100">
        <f t="shared" si="51"/>
        <v>0.22470000000000001</v>
      </c>
      <c r="K409" s="48">
        <f t="shared" si="45"/>
        <v>152.54</v>
      </c>
      <c r="L409" s="48">
        <f t="shared" si="46"/>
        <v>348.99</v>
      </c>
      <c r="M409" s="48">
        <f t="shared" si="47"/>
        <v>1525.4</v>
      </c>
      <c r="N409" s="48">
        <f t="shared" si="48"/>
        <v>3489.9</v>
      </c>
      <c r="O409" s="50">
        <f t="shared" si="49"/>
        <v>5015.3</v>
      </c>
      <c r="P409" s="50">
        <v>0</v>
      </c>
      <c r="Q409" s="76"/>
      <c r="R409" s="140">
        <f>IF((1*S9+1*S10)&gt;10,10,(1*S9+1*S10))</f>
        <v>10</v>
      </c>
      <c r="S409" s="79">
        <v>124.56</v>
      </c>
      <c r="T409" s="80">
        <v>284.95999999999998</v>
      </c>
    </row>
    <row r="410" spans="2:20" ht="28">
      <c r="B410" s="5" t="s">
        <v>986</v>
      </c>
      <c r="C410" s="45" t="s">
        <v>97</v>
      </c>
      <c r="D410" s="45" t="s">
        <v>987</v>
      </c>
      <c r="E410" s="6" t="s">
        <v>988</v>
      </c>
      <c r="F410" s="45" t="s">
        <v>104</v>
      </c>
      <c r="G410" s="46">
        <f t="shared" si="50"/>
        <v>70</v>
      </c>
      <c r="H410" s="46">
        <f>TRUNC(S410*(1-LOTE_03!$K$10),2)</f>
        <v>165.57</v>
      </c>
      <c r="I410" s="46">
        <f>TRUNC(T410*(1-LOTE_03!$K$10),2)</f>
        <v>3.59</v>
      </c>
      <c r="J410" s="100">
        <f t="shared" si="51"/>
        <v>0.22470000000000001</v>
      </c>
      <c r="K410" s="48">
        <f t="shared" si="45"/>
        <v>202.77</v>
      </c>
      <c r="L410" s="48">
        <f t="shared" si="46"/>
        <v>4.3899999999999997</v>
      </c>
      <c r="M410" s="48">
        <f t="shared" si="47"/>
        <v>14193.9</v>
      </c>
      <c r="N410" s="48">
        <f t="shared" si="48"/>
        <v>307.3</v>
      </c>
      <c r="O410" s="50">
        <f t="shared" si="49"/>
        <v>14501.2</v>
      </c>
      <c r="P410" s="50">
        <v>0</v>
      </c>
      <c r="Q410" s="76"/>
      <c r="R410" s="140">
        <f>5*S9+5*S10</f>
        <v>70</v>
      </c>
      <c r="S410" s="79">
        <v>165.57</v>
      </c>
      <c r="T410" s="80">
        <v>3.59</v>
      </c>
    </row>
    <row r="411" spans="2:20" ht="28">
      <c r="B411" s="5" t="s">
        <v>989</v>
      </c>
      <c r="C411" s="45" t="s">
        <v>97</v>
      </c>
      <c r="D411" s="45" t="s">
        <v>990</v>
      </c>
      <c r="E411" s="6" t="s">
        <v>991</v>
      </c>
      <c r="F411" s="45" t="s">
        <v>104</v>
      </c>
      <c r="G411" s="46">
        <f t="shared" si="50"/>
        <v>70</v>
      </c>
      <c r="H411" s="46">
        <f>TRUNC(S411*(1-LOTE_03!$K$10),2)</f>
        <v>40.86</v>
      </c>
      <c r="I411" s="46">
        <f>TRUNC(T411*(1-LOTE_03!$K$10),2)</f>
        <v>28.26</v>
      </c>
      <c r="J411" s="100">
        <f t="shared" si="51"/>
        <v>0.22470000000000001</v>
      </c>
      <c r="K411" s="48">
        <f t="shared" si="45"/>
        <v>50.04</v>
      </c>
      <c r="L411" s="48">
        <f t="shared" si="46"/>
        <v>34.61</v>
      </c>
      <c r="M411" s="48">
        <f t="shared" si="47"/>
        <v>3502.8</v>
      </c>
      <c r="N411" s="48">
        <f t="shared" si="48"/>
        <v>2422.6999999999998</v>
      </c>
      <c r="O411" s="50">
        <f t="shared" si="49"/>
        <v>5925.5</v>
      </c>
      <c r="P411" s="50">
        <v>0</v>
      </c>
      <c r="Q411" s="76"/>
      <c r="R411" s="140">
        <f>5*S9+5*S10</f>
        <v>70</v>
      </c>
      <c r="S411" s="79">
        <v>40.86</v>
      </c>
      <c r="T411" s="80">
        <v>28.26</v>
      </c>
    </row>
    <row r="412" spans="2:20" ht="84">
      <c r="B412" s="5" t="s">
        <v>992</v>
      </c>
      <c r="C412" s="45" t="s">
        <v>135</v>
      </c>
      <c r="D412" s="45">
        <v>100561</v>
      </c>
      <c r="E412" s="6" t="s">
        <v>993</v>
      </c>
      <c r="F412" s="45" t="s">
        <v>210</v>
      </c>
      <c r="G412" s="46">
        <f t="shared" si="50"/>
        <v>10</v>
      </c>
      <c r="H412" s="46">
        <f>TRUNC(S412*(1-LOTE_03!$K$10),2)</f>
        <v>115.03</v>
      </c>
      <c r="I412" s="46">
        <f>TRUNC(T412*(1-LOTE_03!$K$10),2)</f>
        <v>32.89</v>
      </c>
      <c r="J412" s="100">
        <f t="shared" si="51"/>
        <v>0.22470000000000001</v>
      </c>
      <c r="K412" s="48">
        <f t="shared" si="45"/>
        <v>140.87</v>
      </c>
      <c r="L412" s="48">
        <f t="shared" si="46"/>
        <v>40.28</v>
      </c>
      <c r="M412" s="48">
        <f t="shared" si="47"/>
        <v>1408.7</v>
      </c>
      <c r="N412" s="48">
        <f t="shared" si="48"/>
        <v>402.8</v>
      </c>
      <c r="O412" s="50">
        <f t="shared" si="49"/>
        <v>1811.5</v>
      </c>
      <c r="P412" s="50">
        <v>0</v>
      </c>
      <c r="Q412" s="76"/>
      <c r="R412" s="140">
        <f>IF((1*S9+1*S10)&gt;10,10,(1*S9+1*S10))</f>
        <v>10</v>
      </c>
      <c r="S412" s="79">
        <v>115.02999999999999</v>
      </c>
      <c r="T412" s="80">
        <v>32.89</v>
      </c>
    </row>
    <row r="413" spans="2:20" ht="84">
      <c r="B413" s="5" t="s">
        <v>994</v>
      </c>
      <c r="C413" s="45" t="s">
        <v>135</v>
      </c>
      <c r="D413" s="45">
        <v>101875</v>
      </c>
      <c r="E413" s="6" t="s">
        <v>995</v>
      </c>
      <c r="F413" s="45" t="s">
        <v>210</v>
      </c>
      <c r="G413" s="46">
        <f t="shared" si="50"/>
        <v>10</v>
      </c>
      <c r="H413" s="46">
        <f>TRUNC(S413*(1-LOTE_03!$K$10),2)</f>
        <v>330.04</v>
      </c>
      <c r="I413" s="46">
        <f>TRUNC(T413*(1-LOTE_03!$K$10),2)</f>
        <v>57.83</v>
      </c>
      <c r="J413" s="100">
        <f t="shared" si="51"/>
        <v>0.22470000000000001</v>
      </c>
      <c r="K413" s="48">
        <f t="shared" si="45"/>
        <v>404.19</v>
      </c>
      <c r="L413" s="48">
        <f t="shared" si="46"/>
        <v>70.819999999999993</v>
      </c>
      <c r="M413" s="48">
        <f t="shared" si="47"/>
        <v>4041.9</v>
      </c>
      <c r="N413" s="48">
        <f t="shared" si="48"/>
        <v>708.2</v>
      </c>
      <c r="O413" s="50">
        <f t="shared" si="49"/>
        <v>4750.1000000000004</v>
      </c>
      <c r="P413" s="50">
        <v>0</v>
      </c>
      <c r="Q413" s="76"/>
      <c r="R413" s="140">
        <f>IF((1*S10+1*S9)&gt;10,10,(1*S10+1*S9))</f>
        <v>10</v>
      </c>
      <c r="S413" s="79">
        <v>330.04</v>
      </c>
      <c r="T413" s="80">
        <v>57.83</v>
      </c>
    </row>
    <row r="414" spans="2:20" ht="56">
      <c r="B414" s="5" t="s">
        <v>996</v>
      </c>
      <c r="C414" s="45" t="s">
        <v>97</v>
      </c>
      <c r="D414" s="45" t="s">
        <v>997</v>
      </c>
      <c r="E414" s="6" t="s">
        <v>998</v>
      </c>
      <c r="F414" s="45" t="s">
        <v>999</v>
      </c>
      <c r="G414" s="46">
        <f t="shared" si="50"/>
        <v>100</v>
      </c>
      <c r="H414" s="46">
        <f>TRUNC(S414*(1-LOTE_03!$K$10),2)</f>
        <v>376.56</v>
      </c>
      <c r="I414" s="46">
        <f>TRUNC(T414*(1-LOTE_03!$K$10),2)</f>
        <v>294.08</v>
      </c>
      <c r="J414" s="100">
        <f t="shared" si="51"/>
        <v>0.22470000000000001</v>
      </c>
      <c r="K414" s="48">
        <f t="shared" si="45"/>
        <v>461.17</v>
      </c>
      <c r="L414" s="48">
        <f t="shared" si="46"/>
        <v>360.15</v>
      </c>
      <c r="M414" s="48">
        <f t="shared" si="47"/>
        <v>46117</v>
      </c>
      <c r="N414" s="48">
        <f t="shared" si="48"/>
        <v>36015</v>
      </c>
      <c r="O414" s="50">
        <f t="shared" si="49"/>
        <v>82132</v>
      </c>
      <c r="P414" s="50">
        <v>0</v>
      </c>
      <c r="Q414" s="76"/>
      <c r="R414" s="140">
        <f>IF((5*S9+20*S10)&gt;100,100,(5*S9+20*S10))</f>
        <v>100</v>
      </c>
      <c r="S414" s="79">
        <v>376.56</v>
      </c>
      <c r="T414" s="80">
        <v>294.08</v>
      </c>
    </row>
    <row r="415" spans="2:20" ht="56">
      <c r="B415" s="5" t="s">
        <v>1000</v>
      </c>
      <c r="C415" s="45" t="s">
        <v>135</v>
      </c>
      <c r="D415" s="45">
        <v>98295</v>
      </c>
      <c r="E415" s="6" t="s">
        <v>1001</v>
      </c>
      <c r="F415" s="45" t="s">
        <v>187</v>
      </c>
      <c r="G415" s="46">
        <f t="shared" si="50"/>
        <v>11500</v>
      </c>
      <c r="H415" s="46">
        <f>TRUNC(S415*(1-LOTE_03!$K$10),2)</f>
        <v>6.92</v>
      </c>
      <c r="I415" s="46">
        <f>TRUNC(T415*(1-LOTE_03!$K$10),2)</f>
        <v>0.11</v>
      </c>
      <c r="J415" s="100">
        <f t="shared" si="51"/>
        <v>0.22470000000000001</v>
      </c>
      <c r="K415" s="48">
        <f t="shared" si="45"/>
        <v>8.4700000000000006</v>
      </c>
      <c r="L415" s="48">
        <f t="shared" si="46"/>
        <v>0.13</v>
      </c>
      <c r="M415" s="48">
        <f t="shared" si="47"/>
        <v>97405</v>
      </c>
      <c r="N415" s="48">
        <f t="shared" si="48"/>
        <v>1495</v>
      </c>
      <c r="O415" s="50">
        <f t="shared" si="49"/>
        <v>98900</v>
      </c>
      <c r="P415" s="50">
        <v>0</v>
      </c>
      <c r="Q415" s="76"/>
      <c r="R415" s="140">
        <f>IF((500*S9+1000*S10)&gt;15000,15000,(500*S9+1000*S10))</f>
        <v>11500</v>
      </c>
      <c r="S415" s="79">
        <v>6.92</v>
      </c>
      <c r="T415" s="80">
        <v>0.11</v>
      </c>
    </row>
    <row r="416" spans="2:20" ht="42">
      <c r="B416" s="5" t="s">
        <v>1002</v>
      </c>
      <c r="C416" s="45" t="s">
        <v>135</v>
      </c>
      <c r="D416" s="45">
        <v>98301</v>
      </c>
      <c r="E416" s="6" t="s">
        <v>1003</v>
      </c>
      <c r="F416" s="45" t="s">
        <v>210</v>
      </c>
      <c r="G416" s="46">
        <f t="shared" si="50"/>
        <v>70</v>
      </c>
      <c r="H416" s="46">
        <f>TRUNC(S416*(1-LOTE_03!$K$10),2)</f>
        <v>359.97</v>
      </c>
      <c r="I416" s="46">
        <f>TRUNC(T416*(1-LOTE_03!$K$10),2)</f>
        <v>192.89</v>
      </c>
      <c r="J416" s="100">
        <f t="shared" si="51"/>
        <v>0.22470000000000001</v>
      </c>
      <c r="K416" s="48">
        <f t="shared" si="45"/>
        <v>440.85</v>
      </c>
      <c r="L416" s="48">
        <f t="shared" si="46"/>
        <v>236.23</v>
      </c>
      <c r="M416" s="48">
        <f t="shared" si="47"/>
        <v>30859.5</v>
      </c>
      <c r="N416" s="48">
        <f t="shared" si="48"/>
        <v>16536.099999999999</v>
      </c>
      <c r="O416" s="50">
        <f t="shared" si="49"/>
        <v>47395.6</v>
      </c>
      <c r="P416" s="50">
        <v>0</v>
      </c>
      <c r="Q416" s="76"/>
      <c r="R416" s="140">
        <f>5*S9+5*S10</f>
        <v>70</v>
      </c>
      <c r="S416" s="79">
        <v>359.97</v>
      </c>
      <c r="T416" s="80">
        <v>192.89</v>
      </c>
    </row>
    <row r="417" spans="2:20" ht="28">
      <c r="B417" s="5" t="s">
        <v>1004</v>
      </c>
      <c r="C417" s="45" t="s">
        <v>97</v>
      </c>
      <c r="D417" s="45" t="s">
        <v>1005</v>
      </c>
      <c r="E417" s="6" t="s">
        <v>1006</v>
      </c>
      <c r="F417" s="45" t="s">
        <v>104</v>
      </c>
      <c r="G417" s="46">
        <f t="shared" si="50"/>
        <v>780</v>
      </c>
      <c r="H417" s="46">
        <f>TRUNC(S417*(1-LOTE_03!$K$10),2)</f>
        <v>28.89</v>
      </c>
      <c r="I417" s="46">
        <f>TRUNC(T417*(1-LOTE_03!$K$10),2)</f>
        <v>14.04</v>
      </c>
      <c r="J417" s="100">
        <f t="shared" si="51"/>
        <v>0.22470000000000001</v>
      </c>
      <c r="K417" s="48">
        <f t="shared" si="45"/>
        <v>35.380000000000003</v>
      </c>
      <c r="L417" s="48">
        <f t="shared" si="46"/>
        <v>17.190000000000001</v>
      </c>
      <c r="M417" s="48">
        <f t="shared" si="47"/>
        <v>27596.400000000001</v>
      </c>
      <c r="N417" s="48">
        <f t="shared" si="48"/>
        <v>13408.2</v>
      </c>
      <c r="O417" s="50">
        <f t="shared" si="49"/>
        <v>41004.6</v>
      </c>
      <c r="P417" s="50">
        <v>0</v>
      </c>
      <c r="Q417" s="76"/>
      <c r="R417" s="140">
        <f>30*S9+70*S10</f>
        <v>780</v>
      </c>
      <c r="S417" s="79">
        <v>28.89</v>
      </c>
      <c r="T417" s="80">
        <v>14.04</v>
      </c>
    </row>
    <row r="418" spans="2:20" ht="28">
      <c r="B418" s="5" t="s">
        <v>1007</v>
      </c>
      <c r="C418" s="45" t="s">
        <v>97</v>
      </c>
      <c r="D418" s="45" t="s">
        <v>1008</v>
      </c>
      <c r="E418" s="6" t="s">
        <v>1009</v>
      </c>
      <c r="F418" s="45" t="s">
        <v>104</v>
      </c>
      <c r="G418" s="46">
        <f t="shared" si="50"/>
        <v>780</v>
      </c>
      <c r="H418" s="46">
        <f>TRUNC(S418*(1-LOTE_03!$K$10),2)</f>
        <v>51.9</v>
      </c>
      <c r="I418" s="46">
        <f>TRUNC(T418*(1-LOTE_03!$K$10),2)</f>
        <v>14.04</v>
      </c>
      <c r="J418" s="100">
        <f t="shared" si="51"/>
        <v>0.22470000000000001</v>
      </c>
      <c r="K418" s="48">
        <f t="shared" si="45"/>
        <v>63.56</v>
      </c>
      <c r="L418" s="48">
        <f t="shared" si="46"/>
        <v>17.190000000000001</v>
      </c>
      <c r="M418" s="48">
        <f t="shared" si="47"/>
        <v>49576.800000000003</v>
      </c>
      <c r="N418" s="48">
        <f t="shared" si="48"/>
        <v>13408.2</v>
      </c>
      <c r="O418" s="50">
        <f t="shared" si="49"/>
        <v>62985</v>
      </c>
      <c r="P418" s="50">
        <v>0</v>
      </c>
      <c r="Q418" s="76"/>
      <c r="R418" s="140">
        <f>30*S9+70*S10</f>
        <v>780</v>
      </c>
      <c r="S418" s="79">
        <v>51.9</v>
      </c>
      <c r="T418" s="80">
        <v>14.04</v>
      </c>
    </row>
    <row r="419" spans="2:20" ht="28">
      <c r="B419" s="5" t="s">
        <v>1010</v>
      </c>
      <c r="C419" s="45" t="s">
        <v>97</v>
      </c>
      <c r="D419" s="45" t="s">
        <v>1011</v>
      </c>
      <c r="E419" s="6" t="s">
        <v>1012</v>
      </c>
      <c r="F419" s="45" t="s">
        <v>999</v>
      </c>
      <c r="G419" s="46">
        <f t="shared" si="50"/>
        <v>280</v>
      </c>
      <c r="H419" s="46">
        <f>TRUNC(S419*(1-LOTE_03!$K$10),2)</f>
        <v>41.08</v>
      </c>
      <c r="I419" s="46">
        <f>TRUNC(T419*(1-LOTE_03!$K$10),2)</f>
        <v>0.41</v>
      </c>
      <c r="J419" s="100">
        <f t="shared" si="51"/>
        <v>0.22470000000000001</v>
      </c>
      <c r="K419" s="48">
        <f t="shared" si="45"/>
        <v>50.31</v>
      </c>
      <c r="L419" s="48">
        <f t="shared" si="46"/>
        <v>0.5</v>
      </c>
      <c r="M419" s="48">
        <f t="shared" si="47"/>
        <v>14086.8</v>
      </c>
      <c r="N419" s="48">
        <f t="shared" si="48"/>
        <v>140</v>
      </c>
      <c r="O419" s="50">
        <f t="shared" si="49"/>
        <v>14226.8</v>
      </c>
      <c r="P419" s="50">
        <v>0</v>
      </c>
      <c r="Q419" s="76"/>
      <c r="R419" s="140">
        <f>20*S9+20*S10</f>
        <v>280</v>
      </c>
      <c r="S419" s="79">
        <v>41.08</v>
      </c>
      <c r="T419" s="80">
        <v>0.41</v>
      </c>
    </row>
    <row r="420" spans="2:20" ht="56">
      <c r="B420" s="5" t="s">
        <v>1013</v>
      </c>
      <c r="C420" s="45" t="s">
        <v>135</v>
      </c>
      <c r="D420" s="45">
        <v>98268</v>
      </c>
      <c r="E420" s="6" t="s">
        <v>1014</v>
      </c>
      <c r="F420" s="45" t="s">
        <v>187</v>
      </c>
      <c r="G420" s="46">
        <f t="shared" si="50"/>
        <v>410</v>
      </c>
      <c r="H420" s="46">
        <f>TRUNC(S420*(1-LOTE_03!$K$10),2)</f>
        <v>14.45</v>
      </c>
      <c r="I420" s="46">
        <f>TRUNC(T420*(1-LOTE_03!$K$10),2)</f>
        <v>4.05</v>
      </c>
      <c r="J420" s="100">
        <f t="shared" si="51"/>
        <v>0.22470000000000001</v>
      </c>
      <c r="K420" s="48">
        <f t="shared" si="45"/>
        <v>17.690000000000001</v>
      </c>
      <c r="L420" s="48">
        <f t="shared" si="46"/>
        <v>4.96</v>
      </c>
      <c r="M420" s="48">
        <f t="shared" si="47"/>
        <v>7252.9</v>
      </c>
      <c r="N420" s="48">
        <f t="shared" si="48"/>
        <v>2033.6</v>
      </c>
      <c r="O420" s="50">
        <f t="shared" si="49"/>
        <v>9286.5</v>
      </c>
      <c r="P420" s="50">
        <v>0</v>
      </c>
      <c r="Q420" s="76"/>
      <c r="R420" s="140">
        <f>10*S9+40*S10</f>
        <v>410</v>
      </c>
      <c r="S420" s="79">
        <v>14.45</v>
      </c>
      <c r="T420" s="80">
        <v>4.05</v>
      </c>
    </row>
    <row r="421" spans="2:20" ht="28">
      <c r="B421" s="5" t="s">
        <v>1015</v>
      </c>
      <c r="C421" s="45" t="s">
        <v>135</v>
      </c>
      <c r="D421" s="45">
        <v>98307</v>
      </c>
      <c r="E421" s="6" t="s">
        <v>1016</v>
      </c>
      <c r="F421" s="45" t="s">
        <v>210</v>
      </c>
      <c r="G421" s="46">
        <f t="shared" si="50"/>
        <v>780</v>
      </c>
      <c r="H421" s="46">
        <f>TRUNC(S421*(1-LOTE_03!$K$10),2)</f>
        <v>43.31</v>
      </c>
      <c r="I421" s="46">
        <f>TRUNC(T421*(1-LOTE_03!$K$10),2)</f>
        <v>9.5299999999999994</v>
      </c>
      <c r="J421" s="100">
        <f t="shared" si="51"/>
        <v>0.22470000000000001</v>
      </c>
      <c r="K421" s="48">
        <f t="shared" si="45"/>
        <v>53.04</v>
      </c>
      <c r="L421" s="48">
        <f t="shared" si="46"/>
        <v>11.67</v>
      </c>
      <c r="M421" s="48">
        <f t="shared" si="47"/>
        <v>41371.199999999997</v>
      </c>
      <c r="N421" s="48">
        <f t="shared" si="48"/>
        <v>9102.6</v>
      </c>
      <c r="O421" s="50">
        <f t="shared" si="49"/>
        <v>50473.8</v>
      </c>
      <c r="P421" s="50">
        <v>0</v>
      </c>
      <c r="Q421" s="76"/>
      <c r="R421" s="140">
        <f>30*S9+70*S10</f>
        <v>780</v>
      </c>
      <c r="S421" s="79">
        <v>43.31</v>
      </c>
      <c r="T421" s="80">
        <v>9.5299999999999994</v>
      </c>
    </row>
    <row r="422" spans="2:20" ht="28">
      <c r="B422" s="5" t="s">
        <v>1017</v>
      </c>
      <c r="C422" s="45" t="s">
        <v>97</v>
      </c>
      <c r="D422" s="45" t="s">
        <v>1018</v>
      </c>
      <c r="E422" s="6" t="s">
        <v>1019</v>
      </c>
      <c r="F422" s="45" t="s">
        <v>104</v>
      </c>
      <c r="G422" s="46">
        <f t="shared" si="50"/>
        <v>70</v>
      </c>
      <c r="H422" s="46">
        <f>TRUNC(S422*(1-LOTE_03!$K$10),2)</f>
        <v>210.49</v>
      </c>
      <c r="I422" s="46">
        <f>TRUNC(T422*(1-LOTE_03!$K$10),2)</f>
        <v>7.19</v>
      </c>
      <c r="J422" s="100">
        <f t="shared" si="51"/>
        <v>0.22470000000000001</v>
      </c>
      <c r="K422" s="48">
        <f t="shared" si="45"/>
        <v>257.77999999999997</v>
      </c>
      <c r="L422" s="48">
        <f t="shared" si="46"/>
        <v>8.8000000000000007</v>
      </c>
      <c r="M422" s="48">
        <f t="shared" si="47"/>
        <v>18044.599999999999</v>
      </c>
      <c r="N422" s="48">
        <f t="shared" si="48"/>
        <v>616</v>
      </c>
      <c r="O422" s="50">
        <f t="shared" si="49"/>
        <v>18660.599999999999</v>
      </c>
      <c r="P422" s="50">
        <v>0</v>
      </c>
      <c r="Q422" s="76"/>
      <c r="R422" s="140">
        <f>5*S9+5*S10</f>
        <v>70</v>
      </c>
      <c r="S422" s="79">
        <v>210.49</v>
      </c>
      <c r="T422" s="80">
        <v>7.19</v>
      </c>
    </row>
    <row r="423" spans="2:20" ht="56">
      <c r="B423" s="5" t="s">
        <v>1020</v>
      </c>
      <c r="C423" s="45" t="s">
        <v>135</v>
      </c>
      <c r="D423" s="45">
        <v>91941</v>
      </c>
      <c r="E423" s="6" t="s">
        <v>1021</v>
      </c>
      <c r="F423" s="45" t="s">
        <v>210</v>
      </c>
      <c r="G423" s="46">
        <f t="shared" si="50"/>
        <v>200</v>
      </c>
      <c r="H423" s="46">
        <f>TRUNC(S423*(1-LOTE_03!$K$10),2)</f>
        <v>5.82</v>
      </c>
      <c r="I423" s="46">
        <f>TRUNC(T423*(1-LOTE_03!$K$10),2)</f>
        <v>6.19</v>
      </c>
      <c r="J423" s="100">
        <f t="shared" si="51"/>
        <v>0.22470000000000001</v>
      </c>
      <c r="K423" s="48">
        <f t="shared" si="45"/>
        <v>7.12</v>
      </c>
      <c r="L423" s="48">
        <f t="shared" si="46"/>
        <v>7.58</v>
      </c>
      <c r="M423" s="48">
        <f t="shared" si="47"/>
        <v>1424</v>
      </c>
      <c r="N423" s="48">
        <f t="shared" si="48"/>
        <v>1516</v>
      </c>
      <c r="O423" s="50">
        <f t="shared" si="49"/>
        <v>2940</v>
      </c>
      <c r="P423" s="50">
        <v>0</v>
      </c>
      <c r="Q423" s="76"/>
      <c r="R423" s="140">
        <f>IF((10*S9+50*S10)&gt;200,200,(10*S9+50*S10))</f>
        <v>200</v>
      </c>
      <c r="S423" s="79">
        <v>5.8199999999999994</v>
      </c>
      <c r="T423" s="80">
        <v>6.19</v>
      </c>
    </row>
    <row r="424" spans="2:20" ht="56">
      <c r="B424" s="5" t="s">
        <v>1022</v>
      </c>
      <c r="C424" s="45" t="s">
        <v>135</v>
      </c>
      <c r="D424" s="45">
        <v>91944</v>
      </c>
      <c r="E424" s="6" t="s">
        <v>935</v>
      </c>
      <c r="F424" s="45" t="s">
        <v>210</v>
      </c>
      <c r="G424" s="46">
        <f t="shared" si="50"/>
        <v>200</v>
      </c>
      <c r="H424" s="46">
        <f>TRUNC(S424*(1-LOTE_03!$K$10),2)</f>
        <v>8.7100000000000009</v>
      </c>
      <c r="I424" s="46">
        <f>TRUNC(T424*(1-LOTE_03!$K$10),2)</f>
        <v>6.48</v>
      </c>
      <c r="J424" s="100">
        <f t="shared" si="51"/>
        <v>0.22470000000000001</v>
      </c>
      <c r="K424" s="48">
        <f t="shared" si="45"/>
        <v>10.66</v>
      </c>
      <c r="L424" s="48">
        <f t="shared" si="46"/>
        <v>7.93</v>
      </c>
      <c r="M424" s="48">
        <f t="shared" si="47"/>
        <v>2132</v>
      </c>
      <c r="N424" s="48">
        <f t="shared" si="48"/>
        <v>1586</v>
      </c>
      <c r="O424" s="50">
        <f t="shared" si="49"/>
        <v>3718</v>
      </c>
      <c r="P424" s="50">
        <v>0</v>
      </c>
      <c r="Q424" s="76"/>
      <c r="R424" s="140">
        <f>IF((10*S9+50*S10)&gt;200,200,(10*S9+50*S10))</f>
        <v>200</v>
      </c>
      <c r="S424" s="79">
        <v>8.7099999999999991</v>
      </c>
      <c r="T424" s="80">
        <v>6.48</v>
      </c>
    </row>
    <row r="425" spans="2:20" ht="70">
      <c r="B425" s="5" t="s">
        <v>1023</v>
      </c>
      <c r="C425" s="45" t="s">
        <v>135</v>
      </c>
      <c r="D425" s="45">
        <v>97887</v>
      </c>
      <c r="E425" s="6" t="s">
        <v>1024</v>
      </c>
      <c r="F425" s="45" t="s">
        <v>210</v>
      </c>
      <c r="G425" s="46">
        <f t="shared" si="50"/>
        <v>70</v>
      </c>
      <c r="H425" s="46">
        <f>TRUNC(S425*(1-LOTE_03!$K$10),2)</f>
        <v>159.66999999999999</v>
      </c>
      <c r="I425" s="46">
        <f>TRUNC(T425*(1-LOTE_03!$K$10),2)</f>
        <v>118.29</v>
      </c>
      <c r="J425" s="100">
        <f t="shared" si="51"/>
        <v>0.22470000000000001</v>
      </c>
      <c r="K425" s="48">
        <f t="shared" si="45"/>
        <v>195.54</v>
      </c>
      <c r="L425" s="48">
        <f t="shared" si="46"/>
        <v>144.86000000000001</v>
      </c>
      <c r="M425" s="48">
        <f t="shared" si="47"/>
        <v>13687.8</v>
      </c>
      <c r="N425" s="48">
        <f t="shared" si="48"/>
        <v>10140.200000000001</v>
      </c>
      <c r="O425" s="50">
        <f t="shared" si="49"/>
        <v>23828</v>
      </c>
      <c r="P425" s="50">
        <v>0</v>
      </c>
      <c r="Q425" s="76"/>
      <c r="R425" s="140">
        <f>5*S9+5*S10</f>
        <v>70</v>
      </c>
      <c r="S425" s="79">
        <v>159.66999999999996</v>
      </c>
      <c r="T425" s="80">
        <v>118.29</v>
      </c>
    </row>
    <row r="426" spans="2:20" ht="70">
      <c r="B426" s="5" t="s">
        <v>1025</v>
      </c>
      <c r="C426" s="45" t="s">
        <v>135</v>
      </c>
      <c r="D426" s="45">
        <v>93009</v>
      </c>
      <c r="E426" s="6" t="s">
        <v>1026</v>
      </c>
      <c r="F426" s="45" t="s">
        <v>187</v>
      </c>
      <c r="G426" s="46">
        <f t="shared" si="50"/>
        <v>500</v>
      </c>
      <c r="H426" s="46">
        <f>TRUNC(S426*(1-LOTE_03!$K$10),2)</f>
        <v>24.85</v>
      </c>
      <c r="I426" s="46">
        <f>TRUNC(T426*(1-LOTE_03!$K$10),2)</f>
        <v>4.8</v>
      </c>
      <c r="J426" s="100">
        <f t="shared" si="51"/>
        <v>0.22470000000000001</v>
      </c>
      <c r="K426" s="48">
        <f t="shared" si="45"/>
        <v>30.43</v>
      </c>
      <c r="L426" s="48">
        <f t="shared" si="46"/>
        <v>5.87</v>
      </c>
      <c r="M426" s="48">
        <f t="shared" si="47"/>
        <v>15215</v>
      </c>
      <c r="N426" s="48">
        <f t="shared" si="48"/>
        <v>2935</v>
      </c>
      <c r="O426" s="50">
        <f t="shared" si="49"/>
        <v>18150</v>
      </c>
      <c r="P426" s="50">
        <v>0</v>
      </c>
      <c r="Q426" s="76"/>
      <c r="R426" s="140">
        <f>10*S9+50*S10</f>
        <v>500</v>
      </c>
      <c r="S426" s="79">
        <v>24.849999999999998</v>
      </c>
      <c r="T426" s="80">
        <v>4.8</v>
      </c>
    </row>
    <row r="427" spans="2:20" ht="42">
      <c r="B427" s="5" t="s">
        <v>1027</v>
      </c>
      <c r="C427" s="45" t="s">
        <v>165</v>
      </c>
      <c r="D427" s="45" t="s">
        <v>1028</v>
      </c>
      <c r="E427" s="6" t="s">
        <v>1029</v>
      </c>
      <c r="F427" s="45" t="s">
        <v>531</v>
      </c>
      <c r="G427" s="46">
        <f t="shared" si="50"/>
        <v>115</v>
      </c>
      <c r="H427" s="46">
        <f>TRUNC(S427*(1-LOTE_03!$K$10),2)</f>
        <v>21.87</v>
      </c>
      <c r="I427" s="46">
        <f>TRUNC(T427*(1-LOTE_03!$K$10),2)</f>
        <v>23.91</v>
      </c>
      <c r="J427" s="100">
        <f t="shared" si="51"/>
        <v>0.22470000000000001</v>
      </c>
      <c r="K427" s="48">
        <f t="shared" si="45"/>
        <v>26.78</v>
      </c>
      <c r="L427" s="48">
        <f t="shared" si="46"/>
        <v>29.28</v>
      </c>
      <c r="M427" s="48">
        <f t="shared" si="47"/>
        <v>3079.7</v>
      </c>
      <c r="N427" s="48">
        <f t="shared" si="48"/>
        <v>3367.2</v>
      </c>
      <c r="O427" s="50">
        <f t="shared" si="49"/>
        <v>6446.9</v>
      </c>
      <c r="P427" s="50">
        <v>0</v>
      </c>
      <c r="Q427" s="76"/>
      <c r="R427" s="140">
        <f>5*S9+10*S10</f>
        <v>115</v>
      </c>
      <c r="S427" s="79">
        <v>21.87</v>
      </c>
      <c r="T427" s="80">
        <v>23.91</v>
      </c>
    </row>
    <row r="428" spans="2:20" ht="70">
      <c r="B428" s="5" t="s">
        <v>1030</v>
      </c>
      <c r="C428" s="45" t="s">
        <v>135</v>
      </c>
      <c r="D428" s="45">
        <v>91864</v>
      </c>
      <c r="E428" s="6" t="s">
        <v>838</v>
      </c>
      <c r="F428" s="45" t="s">
        <v>187</v>
      </c>
      <c r="G428" s="46">
        <f t="shared" si="50"/>
        <v>460</v>
      </c>
      <c r="H428" s="46">
        <f>TRUNC(S428*(1-LOTE_03!$K$10),2)</f>
        <v>10.98</v>
      </c>
      <c r="I428" s="46">
        <f>TRUNC(T428*(1-LOTE_03!$K$10),2)</f>
        <v>5.13</v>
      </c>
      <c r="J428" s="100">
        <f t="shared" si="51"/>
        <v>0.22470000000000001</v>
      </c>
      <c r="K428" s="48">
        <f t="shared" si="45"/>
        <v>13.44</v>
      </c>
      <c r="L428" s="48">
        <f t="shared" si="46"/>
        <v>6.28</v>
      </c>
      <c r="M428" s="48">
        <f t="shared" si="47"/>
        <v>6182.4</v>
      </c>
      <c r="N428" s="48">
        <f t="shared" si="48"/>
        <v>2888.8</v>
      </c>
      <c r="O428" s="50">
        <f t="shared" si="49"/>
        <v>9071.2000000000007</v>
      </c>
      <c r="P428" s="50">
        <v>0</v>
      </c>
      <c r="Q428" s="76"/>
      <c r="R428" s="140">
        <f>20*S9+40*S10</f>
        <v>460</v>
      </c>
      <c r="S428" s="79">
        <v>10.98</v>
      </c>
      <c r="T428" s="80">
        <v>5.13</v>
      </c>
    </row>
    <row r="429" spans="2:20" ht="70">
      <c r="B429" s="5" t="s">
        <v>1031</v>
      </c>
      <c r="C429" s="45" t="s">
        <v>135</v>
      </c>
      <c r="D429" s="45">
        <v>91867</v>
      </c>
      <c r="E429" s="6" t="s">
        <v>927</v>
      </c>
      <c r="F429" s="45" t="s">
        <v>187</v>
      </c>
      <c r="G429" s="46">
        <f t="shared" si="50"/>
        <v>70</v>
      </c>
      <c r="H429" s="46">
        <f>TRUNC(S429*(1-LOTE_03!$K$10),2)</f>
        <v>7.12</v>
      </c>
      <c r="I429" s="46">
        <f>TRUNC(T429*(1-LOTE_03!$K$10),2)</f>
        <v>3.47</v>
      </c>
      <c r="J429" s="100">
        <f t="shared" si="51"/>
        <v>0.22470000000000001</v>
      </c>
      <c r="K429" s="48">
        <f t="shared" si="45"/>
        <v>8.7100000000000009</v>
      </c>
      <c r="L429" s="48">
        <f t="shared" si="46"/>
        <v>4.24</v>
      </c>
      <c r="M429" s="48">
        <f t="shared" si="47"/>
        <v>609.70000000000005</v>
      </c>
      <c r="N429" s="48">
        <f t="shared" si="48"/>
        <v>296.8</v>
      </c>
      <c r="O429" s="50">
        <f t="shared" si="49"/>
        <v>906.5</v>
      </c>
      <c r="P429" s="50">
        <v>0</v>
      </c>
      <c r="Q429" s="76"/>
      <c r="R429" s="140">
        <f>5*S9+5*S10</f>
        <v>70</v>
      </c>
      <c r="S429" s="79">
        <v>7.1199999999999992</v>
      </c>
      <c r="T429" s="80">
        <v>3.47</v>
      </c>
    </row>
    <row r="430" spans="2:20" ht="42">
      <c r="B430" s="5" t="s">
        <v>1032</v>
      </c>
      <c r="C430" s="45" t="s">
        <v>165</v>
      </c>
      <c r="D430" s="45" t="s">
        <v>1033</v>
      </c>
      <c r="E430" s="6" t="s">
        <v>1034</v>
      </c>
      <c r="F430" s="45" t="s">
        <v>531</v>
      </c>
      <c r="G430" s="46">
        <f>IF($S$11=0,0,TRUNC(R430,2))</f>
        <v>260</v>
      </c>
      <c r="H430" s="46">
        <f>TRUNC(S430*(1-LOTE_03!$K$10),2)</f>
        <v>25.9</v>
      </c>
      <c r="I430" s="46">
        <f>TRUNC(T430*(1-LOTE_03!$K$10),2)</f>
        <v>15.94</v>
      </c>
      <c r="J430" s="100">
        <f t="shared" si="51"/>
        <v>0.22470000000000001</v>
      </c>
      <c r="K430" s="48">
        <f t="shared" si="45"/>
        <v>31.71</v>
      </c>
      <c r="L430" s="48">
        <f t="shared" si="46"/>
        <v>19.52</v>
      </c>
      <c r="M430" s="48">
        <f t="shared" si="47"/>
        <v>8244.6</v>
      </c>
      <c r="N430" s="48">
        <f t="shared" si="48"/>
        <v>5075.2</v>
      </c>
      <c r="O430" s="50">
        <f t="shared" si="49"/>
        <v>13319.8</v>
      </c>
      <c r="P430" s="50">
        <v>0</v>
      </c>
      <c r="Q430" s="76"/>
      <c r="R430" s="140">
        <f>5*S9+25*S10+10</f>
        <v>260</v>
      </c>
      <c r="S430" s="79">
        <v>25.9</v>
      </c>
      <c r="T430" s="80">
        <v>15.94</v>
      </c>
    </row>
    <row r="431" spans="2:20" ht="42">
      <c r="B431" s="5" t="s">
        <v>1035</v>
      </c>
      <c r="C431" s="45" t="s">
        <v>165</v>
      </c>
      <c r="D431" s="45" t="s">
        <v>1036</v>
      </c>
      <c r="E431" s="6" t="s">
        <v>1037</v>
      </c>
      <c r="F431" s="45" t="s">
        <v>531</v>
      </c>
      <c r="G431" s="46">
        <f t="shared" si="50"/>
        <v>115</v>
      </c>
      <c r="H431" s="46">
        <f>TRUNC(S431*(1-LOTE_03!$K$10),2)</f>
        <v>19.43</v>
      </c>
      <c r="I431" s="46">
        <f>TRUNC(T431*(1-LOTE_03!$K$10),2)</f>
        <v>15.94</v>
      </c>
      <c r="J431" s="100">
        <f t="shared" si="51"/>
        <v>0.22470000000000001</v>
      </c>
      <c r="K431" s="48">
        <f t="shared" si="45"/>
        <v>23.79</v>
      </c>
      <c r="L431" s="48">
        <f t="shared" si="46"/>
        <v>19.52</v>
      </c>
      <c r="M431" s="48">
        <f t="shared" si="47"/>
        <v>2735.85</v>
      </c>
      <c r="N431" s="48">
        <f t="shared" si="48"/>
        <v>2244.8000000000002</v>
      </c>
      <c r="O431" s="50">
        <f t="shared" si="49"/>
        <v>4980.6499999999996</v>
      </c>
      <c r="P431" s="50">
        <v>0</v>
      </c>
      <c r="Q431" s="76"/>
      <c r="R431" s="140">
        <f>5*S9+10*S10</f>
        <v>115</v>
      </c>
      <c r="S431" s="79">
        <v>19.43</v>
      </c>
      <c r="T431" s="80">
        <v>15.94</v>
      </c>
    </row>
    <row r="432" spans="2:20" ht="56">
      <c r="B432" s="5" t="s">
        <v>1038</v>
      </c>
      <c r="C432" s="45" t="s">
        <v>97</v>
      </c>
      <c r="D432" s="45" t="s">
        <v>1039</v>
      </c>
      <c r="E432" s="6" t="s">
        <v>1040</v>
      </c>
      <c r="F432" s="45" t="s">
        <v>925</v>
      </c>
      <c r="G432" s="46">
        <f t="shared" si="50"/>
        <v>205</v>
      </c>
      <c r="H432" s="46">
        <f>TRUNC(S432*(1-LOTE_03!$K$10),2)</f>
        <v>33.78</v>
      </c>
      <c r="I432" s="46">
        <f>TRUNC(T432*(1-LOTE_03!$K$10),2)</f>
        <v>17.809999999999999</v>
      </c>
      <c r="J432" s="100">
        <f t="shared" si="51"/>
        <v>0.22470000000000001</v>
      </c>
      <c r="K432" s="48">
        <f t="shared" si="45"/>
        <v>41.37</v>
      </c>
      <c r="L432" s="48">
        <f t="shared" si="46"/>
        <v>21.81</v>
      </c>
      <c r="M432" s="48">
        <f t="shared" si="47"/>
        <v>8480.85</v>
      </c>
      <c r="N432" s="48">
        <f t="shared" si="48"/>
        <v>4471.05</v>
      </c>
      <c r="O432" s="50">
        <f t="shared" si="49"/>
        <v>12951.9</v>
      </c>
      <c r="P432" s="50">
        <v>0</v>
      </c>
      <c r="Q432" s="76"/>
      <c r="R432" s="140">
        <f>5*S9+20*S10</f>
        <v>205</v>
      </c>
      <c r="S432" s="79">
        <v>33.78</v>
      </c>
      <c r="T432" s="80">
        <v>17.809999999999999</v>
      </c>
    </row>
    <row r="433" spans="2:20" ht="42">
      <c r="B433" s="5" t="s">
        <v>1041</v>
      </c>
      <c r="C433" s="45" t="s">
        <v>165</v>
      </c>
      <c r="D433" s="45" t="s">
        <v>1042</v>
      </c>
      <c r="E433" s="6" t="s">
        <v>1043</v>
      </c>
      <c r="F433" s="45" t="s">
        <v>531</v>
      </c>
      <c r="G433" s="46">
        <f t="shared" si="50"/>
        <v>70</v>
      </c>
      <c r="H433" s="46">
        <f>TRUNC(S433*(1-LOTE_03!$K$10),2)</f>
        <v>46.68</v>
      </c>
      <c r="I433" s="46">
        <f>TRUNC(T433*(1-LOTE_03!$K$10),2)</f>
        <v>15.42</v>
      </c>
      <c r="J433" s="100">
        <f t="shared" si="51"/>
        <v>0.22470000000000001</v>
      </c>
      <c r="K433" s="48">
        <f t="shared" si="45"/>
        <v>57.16</v>
      </c>
      <c r="L433" s="48">
        <f t="shared" si="46"/>
        <v>18.88</v>
      </c>
      <c r="M433" s="48">
        <f t="shared" si="47"/>
        <v>4001.2</v>
      </c>
      <c r="N433" s="48">
        <f t="shared" si="48"/>
        <v>1321.6</v>
      </c>
      <c r="O433" s="50">
        <f t="shared" si="49"/>
        <v>5322.8</v>
      </c>
      <c r="P433" s="50">
        <v>0</v>
      </c>
      <c r="Q433" s="76"/>
      <c r="R433" s="140">
        <f>5*S9+5*S10</f>
        <v>70</v>
      </c>
      <c r="S433" s="79">
        <v>46.68</v>
      </c>
      <c r="T433" s="80">
        <v>15.42</v>
      </c>
    </row>
    <row r="434" spans="2:20" ht="28">
      <c r="B434" s="5" t="s">
        <v>1044</v>
      </c>
      <c r="C434" s="45" t="s">
        <v>97</v>
      </c>
      <c r="D434" s="45" t="s">
        <v>1045</v>
      </c>
      <c r="E434" s="6" t="s">
        <v>1046</v>
      </c>
      <c r="F434" s="45" t="s">
        <v>187</v>
      </c>
      <c r="G434" s="46">
        <f t="shared" si="50"/>
        <v>420</v>
      </c>
      <c r="H434" s="46">
        <f>TRUNC(S434*(1-LOTE_03!$K$10),2)</f>
        <v>53.27</v>
      </c>
      <c r="I434" s="46">
        <f>TRUNC(T434*(1-LOTE_03!$K$10),2)</f>
        <v>26.97</v>
      </c>
      <c r="J434" s="100">
        <f t="shared" si="51"/>
        <v>0.22470000000000001</v>
      </c>
      <c r="K434" s="48">
        <f t="shared" si="45"/>
        <v>65.23</v>
      </c>
      <c r="L434" s="48">
        <f t="shared" si="46"/>
        <v>33.03</v>
      </c>
      <c r="M434" s="48">
        <f t="shared" si="47"/>
        <v>27396.6</v>
      </c>
      <c r="N434" s="48">
        <f t="shared" si="48"/>
        <v>13872.6</v>
      </c>
      <c r="O434" s="50">
        <f t="shared" si="49"/>
        <v>41269.199999999997</v>
      </c>
      <c r="P434" s="50">
        <v>0</v>
      </c>
      <c r="Q434" s="76"/>
      <c r="R434" s="140">
        <f>30*S9+30*S10</f>
        <v>420</v>
      </c>
      <c r="S434" s="79">
        <v>53.27</v>
      </c>
      <c r="T434" s="80">
        <v>26.97</v>
      </c>
    </row>
    <row r="435" spans="2:20">
      <c r="B435" s="5" t="s">
        <v>1047</v>
      </c>
      <c r="C435" s="45" t="s">
        <v>97</v>
      </c>
      <c r="D435" s="45" t="s">
        <v>1048</v>
      </c>
      <c r="E435" s="6" t="s">
        <v>1049</v>
      </c>
      <c r="F435" s="45" t="s">
        <v>104</v>
      </c>
      <c r="G435" s="46">
        <f t="shared" si="50"/>
        <v>70</v>
      </c>
      <c r="H435" s="46">
        <f>TRUNC(S435*(1-LOTE_03!$K$10),2)</f>
        <v>102.12</v>
      </c>
      <c r="I435" s="46">
        <f>TRUNC(T435*(1-LOTE_03!$K$10),2)</f>
        <v>8.51</v>
      </c>
      <c r="J435" s="100">
        <f t="shared" si="51"/>
        <v>0.22470000000000001</v>
      </c>
      <c r="K435" s="48">
        <f t="shared" si="45"/>
        <v>125.06</v>
      </c>
      <c r="L435" s="48">
        <f t="shared" si="46"/>
        <v>10.42</v>
      </c>
      <c r="M435" s="48">
        <f t="shared" si="47"/>
        <v>8754.2000000000007</v>
      </c>
      <c r="N435" s="48">
        <f t="shared" si="48"/>
        <v>729.4</v>
      </c>
      <c r="O435" s="50">
        <f t="shared" si="49"/>
        <v>9483.6</v>
      </c>
      <c r="P435" s="50">
        <v>0</v>
      </c>
      <c r="Q435" s="76"/>
      <c r="R435" s="140">
        <f>5*S9+5*S10</f>
        <v>70</v>
      </c>
      <c r="S435" s="79">
        <v>102.12</v>
      </c>
      <c r="T435" s="80">
        <v>8.51</v>
      </c>
    </row>
    <row r="436" spans="2:20">
      <c r="B436" s="5" t="s">
        <v>1050</v>
      </c>
      <c r="C436" s="45" t="s">
        <v>97</v>
      </c>
      <c r="D436" s="45" t="s">
        <v>1051</v>
      </c>
      <c r="E436" s="6" t="s">
        <v>1052</v>
      </c>
      <c r="F436" s="45" t="s">
        <v>104</v>
      </c>
      <c r="G436" s="46">
        <f t="shared" si="50"/>
        <v>70</v>
      </c>
      <c r="H436" s="46">
        <f>TRUNC(S436*(1-LOTE_03!$K$10),2)</f>
        <v>24.26</v>
      </c>
      <c r="I436" s="46">
        <f>TRUNC(T436*(1-LOTE_03!$K$10),2)</f>
        <v>8.51</v>
      </c>
      <c r="J436" s="100">
        <f t="shared" si="51"/>
        <v>0.22470000000000001</v>
      </c>
      <c r="K436" s="48">
        <f t="shared" si="45"/>
        <v>29.71</v>
      </c>
      <c r="L436" s="48">
        <f t="shared" si="46"/>
        <v>10.42</v>
      </c>
      <c r="M436" s="48">
        <f t="shared" si="47"/>
        <v>2079.6999999999998</v>
      </c>
      <c r="N436" s="48">
        <f t="shared" si="48"/>
        <v>729.4</v>
      </c>
      <c r="O436" s="50">
        <f t="shared" si="49"/>
        <v>2809.1</v>
      </c>
      <c r="P436" s="50">
        <v>0</v>
      </c>
      <c r="Q436" s="76"/>
      <c r="R436" s="140">
        <f>5*S9+5*S10</f>
        <v>70</v>
      </c>
      <c r="S436" s="79">
        <v>24.26</v>
      </c>
      <c r="T436" s="80">
        <v>8.51</v>
      </c>
    </row>
    <row r="437" spans="2:20">
      <c r="B437" s="5" t="s">
        <v>1053</v>
      </c>
      <c r="C437" s="45" t="s">
        <v>97</v>
      </c>
      <c r="D437" s="45" t="s">
        <v>1054</v>
      </c>
      <c r="E437" s="6" t="s">
        <v>1055</v>
      </c>
      <c r="F437" s="45" t="s">
        <v>104</v>
      </c>
      <c r="G437" s="46">
        <f t="shared" si="50"/>
        <v>70</v>
      </c>
      <c r="H437" s="46">
        <f>TRUNC(S437*(1-LOTE_03!$K$10),2)</f>
        <v>104.48</v>
      </c>
      <c r="I437" s="46">
        <f>TRUNC(T437*(1-LOTE_03!$K$10),2)</f>
        <v>8.51</v>
      </c>
      <c r="J437" s="100">
        <f t="shared" si="51"/>
        <v>0.22470000000000001</v>
      </c>
      <c r="K437" s="48">
        <f t="shared" si="45"/>
        <v>127.95</v>
      </c>
      <c r="L437" s="48">
        <f t="shared" si="46"/>
        <v>10.42</v>
      </c>
      <c r="M437" s="48">
        <f t="shared" si="47"/>
        <v>8956.5</v>
      </c>
      <c r="N437" s="48">
        <f t="shared" si="48"/>
        <v>729.4</v>
      </c>
      <c r="O437" s="50">
        <f t="shared" si="49"/>
        <v>9685.9</v>
      </c>
      <c r="P437" s="50">
        <v>0</v>
      </c>
      <c r="Q437" s="76"/>
      <c r="R437" s="140">
        <f>5*S9+5*S10</f>
        <v>70</v>
      </c>
      <c r="S437" s="79">
        <v>104.48</v>
      </c>
      <c r="T437" s="80">
        <v>8.51</v>
      </c>
    </row>
    <row r="438" spans="2:20">
      <c r="B438" s="5" t="s">
        <v>1056</v>
      </c>
      <c r="C438" s="45" t="s">
        <v>97</v>
      </c>
      <c r="D438" s="45" t="s">
        <v>1057</v>
      </c>
      <c r="E438" s="6" t="s">
        <v>1058</v>
      </c>
      <c r="F438" s="45" t="s">
        <v>1059</v>
      </c>
      <c r="G438" s="46">
        <f t="shared" si="50"/>
        <v>55</v>
      </c>
      <c r="H438" s="46">
        <f>TRUNC(S438*(1-LOTE_03!$K$10),2)</f>
        <v>22.8</v>
      </c>
      <c r="I438" s="46">
        <f>TRUNC(T438*(1-LOTE_03!$K$10),2)</f>
        <v>7.12</v>
      </c>
      <c r="J438" s="100">
        <f t="shared" si="51"/>
        <v>0.22470000000000001</v>
      </c>
      <c r="K438" s="48">
        <f t="shared" si="45"/>
        <v>27.92</v>
      </c>
      <c r="L438" s="48">
        <f t="shared" si="46"/>
        <v>8.7100000000000009</v>
      </c>
      <c r="M438" s="48">
        <f t="shared" si="47"/>
        <v>1535.6</v>
      </c>
      <c r="N438" s="48">
        <f t="shared" si="48"/>
        <v>479.05</v>
      </c>
      <c r="O438" s="50">
        <f t="shared" si="49"/>
        <v>2014.65</v>
      </c>
      <c r="P438" s="50">
        <v>0</v>
      </c>
      <c r="Q438" s="76"/>
      <c r="R438" s="140">
        <f>2*S9+5*S10</f>
        <v>55</v>
      </c>
      <c r="S438" s="79">
        <v>22.8</v>
      </c>
      <c r="T438" s="80">
        <v>7.12</v>
      </c>
    </row>
    <row r="439" spans="2:20" ht="28">
      <c r="B439" s="5" t="s">
        <v>1060</v>
      </c>
      <c r="C439" s="45" t="s">
        <v>97</v>
      </c>
      <c r="D439" s="45" t="s">
        <v>1061</v>
      </c>
      <c r="E439" s="6" t="s">
        <v>1062</v>
      </c>
      <c r="F439" s="45" t="s">
        <v>104</v>
      </c>
      <c r="G439" s="46">
        <f t="shared" si="50"/>
        <v>280</v>
      </c>
      <c r="H439" s="46">
        <f>TRUNC(S439*(1-LOTE_03!$K$10),2)</f>
        <v>49.2</v>
      </c>
      <c r="I439" s="46">
        <f>TRUNC(T439*(1-LOTE_03!$K$10),2)</f>
        <v>28.09</v>
      </c>
      <c r="J439" s="100">
        <f t="shared" si="51"/>
        <v>0.22470000000000001</v>
      </c>
      <c r="K439" s="48">
        <f t="shared" si="45"/>
        <v>60.25</v>
      </c>
      <c r="L439" s="48">
        <f t="shared" si="46"/>
        <v>34.4</v>
      </c>
      <c r="M439" s="48">
        <f t="shared" si="47"/>
        <v>16870</v>
      </c>
      <c r="N439" s="48">
        <f t="shared" si="48"/>
        <v>9632</v>
      </c>
      <c r="O439" s="50">
        <f t="shared" si="49"/>
        <v>26502</v>
      </c>
      <c r="P439" s="50">
        <v>0</v>
      </c>
      <c r="Q439" s="76"/>
      <c r="R439" s="140">
        <f>20*S9+20*S10</f>
        <v>280</v>
      </c>
      <c r="S439" s="79">
        <v>49.2</v>
      </c>
      <c r="T439" s="80">
        <v>28.09</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50">
        <v>0</v>
      </c>
      <c r="Q440" s="76"/>
      <c r="R440" s="154"/>
      <c r="S440" s="79" t="s">
        <v>22</v>
      </c>
      <c r="T440" s="80" t="s">
        <v>22</v>
      </c>
    </row>
    <row r="441" spans="2:20" ht="84">
      <c r="B441" s="5" t="s">
        <v>1065</v>
      </c>
      <c r="C441" s="45" t="s">
        <v>135</v>
      </c>
      <c r="D441" s="45">
        <v>101878</v>
      </c>
      <c r="E441" s="6" t="s">
        <v>1066</v>
      </c>
      <c r="F441" s="45" t="s">
        <v>210</v>
      </c>
      <c r="G441" s="46">
        <f t="shared" si="50"/>
        <v>10</v>
      </c>
      <c r="H441" s="46">
        <f>TRUNC(S441*(1-LOTE_03!$K$10),2)</f>
        <v>396.12</v>
      </c>
      <c r="I441" s="46">
        <f>TRUNC(T441*(1-LOTE_03!$K$10),2)</f>
        <v>12.33</v>
      </c>
      <c r="J441" s="100">
        <f t="shared" si="51"/>
        <v>0.22470000000000001</v>
      </c>
      <c r="K441" s="48">
        <f t="shared" si="45"/>
        <v>485.12</v>
      </c>
      <c r="L441" s="48">
        <f t="shared" si="46"/>
        <v>15.1</v>
      </c>
      <c r="M441" s="48">
        <f t="shared" si="47"/>
        <v>4851.2</v>
      </c>
      <c r="N441" s="48">
        <f t="shared" si="48"/>
        <v>151</v>
      </c>
      <c r="O441" s="50">
        <f t="shared" si="49"/>
        <v>5002.2</v>
      </c>
      <c r="P441" s="50">
        <v>0</v>
      </c>
      <c r="Q441" s="76"/>
      <c r="R441" s="140">
        <f>IF((1*S9+1*S10)&gt;10,10,(1*S9+1*S10))</f>
        <v>10</v>
      </c>
      <c r="S441" s="79">
        <v>396.12</v>
      </c>
      <c r="T441" s="80">
        <v>12.33</v>
      </c>
    </row>
    <row r="442" spans="2:20" ht="84">
      <c r="B442" s="5" t="s">
        <v>1067</v>
      </c>
      <c r="C442" s="45" t="s">
        <v>135</v>
      </c>
      <c r="D442" s="45">
        <v>101879</v>
      </c>
      <c r="E442" s="6" t="s">
        <v>1068</v>
      </c>
      <c r="F442" s="45" t="s">
        <v>210</v>
      </c>
      <c r="G442" s="46">
        <f t="shared" si="50"/>
        <v>10</v>
      </c>
      <c r="H442" s="46">
        <f>TRUNC(S442*(1-LOTE_03!$K$10),2)</f>
        <v>477.35</v>
      </c>
      <c r="I442" s="46">
        <f>TRUNC(T442*(1-LOTE_03!$K$10),2)</f>
        <v>66.39</v>
      </c>
      <c r="J442" s="100">
        <f t="shared" si="51"/>
        <v>0.22470000000000001</v>
      </c>
      <c r="K442" s="48">
        <f t="shared" si="45"/>
        <v>584.61</v>
      </c>
      <c r="L442" s="48">
        <f t="shared" si="46"/>
        <v>81.3</v>
      </c>
      <c r="M442" s="48">
        <f t="shared" si="47"/>
        <v>5846.1</v>
      </c>
      <c r="N442" s="48">
        <f t="shared" si="48"/>
        <v>813</v>
      </c>
      <c r="O442" s="50">
        <f t="shared" si="49"/>
        <v>6659.1</v>
      </c>
      <c r="P442" s="50">
        <v>0</v>
      </c>
      <c r="Q442" s="76"/>
      <c r="R442" s="140">
        <f>IF((1*S9+1*S10)&gt;10,10,(1*S9+1*S10))</f>
        <v>10</v>
      </c>
      <c r="S442" s="79">
        <v>477.35</v>
      </c>
      <c r="T442" s="80">
        <v>66.39</v>
      </c>
    </row>
    <row r="443" spans="2:20" ht="84">
      <c r="B443" s="5" t="s">
        <v>1069</v>
      </c>
      <c r="C443" s="45" t="s">
        <v>135</v>
      </c>
      <c r="D443" s="45">
        <v>101880</v>
      </c>
      <c r="E443" s="6" t="s">
        <v>1070</v>
      </c>
      <c r="F443" s="45" t="s">
        <v>210</v>
      </c>
      <c r="G443" s="46">
        <f t="shared" si="50"/>
        <v>10</v>
      </c>
      <c r="H443" s="46">
        <f>TRUNC(S443*(1-LOTE_03!$K$10),2)</f>
        <v>551.19000000000005</v>
      </c>
      <c r="I443" s="46">
        <f>TRUNC(T443*(1-LOTE_03!$K$10),2)</f>
        <v>81.849999999999994</v>
      </c>
      <c r="J443" s="100">
        <f t="shared" si="51"/>
        <v>0.22470000000000001</v>
      </c>
      <c r="K443" s="48">
        <f t="shared" si="45"/>
        <v>675.04</v>
      </c>
      <c r="L443" s="48">
        <f t="shared" si="46"/>
        <v>100.24</v>
      </c>
      <c r="M443" s="48">
        <f t="shared" si="47"/>
        <v>6750.4</v>
      </c>
      <c r="N443" s="48">
        <f t="shared" si="48"/>
        <v>1002.4</v>
      </c>
      <c r="O443" s="50">
        <f t="shared" si="49"/>
        <v>7752.8</v>
      </c>
      <c r="P443" s="50">
        <v>0</v>
      </c>
      <c r="Q443" s="76"/>
      <c r="R443" s="140">
        <f>IF((1*S9+1*S10)&gt;10,10,(1*S9+1*S10))</f>
        <v>10</v>
      </c>
      <c r="S443" s="79">
        <v>551.18999999999994</v>
      </c>
      <c r="T443" s="80">
        <v>81.849999999999994</v>
      </c>
    </row>
    <row r="444" spans="2:20" ht="84">
      <c r="B444" s="5" t="s">
        <v>1071</v>
      </c>
      <c r="C444" s="45" t="s">
        <v>135</v>
      </c>
      <c r="D444" s="45">
        <v>101882</v>
      </c>
      <c r="E444" s="6" t="s">
        <v>1072</v>
      </c>
      <c r="F444" s="45" t="s">
        <v>210</v>
      </c>
      <c r="G444" s="46">
        <f t="shared" si="50"/>
        <v>10</v>
      </c>
      <c r="H444" s="46">
        <f>TRUNC(S444*(1-LOTE_03!$K$10),2)</f>
        <v>1117.97</v>
      </c>
      <c r="I444" s="46">
        <f>TRUNC(T444*(1-LOTE_03!$K$10),2)</f>
        <v>82.47</v>
      </c>
      <c r="J444" s="100">
        <f t="shared" si="51"/>
        <v>0.22470000000000001</v>
      </c>
      <c r="K444" s="48">
        <f t="shared" si="45"/>
        <v>1369.17</v>
      </c>
      <c r="L444" s="48">
        <f t="shared" si="46"/>
        <v>101</v>
      </c>
      <c r="M444" s="48">
        <f t="shared" si="47"/>
        <v>13691.7</v>
      </c>
      <c r="N444" s="48">
        <f t="shared" si="48"/>
        <v>1010</v>
      </c>
      <c r="O444" s="50">
        <f t="shared" si="49"/>
        <v>14701.7</v>
      </c>
      <c r="P444" s="50">
        <v>0</v>
      </c>
      <c r="Q444" s="76"/>
      <c r="R444" s="140">
        <f>IF((1*S9+1*S10)&gt;10,10,(1*S9+1*S10))</f>
        <v>10</v>
      </c>
      <c r="S444" s="79">
        <v>1117.97</v>
      </c>
      <c r="T444" s="80">
        <v>82.47</v>
      </c>
    </row>
    <row r="445" spans="2:20" ht="84">
      <c r="B445" s="5" t="s">
        <v>1073</v>
      </c>
      <c r="C445" s="45" t="s">
        <v>135</v>
      </c>
      <c r="D445" s="45">
        <v>101881</v>
      </c>
      <c r="E445" s="6" t="s">
        <v>1074</v>
      </c>
      <c r="F445" s="45" t="s">
        <v>210</v>
      </c>
      <c r="G445" s="46">
        <f t="shared" si="50"/>
        <v>10</v>
      </c>
      <c r="H445" s="46">
        <f>TRUNC(S445*(1-LOTE_03!$K$10),2)</f>
        <v>789.45</v>
      </c>
      <c r="I445" s="46">
        <f>TRUNC(T445*(1-LOTE_03!$K$10),2)</f>
        <v>82.77</v>
      </c>
      <c r="J445" s="100">
        <f t="shared" si="51"/>
        <v>0.22470000000000001</v>
      </c>
      <c r="K445" s="48">
        <f t="shared" si="45"/>
        <v>966.83</v>
      </c>
      <c r="L445" s="48">
        <f t="shared" si="46"/>
        <v>101.36</v>
      </c>
      <c r="M445" s="48">
        <f t="shared" si="47"/>
        <v>9668.2999999999993</v>
      </c>
      <c r="N445" s="48">
        <f t="shared" si="48"/>
        <v>1013.6</v>
      </c>
      <c r="O445" s="50">
        <f t="shared" si="49"/>
        <v>10681.9</v>
      </c>
      <c r="P445" s="50">
        <v>0</v>
      </c>
      <c r="Q445" s="76"/>
      <c r="R445" s="140">
        <f>IF((1*S9+1*S10)&gt;10,10,(1*S9+1*S10))</f>
        <v>10</v>
      </c>
      <c r="S445" s="79">
        <v>789.45</v>
      </c>
      <c r="T445" s="80">
        <v>82.77</v>
      </c>
    </row>
    <row r="446" spans="2:20" ht="56">
      <c r="B446" s="5" t="s">
        <v>1075</v>
      </c>
      <c r="C446" s="45" t="s">
        <v>135</v>
      </c>
      <c r="D446" s="45">
        <v>93653</v>
      </c>
      <c r="E446" s="6" t="s">
        <v>1076</v>
      </c>
      <c r="F446" s="45" t="s">
        <v>210</v>
      </c>
      <c r="G446" s="46">
        <f t="shared" si="50"/>
        <v>320</v>
      </c>
      <c r="H446" s="46">
        <f>TRUNC(S446*(1-LOTE_03!$K$10),2)</f>
        <v>9.43</v>
      </c>
      <c r="I446" s="46">
        <f>TRUNC(T446*(1-LOTE_03!$K$10),2)</f>
        <v>1.26</v>
      </c>
      <c r="J446" s="100">
        <f t="shared" si="51"/>
        <v>0.22470000000000001</v>
      </c>
      <c r="K446" s="48">
        <f t="shared" si="45"/>
        <v>11.54</v>
      </c>
      <c r="L446" s="48">
        <f t="shared" si="46"/>
        <v>1.54</v>
      </c>
      <c r="M446" s="48">
        <f t="shared" si="47"/>
        <v>3692.8</v>
      </c>
      <c r="N446" s="48">
        <f t="shared" si="48"/>
        <v>492.8</v>
      </c>
      <c r="O446" s="50">
        <f t="shared" si="49"/>
        <v>4185.6000000000004</v>
      </c>
      <c r="P446" s="50">
        <v>0</v>
      </c>
      <c r="Q446" s="76"/>
      <c r="R446" s="140">
        <f>10*S9+30*S10</f>
        <v>320</v>
      </c>
      <c r="S446" s="79">
        <v>9.43</v>
      </c>
      <c r="T446" s="80">
        <v>1.26</v>
      </c>
    </row>
    <row r="447" spans="2:20" ht="56">
      <c r="B447" s="5" t="s">
        <v>1077</v>
      </c>
      <c r="C447" s="45" t="s">
        <v>135</v>
      </c>
      <c r="D447" s="45">
        <v>93654</v>
      </c>
      <c r="E447" s="6" t="s">
        <v>1078</v>
      </c>
      <c r="F447" s="45" t="s">
        <v>210</v>
      </c>
      <c r="G447" s="46">
        <f t="shared" si="50"/>
        <v>320</v>
      </c>
      <c r="H447" s="46">
        <f>TRUNC(S447*(1-LOTE_03!$K$10),2)</f>
        <v>9.43</v>
      </c>
      <c r="I447" s="46">
        <f>TRUNC(T447*(1-LOTE_03!$K$10),2)</f>
        <v>1.26</v>
      </c>
      <c r="J447" s="100">
        <f t="shared" si="51"/>
        <v>0.22470000000000001</v>
      </c>
      <c r="K447" s="48">
        <f t="shared" si="45"/>
        <v>11.54</v>
      </c>
      <c r="L447" s="48">
        <f t="shared" si="46"/>
        <v>1.54</v>
      </c>
      <c r="M447" s="48">
        <f t="shared" si="47"/>
        <v>3692.8</v>
      </c>
      <c r="N447" s="48">
        <f t="shared" si="48"/>
        <v>492.8</v>
      </c>
      <c r="O447" s="50">
        <f t="shared" si="49"/>
        <v>4185.6000000000004</v>
      </c>
      <c r="P447" s="50">
        <v>0</v>
      </c>
      <c r="Q447" s="76"/>
      <c r="R447" s="140">
        <f>10*S9+30*S10</f>
        <v>320</v>
      </c>
      <c r="S447" s="79">
        <v>9.43</v>
      </c>
      <c r="T447" s="80">
        <v>1.26</v>
      </c>
    </row>
    <row r="448" spans="2:20" ht="56">
      <c r="B448" s="5" t="s">
        <v>1079</v>
      </c>
      <c r="C448" s="45" t="s">
        <v>135</v>
      </c>
      <c r="D448" s="45">
        <v>93655</v>
      </c>
      <c r="E448" s="6" t="s">
        <v>1080</v>
      </c>
      <c r="F448" s="45" t="s">
        <v>210</v>
      </c>
      <c r="G448" s="46">
        <f t="shared" si="50"/>
        <v>70</v>
      </c>
      <c r="H448" s="46">
        <f>TRUNC(S448*(1-LOTE_03!$K$10),2)</f>
        <v>9.9499999999999993</v>
      </c>
      <c r="I448" s="46">
        <f>TRUNC(T448*(1-LOTE_03!$K$10),2)</f>
        <v>1.68</v>
      </c>
      <c r="J448" s="100">
        <f t="shared" si="51"/>
        <v>0.22470000000000001</v>
      </c>
      <c r="K448" s="48">
        <f t="shared" si="45"/>
        <v>12.18</v>
      </c>
      <c r="L448" s="48">
        <f t="shared" si="46"/>
        <v>2.0499999999999998</v>
      </c>
      <c r="M448" s="48">
        <f t="shared" si="47"/>
        <v>852.6</v>
      </c>
      <c r="N448" s="48">
        <f t="shared" si="48"/>
        <v>143.5</v>
      </c>
      <c r="O448" s="50">
        <f t="shared" si="49"/>
        <v>996.1</v>
      </c>
      <c r="P448" s="50">
        <v>0</v>
      </c>
      <c r="Q448" s="76"/>
      <c r="R448" s="140">
        <f>5*S9+5*S10</f>
        <v>70</v>
      </c>
      <c r="S448" s="79">
        <v>9.9500000000000011</v>
      </c>
      <c r="T448" s="80">
        <v>1.68</v>
      </c>
    </row>
    <row r="449" spans="2:20" ht="56">
      <c r="B449" s="5" t="s">
        <v>1081</v>
      </c>
      <c r="C449" s="45" t="s">
        <v>135</v>
      </c>
      <c r="D449" s="45">
        <v>93661</v>
      </c>
      <c r="E449" s="6" t="s">
        <v>912</v>
      </c>
      <c r="F449" s="45" t="s">
        <v>210</v>
      </c>
      <c r="G449" s="46">
        <f t="shared" si="50"/>
        <v>14</v>
      </c>
      <c r="H449" s="46">
        <f>TRUNC(S449*(1-LOTE_03!$K$10),2)</f>
        <v>47.67</v>
      </c>
      <c r="I449" s="46">
        <f>TRUNC(T449*(1-LOTE_03!$K$10),2)</f>
        <v>2.5</v>
      </c>
      <c r="J449" s="100">
        <f t="shared" si="51"/>
        <v>0.22470000000000001</v>
      </c>
      <c r="K449" s="48">
        <f t="shared" si="45"/>
        <v>58.38</v>
      </c>
      <c r="L449" s="48">
        <f t="shared" si="46"/>
        <v>3.06</v>
      </c>
      <c r="M449" s="48">
        <f t="shared" si="47"/>
        <v>817.32</v>
      </c>
      <c r="N449" s="48">
        <f t="shared" si="48"/>
        <v>42.84</v>
      </c>
      <c r="O449" s="50">
        <f t="shared" si="49"/>
        <v>860.16</v>
      </c>
      <c r="P449" s="50">
        <v>0</v>
      </c>
      <c r="Q449" s="76"/>
      <c r="R449" s="140">
        <f>1*S9+1*S10</f>
        <v>14</v>
      </c>
      <c r="S449" s="79">
        <v>47.67</v>
      </c>
      <c r="T449" s="80">
        <v>2.5</v>
      </c>
    </row>
    <row r="450" spans="2:20" ht="56">
      <c r="B450" s="5" t="s">
        <v>1082</v>
      </c>
      <c r="C450" s="45" t="s">
        <v>135</v>
      </c>
      <c r="D450" s="45">
        <v>93666</v>
      </c>
      <c r="E450" s="6" t="s">
        <v>1083</v>
      </c>
      <c r="F450" s="45" t="s">
        <v>210</v>
      </c>
      <c r="G450" s="46">
        <f t="shared" si="50"/>
        <v>14</v>
      </c>
      <c r="H450" s="46">
        <f>TRUNC(S450*(1-LOTE_03!$K$10),2)</f>
        <v>53.82</v>
      </c>
      <c r="I450" s="46">
        <f>TRUNC(T450*(1-LOTE_03!$K$10),2)</f>
        <v>12.66</v>
      </c>
      <c r="J450" s="100">
        <f t="shared" si="51"/>
        <v>0.22470000000000001</v>
      </c>
      <c r="K450" s="48">
        <f t="shared" si="45"/>
        <v>65.91</v>
      </c>
      <c r="L450" s="48">
        <f t="shared" si="46"/>
        <v>15.5</v>
      </c>
      <c r="M450" s="48">
        <f t="shared" si="47"/>
        <v>922.74</v>
      </c>
      <c r="N450" s="48">
        <f t="shared" si="48"/>
        <v>217</v>
      </c>
      <c r="O450" s="50">
        <f t="shared" si="49"/>
        <v>1139.74</v>
      </c>
      <c r="P450" s="50">
        <v>0</v>
      </c>
      <c r="Q450" s="76"/>
      <c r="R450" s="140">
        <f>1*S9+1*S10</f>
        <v>14</v>
      </c>
      <c r="S450" s="79">
        <v>53.820000000000007</v>
      </c>
      <c r="T450" s="80">
        <v>12.66</v>
      </c>
    </row>
    <row r="451" spans="2:20" ht="56">
      <c r="B451" s="5" t="s">
        <v>1084</v>
      </c>
      <c r="C451" s="45" t="s">
        <v>135</v>
      </c>
      <c r="D451" s="45">
        <v>93672</v>
      </c>
      <c r="E451" s="6" t="s">
        <v>1085</v>
      </c>
      <c r="F451" s="45" t="s">
        <v>210</v>
      </c>
      <c r="G451" s="46">
        <f t="shared" si="50"/>
        <v>14</v>
      </c>
      <c r="H451" s="46">
        <f>TRUNC(S451*(1-LOTE_03!$K$10),2)</f>
        <v>66.11</v>
      </c>
      <c r="I451" s="46">
        <f>TRUNC(T451*(1-LOTE_03!$K$10),2)</f>
        <v>13.67</v>
      </c>
      <c r="J451" s="100">
        <f t="shared" si="51"/>
        <v>0.22470000000000001</v>
      </c>
      <c r="K451" s="48">
        <f t="shared" si="45"/>
        <v>80.959999999999994</v>
      </c>
      <c r="L451" s="48">
        <f t="shared" si="46"/>
        <v>16.739999999999998</v>
      </c>
      <c r="M451" s="48">
        <f t="shared" si="47"/>
        <v>1133.44</v>
      </c>
      <c r="N451" s="48">
        <f t="shared" si="48"/>
        <v>234.36</v>
      </c>
      <c r="O451" s="50">
        <f t="shared" si="49"/>
        <v>1367.8</v>
      </c>
      <c r="P451" s="50">
        <v>0</v>
      </c>
      <c r="Q451" s="76"/>
      <c r="R451" s="140">
        <f>1*S9+1*S10</f>
        <v>14</v>
      </c>
      <c r="S451" s="79">
        <v>66.11</v>
      </c>
      <c r="T451" s="80">
        <v>13.67</v>
      </c>
    </row>
    <row r="452" spans="2:20" ht="56">
      <c r="B452" s="5" t="s">
        <v>1086</v>
      </c>
      <c r="C452" s="45" t="s">
        <v>135</v>
      </c>
      <c r="D452" s="45">
        <v>101894</v>
      </c>
      <c r="E452" s="6" t="s">
        <v>1087</v>
      </c>
      <c r="F452" s="45" t="s">
        <v>210</v>
      </c>
      <c r="G452" s="46">
        <f t="shared" si="50"/>
        <v>14</v>
      </c>
      <c r="H452" s="46">
        <f>TRUNC(S452*(1-LOTE_03!$K$10),2)</f>
        <v>115.79</v>
      </c>
      <c r="I452" s="46">
        <f>TRUNC(T452*(1-LOTE_03!$K$10),2)</f>
        <v>26.05</v>
      </c>
      <c r="J452" s="100">
        <f t="shared" si="51"/>
        <v>0.22470000000000001</v>
      </c>
      <c r="K452" s="48">
        <f t="shared" si="45"/>
        <v>141.80000000000001</v>
      </c>
      <c r="L452" s="48">
        <f t="shared" si="46"/>
        <v>31.9</v>
      </c>
      <c r="M452" s="48">
        <f t="shared" si="47"/>
        <v>1985.2</v>
      </c>
      <c r="N452" s="48">
        <f t="shared" si="48"/>
        <v>446.6</v>
      </c>
      <c r="O452" s="50">
        <f t="shared" si="49"/>
        <v>2431.8000000000002</v>
      </c>
      <c r="P452" s="50">
        <v>0</v>
      </c>
      <c r="Q452" s="76"/>
      <c r="R452" s="140">
        <f>1*S9+1*S10</f>
        <v>14</v>
      </c>
      <c r="S452" s="79">
        <v>115.79</v>
      </c>
      <c r="T452" s="80">
        <v>26.05</v>
      </c>
    </row>
    <row r="453" spans="2:20" ht="56">
      <c r="B453" s="5" t="s">
        <v>1088</v>
      </c>
      <c r="C453" s="45" t="s">
        <v>135</v>
      </c>
      <c r="D453" s="45">
        <v>91932</v>
      </c>
      <c r="E453" s="6" t="s">
        <v>1089</v>
      </c>
      <c r="F453" s="45" t="s">
        <v>187</v>
      </c>
      <c r="G453" s="46">
        <f t="shared" si="50"/>
        <v>370</v>
      </c>
      <c r="H453" s="46">
        <f>TRUNC(S453*(1-LOTE_03!$K$10),2)</f>
        <v>16.87</v>
      </c>
      <c r="I453" s="46">
        <f>TRUNC(T453*(1-LOTE_03!$K$10),2)</f>
        <v>2.96</v>
      </c>
      <c r="J453" s="100">
        <f t="shared" si="51"/>
        <v>0.22470000000000001</v>
      </c>
      <c r="K453" s="48">
        <f t="shared" si="45"/>
        <v>20.66</v>
      </c>
      <c r="L453" s="48">
        <f t="shared" si="46"/>
        <v>3.62</v>
      </c>
      <c r="M453" s="48">
        <f t="shared" si="47"/>
        <v>7644.2</v>
      </c>
      <c r="N453" s="48">
        <f t="shared" si="48"/>
        <v>1339.4</v>
      </c>
      <c r="O453" s="50">
        <f t="shared" si="49"/>
        <v>8983.6</v>
      </c>
      <c r="P453" s="50">
        <v>0</v>
      </c>
      <c r="Q453" s="76"/>
      <c r="R453" s="140">
        <f>20*S9+30*S10</f>
        <v>370</v>
      </c>
      <c r="S453" s="79">
        <v>16.869999999999997</v>
      </c>
      <c r="T453" s="80">
        <v>2.96</v>
      </c>
    </row>
    <row r="454" spans="2:20" ht="56">
      <c r="B454" s="5" t="s">
        <v>1090</v>
      </c>
      <c r="C454" s="45" t="s">
        <v>135</v>
      </c>
      <c r="D454" s="45">
        <v>91928</v>
      </c>
      <c r="E454" s="6" t="s">
        <v>844</v>
      </c>
      <c r="F454" s="45" t="s">
        <v>187</v>
      </c>
      <c r="G454" s="46">
        <f t="shared" si="50"/>
        <v>370</v>
      </c>
      <c r="H454" s="46">
        <f>TRUNC(S454*(1-LOTE_03!$K$10),2)</f>
        <v>6.34</v>
      </c>
      <c r="I454" s="46">
        <f>TRUNC(T454*(1-LOTE_03!$K$10),2)</f>
        <v>1.5</v>
      </c>
      <c r="J454" s="100">
        <f t="shared" si="51"/>
        <v>0.22470000000000001</v>
      </c>
      <c r="K454" s="48">
        <f t="shared" si="45"/>
        <v>7.76</v>
      </c>
      <c r="L454" s="48">
        <f t="shared" si="46"/>
        <v>1.83</v>
      </c>
      <c r="M454" s="48">
        <f t="shared" si="47"/>
        <v>2871.2</v>
      </c>
      <c r="N454" s="48">
        <f t="shared" si="48"/>
        <v>677.1</v>
      </c>
      <c r="O454" s="50">
        <f t="shared" si="49"/>
        <v>3548.3</v>
      </c>
      <c r="P454" s="50">
        <v>0</v>
      </c>
      <c r="Q454" s="76"/>
      <c r="R454" s="140">
        <f>20*S9+30*S10</f>
        <v>370</v>
      </c>
      <c r="S454" s="79">
        <v>6.34</v>
      </c>
      <c r="T454" s="80">
        <v>1.5</v>
      </c>
    </row>
    <row r="455" spans="2:20" ht="56">
      <c r="B455" s="5" t="s">
        <v>1091</v>
      </c>
      <c r="C455" s="45" t="s">
        <v>135</v>
      </c>
      <c r="D455" s="45">
        <v>91926</v>
      </c>
      <c r="E455" s="6" t="s">
        <v>840</v>
      </c>
      <c r="F455" s="45" t="s">
        <v>187</v>
      </c>
      <c r="G455" s="46">
        <f t="shared" si="50"/>
        <v>10000</v>
      </c>
      <c r="H455" s="46">
        <f>TRUNC(S455*(1-LOTE_03!$K$10),2)</f>
        <v>3.91</v>
      </c>
      <c r="I455" s="46">
        <f>TRUNC(T455*(1-LOTE_03!$K$10),2)</f>
        <v>1.1100000000000001</v>
      </c>
      <c r="J455" s="100">
        <f t="shared" si="51"/>
        <v>0.22470000000000001</v>
      </c>
      <c r="K455" s="48">
        <f t="shared" si="45"/>
        <v>4.78</v>
      </c>
      <c r="L455" s="48">
        <f t="shared" si="46"/>
        <v>1.35</v>
      </c>
      <c r="M455" s="48">
        <f t="shared" si="47"/>
        <v>47800</v>
      </c>
      <c r="N455" s="48">
        <f t="shared" si="48"/>
        <v>13500</v>
      </c>
      <c r="O455" s="50">
        <f t="shared" si="49"/>
        <v>61300</v>
      </c>
      <c r="P455" s="50">
        <v>0</v>
      </c>
      <c r="Q455" s="76"/>
      <c r="R455" s="140">
        <f>1000*S10+200*S9</f>
        <v>10000</v>
      </c>
      <c r="S455" s="79">
        <v>3.9099999999999993</v>
      </c>
      <c r="T455" s="80">
        <v>1.1100000000000001</v>
      </c>
    </row>
    <row r="456" spans="2:20" ht="56">
      <c r="B456" s="5" t="s">
        <v>1092</v>
      </c>
      <c r="C456" s="45" t="s">
        <v>135</v>
      </c>
      <c r="D456" s="45">
        <v>91927</v>
      </c>
      <c r="E456" s="6" t="s">
        <v>1093</v>
      </c>
      <c r="F456" s="45" t="s">
        <v>187</v>
      </c>
      <c r="G456" s="46">
        <f t="shared" si="50"/>
        <v>10000</v>
      </c>
      <c r="H456" s="46">
        <f>TRUNC(S456*(1-LOTE_03!$K$10),2)</f>
        <v>4.5599999999999996</v>
      </c>
      <c r="I456" s="46">
        <f>TRUNC(T456*(1-LOTE_03!$K$10),2)</f>
        <v>1.1200000000000001</v>
      </c>
      <c r="J456" s="100">
        <f t="shared" si="51"/>
        <v>0.22470000000000001</v>
      </c>
      <c r="K456" s="48">
        <f t="shared" si="45"/>
        <v>5.58</v>
      </c>
      <c r="L456" s="48">
        <f t="shared" si="46"/>
        <v>1.37</v>
      </c>
      <c r="M456" s="48">
        <f t="shared" si="47"/>
        <v>55800</v>
      </c>
      <c r="N456" s="48">
        <f t="shared" si="48"/>
        <v>13700</v>
      </c>
      <c r="O456" s="50">
        <f t="shared" si="49"/>
        <v>69500</v>
      </c>
      <c r="P456" s="50">
        <v>0</v>
      </c>
      <c r="Q456" s="76"/>
      <c r="R456" s="140">
        <f>1000*S10+200*S9</f>
        <v>10000</v>
      </c>
      <c r="S456" s="79">
        <v>4.5599999999999996</v>
      </c>
      <c r="T456" s="80">
        <v>1.1200000000000001</v>
      </c>
    </row>
    <row r="457" spans="2:20" ht="28">
      <c r="B457" s="5" t="s">
        <v>1094</v>
      </c>
      <c r="C457" s="45" t="s">
        <v>97</v>
      </c>
      <c r="D457" s="45" t="s">
        <v>1095</v>
      </c>
      <c r="E457" s="6" t="s">
        <v>1096</v>
      </c>
      <c r="F457" s="45" t="s">
        <v>104</v>
      </c>
      <c r="G457" s="46">
        <f t="shared" si="50"/>
        <v>10</v>
      </c>
      <c r="H457" s="46">
        <f>TRUNC(S457*(1-LOTE_03!$K$10),2)</f>
        <v>18.68</v>
      </c>
      <c r="I457" s="46">
        <f>TRUNC(T457*(1-LOTE_03!$K$10),2)</f>
        <v>42.74</v>
      </c>
      <c r="J457" s="100">
        <f t="shared" si="51"/>
        <v>0.22470000000000001</v>
      </c>
      <c r="K457" s="48">
        <f t="shared" si="45"/>
        <v>22.87</v>
      </c>
      <c r="L457" s="48">
        <f t="shared" si="46"/>
        <v>52.34</v>
      </c>
      <c r="M457" s="48">
        <f t="shared" si="47"/>
        <v>228.7</v>
      </c>
      <c r="N457" s="48">
        <f t="shared" si="48"/>
        <v>523.4</v>
      </c>
      <c r="O457" s="50">
        <f t="shared" si="49"/>
        <v>752.1</v>
      </c>
      <c r="P457" s="50">
        <v>0</v>
      </c>
      <c r="Q457" s="76"/>
      <c r="R457" s="140">
        <f>IF((1*S9+1*S10)&gt;10,10,(1*S9+1*S10))</f>
        <v>10</v>
      </c>
      <c r="S457" s="79">
        <v>18.68</v>
      </c>
      <c r="T457" s="80">
        <v>42.74</v>
      </c>
    </row>
    <row r="458" spans="2:20" ht="42">
      <c r="B458" s="5" t="s">
        <v>1097</v>
      </c>
      <c r="C458" s="45" t="s">
        <v>165</v>
      </c>
      <c r="D458" s="45" t="s">
        <v>1098</v>
      </c>
      <c r="E458" s="6" t="s">
        <v>1099</v>
      </c>
      <c r="F458" s="45" t="s">
        <v>559</v>
      </c>
      <c r="G458" s="46">
        <f t="shared" si="50"/>
        <v>10</v>
      </c>
      <c r="H458" s="46">
        <f>TRUNC(S458*(1-LOTE_03!$K$10),2)</f>
        <v>266.07</v>
      </c>
      <c r="I458" s="46">
        <f>TRUNC(T458*(1-LOTE_03!$K$10),2)</f>
        <v>98.84</v>
      </c>
      <c r="J458" s="100">
        <f t="shared" si="51"/>
        <v>0.22470000000000001</v>
      </c>
      <c r="K458" s="48">
        <f t="shared" si="45"/>
        <v>325.85000000000002</v>
      </c>
      <c r="L458" s="48">
        <f t="shared" si="46"/>
        <v>121.04</v>
      </c>
      <c r="M458" s="48">
        <f t="shared" si="47"/>
        <v>3258.5</v>
      </c>
      <c r="N458" s="48">
        <f t="shared" si="48"/>
        <v>1210.4000000000001</v>
      </c>
      <c r="O458" s="50">
        <f t="shared" si="49"/>
        <v>4468.8999999999996</v>
      </c>
      <c r="P458" s="50">
        <v>0</v>
      </c>
      <c r="Q458" s="76"/>
      <c r="R458" s="140">
        <f>IF((1*S9+1*S10)&gt;10,10,(1*S9+1*S10))</f>
        <v>10</v>
      </c>
      <c r="S458" s="79">
        <v>266.07</v>
      </c>
      <c r="T458" s="80">
        <v>98.84</v>
      </c>
    </row>
    <row r="459" spans="2:20" ht="42">
      <c r="B459" s="5" t="s">
        <v>1100</v>
      </c>
      <c r="C459" s="45" t="s">
        <v>165</v>
      </c>
      <c r="D459" s="45" t="s">
        <v>1101</v>
      </c>
      <c r="E459" s="6" t="s">
        <v>1102</v>
      </c>
      <c r="F459" s="45" t="s">
        <v>559</v>
      </c>
      <c r="G459" s="46">
        <f t="shared" si="50"/>
        <v>10</v>
      </c>
      <c r="H459" s="46">
        <f>TRUNC(S459*(1-LOTE_03!$K$10),2)</f>
        <v>192.55</v>
      </c>
      <c r="I459" s="46">
        <f>TRUNC(T459*(1-LOTE_03!$K$10),2)</f>
        <v>92.47</v>
      </c>
      <c r="J459" s="100">
        <f t="shared" si="51"/>
        <v>0.22470000000000001</v>
      </c>
      <c r="K459" s="48">
        <f t="shared" si="45"/>
        <v>235.81</v>
      </c>
      <c r="L459" s="48">
        <f t="shared" si="46"/>
        <v>113.24</v>
      </c>
      <c r="M459" s="48">
        <f t="shared" si="47"/>
        <v>2358.1</v>
      </c>
      <c r="N459" s="48">
        <f t="shared" si="48"/>
        <v>1132.4000000000001</v>
      </c>
      <c r="O459" s="50">
        <f t="shared" si="49"/>
        <v>3490.5</v>
      </c>
      <c r="P459" s="50">
        <v>0</v>
      </c>
      <c r="Q459" s="76"/>
      <c r="R459" s="140">
        <f>IF((1*S9+1*S10)&gt;10,10,(1*S9+1*S10))</f>
        <v>10</v>
      </c>
      <c r="S459" s="79">
        <v>192.55</v>
      </c>
      <c r="T459" s="80">
        <v>92.47</v>
      </c>
    </row>
    <row r="460" spans="2:20" ht="42">
      <c r="B460" s="5" t="s">
        <v>1103</v>
      </c>
      <c r="C460" s="45" t="s">
        <v>165</v>
      </c>
      <c r="D460" s="45" t="s">
        <v>1104</v>
      </c>
      <c r="E460" s="6" t="s">
        <v>1105</v>
      </c>
      <c r="F460" s="45" t="s">
        <v>559</v>
      </c>
      <c r="G460" s="46">
        <f t="shared" si="50"/>
        <v>10</v>
      </c>
      <c r="H460" s="46">
        <f>TRUNC(S460*(1-LOTE_03!$K$10),2)</f>
        <v>102.97</v>
      </c>
      <c r="I460" s="46">
        <f>TRUNC(T460*(1-LOTE_03!$K$10),2)</f>
        <v>82.9</v>
      </c>
      <c r="J460" s="100">
        <f t="shared" si="51"/>
        <v>0.22470000000000001</v>
      </c>
      <c r="K460" s="48">
        <f t="shared" si="45"/>
        <v>126.1</v>
      </c>
      <c r="L460" s="48">
        <f t="shared" si="46"/>
        <v>101.52</v>
      </c>
      <c r="M460" s="48">
        <f t="shared" si="47"/>
        <v>1261</v>
      </c>
      <c r="N460" s="48">
        <f t="shared" si="48"/>
        <v>1015.2</v>
      </c>
      <c r="O460" s="50">
        <f t="shared" si="49"/>
        <v>2276.1999999999998</v>
      </c>
      <c r="P460" s="50">
        <v>0</v>
      </c>
      <c r="Q460" s="76"/>
      <c r="R460" s="140">
        <f>IF((1*S9+1*S10)&gt;10,10,(1*S9+1*S10))</f>
        <v>10</v>
      </c>
      <c r="S460" s="79">
        <v>102.97</v>
      </c>
      <c r="T460" s="80">
        <v>82.9</v>
      </c>
    </row>
    <row r="461" spans="2:20" ht="28">
      <c r="B461" s="5" t="s">
        <v>1106</v>
      </c>
      <c r="C461" s="45" t="s">
        <v>97</v>
      </c>
      <c r="D461" s="45" t="s">
        <v>1107</v>
      </c>
      <c r="E461" s="6" t="s">
        <v>1108</v>
      </c>
      <c r="F461" s="45" t="s">
        <v>104</v>
      </c>
      <c r="G461" s="46">
        <f t="shared" si="50"/>
        <v>14</v>
      </c>
      <c r="H461" s="46">
        <f>TRUNC(S461*(1-LOTE_03!$K$10),2)</f>
        <v>199.35</v>
      </c>
      <c r="I461" s="46">
        <f>TRUNC(T461*(1-LOTE_03!$K$10),2)</f>
        <v>10.68</v>
      </c>
      <c r="J461" s="100">
        <f t="shared" si="51"/>
        <v>0.22470000000000001</v>
      </c>
      <c r="K461" s="48">
        <f t="shared" si="45"/>
        <v>244.14</v>
      </c>
      <c r="L461" s="48">
        <f t="shared" si="46"/>
        <v>13.07</v>
      </c>
      <c r="M461" s="48">
        <f t="shared" si="47"/>
        <v>3417.96</v>
      </c>
      <c r="N461" s="48">
        <f t="shared" si="48"/>
        <v>182.98</v>
      </c>
      <c r="O461" s="50">
        <f t="shared" si="49"/>
        <v>3600.94</v>
      </c>
      <c r="P461" s="50">
        <v>0</v>
      </c>
      <c r="Q461" s="76"/>
      <c r="R461" s="140">
        <f>1*S9+1*S10</f>
        <v>14</v>
      </c>
      <c r="S461" s="79">
        <v>199.35</v>
      </c>
      <c r="T461" s="80">
        <v>10.68</v>
      </c>
    </row>
    <row r="462" spans="2:20" ht="42">
      <c r="B462" s="5" t="s">
        <v>1109</v>
      </c>
      <c r="C462" s="45" t="s">
        <v>97</v>
      </c>
      <c r="D462" s="45" t="s">
        <v>1110</v>
      </c>
      <c r="E462" s="6" t="s">
        <v>1111</v>
      </c>
      <c r="F462" s="45" t="s">
        <v>104</v>
      </c>
      <c r="G462" s="46">
        <f t="shared" si="50"/>
        <v>46</v>
      </c>
      <c r="H462" s="46">
        <f>TRUNC(S462*(1-LOTE_03!$K$10),2)</f>
        <v>90.75</v>
      </c>
      <c r="I462" s="46">
        <f>TRUNC(T462*(1-LOTE_03!$K$10),2)</f>
        <v>17.809999999999999</v>
      </c>
      <c r="J462" s="100">
        <f t="shared" si="51"/>
        <v>0.22470000000000001</v>
      </c>
      <c r="K462" s="48">
        <f t="shared" si="45"/>
        <v>111.14</v>
      </c>
      <c r="L462" s="48">
        <f t="shared" si="46"/>
        <v>21.81</v>
      </c>
      <c r="M462" s="48">
        <f t="shared" si="47"/>
        <v>5112.4399999999996</v>
      </c>
      <c r="N462" s="48">
        <f t="shared" si="48"/>
        <v>1003.26</v>
      </c>
      <c r="O462" s="50">
        <f t="shared" si="49"/>
        <v>6115.7</v>
      </c>
      <c r="P462" s="50">
        <v>0</v>
      </c>
      <c r="Q462" s="76"/>
      <c r="R462" s="140">
        <f>IF((2*S9+4*S10)&gt;50,50,(2*S9+4*S10))</f>
        <v>46</v>
      </c>
      <c r="S462" s="79">
        <v>90.75</v>
      </c>
      <c r="T462" s="80">
        <v>17.809999999999999</v>
      </c>
    </row>
    <row r="463" spans="2:20" ht="42">
      <c r="B463" s="5" t="s">
        <v>1112</v>
      </c>
      <c r="C463" s="45" t="s">
        <v>97</v>
      </c>
      <c r="D463" s="45" t="s">
        <v>1113</v>
      </c>
      <c r="E463" s="6" t="s">
        <v>1114</v>
      </c>
      <c r="F463" s="45" t="s">
        <v>104</v>
      </c>
      <c r="G463" s="46">
        <f t="shared" si="50"/>
        <v>14</v>
      </c>
      <c r="H463" s="46">
        <f>TRUNC(S463*(1-LOTE_03!$K$10),2)</f>
        <v>272.77999999999997</v>
      </c>
      <c r="I463" s="46">
        <f>TRUNC(T463*(1-LOTE_03!$K$10),2)</f>
        <v>17.809999999999999</v>
      </c>
      <c r="J463" s="100">
        <f t="shared" si="51"/>
        <v>0.22470000000000001</v>
      </c>
      <c r="K463" s="48">
        <f t="shared" si="45"/>
        <v>334.07</v>
      </c>
      <c r="L463" s="48">
        <f t="shared" si="46"/>
        <v>21.81</v>
      </c>
      <c r="M463" s="48">
        <f t="shared" si="47"/>
        <v>4676.9799999999996</v>
      </c>
      <c r="N463" s="48">
        <f t="shared" si="48"/>
        <v>305.33999999999997</v>
      </c>
      <c r="O463" s="50">
        <f t="shared" si="49"/>
        <v>4982.32</v>
      </c>
      <c r="P463" s="50">
        <v>0</v>
      </c>
      <c r="Q463" s="76"/>
      <c r="R463" s="140">
        <f>1*S9+1*S10</f>
        <v>14</v>
      </c>
      <c r="S463" s="79">
        <v>272.77999999999997</v>
      </c>
      <c r="T463" s="80">
        <v>17.809999999999999</v>
      </c>
    </row>
    <row r="464" spans="2:20" ht="42">
      <c r="B464" s="5" t="s">
        <v>1115</v>
      </c>
      <c r="C464" s="45" t="s">
        <v>97</v>
      </c>
      <c r="D464" s="45" t="s">
        <v>1116</v>
      </c>
      <c r="E464" s="6" t="s">
        <v>1117</v>
      </c>
      <c r="F464" s="45" t="s">
        <v>104</v>
      </c>
      <c r="G464" s="46">
        <f t="shared" si="50"/>
        <v>14</v>
      </c>
      <c r="H464" s="46">
        <f>TRUNC(S464*(1-LOTE_03!$K$10),2)</f>
        <v>242.13</v>
      </c>
      <c r="I464" s="46">
        <f>TRUNC(T464*(1-LOTE_03!$K$10),2)</f>
        <v>12.46</v>
      </c>
      <c r="J464" s="100">
        <f t="shared" si="51"/>
        <v>0.22470000000000001</v>
      </c>
      <c r="K464" s="48">
        <f t="shared" ref="K464:K527" si="52">TRUNC(H464*(1+J464),2)</f>
        <v>296.52999999999997</v>
      </c>
      <c r="L464" s="48">
        <f t="shared" ref="L464:L527" si="53">TRUNC(I464*(1+J464),2)</f>
        <v>15.25</v>
      </c>
      <c r="M464" s="48">
        <f t="shared" ref="M464:M527" si="54">TRUNC(K464*G464,2)</f>
        <v>4151.42</v>
      </c>
      <c r="N464" s="48">
        <f t="shared" ref="N464:N527" si="55">TRUNC(L464*G464,2)</f>
        <v>213.5</v>
      </c>
      <c r="O464" s="50">
        <f t="shared" ref="O464:O527" si="56">TRUNC(M464+N464,2)</f>
        <v>4364.92</v>
      </c>
      <c r="P464" s="50">
        <v>0</v>
      </c>
      <c r="Q464" s="76"/>
      <c r="R464" s="140">
        <f>1*S9+1*S10</f>
        <v>14</v>
      </c>
      <c r="S464" s="79">
        <v>242.13</v>
      </c>
      <c r="T464" s="80">
        <v>12.46</v>
      </c>
    </row>
    <row r="465" spans="2:20">
      <c r="B465" s="5" t="s">
        <v>1118</v>
      </c>
      <c r="C465" s="45" t="s">
        <v>97</v>
      </c>
      <c r="D465" s="45" t="s">
        <v>1119</v>
      </c>
      <c r="E465" s="6" t="s">
        <v>1120</v>
      </c>
      <c r="F465" s="45" t="s">
        <v>104</v>
      </c>
      <c r="G465" s="46">
        <f t="shared" si="50"/>
        <v>14</v>
      </c>
      <c r="H465" s="46">
        <f>TRUNC(S465*(1-LOTE_03!$K$10),2)</f>
        <v>130.44</v>
      </c>
      <c r="I465" s="46">
        <f>TRUNC(T465*(1-LOTE_03!$K$10),2)</f>
        <v>12.46</v>
      </c>
      <c r="J465" s="100">
        <f t="shared" si="51"/>
        <v>0.22470000000000001</v>
      </c>
      <c r="K465" s="48">
        <f t="shared" si="52"/>
        <v>159.74</v>
      </c>
      <c r="L465" s="48">
        <f t="shared" si="53"/>
        <v>15.25</v>
      </c>
      <c r="M465" s="48">
        <f t="shared" si="54"/>
        <v>2236.36</v>
      </c>
      <c r="N465" s="48">
        <f t="shared" si="55"/>
        <v>213.5</v>
      </c>
      <c r="O465" s="50">
        <f t="shared" si="56"/>
        <v>2449.86</v>
      </c>
      <c r="P465" s="50">
        <v>0</v>
      </c>
      <c r="Q465" s="76"/>
      <c r="R465" s="140">
        <f>1*S9+1*S10</f>
        <v>14</v>
      </c>
      <c r="S465" s="79">
        <v>130.44</v>
      </c>
      <c r="T465" s="80">
        <v>12.46</v>
      </c>
    </row>
    <row r="466" spans="2:20">
      <c r="B466" s="5" t="s">
        <v>1121</v>
      </c>
      <c r="C466" s="45" t="s">
        <v>97</v>
      </c>
      <c r="D466" s="45" t="s">
        <v>1122</v>
      </c>
      <c r="E466" s="6" t="s">
        <v>1123</v>
      </c>
      <c r="F466" s="45" t="s">
        <v>104</v>
      </c>
      <c r="G466" s="46">
        <f t="shared" ref="G466:G529" si="57">TRUNC(R466,2)</f>
        <v>14</v>
      </c>
      <c r="H466" s="46">
        <f>TRUNC(S466*(1-LOTE_03!$K$10),2)</f>
        <v>346.32</v>
      </c>
      <c r="I466" s="46">
        <f>TRUNC(T466*(1-LOTE_03!$K$10),2)</f>
        <v>32.770000000000003</v>
      </c>
      <c r="J466" s="100">
        <f t="shared" ref="J466:J529" si="58">$J$4</f>
        <v>0.22470000000000001</v>
      </c>
      <c r="K466" s="48">
        <f t="shared" si="52"/>
        <v>424.13</v>
      </c>
      <c r="L466" s="48">
        <f t="shared" si="53"/>
        <v>40.130000000000003</v>
      </c>
      <c r="M466" s="48">
        <f t="shared" si="54"/>
        <v>5937.82</v>
      </c>
      <c r="N466" s="48">
        <f t="shared" si="55"/>
        <v>561.82000000000005</v>
      </c>
      <c r="O466" s="50">
        <f t="shared" si="56"/>
        <v>6499.64</v>
      </c>
      <c r="P466" s="50">
        <v>0</v>
      </c>
      <c r="Q466" s="76"/>
      <c r="R466" s="140">
        <f>1*S9+1*S10</f>
        <v>14</v>
      </c>
      <c r="S466" s="79">
        <v>346.32</v>
      </c>
      <c r="T466" s="80">
        <v>32.770000000000003</v>
      </c>
    </row>
    <row r="467" spans="2:20" ht="56">
      <c r="B467" s="5" t="s">
        <v>1124</v>
      </c>
      <c r="C467" s="45" t="s">
        <v>97</v>
      </c>
      <c r="D467" s="45" t="s">
        <v>1039</v>
      </c>
      <c r="E467" s="6" t="s">
        <v>1040</v>
      </c>
      <c r="F467" s="45" t="s">
        <v>925</v>
      </c>
      <c r="G467" s="46">
        <f t="shared" si="57"/>
        <v>700</v>
      </c>
      <c r="H467" s="46">
        <f>TRUNC(S467*(1-LOTE_03!$K$10),2)</f>
        <v>33.78</v>
      </c>
      <c r="I467" s="46">
        <f>TRUNC(T467*(1-LOTE_03!$K$10),2)</f>
        <v>17.809999999999999</v>
      </c>
      <c r="J467" s="100">
        <f t="shared" si="58"/>
        <v>0.22470000000000001</v>
      </c>
      <c r="K467" s="48">
        <f t="shared" si="52"/>
        <v>41.37</v>
      </c>
      <c r="L467" s="48">
        <f t="shared" si="53"/>
        <v>21.81</v>
      </c>
      <c r="M467" s="48">
        <f t="shared" si="54"/>
        <v>28959</v>
      </c>
      <c r="N467" s="48">
        <f t="shared" si="55"/>
        <v>15267</v>
      </c>
      <c r="O467" s="50">
        <f t="shared" si="56"/>
        <v>44226</v>
      </c>
      <c r="P467" s="50">
        <v>0</v>
      </c>
      <c r="Q467" s="76"/>
      <c r="R467" s="140">
        <f>50*S9+50*S10</f>
        <v>700</v>
      </c>
      <c r="S467" s="79">
        <v>33.78</v>
      </c>
      <c r="T467" s="80">
        <v>17.809999999999999</v>
      </c>
    </row>
    <row r="468" spans="2:20" ht="70">
      <c r="B468" s="5" t="s">
        <v>1125</v>
      </c>
      <c r="C468" s="45" t="s">
        <v>135</v>
      </c>
      <c r="D468" s="45">
        <v>91867</v>
      </c>
      <c r="E468" s="6" t="s">
        <v>927</v>
      </c>
      <c r="F468" s="45" t="s">
        <v>187</v>
      </c>
      <c r="G468" s="46">
        <f t="shared" si="57"/>
        <v>700</v>
      </c>
      <c r="H468" s="46">
        <f>TRUNC(S468*(1-LOTE_03!$K$10),2)</f>
        <v>7.12</v>
      </c>
      <c r="I468" s="46">
        <f>TRUNC(T468*(1-LOTE_03!$K$10),2)</f>
        <v>3.47</v>
      </c>
      <c r="J468" s="100">
        <f t="shared" si="58"/>
        <v>0.22470000000000001</v>
      </c>
      <c r="K468" s="48">
        <f t="shared" si="52"/>
        <v>8.7100000000000009</v>
      </c>
      <c r="L468" s="48">
        <f t="shared" si="53"/>
        <v>4.24</v>
      </c>
      <c r="M468" s="48">
        <f t="shared" si="54"/>
        <v>6097</v>
      </c>
      <c r="N468" s="48">
        <f t="shared" si="55"/>
        <v>2968</v>
      </c>
      <c r="O468" s="50">
        <f t="shared" si="56"/>
        <v>9065</v>
      </c>
      <c r="P468" s="50">
        <v>0</v>
      </c>
      <c r="Q468" s="76"/>
      <c r="R468" s="140">
        <f>50*S9+50*S10</f>
        <v>700</v>
      </c>
      <c r="S468" s="79">
        <v>7.1199999999999992</v>
      </c>
      <c r="T468" s="80">
        <v>3.47</v>
      </c>
    </row>
    <row r="469" spans="2:20" ht="70">
      <c r="B469" s="5" t="s">
        <v>1126</v>
      </c>
      <c r="C469" s="45" t="s">
        <v>135</v>
      </c>
      <c r="D469" s="45">
        <v>91864</v>
      </c>
      <c r="E469" s="6" t="s">
        <v>838</v>
      </c>
      <c r="F469" s="45" t="s">
        <v>187</v>
      </c>
      <c r="G469" s="46">
        <f t="shared" si="57"/>
        <v>70</v>
      </c>
      <c r="H469" s="46">
        <f>TRUNC(S469*(1-LOTE_03!$K$10),2)</f>
        <v>10.98</v>
      </c>
      <c r="I469" s="46">
        <f>TRUNC(T469*(1-LOTE_03!$K$10),2)</f>
        <v>5.13</v>
      </c>
      <c r="J469" s="100">
        <f t="shared" si="58"/>
        <v>0.22470000000000001</v>
      </c>
      <c r="K469" s="48">
        <f t="shared" si="52"/>
        <v>13.44</v>
      </c>
      <c r="L469" s="48">
        <f t="shared" si="53"/>
        <v>6.28</v>
      </c>
      <c r="M469" s="48">
        <f t="shared" si="54"/>
        <v>940.8</v>
      </c>
      <c r="N469" s="48">
        <f t="shared" si="55"/>
        <v>439.6</v>
      </c>
      <c r="O469" s="50">
        <f t="shared" si="56"/>
        <v>1380.4</v>
      </c>
      <c r="P469" s="50">
        <v>0</v>
      </c>
      <c r="Q469" s="76"/>
      <c r="R469" s="140">
        <f>5*S9+5*S10</f>
        <v>70</v>
      </c>
      <c r="S469" s="79">
        <v>10.98</v>
      </c>
      <c r="T469" s="80">
        <v>5.13</v>
      </c>
    </row>
    <row r="470" spans="2:20" ht="42">
      <c r="B470" s="5" t="s">
        <v>1127</v>
      </c>
      <c r="C470" s="45" t="s">
        <v>165</v>
      </c>
      <c r="D470" s="45" t="s">
        <v>1036</v>
      </c>
      <c r="E470" s="6" t="s">
        <v>1037</v>
      </c>
      <c r="F470" s="45" t="s">
        <v>531</v>
      </c>
      <c r="G470" s="46">
        <f t="shared" si="57"/>
        <v>70</v>
      </c>
      <c r="H470" s="46">
        <f>TRUNC(S470*(1-LOTE_03!$K$10),2)</f>
        <v>19.43</v>
      </c>
      <c r="I470" s="46">
        <f>TRUNC(T470*(1-LOTE_03!$K$10),2)</f>
        <v>15.94</v>
      </c>
      <c r="J470" s="100">
        <f t="shared" si="58"/>
        <v>0.22470000000000001</v>
      </c>
      <c r="K470" s="48">
        <f t="shared" si="52"/>
        <v>23.79</v>
      </c>
      <c r="L470" s="48">
        <f t="shared" si="53"/>
        <v>19.52</v>
      </c>
      <c r="M470" s="48">
        <f t="shared" si="54"/>
        <v>1665.3</v>
      </c>
      <c r="N470" s="48">
        <f t="shared" si="55"/>
        <v>1366.4</v>
      </c>
      <c r="O470" s="50">
        <f t="shared" si="56"/>
        <v>3031.7</v>
      </c>
      <c r="P470" s="50">
        <v>0</v>
      </c>
      <c r="Q470" s="76"/>
      <c r="R470" s="140">
        <f>5*S9+5*S10</f>
        <v>70</v>
      </c>
      <c r="S470" s="79">
        <v>19.43</v>
      </c>
      <c r="T470" s="80">
        <v>15.94</v>
      </c>
    </row>
    <row r="471" spans="2:20" ht="28">
      <c r="B471" s="5" t="s">
        <v>1128</v>
      </c>
      <c r="C471" s="45" t="s">
        <v>165</v>
      </c>
      <c r="D471" s="45" t="s">
        <v>1129</v>
      </c>
      <c r="E471" s="6" t="s">
        <v>1130</v>
      </c>
      <c r="F471" s="45" t="s">
        <v>531</v>
      </c>
      <c r="G471" s="46">
        <f t="shared" si="57"/>
        <v>140</v>
      </c>
      <c r="H471" s="46">
        <f>TRUNC(S471*(1-LOTE_03!$K$10),2)</f>
        <v>54.46</v>
      </c>
      <c r="I471" s="46">
        <f>TRUNC(T471*(1-LOTE_03!$K$10),2)</f>
        <v>5.74</v>
      </c>
      <c r="J471" s="100">
        <f t="shared" si="58"/>
        <v>0.22470000000000001</v>
      </c>
      <c r="K471" s="48">
        <f t="shared" si="52"/>
        <v>66.69</v>
      </c>
      <c r="L471" s="48">
        <f t="shared" si="53"/>
        <v>7.02</v>
      </c>
      <c r="M471" s="48">
        <f t="shared" si="54"/>
        <v>9336.6</v>
      </c>
      <c r="N471" s="48">
        <f t="shared" si="55"/>
        <v>982.8</v>
      </c>
      <c r="O471" s="50">
        <f t="shared" si="56"/>
        <v>10319.4</v>
      </c>
      <c r="P471" s="50">
        <v>0</v>
      </c>
      <c r="Q471" s="76"/>
      <c r="R471" s="140">
        <f>10*S9+10*S10</f>
        <v>140</v>
      </c>
      <c r="S471" s="79">
        <v>54.46</v>
      </c>
      <c r="T471" s="80">
        <v>5.74</v>
      </c>
    </row>
    <row r="472" spans="2:20" ht="28">
      <c r="B472" s="5" t="s">
        <v>1131</v>
      </c>
      <c r="C472" s="45" t="s">
        <v>97</v>
      </c>
      <c r="D472" s="45" t="s">
        <v>1132</v>
      </c>
      <c r="E472" s="6" t="s">
        <v>1133</v>
      </c>
      <c r="F472" s="45" t="s">
        <v>187</v>
      </c>
      <c r="G472" s="46">
        <f t="shared" si="57"/>
        <v>140</v>
      </c>
      <c r="H472" s="46">
        <f>TRUNC(S472*(1-LOTE_03!$K$10),2)</f>
        <v>10.54</v>
      </c>
      <c r="I472" s="46">
        <f>TRUNC(T472*(1-LOTE_03!$K$10),2)</f>
        <v>1.42</v>
      </c>
      <c r="J472" s="100">
        <f t="shared" si="58"/>
        <v>0.22470000000000001</v>
      </c>
      <c r="K472" s="48">
        <f t="shared" si="52"/>
        <v>12.9</v>
      </c>
      <c r="L472" s="48">
        <f t="shared" si="53"/>
        <v>1.73</v>
      </c>
      <c r="M472" s="48">
        <f t="shared" si="54"/>
        <v>1806</v>
      </c>
      <c r="N472" s="48">
        <f t="shared" si="55"/>
        <v>242.2</v>
      </c>
      <c r="O472" s="50">
        <f t="shared" si="56"/>
        <v>2048.1999999999998</v>
      </c>
      <c r="P472" s="50">
        <v>0</v>
      </c>
      <c r="Q472" s="76"/>
      <c r="R472" s="140">
        <f>10*S9+10*S10</f>
        <v>140</v>
      </c>
      <c r="S472" s="79">
        <v>10.54</v>
      </c>
      <c r="T472" s="80">
        <v>1.42</v>
      </c>
    </row>
    <row r="473" spans="2:20" ht="56">
      <c r="B473" s="5" t="s">
        <v>1134</v>
      </c>
      <c r="C473" s="45" t="s">
        <v>135</v>
      </c>
      <c r="D473" s="45">
        <v>95778</v>
      </c>
      <c r="E473" s="6" t="s">
        <v>1814</v>
      </c>
      <c r="F473" s="45" t="s">
        <v>210</v>
      </c>
      <c r="G473" s="46">
        <f t="shared" si="57"/>
        <v>70</v>
      </c>
      <c r="H473" s="46">
        <f>TRUNC(S473*(1-LOTE_03!$K$10),2)</f>
        <v>23.37</v>
      </c>
      <c r="I473" s="46">
        <f>TRUNC(T473*(1-LOTE_03!$K$10),2)</f>
        <v>10.25</v>
      </c>
      <c r="J473" s="100">
        <f t="shared" si="58"/>
        <v>0.22470000000000001</v>
      </c>
      <c r="K473" s="48">
        <f t="shared" si="52"/>
        <v>28.62</v>
      </c>
      <c r="L473" s="48">
        <f t="shared" si="53"/>
        <v>12.55</v>
      </c>
      <c r="M473" s="48">
        <f t="shared" si="54"/>
        <v>2003.4</v>
      </c>
      <c r="N473" s="48">
        <f t="shared" si="55"/>
        <v>878.5</v>
      </c>
      <c r="O473" s="50">
        <f t="shared" si="56"/>
        <v>2881.9</v>
      </c>
      <c r="P473" s="50">
        <v>0</v>
      </c>
      <c r="Q473" s="76"/>
      <c r="R473" s="140">
        <f>5*S9+5*S10</f>
        <v>70</v>
      </c>
      <c r="S473" s="79">
        <v>23.369999999999997</v>
      </c>
      <c r="T473" s="80">
        <v>10.25</v>
      </c>
    </row>
    <row r="474" spans="2:20" ht="56">
      <c r="B474" s="5" t="s">
        <v>1135</v>
      </c>
      <c r="C474" s="45" t="s">
        <v>135</v>
      </c>
      <c r="D474" s="45">
        <v>91941</v>
      </c>
      <c r="E474" s="6" t="s">
        <v>1021</v>
      </c>
      <c r="F474" s="45" t="s">
        <v>210</v>
      </c>
      <c r="G474" s="46">
        <f t="shared" si="57"/>
        <v>70</v>
      </c>
      <c r="H474" s="46">
        <f>TRUNC(S474*(1-LOTE_03!$K$10),2)</f>
        <v>5.82</v>
      </c>
      <c r="I474" s="46">
        <f>TRUNC(T474*(1-LOTE_03!$K$10),2)</f>
        <v>6.19</v>
      </c>
      <c r="J474" s="100">
        <f t="shared" si="58"/>
        <v>0.22470000000000001</v>
      </c>
      <c r="K474" s="48">
        <f t="shared" si="52"/>
        <v>7.12</v>
      </c>
      <c r="L474" s="48">
        <f t="shared" si="53"/>
        <v>7.58</v>
      </c>
      <c r="M474" s="48">
        <f t="shared" si="54"/>
        <v>498.4</v>
      </c>
      <c r="N474" s="48">
        <f t="shared" si="55"/>
        <v>530.6</v>
      </c>
      <c r="O474" s="50">
        <f t="shared" si="56"/>
        <v>1029</v>
      </c>
      <c r="P474" s="50">
        <v>0</v>
      </c>
      <c r="Q474" s="76"/>
      <c r="R474" s="140">
        <f>5*S9+5*S10</f>
        <v>70</v>
      </c>
      <c r="S474" s="79">
        <v>5.8199999999999994</v>
      </c>
      <c r="T474" s="80">
        <v>6.19</v>
      </c>
    </row>
    <row r="475" spans="2:20" ht="56">
      <c r="B475" s="5" t="s">
        <v>1136</v>
      </c>
      <c r="C475" s="45" t="s">
        <v>135</v>
      </c>
      <c r="D475" s="45">
        <v>91944</v>
      </c>
      <c r="E475" s="6" t="s">
        <v>935</v>
      </c>
      <c r="F475" s="45" t="s">
        <v>210</v>
      </c>
      <c r="G475" s="46">
        <f t="shared" si="57"/>
        <v>59</v>
      </c>
      <c r="H475" s="46">
        <f>TRUNC(S475*(1-LOTE_03!$K$10),2)</f>
        <v>8.7100000000000009</v>
      </c>
      <c r="I475" s="46">
        <f>TRUNC(T475*(1-LOTE_03!$K$10),2)</f>
        <v>6.48</v>
      </c>
      <c r="J475" s="100">
        <f t="shared" si="58"/>
        <v>0.22470000000000001</v>
      </c>
      <c r="K475" s="48">
        <f t="shared" si="52"/>
        <v>10.66</v>
      </c>
      <c r="L475" s="48">
        <f t="shared" si="53"/>
        <v>7.93</v>
      </c>
      <c r="M475" s="48">
        <f t="shared" si="54"/>
        <v>628.94000000000005</v>
      </c>
      <c r="N475" s="48">
        <f t="shared" si="55"/>
        <v>467.87</v>
      </c>
      <c r="O475" s="50">
        <f t="shared" si="56"/>
        <v>1096.81</v>
      </c>
      <c r="P475" s="50">
        <v>0</v>
      </c>
      <c r="Q475" s="76"/>
      <c r="R475" s="140">
        <f>10*S9+1*S10</f>
        <v>59</v>
      </c>
      <c r="S475" s="79">
        <v>8.7099999999999991</v>
      </c>
      <c r="T475" s="80">
        <v>6.48</v>
      </c>
    </row>
    <row r="476" spans="2:20" ht="56">
      <c r="B476" s="5" t="s">
        <v>1137</v>
      </c>
      <c r="C476" s="45" t="s">
        <v>135</v>
      </c>
      <c r="D476" s="45">
        <v>92000</v>
      </c>
      <c r="E476" s="6" t="s">
        <v>856</v>
      </c>
      <c r="F476" s="45" t="s">
        <v>210</v>
      </c>
      <c r="G476" s="46">
        <f t="shared" si="57"/>
        <v>280</v>
      </c>
      <c r="H476" s="46">
        <f>TRUNC(S476*(1-LOTE_03!$K$10),2)</f>
        <v>16.809999999999999</v>
      </c>
      <c r="I476" s="46">
        <f>TRUNC(T476*(1-LOTE_03!$K$10),2)</f>
        <v>13.74</v>
      </c>
      <c r="J476" s="100">
        <f t="shared" si="58"/>
        <v>0.22470000000000001</v>
      </c>
      <c r="K476" s="48">
        <f t="shared" si="52"/>
        <v>20.58</v>
      </c>
      <c r="L476" s="48">
        <f t="shared" si="53"/>
        <v>16.82</v>
      </c>
      <c r="M476" s="48">
        <f t="shared" si="54"/>
        <v>5762.4</v>
      </c>
      <c r="N476" s="48">
        <f t="shared" si="55"/>
        <v>4709.6000000000004</v>
      </c>
      <c r="O476" s="50">
        <f t="shared" si="56"/>
        <v>10472</v>
      </c>
      <c r="P476" s="50">
        <v>0</v>
      </c>
      <c r="Q476" s="76"/>
      <c r="R476" s="140">
        <f>20*S9+20*S10</f>
        <v>280</v>
      </c>
      <c r="S476" s="79">
        <v>16.810000000000002</v>
      </c>
      <c r="T476" s="80">
        <v>13.74</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50">
        <v>0</v>
      </c>
      <c r="Q477" s="76"/>
      <c r="R477" s="154"/>
      <c r="S477" s="79" t="s">
        <v>22</v>
      </c>
      <c r="T477" s="80" t="s">
        <v>22</v>
      </c>
    </row>
    <row r="478" spans="2:20" ht="56">
      <c r="B478" s="5" t="s">
        <v>1139</v>
      </c>
      <c r="C478" s="45" t="s">
        <v>97</v>
      </c>
      <c r="D478" s="45" t="s">
        <v>1140</v>
      </c>
      <c r="E478" s="6" t="s">
        <v>1141</v>
      </c>
      <c r="F478" s="45" t="s">
        <v>104</v>
      </c>
      <c r="G478" s="46">
        <f t="shared" si="57"/>
        <v>14</v>
      </c>
      <c r="H478" s="46">
        <f>TRUNC(S478*(1-LOTE_03!$K$10),2)</f>
        <v>157.86000000000001</v>
      </c>
      <c r="I478" s="46">
        <f>TRUNC(T478*(1-LOTE_03!$K$10),2)</f>
        <v>235.09</v>
      </c>
      <c r="J478" s="100">
        <f t="shared" si="58"/>
        <v>0.22470000000000001</v>
      </c>
      <c r="K478" s="48">
        <f t="shared" si="52"/>
        <v>193.33</v>
      </c>
      <c r="L478" s="48">
        <f t="shared" si="53"/>
        <v>287.91000000000003</v>
      </c>
      <c r="M478" s="48">
        <f t="shared" si="54"/>
        <v>2706.62</v>
      </c>
      <c r="N478" s="48">
        <f t="shared" si="55"/>
        <v>4030.74</v>
      </c>
      <c r="O478" s="50">
        <f t="shared" si="56"/>
        <v>6737.36</v>
      </c>
      <c r="P478" s="50">
        <v>0</v>
      </c>
      <c r="Q478" s="76"/>
      <c r="R478" s="140">
        <f>1*S9+1*S10</f>
        <v>14</v>
      </c>
      <c r="S478" s="79">
        <v>157.86000000000001</v>
      </c>
      <c r="T478" s="80">
        <v>235.09</v>
      </c>
    </row>
    <row r="479" spans="2:20" ht="28">
      <c r="B479" s="5" t="s">
        <v>1142</v>
      </c>
      <c r="C479" s="45" t="s">
        <v>97</v>
      </c>
      <c r="D479" s="45" t="s">
        <v>1143</v>
      </c>
      <c r="E479" s="6" t="s">
        <v>1144</v>
      </c>
      <c r="F479" s="45" t="s">
        <v>104</v>
      </c>
      <c r="G479" s="46">
        <f t="shared" si="57"/>
        <v>10</v>
      </c>
      <c r="H479" s="46">
        <f>TRUNC(S479*(1-LOTE_03!$K$10),2)</f>
        <v>15.57</v>
      </c>
      <c r="I479" s="46">
        <f>TRUNC(T479*(1-LOTE_03!$K$10),2)</f>
        <v>35.619999999999997</v>
      </c>
      <c r="J479" s="100">
        <f t="shared" si="58"/>
        <v>0.22470000000000001</v>
      </c>
      <c r="K479" s="48">
        <f t="shared" si="52"/>
        <v>19.059999999999999</v>
      </c>
      <c r="L479" s="48">
        <f t="shared" si="53"/>
        <v>43.62</v>
      </c>
      <c r="M479" s="48">
        <f t="shared" si="54"/>
        <v>190.6</v>
      </c>
      <c r="N479" s="48">
        <f t="shared" si="55"/>
        <v>436.2</v>
      </c>
      <c r="O479" s="50">
        <f t="shared" si="56"/>
        <v>626.79999999999995</v>
      </c>
      <c r="P479" s="50">
        <v>0</v>
      </c>
      <c r="Q479" s="76"/>
      <c r="R479" s="140">
        <f>IF((1*S9+1*S10)&gt;10,10,(1*S9+1*S10))</f>
        <v>10</v>
      </c>
      <c r="S479" s="79">
        <v>15.57</v>
      </c>
      <c r="T479" s="80">
        <v>35.619999999999997</v>
      </c>
    </row>
    <row r="480" spans="2:20">
      <c r="B480" s="5" t="s">
        <v>1145</v>
      </c>
      <c r="C480" s="45" t="s">
        <v>97</v>
      </c>
      <c r="D480" s="45" t="s">
        <v>1146</v>
      </c>
      <c r="E480" s="6" t="s">
        <v>1147</v>
      </c>
      <c r="F480" s="45" t="s">
        <v>104</v>
      </c>
      <c r="G480" s="46">
        <f t="shared" si="57"/>
        <v>10</v>
      </c>
      <c r="H480" s="46">
        <f>TRUNC(S480*(1-LOTE_03!$K$10),2)</f>
        <v>124.56</v>
      </c>
      <c r="I480" s="46">
        <f>TRUNC(T480*(1-LOTE_03!$K$10),2)</f>
        <v>284.95999999999998</v>
      </c>
      <c r="J480" s="100">
        <f t="shared" si="58"/>
        <v>0.22470000000000001</v>
      </c>
      <c r="K480" s="48">
        <f t="shared" si="52"/>
        <v>152.54</v>
      </c>
      <c r="L480" s="48">
        <f t="shared" si="53"/>
        <v>348.99</v>
      </c>
      <c r="M480" s="48">
        <f t="shared" si="54"/>
        <v>1525.4</v>
      </c>
      <c r="N480" s="48">
        <f t="shared" si="55"/>
        <v>3489.9</v>
      </c>
      <c r="O480" s="50">
        <f t="shared" si="56"/>
        <v>5015.3</v>
      </c>
      <c r="P480" s="50">
        <v>0</v>
      </c>
      <c r="Q480" s="76"/>
      <c r="R480" s="140">
        <f>IF((1*S9+1*S10)&gt;10,10,(1*S9+1*S10))</f>
        <v>10</v>
      </c>
      <c r="S480" s="79">
        <v>124.56</v>
      </c>
      <c r="T480" s="80">
        <v>284.95999999999998</v>
      </c>
    </row>
    <row r="481" spans="2:20" ht="28">
      <c r="B481" s="5" t="s">
        <v>1148</v>
      </c>
      <c r="C481" s="45" t="s">
        <v>97</v>
      </c>
      <c r="D481" s="45" t="s">
        <v>1149</v>
      </c>
      <c r="E481" s="6" t="s">
        <v>1150</v>
      </c>
      <c r="F481" s="45" t="s">
        <v>104</v>
      </c>
      <c r="G481" s="46">
        <f t="shared" si="57"/>
        <v>10</v>
      </c>
      <c r="H481" s="46">
        <f>TRUNC(S481*(1-LOTE_03!$K$10),2)</f>
        <v>190.24</v>
      </c>
      <c r="I481" s="46">
        <f>TRUNC(T481*(1-LOTE_03!$K$10),2)</f>
        <v>481.28</v>
      </c>
      <c r="J481" s="100">
        <f t="shared" si="58"/>
        <v>0.22470000000000001</v>
      </c>
      <c r="K481" s="48">
        <f t="shared" si="52"/>
        <v>232.98</v>
      </c>
      <c r="L481" s="48">
        <f t="shared" si="53"/>
        <v>589.41999999999996</v>
      </c>
      <c r="M481" s="48">
        <f t="shared" si="54"/>
        <v>2329.8000000000002</v>
      </c>
      <c r="N481" s="48">
        <f t="shared" si="55"/>
        <v>5894.2</v>
      </c>
      <c r="O481" s="50">
        <f t="shared" si="56"/>
        <v>8224</v>
      </c>
      <c r="P481" s="50">
        <v>0</v>
      </c>
      <c r="Q481" s="76"/>
      <c r="R481" s="140">
        <f>IF((1*S9+1*S10)&gt;10,10,(1*S9+1*S10))</f>
        <v>10</v>
      </c>
      <c r="S481" s="79">
        <v>190.24</v>
      </c>
      <c r="T481" s="80">
        <v>481.28</v>
      </c>
    </row>
    <row r="482" spans="2:20">
      <c r="B482" s="5" t="s">
        <v>1151</v>
      </c>
      <c r="C482" s="45" t="s">
        <v>97</v>
      </c>
      <c r="D482" s="45" t="s">
        <v>1152</v>
      </c>
      <c r="E482" s="6" t="s">
        <v>1153</v>
      </c>
      <c r="F482" s="45" t="s">
        <v>104</v>
      </c>
      <c r="G482" s="46">
        <f t="shared" si="57"/>
        <v>10</v>
      </c>
      <c r="H482" s="46">
        <f>TRUNC(S482*(1-LOTE_03!$K$10),2)</f>
        <v>31.14</v>
      </c>
      <c r="I482" s="46">
        <f>TRUNC(T482*(1-LOTE_03!$K$10),2)</f>
        <v>71.239999999999995</v>
      </c>
      <c r="J482" s="100">
        <f t="shared" si="58"/>
        <v>0.22470000000000001</v>
      </c>
      <c r="K482" s="48">
        <f t="shared" si="52"/>
        <v>38.130000000000003</v>
      </c>
      <c r="L482" s="48">
        <f t="shared" si="53"/>
        <v>87.24</v>
      </c>
      <c r="M482" s="48">
        <f t="shared" si="54"/>
        <v>381.3</v>
      </c>
      <c r="N482" s="48">
        <f t="shared" si="55"/>
        <v>872.4</v>
      </c>
      <c r="O482" s="50">
        <f t="shared" si="56"/>
        <v>1253.7</v>
      </c>
      <c r="P482" s="50">
        <v>0</v>
      </c>
      <c r="Q482" s="76"/>
      <c r="R482" s="140">
        <f>IF((1*S9+1*S10)&gt;10,10,(1*S9+1*S10))</f>
        <v>10</v>
      </c>
      <c r="S482" s="79">
        <v>31.14</v>
      </c>
      <c r="T482" s="80">
        <v>71.239999999999995</v>
      </c>
    </row>
    <row r="483" spans="2:20" ht="56">
      <c r="B483" s="5" t="s">
        <v>1154</v>
      </c>
      <c r="C483" s="45" t="s">
        <v>97</v>
      </c>
      <c r="D483" s="45" t="s">
        <v>1155</v>
      </c>
      <c r="E483" s="6" t="s">
        <v>1156</v>
      </c>
      <c r="F483" s="45" t="s">
        <v>104</v>
      </c>
      <c r="G483" s="46">
        <f t="shared" si="57"/>
        <v>10</v>
      </c>
      <c r="H483" s="46">
        <f>TRUNC(S483*(1-LOTE_03!$K$10),2)</f>
        <v>132.34</v>
      </c>
      <c r="I483" s="46">
        <f>TRUNC(T483*(1-LOTE_03!$K$10),2)</f>
        <v>302.77</v>
      </c>
      <c r="J483" s="100">
        <f t="shared" si="58"/>
        <v>0.22470000000000001</v>
      </c>
      <c r="K483" s="48">
        <f t="shared" si="52"/>
        <v>162.07</v>
      </c>
      <c r="L483" s="48">
        <f t="shared" si="53"/>
        <v>370.8</v>
      </c>
      <c r="M483" s="48">
        <f t="shared" si="54"/>
        <v>1620.7</v>
      </c>
      <c r="N483" s="48">
        <f t="shared" si="55"/>
        <v>3708</v>
      </c>
      <c r="O483" s="50">
        <f t="shared" si="56"/>
        <v>5328.7</v>
      </c>
      <c r="P483" s="50">
        <v>0</v>
      </c>
      <c r="Q483" s="76"/>
      <c r="R483" s="140">
        <f>IF((1*S9+1*S10)&gt;10,10,(1*S9+1*S10))</f>
        <v>10</v>
      </c>
      <c r="S483" s="79">
        <v>132.34</v>
      </c>
      <c r="T483" s="80">
        <v>302.77</v>
      </c>
    </row>
    <row r="484" spans="2:20" ht="56">
      <c r="B484" s="5" t="s">
        <v>1157</v>
      </c>
      <c r="C484" s="45" t="s">
        <v>97</v>
      </c>
      <c r="D484" s="45" t="s">
        <v>1158</v>
      </c>
      <c r="E484" s="6" t="s">
        <v>1159</v>
      </c>
      <c r="F484" s="45" t="s">
        <v>104</v>
      </c>
      <c r="G484" s="46">
        <f t="shared" si="57"/>
        <v>10</v>
      </c>
      <c r="H484" s="46">
        <f>TRUNC(S484*(1-LOTE_03!$K$10),2)</f>
        <v>1836.84</v>
      </c>
      <c r="I484" s="46">
        <f>TRUNC(T484*(1-LOTE_03!$K$10),2)</f>
        <v>4750.26</v>
      </c>
      <c r="J484" s="100">
        <f t="shared" si="58"/>
        <v>0.22470000000000001</v>
      </c>
      <c r="K484" s="48">
        <f t="shared" si="52"/>
        <v>2249.5700000000002</v>
      </c>
      <c r="L484" s="48">
        <f t="shared" si="53"/>
        <v>5817.64</v>
      </c>
      <c r="M484" s="48">
        <f t="shared" si="54"/>
        <v>22495.7</v>
      </c>
      <c r="N484" s="48">
        <f t="shared" si="55"/>
        <v>58176.4</v>
      </c>
      <c r="O484" s="50">
        <f t="shared" si="56"/>
        <v>80672.100000000006</v>
      </c>
      <c r="P484" s="50">
        <v>0</v>
      </c>
      <c r="Q484" s="76"/>
      <c r="R484" s="140">
        <f>IF((1*S9+1*S10)&gt;10,10,(1*S9+1*S10))</f>
        <v>10</v>
      </c>
      <c r="S484" s="79">
        <v>1836.84</v>
      </c>
      <c r="T484" s="80">
        <v>4750.26</v>
      </c>
    </row>
    <row r="485" spans="2:20" ht="70">
      <c r="B485" s="5" t="s">
        <v>1160</v>
      </c>
      <c r="C485" s="45" t="s">
        <v>97</v>
      </c>
      <c r="D485" s="45" t="s">
        <v>1161</v>
      </c>
      <c r="E485" s="6" t="s">
        <v>1162</v>
      </c>
      <c r="F485" s="45" t="s">
        <v>104</v>
      </c>
      <c r="G485" s="46">
        <f t="shared" si="57"/>
        <v>10</v>
      </c>
      <c r="H485" s="46">
        <f>TRUNC(S485*(1-LOTE_03!$K$10),2)</f>
        <v>1987.01</v>
      </c>
      <c r="I485" s="46">
        <f>TRUNC(T485*(1-LOTE_03!$K$10),2)</f>
        <v>1125</v>
      </c>
      <c r="J485" s="100">
        <f t="shared" si="58"/>
        <v>0.22470000000000001</v>
      </c>
      <c r="K485" s="48">
        <f t="shared" si="52"/>
        <v>2433.4899999999998</v>
      </c>
      <c r="L485" s="48">
        <f t="shared" si="53"/>
        <v>1377.78</v>
      </c>
      <c r="M485" s="48">
        <f t="shared" si="54"/>
        <v>24334.9</v>
      </c>
      <c r="N485" s="48">
        <f t="shared" si="55"/>
        <v>13777.8</v>
      </c>
      <c r="O485" s="50">
        <f t="shared" si="56"/>
        <v>38112.699999999997</v>
      </c>
      <c r="P485" s="50">
        <v>0</v>
      </c>
      <c r="Q485" s="76"/>
      <c r="R485" s="140">
        <f>IF((1*S9+1*S10)&gt;10,10,(1*S9+1*S10))</f>
        <v>10</v>
      </c>
      <c r="S485" s="79">
        <v>1987.01</v>
      </c>
      <c r="T485" s="80">
        <v>1125</v>
      </c>
    </row>
    <row r="486" spans="2:20" ht="28">
      <c r="B486" s="5" t="s">
        <v>1163</v>
      </c>
      <c r="C486" s="45" t="s">
        <v>97</v>
      </c>
      <c r="D486" s="45" t="s">
        <v>1164</v>
      </c>
      <c r="E486" s="6" t="s">
        <v>1165</v>
      </c>
      <c r="F486" s="45" t="s">
        <v>104</v>
      </c>
      <c r="G486" s="46">
        <f t="shared" si="57"/>
        <v>224</v>
      </c>
      <c r="H486" s="46">
        <f>TRUNC(S486*(1-LOTE_03!$K$10),2)</f>
        <v>163.9</v>
      </c>
      <c r="I486" s="46">
        <f>TRUNC(T486*(1-LOTE_03!$K$10),2)</f>
        <v>12.1</v>
      </c>
      <c r="J486" s="100">
        <f t="shared" si="58"/>
        <v>0.22470000000000001</v>
      </c>
      <c r="K486" s="48">
        <f t="shared" si="52"/>
        <v>200.72</v>
      </c>
      <c r="L486" s="48">
        <f t="shared" si="53"/>
        <v>14.81</v>
      </c>
      <c r="M486" s="48">
        <f t="shared" si="54"/>
        <v>44961.279999999999</v>
      </c>
      <c r="N486" s="48">
        <f t="shared" si="55"/>
        <v>3317.44</v>
      </c>
      <c r="O486" s="50">
        <f t="shared" si="56"/>
        <v>48278.720000000001</v>
      </c>
      <c r="P486" s="50">
        <v>0</v>
      </c>
      <c r="Q486" s="76"/>
      <c r="R486" s="140">
        <f>16*S10+16*S9</f>
        <v>224</v>
      </c>
      <c r="S486" s="79">
        <v>163.9</v>
      </c>
      <c r="T486" s="80">
        <v>12.1</v>
      </c>
    </row>
    <row r="487" spans="2:20" ht="28">
      <c r="B487" s="5" t="s">
        <v>1166</v>
      </c>
      <c r="C487" s="45" t="s">
        <v>97</v>
      </c>
      <c r="D487" s="45" t="s">
        <v>1167</v>
      </c>
      <c r="E487" s="6" t="s">
        <v>1168</v>
      </c>
      <c r="F487" s="45" t="s">
        <v>104</v>
      </c>
      <c r="G487" s="46">
        <f t="shared" si="57"/>
        <v>224</v>
      </c>
      <c r="H487" s="46">
        <f>TRUNC(S487*(1-LOTE_03!$K$10),2)</f>
        <v>179.5</v>
      </c>
      <c r="I487" s="46">
        <f>TRUNC(T487*(1-LOTE_03!$K$10),2)</f>
        <v>12.1</v>
      </c>
      <c r="J487" s="100">
        <f t="shared" si="58"/>
        <v>0.22470000000000001</v>
      </c>
      <c r="K487" s="48">
        <f t="shared" si="52"/>
        <v>219.83</v>
      </c>
      <c r="L487" s="48">
        <f t="shared" si="53"/>
        <v>14.81</v>
      </c>
      <c r="M487" s="48">
        <f t="shared" si="54"/>
        <v>49241.919999999998</v>
      </c>
      <c r="N487" s="48">
        <f t="shared" si="55"/>
        <v>3317.44</v>
      </c>
      <c r="O487" s="50">
        <f t="shared" si="56"/>
        <v>52559.360000000001</v>
      </c>
      <c r="P487" s="50">
        <v>0</v>
      </c>
      <c r="Q487" s="76"/>
      <c r="R487" s="140">
        <f>16*S10+16*S9</f>
        <v>224</v>
      </c>
      <c r="S487" s="79">
        <v>179.5</v>
      </c>
      <c r="T487" s="80">
        <v>12.1</v>
      </c>
    </row>
    <row r="488" spans="2:20" ht="28">
      <c r="B488" s="5" t="s">
        <v>1169</v>
      </c>
      <c r="C488" s="45" t="s">
        <v>97</v>
      </c>
      <c r="D488" s="45" t="s">
        <v>1170</v>
      </c>
      <c r="E488" s="6" t="s">
        <v>1171</v>
      </c>
      <c r="F488" s="45" t="s">
        <v>104</v>
      </c>
      <c r="G488" s="46">
        <f t="shared" si="57"/>
        <v>224</v>
      </c>
      <c r="H488" s="46">
        <f>TRUNC(S488*(1-LOTE_03!$K$10),2)</f>
        <v>333</v>
      </c>
      <c r="I488" s="46">
        <f>TRUNC(T488*(1-LOTE_03!$K$10),2)</f>
        <v>12.1</v>
      </c>
      <c r="J488" s="100">
        <f t="shared" si="58"/>
        <v>0.22470000000000001</v>
      </c>
      <c r="K488" s="48">
        <f t="shared" si="52"/>
        <v>407.82</v>
      </c>
      <c r="L488" s="48">
        <f t="shared" si="53"/>
        <v>14.81</v>
      </c>
      <c r="M488" s="48">
        <f t="shared" si="54"/>
        <v>91351.679999999993</v>
      </c>
      <c r="N488" s="48">
        <f t="shared" si="55"/>
        <v>3317.44</v>
      </c>
      <c r="O488" s="50">
        <f t="shared" si="56"/>
        <v>94669.119999999995</v>
      </c>
      <c r="P488" s="50">
        <v>0</v>
      </c>
      <c r="Q488" s="76"/>
      <c r="R488" s="140">
        <f>16*S10+16*S9</f>
        <v>224</v>
      </c>
      <c r="S488" s="79">
        <v>333</v>
      </c>
      <c r="T488" s="80">
        <v>12.1</v>
      </c>
    </row>
    <row r="489" spans="2:20" ht="56">
      <c r="B489" s="5" t="s">
        <v>1172</v>
      </c>
      <c r="C489" s="45" t="s">
        <v>97</v>
      </c>
      <c r="D489" s="45" t="s">
        <v>1173</v>
      </c>
      <c r="E489" s="6" t="s">
        <v>1174</v>
      </c>
      <c r="F489" s="45" t="s">
        <v>104</v>
      </c>
      <c r="G489" s="46">
        <f t="shared" si="57"/>
        <v>14</v>
      </c>
      <c r="H489" s="46">
        <f>TRUNC(S489*(1-LOTE_03!$K$10),2)</f>
        <v>753.59</v>
      </c>
      <c r="I489" s="46">
        <f>TRUNC(T489*(1-LOTE_03!$K$10),2)</f>
        <v>121</v>
      </c>
      <c r="J489" s="100">
        <f t="shared" si="58"/>
        <v>0.22470000000000001</v>
      </c>
      <c r="K489" s="48">
        <f t="shared" si="52"/>
        <v>922.92</v>
      </c>
      <c r="L489" s="48">
        <f t="shared" si="53"/>
        <v>148.18</v>
      </c>
      <c r="M489" s="48">
        <f t="shared" si="54"/>
        <v>12920.88</v>
      </c>
      <c r="N489" s="48">
        <f t="shared" si="55"/>
        <v>2074.52</v>
      </c>
      <c r="O489" s="50">
        <f t="shared" si="56"/>
        <v>14995.4</v>
      </c>
      <c r="P489" s="50">
        <v>0</v>
      </c>
      <c r="Q489" s="76"/>
      <c r="R489" s="140">
        <f>S10+S9</f>
        <v>14</v>
      </c>
      <c r="S489" s="79">
        <v>753.59</v>
      </c>
      <c r="T489" s="80">
        <v>121</v>
      </c>
    </row>
    <row r="490" spans="2:20" ht="56">
      <c r="B490" s="5" t="s">
        <v>1175</v>
      </c>
      <c r="C490" s="45" t="s">
        <v>97</v>
      </c>
      <c r="D490" s="45" t="s">
        <v>1176</v>
      </c>
      <c r="E490" s="6" t="s">
        <v>1177</v>
      </c>
      <c r="F490" s="45" t="s">
        <v>104</v>
      </c>
      <c r="G490" s="46">
        <f t="shared" si="57"/>
        <v>14</v>
      </c>
      <c r="H490" s="46">
        <f>TRUNC(S490*(1-LOTE_03!$K$10),2)</f>
        <v>1978.16</v>
      </c>
      <c r="I490" s="46">
        <f>TRUNC(T490*(1-LOTE_03!$K$10),2)</f>
        <v>387.2</v>
      </c>
      <c r="J490" s="100">
        <f t="shared" si="58"/>
        <v>0.22470000000000001</v>
      </c>
      <c r="K490" s="48">
        <f t="shared" si="52"/>
        <v>2422.65</v>
      </c>
      <c r="L490" s="48">
        <f t="shared" si="53"/>
        <v>474.2</v>
      </c>
      <c r="M490" s="48">
        <f t="shared" si="54"/>
        <v>33917.1</v>
      </c>
      <c r="N490" s="48">
        <f t="shared" si="55"/>
        <v>6638.8</v>
      </c>
      <c r="O490" s="50">
        <f t="shared" si="56"/>
        <v>40555.9</v>
      </c>
      <c r="P490" s="50">
        <v>0</v>
      </c>
      <c r="Q490" s="76"/>
      <c r="R490" s="140">
        <f>S10+S9</f>
        <v>14</v>
      </c>
      <c r="S490" s="79">
        <v>1978.16</v>
      </c>
      <c r="T490" s="80">
        <v>387.2</v>
      </c>
    </row>
    <row r="491" spans="2:20" ht="56">
      <c r="B491" s="5" t="s">
        <v>1178</v>
      </c>
      <c r="C491" s="45" t="s">
        <v>97</v>
      </c>
      <c r="D491" s="45" t="s">
        <v>1179</v>
      </c>
      <c r="E491" s="6" t="s">
        <v>1180</v>
      </c>
      <c r="F491" s="45" t="s">
        <v>104</v>
      </c>
      <c r="G491" s="46">
        <f t="shared" si="57"/>
        <v>14</v>
      </c>
      <c r="H491" s="46">
        <f>TRUNC(S491*(1-LOTE_03!$K$10),2)</f>
        <v>2228.16</v>
      </c>
      <c r="I491" s="46">
        <f>TRUNC(T491*(1-LOTE_03!$K$10),2)</f>
        <v>387.2</v>
      </c>
      <c r="J491" s="100">
        <f t="shared" si="58"/>
        <v>0.22470000000000001</v>
      </c>
      <c r="K491" s="48">
        <f t="shared" si="52"/>
        <v>2728.82</v>
      </c>
      <c r="L491" s="48">
        <f t="shared" si="53"/>
        <v>474.2</v>
      </c>
      <c r="M491" s="48">
        <f t="shared" si="54"/>
        <v>38203.480000000003</v>
      </c>
      <c r="N491" s="48">
        <f t="shared" si="55"/>
        <v>6638.8</v>
      </c>
      <c r="O491" s="50">
        <f t="shared" si="56"/>
        <v>44842.28</v>
      </c>
      <c r="P491" s="50">
        <v>0</v>
      </c>
      <c r="Q491" s="76"/>
      <c r="R491" s="140">
        <f>S10+S9</f>
        <v>14</v>
      </c>
      <c r="S491" s="79">
        <v>2228.16</v>
      </c>
      <c r="T491" s="80">
        <v>387.2</v>
      </c>
    </row>
    <row r="492" spans="2:20" ht="56">
      <c r="B492" s="5" t="s">
        <v>1181</v>
      </c>
      <c r="C492" s="45" t="s">
        <v>97</v>
      </c>
      <c r="D492" s="45" t="s">
        <v>1182</v>
      </c>
      <c r="E492" s="6" t="s">
        <v>1183</v>
      </c>
      <c r="F492" s="45" t="s">
        <v>104</v>
      </c>
      <c r="G492" s="46">
        <f t="shared" si="57"/>
        <v>14</v>
      </c>
      <c r="H492" s="46">
        <f>TRUNC(S492*(1-LOTE_03!$K$10),2)</f>
        <v>3710.2</v>
      </c>
      <c r="I492" s="46">
        <f>TRUNC(T492*(1-LOTE_03!$K$10),2)</f>
        <v>484</v>
      </c>
      <c r="J492" s="100">
        <f t="shared" si="58"/>
        <v>0.22470000000000001</v>
      </c>
      <c r="K492" s="48">
        <f t="shared" si="52"/>
        <v>4543.88</v>
      </c>
      <c r="L492" s="48">
        <f t="shared" si="53"/>
        <v>592.75</v>
      </c>
      <c r="M492" s="48">
        <f t="shared" si="54"/>
        <v>63614.32</v>
      </c>
      <c r="N492" s="48">
        <f t="shared" si="55"/>
        <v>8298.5</v>
      </c>
      <c r="O492" s="50">
        <f t="shared" si="56"/>
        <v>71912.820000000007</v>
      </c>
      <c r="P492" s="50">
        <v>0</v>
      </c>
      <c r="Q492" s="76"/>
      <c r="R492" s="140">
        <f>S10+S9</f>
        <v>14</v>
      </c>
      <c r="S492" s="79">
        <v>3710.2</v>
      </c>
      <c r="T492" s="80">
        <v>484</v>
      </c>
    </row>
    <row r="493" spans="2:20" ht="56">
      <c r="B493" s="5" t="s">
        <v>1184</v>
      </c>
      <c r="C493" s="45" t="s">
        <v>97</v>
      </c>
      <c r="D493" s="45" t="s">
        <v>1185</v>
      </c>
      <c r="E493" s="6" t="s">
        <v>1186</v>
      </c>
      <c r="F493" s="45" t="s">
        <v>104</v>
      </c>
      <c r="G493" s="46">
        <f t="shared" si="57"/>
        <v>14</v>
      </c>
      <c r="H493" s="46">
        <f>TRUNC(S493*(1-LOTE_03!$K$10),2)</f>
        <v>4010.2</v>
      </c>
      <c r="I493" s="46">
        <f>TRUNC(T493*(1-LOTE_03!$K$10),2)</f>
        <v>484</v>
      </c>
      <c r="J493" s="100">
        <f t="shared" si="58"/>
        <v>0.22470000000000001</v>
      </c>
      <c r="K493" s="48">
        <f t="shared" si="52"/>
        <v>4911.29</v>
      </c>
      <c r="L493" s="48">
        <f t="shared" si="53"/>
        <v>592.75</v>
      </c>
      <c r="M493" s="48">
        <f t="shared" si="54"/>
        <v>68758.06</v>
      </c>
      <c r="N493" s="48">
        <f t="shared" si="55"/>
        <v>8298.5</v>
      </c>
      <c r="O493" s="50">
        <f t="shared" si="56"/>
        <v>77056.56</v>
      </c>
      <c r="P493" s="50">
        <v>0</v>
      </c>
      <c r="Q493" s="76"/>
      <c r="R493" s="140">
        <f>S10+S9</f>
        <v>14</v>
      </c>
      <c r="S493" s="79">
        <v>4010.2</v>
      </c>
      <c r="T493" s="80">
        <v>484</v>
      </c>
    </row>
    <row r="494" spans="2:20" ht="28">
      <c r="B494" s="5" t="s">
        <v>1187</v>
      </c>
      <c r="C494" s="45" t="s">
        <v>97</v>
      </c>
      <c r="D494" s="45" t="s">
        <v>1188</v>
      </c>
      <c r="E494" s="6" t="s">
        <v>1189</v>
      </c>
      <c r="F494" s="45" t="s">
        <v>104</v>
      </c>
      <c r="G494" s="46">
        <f t="shared" si="57"/>
        <v>70</v>
      </c>
      <c r="H494" s="46">
        <f>TRUNC(S494*(1-LOTE_03!$K$10),2)</f>
        <v>29.99</v>
      </c>
      <c r="I494" s="46">
        <f>TRUNC(T494*(1-LOTE_03!$K$10),2)</f>
        <v>28.09</v>
      </c>
      <c r="J494" s="100">
        <f t="shared" si="58"/>
        <v>0.22470000000000001</v>
      </c>
      <c r="K494" s="48">
        <f t="shared" si="52"/>
        <v>36.72</v>
      </c>
      <c r="L494" s="48">
        <f t="shared" si="53"/>
        <v>34.4</v>
      </c>
      <c r="M494" s="48">
        <f t="shared" si="54"/>
        <v>2570.4</v>
      </c>
      <c r="N494" s="48">
        <f t="shared" si="55"/>
        <v>2408</v>
      </c>
      <c r="O494" s="50">
        <f t="shared" si="56"/>
        <v>4978.3999999999996</v>
      </c>
      <c r="P494" s="50">
        <v>0</v>
      </c>
      <c r="Q494" s="76"/>
      <c r="R494" s="140">
        <f>5*S9+5*S10</f>
        <v>70</v>
      </c>
      <c r="S494" s="79">
        <v>29.99</v>
      </c>
      <c r="T494" s="80">
        <v>28.09</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498888.68999999977</v>
      </c>
      <c r="Q495" s="76"/>
      <c r="R495" s="154"/>
      <c r="S495" s="79" t="s">
        <v>22</v>
      </c>
      <c r="T495" s="80" t="s">
        <v>22</v>
      </c>
    </row>
    <row r="496" spans="2:20" ht="42">
      <c r="B496" s="5" t="s">
        <v>1190</v>
      </c>
      <c r="C496" s="45" t="s">
        <v>135</v>
      </c>
      <c r="D496" s="45">
        <v>90447</v>
      </c>
      <c r="E496" s="6" t="s">
        <v>1191</v>
      </c>
      <c r="F496" s="45" t="s">
        <v>187</v>
      </c>
      <c r="G496" s="46">
        <f t="shared" si="57"/>
        <v>700</v>
      </c>
      <c r="H496" s="46">
        <f>TRUNC(S496*(1-LOTE_03!$K$10),2)</f>
        <v>2.4</v>
      </c>
      <c r="I496" s="46">
        <f>TRUNC(T496*(1-LOTE_03!$K$10),2)</f>
        <v>5.85</v>
      </c>
      <c r="J496" s="100">
        <f t="shared" si="58"/>
        <v>0.22470000000000001</v>
      </c>
      <c r="K496" s="48">
        <f t="shared" si="52"/>
        <v>2.93</v>
      </c>
      <c r="L496" s="48">
        <f t="shared" si="53"/>
        <v>7.16</v>
      </c>
      <c r="M496" s="48">
        <f t="shared" si="54"/>
        <v>2051</v>
      </c>
      <c r="N496" s="48">
        <f t="shared" si="55"/>
        <v>5012</v>
      </c>
      <c r="O496" s="50">
        <f t="shared" si="56"/>
        <v>7063</v>
      </c>
      <c r="P496" s="50">
        <v>0</v>
      </c>
      <c r="Q496" s="76"/>
      <c r="R496" s="140">
        <f>50*S9+50*S10</f>
        <v>700</v>
      </c>
      <c r="S496" s="79">
        <v>2.4000000000000004</v>
      </c>
      <c r="T496" s="80">
        <v>5.85</v>
      </c>
    </row>
    <row r="497" spans="2:20" ht="70">
      <c r="B497" s="5" t="s">
        <v>1192</v>
      </c>
      <c r="C497" s="45" t="s">
        <v>135</v>
      </c>
      <c r="D497" s="45">
        <v>91222</v>
      </c>
      <c r="E497" s="6" t="s">
        <v>1193</v>
      </c>
      <c r="F497" s="45" t="s">
        <v>187</v>
      </c>
      <c r="G497" s="46">
        <f t="shared" si="57"/>
        <v>200</v>
      </c>
      <c r="H497" s="46">
        <f>TRUNC(S497*(1-LOTE_03!$K$10),2)</f>
        <v>2.4500000000000002</v>
      </c>
      <c r="I497" s="46">
        <f>TRUNC(T497*(1-LOTE_03!$K$10),2)</f>
        <v>6.39</v>
      </c>
      <c r="J497" s="100">
        <f t="shared" si="58"/>
        <v>0.22470000000000001</v>
      </c>
      <c r="K497" s="48">
        <f t="shared" si="52"/>
        <v>3</v>
      </c>
      <c r="L497" s="48">
        <f t="shared" si="53"/>
        <v>7.82</v>
      </c>
      <c r="M497" s="48">
        <f t="shared" si="54"/>
        <v>600</v>
      </c>
      <c r="N497" s="48">
        <f t="shared" si="55"/>
        <v>1564</v>
      </c>
      <c r="O497" s="50">
        <f t="shared" si="56"/>
        <v>2164</v>
      </c>
      <c r="P497" s="50">
        <v>0</v>
      </c>
      <c r="Q497" s="76"/>
      <c r="R497" s="140">
        <f>IF((5*S9+30*S10)&gt;200,200,(5*S9+30*S10))</f>
        <v>200</v>
      </c>
      <c r="S497" s="79">
        <v>2.4500000000000002</v>
      </c>
      <c r="T497" s="80">
        <v>6.39</v>
      </c>
    </row>
    <row r="498" spans="2:20" ht="84">
      <c r="B498" s="5" t="s">
        <v>1194</v>
      </c>
      <c r="C498" s="45" t="s">
        <v>135</v>
      </c>
      <c r="D498" s="45">
        <v>90445</v>
      </c>
      <c r="E498" s="6" t="s">
        <v>1195</v>
      </c>
      <c r="F498" s="45" t="s">
        <v>187</v>
      </c>
      <c r="G498" s="46">
        <f t="shared" si="57"/>
        <v>100</v>
      </c>
      <c r="H498" s="46">
        <f>TRUNC(S498*(1-LOTE_03!$K$10),2)</f>
        <v>5.3</v>
      </c>
      <c r="I498" s="46">
        <f>TRUNC(T498*(1-LOTE_03!$K$10),2)</f>
        <v>10.71</v>
      </c>
      <c r="J498" s="100">
        <f t="shared" si="58"/>
        <v>0.22470000000000001</v>
      </c>
      <c r="K498" s="48">
        <f t="shared" si="52"/>
        <v>6.49</v>
      </c>
      <c r="L498" s="48">
        <f t="shared" si="53"/>
        <v>13.11</v>
      </c>
      <c r="M498" s="48">
        <f t="shared" si="54"/>
        <v>649</v>
      </c>
      <c r="N498" s="48">
        <f t="shared" si="55"/>
        <v>1311</v>
      </c>
      <c r="O498" s="50">
        <f t="shared" si="56"/>
        <v>1960</v>
      </c>
      <c r="P498" s="50">
        <v>0</v>
      </c>
      <c r="Q498" s="76"/>
      <c r="R498" s="140">
        <f>IF((5*S9+30*S10)&gt;100,100,(5*S9+30*S10))</f>
        <v>100</v>
      </c>
      <c r="S498" s="79">
        <v>5.3000000000000007</v>
      </c>
      <c r="T498" s="80">
        <v>10.71</v>
      </c>
    </row>
    <row r="499" spans="2:20" ht="28">
      <c r="B499" s="5" t="s">
        <v>1196</v>
      </c>
      <c r="C499" s="45" t="s">
        <v>97</v>
      </c>
      <c r="D499" s="45" t="s">
        <v>1197</v>
      </c>
      <c r="E499" s="6" t="s">
        <v>1198</v>
      </c>
      <c r="F499" s="45" t="s">
        <v>999</v>
      </c>
      <c r="G499" s="46">
        <f t="shared" si="57"/>
        <v>50</v>
      </c>
      <c r="H499" s="46">
        <f>TRUNC(S499*(1-LOTE_03!$K$10),2)</f>
        <v>265.56</v>
      </c>
      <c r="I499" s="46">
        <f>TRUNC(T499*(1-LOTE_03!$K$10),2)</f>
        <v>329.81</v>
      </c>
      <c r="J499" s="100">
        <f t="shared" si="58"/>
        <v>0.22470000000000001</v>
      </c>
      <c r="K499" s="48">
        <f t="shared" si="52"/>
        <v>325.23</v>
      </c>
      <c r="L499" s="48">
        <f t="shared" si="53"/>
        <v>403.91</v>
      </c>
      <c r="M499" s="48">
        <f t="shared" si="54"/>
        <v>16261.5</v>
      </c>
      <c r="N499" s="48">
        <f t="shared" si="55"/>
        <v>20195.5</v>
      </c>
      <c r="O499" s="50">
        <f t="shared" si="56"/>
        <v>36457</v>
      </c>
      <c r="P499" s="50">
        <v>0</v>
      </c>
      <c r="Q499" s="76"/>
      <c r="R499" s="140">
        <f>IF((5*S9+10*S10)&gt;50,50,(5*S9+10*S10))</f>
        <v>50</v>
      </c>
      <c r="S499" s="79">
        <v>265.56</v>
      </c>
      <c r="T499" s="80">
        <v>329.81</v>
      </c>
    </row>
    <row r="500" spans="2:20" ht="28">
      <c r="B500" s="5" t="s">
        <v>1199</v>
      </c>
      <c r="C500" s="45" t="s">
        <v>97</v>
      </c>
      <c r="D500" s="45" t="s">
        <v>1200</v>
      </c>
      <c r="E500" s="6" t="s">
        <v>1201</v>
      </c>
      <c r="F500" s="45" t="s">
        <v>999</v>
      </c>
      <c r="G500" s="46">
        <f t="shared" si="57"/>
        <v>50</v>
      </c>
      <c r="H500" s="46">
        <f>TRUNC(S500*(1-LOTE_03!$K$10),2)</f>
        <v>114.59</v>
      </c>
      <c r="I500" s="46">
        <f>TRUNC(T500*(1-LOTE_03!$K$10),2)</f>
        <v>74.790000000000006</v>
      </c>
      <c r="J500" s="100">
        <f t="shared" si="58"/>
        <v>0.22470000000000001</v>
      </c>
      <c r="K500" s="48">
        <f t="shared" si="52"/>
        <v>140.33000000000001</v>
      </c>
      <c r="L500" s="48">
        <f t="shared" si="53"/>
        <v>91.59</v>
      </c>
      <c r="M500" s="48">
        <f t="shared" si="54"/>
        <v>7016.5</v>
      </c>
      <c r="N500" s="48">
        <f t="shared" si="55"/>
        <v>4579.5</v>
      </c>
      <c r="O500" s="50">
        <f t="shared" si="56"/>
        <v>11596</v>
      </c>
      <c r="P500" s="50">
        <v>0</v>
      </c>
      <c r="Q500" s="76"/>
      <c r="R500" s="140">
        <f>IF((5*S9+10*S10)&gt;50,50,(5*S9+10*S10))</f>
        <v>50</v>
      </c>
      <c r="S500" s="79">
        <v>114.59</v>
      </c>
      <c r="T500" s="80">
        <v>74.790000000000006</v>
      </c>
    </row>
    <row r="501" spans="2:20" ht="84">
      <c r="B501" s="5" t="s">
        <v>1202</v>
      </c>
      <c r="C501" s="45" t="s">
        <v>97</v>
      </c>
      <c r="D501" s="45" t="s">
        <v>1203</v>
      </c>
      <c r="E501" s="6" t="s">
        <v>1204</v>
      </c>
      <c r="F501" s="45" t="s">
        <v>104</v>
      </c>
      <c r="G501" s="46">
        <f t="shared" si="57"/>
        <v>50</v>
      </c>
      <c r="H501" s="46">
        <f>TRUNC(S501*(1-LOTE_03!$K$10),2)</f>
        <v>704.58</v>
      </c>
      <c r="I501" s="46">
        <f>TRUNC(T501*(1-LOTE_03!$K$10),2)</f>
        <v>605.48</v>
      </c>
      <c r="J501" s="100">
        <f t="shared" si="58"/>
        <v>0.22470000000000001</v>
      </c>
      <c r="K501" s="48">
        <f t="shared" si="52"/>
        <v>862.89</v>
      </c>
      <c r="L501" s="48">
        <f t="shared" si="53"/>
        <v>741.53</v>
      </c>
      <c r="M501" s="48">
        <f t="shared" si="54"/>
        <v>43144.5</v>
      </c>
      <c r="N501" s="48">
        <f t="shared" si="55"/>
        <v>37076.5</v>
      </c>
      <c r="O501" s="50">
        <f t="shared" si="56"/>
        <v>80221</v>
      </c>
      <c r="P501" s="50">
        <v>0</v>
      </c>
      <c r="Q501" s="76"/>
      <c r="R501" s="140">
        <f>IF((5*S9+10*S10)&gt;50,50,(5*S9+10*S10))</f>
        <v>50</v>
      </c>
      <c r="S501" s="79">
        <v>704.58</v>
      </c>
      <c r="T501" s="80">
        <v>605.48</v>
      </c>
    </row>
    <row r="502" spans="2:20" ht="42">
      <c r="B502" s="5" t="s">
        <v>1205</v>
      </c>
      <c r="C502" s="45" t="s">
        <v>135</v>
      </c>
      <c r="D502" s="45">
        <v>86886</v>
      </c>
      <c r="E502" s="6" t="s">
        <v>1816</v>
      </c>
      <c r="F502" s="45" t="s">
        <v>210</v>
      </c>
      <c r="G502" s="46">
        <f t="shared" si="57"/>
        <v>50</v>
      </c>
      <c r="H502" s="46">
        <f>TRUNC(S502*(1-LOTE_03!$K$10),2)</f>
        <v>64.08</v>
      </c>
      <c r="I502" s="46">
        <f>TRUNC(T502*(1-LOTE_03!$K$10),2)</f>
        <v>4.45</v>
      </c>
      <c r="J502" s="100">
        <f t="shared" si="58"/>
        <v>0.22470000000000001</v>
      </c>
      <c r="K502" s="48">
        <f t="shared" si="52"/>
        <v>78.47</v>
      </c>
      <c r="L502" s="48">
        <f t="shared" si="53"/>
        <v>5.44</v>
      </c>
      <c r="M502" s="48">
        <f t="shared" si="54"/>
        <v>3923.5</v>
      </c>
      <c r="N502" s="48">
        <f t="shared" si="55"/>
        <v>272</v>
      </c>
      <c r="O502" s="50">
        <f t="shared" si="56"/>
        <v>4195.5</v>
      </c>
      <c r="P502" s="50">
        <v>0</v>
      </c>
      <c r="Q502" s="76"/>
      <c r="R502" s="140">
        <f>IF((5*S9+10*S10)&gt;50,50,(5*S9+10*S10))</f>
        <v>50</v>
      </c>
      <c r="S502" s="79">
        <v>64.08</v>
      </c>
      <c r="T502" s="80">
        <v>4.45</v>
      </c>
    </row>
    <row r="503" spans="2:20" ht="28">
      <c r="B503" s="5" t="s">
        <v>1206</v>
      </c>
      <c r="C503" s="45" t="s">
        <v>165</v>
      </c>
      <c r="D503" s="45" t="s">
        <v>1207</v>
      </c>
      <c r="E503" s="6" t="s">
        <v>1208</v>
      </c>
      <c r="F503" s="45" t="s">
        <v>559</v>
      </c>
      <c r="G503" s="46">
        <f t="shared" si="57"/>
        <v>50</v>
      </c>
      <c r="H503" s="46">
        <f>TRUNC(S503*(1-LOTE_03!$K$10),2)</f>
        <v>182.41</v>
      </c>
      <c r="I503" s="46">
        <f>TRUNC(T503*(1-LOTE_03!$K$10),2)</f>
        <v>19.45</v>
      </c>
      <c r="J503" s="100">
        <f t="shared" si="58"/>
        <v>0.22470000000000001</v>
      </c>
      <c r="K503" s="48">
        <f t="shared" si="52"/>
        <v>223.39</v>
      </c>
      <c r="L503" s="48">
        <f t="shared" si="53"/>
        <v>23.82</v>
      </c>
      <c r="M503" s="48">
        <f t="shared" si="54"/>
        <v>11169.5</v>
      </c>
      <c r="N503" s="48">
        <f t="shared" si="55"/>
        <v>1191</v>
      </c>
      <c r="O503" s="50">
        <f t="shared" si="56"/>
        <v>12360.5</v>
      </c>
      <c r="P503" s="50">
        <v>0</v>
      </c>
      <c r="Q503" s="76"/>
      <c r="R503" s="140">
        <f>IF((5*S9+10*S10)&gt;50,50,(5*S9+10*S10))</f>
        <v>50</v>
      </c>
      <c r="S503" s="79">
        <v>182.41</v>
      </c>
      <c r="T503" s="80">
        <v>19.45</v>
      </c>
    </row>
    <row r="504" spans="2:20" ht="28">
      <c r="B504" s="5" t="s">
        <v>1209</v>
      </c>
      <c r="C504" s="45" t="s">
        <v>165</v>
      </c>
      <c r="D504" s="45" t="s">
        <v>1210</v>
      </c>
      <c r="E504" s="6" t="s">
        <v>1211</v>
      </c>
      <c r="F504" s="45" t="s">
        <v>559</v>
      </c>
      <c r="G504" s="46">
        <f t="shared" si="57"/>
        <v>50</v>
      </c>
      <c r="H504" s="46">
        <f>TRUNC(S504*(1-LOTE_03!$K$10),2)</f>
        <v>119.1</v>
      </c>
      <c r="I504" s="46">
        <f>TRUNC(T504*(1-LOTE_03!$K$10),2)</f>
        <v>19.45</v>
      </c>
      <c r="J504" s="100">
        <f t="shared" si="58"/>
        <v>0.22470000000000001</v>
      </c>
      <c r="K504" s="48">
        <f t="shared" si="52"/>
        <v>145.86000000000001</v>
      </c>
      <c r="L504" s="48">
        <f t="shared" si="53"/>
        <v>23.82</v>
      </c>
      <c r="M504" s="48">
        <f t="shared" si="54"/>
        <v>7293</v>
      </c>
      <c r="N504" s="48">
        <f t="shared" si="55"/>
        <v>1191</v>
      </c>
      <c r="O504" s="50">
        <f t="shared" si="56"/>
        <v>8484</v>
      </c>
      <c r="P504" s="50">
        <v>0</v>
      </c>
      <c r="Q504" s="76"/>
      <c r="R504" s="140">
        <f>IF((5*S9+10*S10)&gt;50,50,(5*S9+10*S10))</f>
        <v>50</v>
      </c>
      <c r="S504" s="79">
        <v>119.1</v>
      </c>
      <c r="T504" s="80">
        <v>19.45</v>
      </c>
    </row>
    <row r="505" spans="2:20" ht="56">
      <c r="B505" s="5" t="s">
        <v>1212</v>
      </c>
      <c r="C505" s="45" t="s">
        <v>135</v>
      </c>
      <c r="D505" s="45">
        <v>89358</v>
      </c>
      <c r="E505" s="6" t="s">
        <v>1213</v>
      </c>
      <c r="F505" s="45" t="s">
        <v>210</v>
      </c>
      <c r="G505" s="46">
        <f t="shared" si="57"/>
        <v>50</v>
      </c>
      <c r="H505" s="46">
        <f>TRUNC(S505*(1-LOTE_03!$K$10),2)</f>
        <v>3.22</v>
      </c>
      <c r="I505" s="46">
        <f>TRUNC(T505*(1-LOTE_03!$K$10),2)</f>
        <v>4.72</v>
      </c>
      <c r="J505" s="100">
        <f t="shared" si="58"/>
        <v>0.22470000000000001</v>
      </c>
      <c r="K505" s="48">
        <f t="shared" si="52"/>
        <v>3.94</v>
      </c>
      <c r="L505" s="48">
        <f t="shared" si="53"/>
        <v>5.78</v>
      </c>
      <c r="M505" s="48">
        <f t="shared" si="54"/>
        <v>197</v>
      </c>
      <c r="N505" s="48">
        <f t="shared" si="55"/>
        <v>289</v>
      </c>
      <c r="O505" s="50">
        <f t="shared" si="56"/>
        <v>486</v>
      </c>
      <c r="P505" s="50">
        <v>0</v>
      </c>
      <c r="Q505" s="76"/>
      <c r="R505" s="140">
        <f>IF((5*S9+10*S10)&gt;50,50,(5*S9+10*S10))</f>
        <v>50</v>
      </c>
      <c r="S505" s="79">
        <v>3.2200000000000006</v>
      </c>
      <c r="T505" s="80">
        <v>4.72</v>
      </c>
    </row>
    <row r="506" spans="2:20" ht="56">
      <c r="B506" s="5" t="s">
        <v>1214</v>
      </c>
      <c r="C506" s="45" t="s">
        <v>135</v>
      </c>
      <c r="D506" s="45">
        <v>89362</v>
      </c>
      <c r="E506" s="6" t="s">
        <v>1215</v>
      </c>
      <c r="F506" s="45" t="s">
        <v>210</v>
      </c>
      <c r="G506" s="46">
        <f t="shared" si="57"/>
        <v>50</v>
      </c>
      <c r="H506" s="46">
        <f>TRUNC(S506*(1-LOTE_03!$K$10),2)</f>
        <v>3.95</v>
      </c>
      <c r="I506" s="46">
        <f>TRUNC(T506*(1-LOTE_03!$K$10),2)</f>
        <v>5.49</v>
      </c>
      <c r="J506" s="100">
        <f t="shared" si="58"/>
        <v>0.22470000000000001</v>
      </c>
      <c r="K506" s="48">
        <f t="shared" si="52"/>
        <v>4.83</v>
      </c>
      <c r="L506" s="48">
        <f t="shared" si="53"/>
        <v>6.72</v>
      </c>
      <c r="M506" s="48">
        <f t="shared" si="54"/>
        <v>241.5</v>
      </c>
      <c r="N506" s="48">
        <f t="shared" si="55"/>
        <v>336</v>
      </c>
      <c r="O506" s="50">
        <f t="shared" si="56"/>
        <v>577.5</v>
      </c>
      <c r="P506" s="50">
        <v>0</v>
      </c>
      <c r="Q506" s="76"/>
      <c r="R506" s="140">
        <f>IF((5*S9+10*S10)&gt;50,50,(5*S9+10*S10))</f>
        <v>50</v>
      </c>
      <c r="S506" s="79">
        <v>3.9499999999999993</v>
      </c>
      <c r="T506" s="80">
        <v>5.49</v>
      </c>
    </row>
    <row r="507" spans="2:20" ht="70">
      <c r="B507" s="5" t="s">
        <v>1216</v>
      </c>
      <c r="C507" s="45" t="s">
        <v>135</v>
      </c>
      <c r="D507" s="45">
        <v>89366</v>
      </c>
      <c r="E507" s="6" t="s">
        <v>1217</v>
      </c>
      <c r="F507" s="45" t="s">
        <v>210</v>
      </c>
      <c r="G507" s="46">
        <f t="shared" si="57"/>
        <v>50</v>
      </c>
      <c r="H507" s="46">
        <f>TRUNC(S507*(1-LOTE_03!$K$10),2)</f>
        <v>10.96</v>
      </c>
      <c r="I507" s="46">
        <f>TRUNC(T507*(1-LOTE_03!$K$10),2)</f>
        <v>5.3</v>
      </c>
      <c r="J507" s="100">
        <f t="shared" si="58"/>
        <v>0.22470000000000001</v>
      </c>
      <c r="K507" s="48">
        <f t="shared" si="52"/>
        <v>13.42</v>
      </c>
      <c r="L507" s="48">
        <f t="shared" si="53"/>
        <v>6.49</v>
      </c>
      <c r="M507" s="48">
        <f t="shared" si="54"/>
        <v>671</v>
      </c>
      <c r="N507" s="48">
        <f t="shared" si="55"/>
        <v>324.5</v>
      </c>
      <c r="O507" s="50">
        <f t="shared" si="56"/>
        <v>995.5</v>
      </c>
      <c r="P507" s="50">
        <v>0</v>
      </c>
      <c r="Q507" s="76"/>
      <c r="R507" s="140">
        <f>IF((5*S9+10*S10)&gt;50,50,(5*S9+10*S10))</f>
        <v>50</v>
      </c>
      <c r="S507" s="79">
        <v>10.96</v>
      </c>
      <c r="T507" s="80">
        <v>5.3</v>
      </c>
    </row>
    <row r="508" spans="2:20" ht="70">
      <c r="B508" s="5" t="s">
        <v>1218</v>
      </c>
      <c r="C508" s="45" t="s">
        <v>135</v>
      </c>
      <c r="D508" s="45">
        <v>89366</v>
      </c>
      <c r="E508" s="6" t="s">
        <v>1217</v>
      </c>
      <c r="F508" s="45" t="s">
        <v>210</v>
      </c>
      <c r="G508" s="46">
        <f t="shared" si="57"/>
        <v>50</v>
      </c>
      <c r="H508" s="46">
        <f>TRUNC(S508*(1-LOTE_03!$K$10),2)</f>
        <v>10.96</v>
      </c>
      <c r="I508" s="46">
        <f>TRUNC(T508*(1-LOTE_03!$K$10),2)</f>
        <v>5.3</v>
      </c>
      <c r="J508" s="100">
        <f t="shared" si="58"/>
        <v>0.22470000000000001</v>
      </c>
      <c r="K508" s="48">
        <f t="shared" si="52"/>
        <v>13.42</v>
      </c>
      <c r="L508" s="48">
        <f t="shared" si="53"/>
        <v>6.49</v>
      </c>
      <c r="M508" s="48">
        <f t="shared" si="54"/>
        <v>671</v>
      </c>
      <c r="N508" s="48">
        <f t="shared" si="55"/>
        <v>324.5</v>
      </c>
      <c r="O508" s="50">
        <f t="shared" si="56"/>
        <v>995.5</v>
      </c>
      <c r="P508" s="50">
        <v>0</v>
      </c>
      <c r="Q508" s="76"/>
      <c r="R508" s="140">
        <f>IF((5*S9+10*S10)&gt;50,50,(5*S9+10*S10))</f>
        <v>50</v>
      </c>
      <c r="S508" s="79">
        <v>10.96</v>
      </c>
      <c r="T508" s="80">
        <v>5.3</v>
      </c>
    </row>
    <row r="509" spans="2:20" ht="56">
      <c r="B509" s="5" t="s">
        <v>1219</v>
      </c>
      <c r="C509" s="45" t="s">
        <v>135</v>
      </c>
      <c r="D509" s="45">
        <v>89367</v>
      </c>
      <c r="E509" s="6" t="s">
        <v>1220</v>
      </c>
      <c r="F509" s="45" t="s">
        <v>210</v>
      </c>
      <c r="G509" s="46">
        <f t="shared" si="57"/>
        <v>50</v>
      </c>
      <c r="H509" s="46">
        <f>TRUNC(S509*(1-LOTE_03!$K$10),2)</f>
        <v>6.4</v>
      </c>
      <c r="I509" s="46">
        <f>TRUNC(T509*(1-LOTE_03!$K$10),2)</f>
        <v>6.6</v>
      </c>
      <c r="J509" s="100">
        <f t="shared" si="58"/>
        <v>0.22470000000000001</v>
      </c>
      <c r="K509" s="48">
        <f t="shared" si="52"/>
        <v>7.83</v>
      </c>
      <c r="L509" s="48">
        <f t="shared" si="53"/>
        <v>8.08</v>
      </c>
      <c r="M509" s="48">
        <f t="shared" si="54"/>
        <v>391.5</v>
      </c>
      <c r="N509" s="48">
        <f t="shared" si="55"/>
        <v>404</v>
      </c>
      <c r="O509" s="50">
        <f t="shared" si="56"/>
        <v>795.5</v>
      </c>
      <c r="P509" s="50">
        <v>0</v>
      </c>
      <c r="Q509" s="76"/>
      <c r="R509" s="140">
        <f>IF((5*S9+10*S10)&gt;50,50,(5*S9+10*S10))</f>
        <v>50</v>
      </c>
      <c r="S509" s="79">
        <v>6.4</v>
      </c>
      <c r="T509" s="80">
        <v>6.6</v>
      </c>
    </row>
    <row r="510" spans="2:20" ht="56">
      <c r="B510" s="5" t="s">
        <v>1221</v>
      </c>
      <c r="C510" s="45" t="s">
        <v>135</v>
      </c>
      <c r="D510" s="45">
        <v>89497</v>
      </c>
      <c r="E510" s="6" t="s">
        <v>1222</v>
      </c>
      <c r="F510" s="45" t="s">
        <v>210</v>
      </c>
      <c r="G510" s="46">
        <f t="shared" si="57"/>
        <v>50</v>
      </c>
      <c r="H510" s="46">
        <f>TRUNC(S510*(1-LOTE_03!$K$10),2)</f>
        <v>9.09</v>
      </c>
      <c r="I510" s="46">
        <f>TRUNC(T510*(1-LOTE_03!$K$10),2)</f>
        <v>3.92</v>
      </c>
      <c r="J510" s="100">
        <f t="shared" si="58"/>
        <v>0.22470000000000001</v>
      </c>
      <c r="K510" s="48">
        <f t="shared" si="52"/>
        <v>11.13</v>
      </c>
      <c r="L510" s="48">
        <f t="shared" si="53"/>
        <v>4.8</v>
      </c>
      <c r="M510" s="48">
        <f t="shared" si="54"/>
        <v>556.5</v>
      </c>
      <c r="N510" s="48">
        <f t="shared" si="55"/>
        <v>240</v>
      </c>
      <c r="O510" s="50">
        <f t="shared" si="56"/>
        <v>796.5</v>
      </c>
      <c r="P510" s="50">
        <v>0</v>
      </c>
      <c r="Q510" s="76"/>
      <c r="R510" s="140">
        <f>IF((5*S9+10*S10)&gt;50,50,(5*S9+10*S10))</f>
        <v>50</v>
      </c>
      <c r="S510" s="79">
        <v>9.09</v>
      </c>
      <c r="T510" s="80">
        <v>3.92</v>
      </c>
    </row>
    <row r="511" spans="2:20" ht="70">
      <c r="B511" s="5" t="s">
        <v>1223</v>
      </c>
      <c r="C511" s="45" t="s">
        <v>135</v>
      </c>
      <c r="D511" s="45">
        <v>96853</v>
      </c>
      <c r="E511" s="6" t="s">
        <v>1224</v>
      </c>
      <c r="F511" s="45" t="s">
        <v>210</v>
      </c>
      <c r="G511" s="46">
        <f t="shared" si="57"/>
        <v>50</v>
      </c>
      <c r="H511" s="46">
        <f>TRUNC(S511*(1-LOTE_03!$K$10),2)</f>
        <v>16.02</v>
      </c>
      <c r="I511" s="46">
        <f>TRUNC(T511*(1-LOTE_03!$K$10),2)</f>
        <v>8.9700000000000006</v>
      </c>
      <c r="J511" s="100">
        <f t="shared" si="58"/>
        <v>0.22470000000000001</v>
      </c>
      <c r="K511" s="48">
        <f t="shared" si="52"/>
        <v>19.61</v>
      </c>
      <c r="L511" s="48">
        <f t="shared" si="53"/>
        <v>10.98</v>
      </c>
      <c r="M511" s="48">
        <f t="shared" si="54"/>
        <v>980.5</v>
      </c>
      <c r="N511" s="48">
        <f t="shared" si="55"/>
        <v>549</v>
      </c>
      <c r="O511" s="50">
        <f t="shared" si="56"/>
        <v>1529.5</v>
      </c>
      <c r="P511" s="50">
        <v>0</v>
      </c>
      <c r="Q511" s="76"/>
      <c r="R511" s="140">
        <f>IF((5*S9+10*S10)&gt;50,50,(5*S9+10*S10))</f>
        <v>50</v>
      </c>
      <c r="S511" s="79">
        <v>16.019999999999996</v>
      </c>
      <c r="T511" s="80">
        <v>8.9700000000000006</v>
      </c>
    </row>
    <row r="512" spans="2:20" ht="70">
      <c r="B512" s="5" t="s">
        <v>1225</v>
      </c>
      <c r="C512" s="45" t="s">
        <v>135</v>
      </c>
      <c r="D512" s="45">
        <v>90373</v>
      </c>
      <c r="E512" s="6" t="s">
        <v>1226</v>
      </c>
      <c r="F512" s="45" t="s">
        <v>210</v>
      </c>
      <c r="G512" s="46">
        <f t="shared" si="57"/>
        <v>50</v>
      </c>
      <c r="H512" s="46">
        <f>TRUNC(S512*(1-LOTE_03!$K$10),2)</f>
        <v>8.1</v>
      </c>
      <c r="I512" s="46">
        <f>TRUNC(T512*(1-LOTE_03!$K$10),2)</f>
        <v>4.87</v>
      </c>
      <c r="J512" s="100">
        <f t="shared" si="58"/>
        <v>0.22470000000000001</v>
      </c>
      <c r="K512" s="48">
        <f t="shared" si="52"/>
        <v>9.92</v>
      </c>
      <c r="L512" s="48">
        <f t="shared" si="53"/>
        <v>5.96</v>
      </c>
      <c r="M512" s="48">
        <f t="shared" si="54"/>
        <v>496</v>
      </c>
      <c r="N512" s="48">
        <f t="shared" si="55"/>
        <v>298</v>
      </c>
      <c r="O512" s="50">
        <f t="shared" si="56"/>
        <v>794</v>
      </c>
      <c r="P512" s="50">
        <v>0</v>
      </c>
      <c r="Q512" s="76"/>
      <c r="R512" s="140">
        <f>IF((5*S9+10*S10)&gt;50,50,(5*S9+10*S10))</f>
        <v>50</v>
      </c>
      <c r="S512" s="79">
        <v>8.1000000000000014</v>
      </c>
      <c r="T512" s="80">
        <v>4.87</v>
      </c>
    </row>
    <row r="513" spans="2:20" ht="56">
      <c r="B513" s="5" t="s">
        <v>1227</v>
      </c>
      <c r="C513" s="45" t="s">
        <v>135</v>
      </c>
      <c r="D513" s="45">
        <v>89369</v>
      </c>
      <c r="E513" s="6" t="s">
        <v>1228</v>
      </c>
      <c r="F513" s="45" t="s">
        <v>210</v>
      </c>
      <c r="G513" s="46">
        <f t="shared" si="57"/>
        <v>50</v>
      </c>
      <c r="H513" s="46">
        <f>TRUNC(S513*(1-LOTE_03!$K$10),2)</f>
        <v>10.4</v>
      </c>
      <c r="I513" s="46">
        <f>TRUNC(T513*(1-LOTE_03!$K$10),2)</f>
        <v>6.72</v>
      </c>
      <c r="J513" s="100">
        <f t="shared" si="58"/>
        <v>0.22470000000000001</v>
      </c>
      <c r="K513" s="48">
        <f t="shared" si="52"/>
        <v>12.73</v>
      </c>
      <c r="L513" s="48">
        <f t="shared" si="53"/>
        <v>8.2200000000000006</v>
      </c>
      <c r="M513" s="48">
        <f t="shared" si="54"/>
        <v>636.5</v>
      </c>
      <c r="N513" s="48">
        <f t="shared" si="55"/>
        <v>411</v>
      </c>
      <c r="O513" s="50">
        <f t="shared" si="56"/>
        <v>1047.5</v>
      </c>
      <c r="P513" s="50">
        <v>0</v>
      </c>
      <c r="Q513" s="76"/>
      <c r="R513" s="140">
        <f>IF((5*S9+10*S10)&gt;50,50,(5*S9+10*S10))</f>
        <v>50</v>
      </c>
      <c r="S513" s="79">
        <v>10.400000000000002</v>
      </c>
      <c r="T513" s="80">
        <v>6.72</v>
      </c>
    </row>
    <row r="514" spans="2:20" ht="84">
      <c r="B514" s="5" t="s">
        <v>1229</v>
      </c>
      <c r="C514" s="45" t="s">
        <v>135</v>
      </c>
      <c r="D514" s="45">
        <v>89391</v>
      </c>
      <c r="E514" s="6" t="s">
        <v>1230</v>
      </c>
      <c r="F514" s="45" t="s">
        <v>210</v>
      </c>
      <c r="G514" s="46">
        <f t="shared" si="57"/>
        <v>50</v>
      </c>
      <c r="H514" s="46">
        <f>TRUNC(S514*(1-LOTE_03!$K$10),2)</f>
        <v>4.5999999999999996</v>
      </c>
      <c r="I514" s="46">
        <f>TRUNC(T514*(1-LOTE_03!$K$10),2)</f>
        <v>4.0599999999999996</v>
      </c>
      <c r="J514" s="100">
        <f t="shared" si="58"/>
        <v>0.22470000000000001</v>
      </c>
      <c r="K514" s="48">
        <f t="shared" si="52"/>
        <v>5.63</v>
      </c>
      <c r="L514" s="48">
        <f t="shared" si="53"/>
        <v>4.97</v>
      </c>
      <c r="M514" s="48">
        <f t="shared" si="54"/>
        <v>281.5</v>
      </c>
      <c r="N514" s="48">
        <f t="shared" si="55"/>
        <v>248.5</v>
      </c>
      <c r="O514" s="50">
        <f t="shared" si="56"/>
        <v>530</v>
      </c>
      <c r="P514" s="50">
        <v>0</v>
      </c>
      <c r="Q514" s="76"/>
      <c r="R514" s="140">
        <f>IF((5*S9+10*S10)&gt;50,50,(5*S9+10*S10))</f>
        <v>50</v>
      </c>
      <c r="S514" s="79">
        <v>4.6000000000000005</v>
      </c>
      <c r="T514" s="80">
        <v>4.0599999999999996</v>
      </c>
    </row>
    <row r="515" spans="2:20" ht="56">
      <c r="B515" s="5" t="s">
        <v>1231</v>
      </c>
      <c r="C515" s="45" t="s">
        <v>135</v>
      </c>
      <c r="D515" s="45">
        <v>89401</v>
      </c>
      <c r="E515" s="6" t="s">
        <v>1232</v>
      </c>
      <c r="F515" s="45" t="s">
        <v>187</v>
      </c>
      <c r="G515" s="46">
        <f t="shared" si="57"/>
        <v>100</v>
      </c>
      <c r="H515" s="46">
        <f>TRUNC(S515*(1-LOTE_03!$K$10),2)</f>
        <v>5.85</v>
      </c>
      <c r="I515" s="46">
        <f>TRUNC(T515*(1-LOTE_03!$K$10),2)</f>
        <v>5.03</v>
      </c>
      <c r="J515" s="100">
        <f t="shared" si="58"/>
        <v>0.22470000000000001</v>
      </c>
      <c r="K515" s="48">
        <f t="shared" si="52"/>
        <v>7.16</v>
      </c>
      <c r="L515" s="48">
        <f t="shared" si="53"/>
        <v>6.16</v>
      </c>
      <c r="M515" s="48">
        <f t="shared" si="54"/>
        <v>716</v>
      </c>
      <c r="N515" s="48">
        <f t="shared" si="55"/>
        <v>616</v>
      </c>
      <c r="O515" s="50">
        <f t="shared" si="56"/>
        <v>1332</v>
      </c>
      <c r="P515" s="50">
        <v>0</v>
      </c>
      <c r="Q515" s="76"/>
      <c r="R515" s="140">
        <f>IF((10*S9+20*S10)&gt;100,100,(10*S9+20*S10))</f>
        <v>100</v>
      </c>
      <c r="S515" s="79">
        <v>5.8500000000000005</v>
      </c>
      <c r="T515" s="80">
        <v>5.03</v>
      </c>
    </row>
    <row r="516" spans="2:20" ht="56">
      <c r="B516" s="5" t="s">
        <v>1233</v>
      </c>
      <c r="C516" s="45" t="s">
        <v>135</v>
      </c>
      <c r="D516" s="45">
        <v>89402</v>
      </c>
      <c r="E516" s="6" t="s">
        <v>1234</v>
      </c>
      <c r="F516" s="45" t="s">
        <v>187</v>
      </c>
      <c r="G516" s="46">
        <f t="shared" si="57"/>
        <v>100</v>
      </c>
      <c r="H516" s="46">
        <f>TRUNC(S516*(1-LOTE_03!$K$10),2)</f>
        <v>6.66</v>
      </c>
      <c r="I516" s="46">
        <f>TRUNC(T516*(1-LOTE_03!$K$10),2)</f>
        <v>5.84</v>
      </c>
      <c r="J516" s="100">
        <f t="shared" si="58"/>
        <v>0.22470000000000001</v>
      </c>
      <c r="K516" s="48">
        <f t="shared" si="52"/>
        <v>8.15</v>
      </c>
      <c r="L516" s="48">
        <f t="shared" si="53"/>
        <v>7.15</v>
      </c>
      <c r="M516" s="48">
        <f t="shared" si="54"/>
        <v>815</v>
      </c>
      <c r="N516" s="48">
        <f t="shared" si="55"/>
        <v>715</v>
      </c>
      <c r="O516" s="50">
        <f t="shared" si="56"/>
        <v>1530</v>
      </c>
      <c r="P516" s="50">
        <v>0</v>
      </c>
      <c r="Q516" s="76"/>
      <c r="R516" s="140">
        <f>IF((10*S9+20*S10)&gt;100,100,(10*S9+20*S10))</f>
        <v>100</v>
      </c>
      <c r="S516" s="79">
        <v>6.66</v>
      </c>
      <c r="T516" s="80">
        <v>5.84</v>
      </c>
    </row>
    <row r="517" spans="2:20" ht="56">
      <c r="B517" s="5" t="s">
        <v>1235</v>
      </c>
      <c r="C517" s="45" t="s">
        <v>135</v>
      </c>
      <c r="D517" s="45">
        <v>89403</v>
      </c>
      <c r="E517" s="6" t="s">
        <v>1236</v>
      </c>
      <c r="F517" s="45" t="s">
        <v>187</v>
      </c>
      <c r="G517" s="46">
        <f t="shared" si="57"/>
        <v>100</v>
      </c>
      <c r="H517" s="46">
        <f>TRUNC(S517*(1-LOTE_03!$K$10),2)</f>
        <v>12.15</v>
      </c>
      <c r="I517" s="46">
        <f>TRUNC(T517*(1-LOTE_03!$K$10),2)</f>
        <v>7.06</v>
      </c>
      <c r="J517" s="100">
        <f t="shared" si="58"/>
        <v>0.22470000000000001</v>
      </c>
      <c r="K517" s="48">
        <f t="shared" si="52"/>
        <v>14.88</v>
      </c>
      <c r="L517" s="48">
        <f t="shared" si="53"/>
        <v>8.64</v>
      </c>
      <c r="M517" s="48">
        <f t="shared" si="54"/>
        <v>1488</v>
      </c>
      <c r="N517" s="48">
        <f t="shared" si="55"/>
        <v>864</v>
      </c>
      <c r="O517" s="50">
        <f t="shared" si="56"/>
        <v>2352</v>
      </c>
      <c r="P517" s="50">
        <v>0</v>
      </c>
      <c r="Q517" s="76"/>
      <c r="R517" s="140">
        <f>IF((10*S9+20*S10)&gt;100,100,(10*S9+20*S10))</f>
        <v>100</v>
      </c>
      <c r="S517" s="79">
        <v>12.150000000000002</v>
      </c>
      <c r="T517" s="80">
        <v>7.06</v>
      </c>
    </row>
    <row r="518" spans="2:20" ht="56">
      <c r="B518" s="5" t="s">
        <v>1237</v>
      </c>
      <c r="C518" s="45" t="s">
        <v>135</v>
      </c>
      <c r="D518" s="45">
        <v>89448</v>
      </c>
      <c r="E518" s="6" t="s">
        <v>1238</v>
      </c>
      <c r="F518" s="45" t="s">
        <v>187</v>
      </c>
      <c r="G518" s="46">
        <f t="shared" si="57"/>
        <v>100</v>
      </c>
      <c r="H518" s="46">
        <f>TRUNC(S518*(1-LOTE_03!$K$10),2)</f>
        <v>15.41</v>
      </c>
      <c r="I518" s="46">
        <f>TRUNC(T518*(1-LOTE_03!$K$10),2)</f>
        <v>1.08</v>
      </c>
      <c r="J518" s="100">
        <f t="shared" si="58"/>
        <v>0.22470000000000001</v>
      </c>
      <c r="K518" s="48">
        <f t="shared" si="52"/>
        <v>18.87</v>
      </c>
      <c r="L518" s="48">
        <f t="shared" si="53"/>
        <v>1.32</v>
      </c>
      <c r="M518" s="48">
        <f t="shared" si="54"/>
        <v>1887</v>
      </c>
      <c r="N518" s="48">
        <f t="shared" si="55"/>
        <v>132</v>
      </c>
      <c r="O518" s="50">
        <f t="shared" si="56"/>
        <v>2019</v>
      </c>
      <c r="P518" s="50">
        <v>0</v>
      </c>
      <c r="Q518" s="76"/>
      <c r="R518" s="140">
        <f>IF((10*S9+20*S10)&gt;100,100,(10*S9+20*S10))</f>
        <v>100</v>
      </c>
      <c r="S518" s="79">
        <v>15.409999999999998</v>
      </c>
      <c r="T518" s="80">
        <v>1.08</v>
      </c>
    </row>
    <row r="519" spans="2:20" ht="70">
      <c r="B519" s="5" t="s">
        <v>1239</v>
      </c>
      <c r="C519" s="45" t="s">
        <v>135</v>
      </c>
      <c r="D519" s="45">
        <v>89711</v>
      </c>
      <c r="E519" s="6" t="s">
        <v>1240</v>
      </c>
      <c r="F519" s="45" t="s">
        <v>187</v>
      </c>
      <c r="G519" s="46">
        <f t="shared" si="57"/>
        <v>100</v>
      </c>
      <c r="H519" s="46">
        <f>TRUNC(S519*(1-LOTE_03!$K$10),2)</f>
        <v>10.23</v>
      </c>
      <c r="I519" s="46">
        <f>TRUNC(T519*(1-LOTE_03!$K$10),2)</f>
        <v>10.7</v>
      </c>
      <c r="J519" s="100">
        <f t="shared" si="58"/>
        <v>0.22470000000000001</v>
      </c>
      <c r="K519" s="48">
        <f t="shared" si="52"/>
        <v>12.52</v>
      </c>
      <c r="L519" s="48">
        <f t="shared" si="53"/>
        <v>13.1</v>
      </c>
      <c r="M519" s="48">
        <f t="shared" si="54"/>
        <v>1252</v>
      </c>
      <c r="N519" s="48">
        <f t="shared" si="55"/>
        <v>1310</v>
      </c>
      <c r="O519" s="50">
        <f t="shared" si="56"/>
        <v>2562</v>
      </c>
      <c r="P519" s="50">
        <v>0</v>
      </c>
      <c r="Q519" s="76"/>
      <c r="R519" s="140">
        <f>IF((10*S9+20*S10)&gt;100,100,(10*S9+20*S10))</f>
        <v>100</v>
      </c>
      <c r="S519" s="79">
        <v>10.23</v>
      </c>
      <c r="T519" s="80">
        <v>10.7</v>
      </c>
    </row>
    <row r="520" spans="2:20" ht="70">
      <c r="B520" s="5" t="s">
        <v>1241</v>
      </c>
      <c r="C520" s="45" t="s">
        <v>135</v>
      </c>
      <c r="D520" s="45">
        <v>89712</v>
      </c>
      <c r="E520" s="6" t="s">
        <v>1242</v>
      </c>
      <c r="F520" s="45" t="s">
        <v>187</v>
      </c>
      <c r="G520" s="46">
        <f t="shared" si="57"/>
        <v>100</v>
      </c>
      <c r="H520" s="46">
        <f>TRUNC(S520*(1-LOTE_03!$K$10),2)</f>
        <v>14.52</v>
      </c>
      <c r="I520" s="46">
        <f>TRUNC(T520*(1-LOTE_03!$K$10),2)</f>
        <v>11.71</v>
      </c>
      <c r="J520" s="100">
        <f t="shared" si="58"/>
        <v>0.22470000000000001</v>
      </c>
      <c r="K520" s="48">
        <f t="shared" si="52"/>
        <v>17.78</v>
      </c>
      <c r="L520" s="48">
        <f t="shared" si="53"/>
        <v>14.34</v>
      </c>
      <c r="M520" s="48">
        <f t="shared" si="54"/>
        <v>1778</v>
      </c>
      <c r="N520" s="48">
        <f t="shared" si="55"/>
        <v>1434</v>
      </c>
      <c r="O520" s="50">
        <f t="shared" si="56"/>
        <v>3212</v>
      </c>
      <c r="P520" s="50">
        <v>0</v>
      </c>
      <c r="Q520" s="76"/>
      <c r="R520" s="140">
        <f>IF((10*S9+20*S10)&gt;100,100,(10*S9+20*S10))</f>
        <v>100</v>
      </c>
      <c r="S520" s="79">
        <v>14.52</v>
      </c>
      <c r="T520" s="80">
        <v>11.71</v>
      </c>
    </row>
    <row r="521" spans="2:20" ht="70">
      <c r="B521" s="5" t="s">
        <v>1243</v>
      </c>
      <c r="C521" s="45" t="s">
        <v>135</v>
      </c>
      <c r="D521" s="45">
        <v>89714</v>
      </c>
      <c r="E521" s="6" t="s">
        <v>1244</v>
      </c>
      <c r="F521" s="45" t="s">
        <v>187</v>
      </c>
      <c r="G521" s="46">
        <f t="shared" si="57"/>
        <v>200</v>
      </c>
      <c r="H521" s="46">
        <f>TRUNC(S521*(1-LOTE_03!$K$10),2)</f>
        <v>20.170000000000002</v>
      </c>
      <c r="I521" s="46">
        <f>TRUNC(T521*(1-LOTE_03!$K$10),2)</f>
        <v>16.36</v>
      </c>
      <c r="J521" s="100">
        <f t="shared" si="58"/>
        <v>0.22470000000000001</v>
      </c>
      <c r="K521" s="48">
        <f t="shared" si="52"/>
        <v>24.7</v>
      </c>
      <c r="L521" s="48">
        <f t="shared" si="53"/>
        <v>20.03</v>
      </c>
      <c r="M521" s="48">
        <f t="shared" si="54"/>
        <v>4940</v>
      </c>
      <c r="N521" s="48">
        <f t="shared" si="55"/>
        <v>4006</v>
      </c>
      <c r="O521" s="50">
        <f t="shared" si="56"/>
        <v>8946</v>
      </c>
      <c r="P521" s="50">
        <v>0</v>
      </c>
      <c r="Q521" s="76"/>
      <c r="R521" s="140">
        <f>IF((10*S9+30*S10)&gt;200,200,(10*S9+30*S10))</f>
        <v>200</v>
      </c>
      <c r="S521" s="79">
        <v>20.170000000000002</v>
      </c>
      <c r="T521" s="80">
        <v>16.36</v>
      </c>
    </row>
    <row r="522" spans="2:20" ht="70">
      <c r="B522" s="5" t="s">
        <v>1245</v>
      </c>
      <c r="C522" s="45" t="s">
        <v>135</v>
      </c>
      <c r="D522" s="45">
        <v>89689</v>
      </c>
      <c r="E522" s="6" t="s">
        <v>1246</v>
      </c>
      <c r="F522" s="45" t="s">
        <v>210</v>
      </c>
      <c r="G522" s="46">
        <f t="shared" si="57"/>
        <v>50</v>
      </c>
      <c r="H522" s="46">
        <f>TRUNC(S522*(1-LOTE_03!$K$10),2)</f>
        <v>34.54</v>
      </c>
      <c r="I522" s="46">
        <f>TRUNC(T522*(1-LOTE_03!$K$10),2)</f>
        <v>4.34</v>
      </c>
      <c r="J522" s="100">
        <f t="shared" si="58"/>
        <v>0.22470000000000001</v>
      </c>
      <c r="K522" s="48">
        <f t="shared" si="52"/>
        <v>42.3</v>
      </c>
      <c r="L522" s="48">
        <f t="shared" si="53"/>
        <v>5.31</v>
      </c>
      <c r="M522" s="48">
        <f t="shared" si="54"/>
        <v>2115</v>
      </c>
      <c r="N522" s="48">
        <f t="shared" si="55"/>
        <v>265.5</v>
      </c>
      <c r="O522" s="50">
        <f t="shared" si="56"/>
        <v>2380.5</v>
      </c>
      <c r="P522" s="50">
        <v>0</v>
      </c>
      <c r="Q522" s="76"/>
      <c r="R522" s="140">
        <f>IF((5*S9+10*S10)&gt;50,50,(5*S9+10*S10))</f>
        <v>50</v>
      </c>
      <c r="S522" s="79">
        <v>34.540000000000006</v>
      </c>
      <c r="T522" s="80">
        <v>4.34</v>
      </c>
    </row>
    <row r="523" spans="2:20" ht="70">
      <c r="B523" s="5" t="s">
        <v>1247</v>
      </c>
      <c r="C523" s="45" t="s">
        <v>135</v>
      </c>
      <c r="D523" s="45">
        <v>89759</v>
      </c>
      <c r="E523" s="6" t="s">
        <v>1248</v>
      </c>
      <c r="F523" s="45" t="s">
        <v>210</v>
      </c>
      <c r="G523" s="46">
        <f t="shared" si="57"/>
        <v>50</v>
      </c>
      <c r="H523" s="46">
        <f>TRUNC(S523*(1-LOTE_03!$K$10),2)</f>
        <v>8.4600000000000009</v>
      </c>
      <c r="I523" s="46">
        <f>TRUNC(T523*(1-LOTE_03!$K$10),2)</f>
        <v>3.29</v>
      </c>
      <c r="J523" s="100">
        <f t="shared" si="58"/>
        <v>0.22470000000000001</v>
      </c>
      <c r="K523" s="48">
        <f t="shared" si="52"/>
        <v>10.36</v>
      </c>
      <c r="L523" s="48">
        <f t="shared" si="53"/>
        <v>4.0199999999999996</v>
      </c>
      <c r="M523" s="48">
        <f t="shared" si="54"/>
        <v>518</v>
      </c>
      <c r="N523" s="48">
        <f t="shared" si="55"/>
        <v>201</v>
      </c>
      <c r="O523" s="50">
        <f t="shared" si="56"/>
        <v>719</v>
      </c>
      <c r="P523" s="50">
        <v>0</v>
      </c>
      <c r="Q523" s="76"/>
      <c r="R523" s="140">
        <f>IF((5*S9+10*S10)&gt;50,50,(5*S9+10*S10))</f>
        <v>50</v>
      </c>
      <c r="S523" s="79">
        <v>8.4600000000000009</v>
      </c>
      <c r="T523" s="80">
        <v>3.29</v>
      </c>
    </row>
    <row r="524" spans="2:20" ht="56">
      <c r="B524" s="5" t="s">
        <v>1249</v>
      </c>
      <c r="C524" s="45" t="s">
        <v>135</v>
      </c>
      <c r="D524" s="45">
        <v>103964</v>
      </c>
      <c r="E524" s="6" t="s">
        <v>1250</v>
      </c>
      <c r="F524" s="45" t="s">
        <v>210</v>
      </c>
      <c r="G524" s="46">
        <f t="shared" si="57"/>
        <v>50</v>
      </c>
      <c r="H524" s="46">
        <f>TRUNC(S524*(1-LOTE_03!$K$10),2)</f>
        <v>5.83</v>
      </c>
      <c r="I524" s="46">
        <f>TRUNC(T524*(1-LOTE_03!$K$10),2)</f>
        <v>2.17</v>
      </c>
      <c r="J524" s="100">
        <f t="shared" si="58"/>
        <v>0.22470000000000001</v>
      </c>
      <c r="K524" s="48">
        <f t="shared" si="52"/>
        <v>7.14</v>
      </c>
      <c r="L524" s="48">
        <f t="shared" si="53"/>
        <v>2.65</v>
      </c>
      <c r="M524" s="48">
        <f t="shared" si="54"/>
        <v>357</v>
      </c>
      <c r="N524" s="48">
        <f t="shared" si="55"/>
        <v>132.5</v>
      </c>
      <c r="O524" s="50">
        <f t="shared" si="56"/>
        <v>489.5</v>
      </c>
      <c r="P524" s="50">
        <v>0</v>
      </c>
      <c r="Q524" s="76"/>
      <c r="R524" s="140">
        <f>IF((5*S9+10*S10)&gt;50,50,(5*S9+10*S10))</f>
        <v>50</v>
      </c>
      <c r="S524" s="79">
        <v>5.83</v>
      </c>
      <c r="T524" s="80">
        <v>2.17</v>
      </c>
    </row>
    <row r="525" spans="2:20" ht="70">
      <c r="B525" s="5" t="s">
        <v>1251</v>
      </c>
      <c r="C525" s="45" t="s">
        <v>135</v>
      </c>
      <c r="D525" s="45">
        <v>89709</v>
      </c>
      <c r="E525" s="6" t="s">
        <v>1252</v>
      </c>
      <c r="F525" s="45" t="s">
        <v>210</v>
      </c>
      <c r="G525" s="46">
        <f t="shared" si="57"/>
        <v>50</v>
      </c>
      <c r="H525" s="46">
        <f>TRUNC(S525*(1-LOTE_03!$K$10),2)</f>
        <v>16.28</v>
      </c>
      <c r="I525" s="46">
        <f>TRUNC(T525*(1-LOTE_03!$K$10),2)</f>
        <v>6.33</v>
      </c>
      <c r="J525" s="100">
        <f t="shared" si="58"/>
        <v>0.22470000000000001</v>
      </c>
      <c r="K525" s="48">
        <f t="shared" si="52"/>
        <v>19.93</v>
      </c>
      <c r="L525" s="48">
        <f t="shared" si="53"/>
        <v>7.75</v>
      </c>
      <c r="M525" s="48">
        <f t="shared" si="54"/>
        <v>996.5</v>
      </c>
      <c r="N525" s="48">
        <f t="shared" si="55"/>
        <v>387.5</v>
      </c>
      <c r="O525" s="50">
        <f t="shared" si="56"/>
        <v>1384</v>
      </c>
      <c r="P525" s="50">
        <v>0</v>
      </c>
      <c r="Q525" s="76"/>
      <c r="R525" s="140">
        <f>IF((2*S9+5*S10)&gt;50,50,(2*S9+5*S10))</f>
        <v>50</v>
      </c>
      <c r="S525" s="79">
        <v>16.28</v>
      </c>
      <c r="T525" s="80">
        <v>6.33</v>
      </c>
    </row>
    <row r="526" spans="2:20" ht="56">
      <c r="B526" s="5" t="s">
        <v>1253</v>
      </c>
      <c r="C526" s="45" t="s">
        <v>135</v>
      </c>
      <c r="D526" s="45">
        <v>89491</v>
      </c>
      <c r="E526" s="6" t="s">
        <v>1254</v>
      </c>
      <c r="F526" s="45" t="s">
        <v>210</v>
      </c>
      <c r="G526" s="46">
        <f t="shared" si="57"/>
        <v>50</v>
      </c>
      <c r="H526" s="46">
        <f>TRUNC(S526*(1-LOTE_03!$K$10),2)</f>
        <v>95.97</v>
      </c>
      <c r="I526" s="46">
        <f>TRUNC(T526*(1-LOTE_03!$K$10),2)</f>
        <v>13.19</v>
      </c>
      <c r="J526" s="100">
        <f t="shared" si="58"/>
        <v>0.22470000000000001</v>
      </c>
      <c r="K526" s="48">
        <f t="shared" si="52"/>
        <v>117.53</v>
      </c>
      <c r="L526" s="48">
        <f t="shared" si="53"/>
        <v>16.149999999999999</v>
      </c>
      <c r="M526" s="48">
        <f t="shared" si="54"/>
        <v>5876.5</v>
      </c>
      <c r="N526" s="48">
        <f t="shared" si="55"/>
        <v>807.5</v>
      </c>
      <c r="O526" s="50">
        <f t="shared" si="56"/>
        <v>6684</v>
      </c>
      <c r="P526" s="50">
        <v>0</v>
      </c>
      <c r="Q526" s="76"/>
      <c r="R526" s="140">
        <f>IF((2*S9+5*S10)&gt;50,50,(2*S9+5*S10))</f>
        <v>50</v>
      </c>
      <c r="S526" s="79">
        <v>95.97</v>
      </c>
      <c r="T526" s="80">
        <v>13.19</v>
      </c>
    </row>
    <row r="527" spans="2:20" ht="28">
      <c r="B527" s="5" t="s">
        <v>1255</v>
      </c>
      <c r="C527" s="45" t="s">
        <v>165</v>
      </c>
      <c r="D527" s="45" t="s">
        <v>1210</v>
      </c>
      <c r="E527" s="6" t="s">
        <v>1211</v>
      </c>
      <c r="F527" s="45" t="s">
        <v>559</v>
      </c>
      <c r="G527" s="46">
        <f t="shared" si="57"/>
        <v>50</v>
      </c>
      <c r="H527" s="46">
        <f>TRUNC(S527*(1-LOTE_03!$K$10),2)</f>
        <v>119.1</v>
      </c>
      <c r="I527" s="46">
        <f>TRUNC(T527*(1-LOTE_03!$K$10),2)</f>
        <v>19.45</v>
      </c>
      <c r="J527" s="100">
        <f t="shared" si="58"/>
        <v>0.22470000000000001</v>
      </c>
      <c r="K527" s="48">
        <f t="shared" si="52"/>
        <v>145.86000000000001</v>
      </c>
      <c r="L527" s="48">
        <f t="shared" si="53"/>
        <v>23.82</v>
      </c>
      <c r="M527" s="48">
        <f t="shared" si="54"/>
        <v>7293</v>
      </c>
      <c r="N527" s="48">
        <f t="shared" si="55"/>
        <v>1191</v>
      </c>
      <c r="O527" s="50">
        <f t="shared" si="56"/>
        <v>8484</v>
      </c>
      <c r="P527" s="50">
        <v>0</v>
      </c>
      <c r="Q527" s="76"/>
      <c r="R527" s="140">
        <f>IF((5*S9+10*S10)&gt;50,50,(5*S9+10*S10))</f>
        <v>50</v>
      </c>
      <c r="S527" s="79">
        <v>119.1</v>
      </c>
      <c r="T527" s="80">
        <v>19.45</v>
      </c>
    </row>
    <row r="528" spans="2:20" ht="56">
      <c r="B528" s="5" t="s">
        <v>1256</v>
      </c>
      <c r="C528" s="45" t="s">
        <v>135</v>
      </c>
      <c r="D528" s="45">
        <v>89986</v>
      </c>
      <c r="E528" s="6" t="s">
        <v>1257</v>
      </c>
      <c r="F528" s="45" t="s">
        <v>210</v>
      </c>
      <c r="G528" s="46">
        <f t="shared" si="57"/>
        <v>50</v>
      </c>
      <c r="H528" s="46">
        <f>TRUNC(S528*(1-LOTE_03!$K$10),2)</f>
        <v>54.74</v>
      </c>
      <c r="I528" s="46">
        <f>TRUNC(T528*(1-LOTE_03!$K$10),2)</f>
        <v>7.26</v>
      </c>
      <c r="J528" s="100">
        <f t="shared" si="58"/>
        <v>0.22470000000000001</v>
      </c>
      <c r="K528" s="48">
        <f t="shared" ref="K528:K591" si="59">TRUNC(H528*(1+J528),2)</f>
        <v>67.040000000000006</v>
      </c>
      <c r="L528" s="48">
        <f t="shared" ref="L528:L591" si="60">TRUNC(I528*(1+J528),2)</f>
        <v>8.89</v>
      </c>
      <c r="M528" s="48">
        <f t="shared" ref="M528:M591" si="61">TRUNC(K528*G528,2)</f>
        <v>3352</v>
      </c>
      <c r="N528" s="48">
        <f t="shared" ref="N528:N591" si="62">TRUNC(L528*G528,2)</f>
        <v>444.5</v>
      </c>
      <c r="O528" s="50">
        <f t="shared" ref="O528:O591" si="63">TRUNC(M528+N528,2)</f>
        <v>3796.5</v>
      </c>
      <c r="P528" s="50">
        <v>0</v>
      </c>
      <c r="Q528" s="76"/>
      <c r="R528" s="140">
        <f>IF((5*S9+10*S10)&gt;50,50,(5*S9+10*S10))</f>
        <v>50</v>
      </c>
      <c r="S528" s="79">
        <v>54.74</v>
      </c>
      <c r="T528" s="80">
        <v>7.26</v>
      </c>
    </row>
    <row r="529" spans="2:20" ht="28">
      <c r="B529" s="5" t="s">
        <v>1258</v>
      </c>
      <c r="C529" s="45" t="s">
        <v>165</v>
      </c>
      <c r="D529" s="45" t="s">
        <v>1259</v>
      </c>
      <c r="E529" s="6" t="s">
        <v>1260</v>
      </c>
      <c r="F529" s="45" t="s">
        <v>559</v>
      </c>
      <c r="G529" s="46">
        <f t="shared" si="57"/>
        <v>50</v>
      </c>
      <c r="H529" s="46">
        <f>TRUNC(S529*(1-LOTE_03!$K$10),2)</f>
        <v>95.61</v>
      </c>
      <c r="I529" s="46">
        <f>TRUNC(T529*(1-LOTE_03!$K$10),2)</f>
        <v>19.45</v>
      </c>
      <c r="J529" s="100">
        <f t="shared" si="58"/>
        <v>0.22470000000000001</v>
      </c>
      <c r="K529" s="48">
        <f t="shared" si="59"/>
        <v>117.09</v>
      </c>
      <c r="L529" s="48">
        <f t="shared" si="60"/>
        <v>23.82</v>
      </c>
      <c r="M529" s="48">
        <f t="shared" si="61"/>
        <v>5854.5</v>
      </c>
      <c r="N529" s="48">
        <f t="shared" si="62"/>
        <v>1191</v>
      </c>
      <c r="O529" s="50">
        <f t="shared" si="63"/>
        <v>7045.5</v>
      </c>
      <c r="P529" s="50">
        <v>0</v>
      </c>
      <c r="Q529" s="76"/>
      <c r="R529" s="140">
        <f>IF((5*S9+10*S10)&gt;50,50,(5*S9+10*S10))</f>
        <v>50</v>
      </c>
      <c r="S529" s="79">
        <v>95.61</v>
      </c>
      <c r="T529" s="80">
        <v>19.45</v>
      </c>
    </row>
    <row r="530" spans="2:20" ht="42">
      <c r="B530" s="5" t="s">
        <v>1261</v>
      </c>
      <c r="C530" s="45" t="s">
        <v>135</v>
      </c>
      <c r="D530" s="45">
        <v>94496</v>
      </c>
      <c r="E530" s="6" t="s">
        <v>1262</v>
      </c>
      <c r="F530" s="45" t="s">
        <v>210</v>
      </c>
      <c r="G530" s="46">
        <f t="shared" ref="G530:G593" si="64">TRUNC(R530,2)</f>
        <v>50</v>
      </c>
      <c r="H530" s="46">
        <f>TRUNC(S530*(1-LOTE_03!$K$10),2)</f>
        <v>54.82</v>
      </c>
      <c r="I530" s="46">
        <f>TRUNC(T530*(1-LOTE_03!$K$10),2)</f>
        <v>8.01</v>
      </c>
      <c r="J530" s="100">
        <f t="shared" ref="J530:J593" si="65">$J$4</f>
        <v>0.22470000000000001</v>
      </c>
      <c r="K530" s="48">
        <f t="shared" si="59"/>
        <v>67.13</v>
      </c>
      <c r="L530" s="48">
        <f t="shared" si="60"/>
        <v>9.8000000000000007</v>
      </c>
      <c r="M530" s="48">
        <f t="shared" si="61"/>
        <v>3356.5</v>
      </c>
      <c r="N530" s="48">
        <f t="shared" si="62"/>
        <v>490</v>
      </c>
      <c r="O530" s="50">
        <f t="shared" si="63"/>
        <v>3846.5</v>
      </c>
      <c r="P530" s="50">
        <v>0</v>
      </c>
      <c r="Q530" s="76"/>
      <c r="R530" s="140">
        <f>IF((5*S9+10*S10)&gt;50,50,(5*S9+10*S10))</f>
        <v>50</v>
      </c>
      <c r="S530" s="79">
        <v>54.82</v>
      </c>
      <c r="T530" s="80">
        <v>8.01</v>
      </c>
    </row>
    <row r="531" spans="2:20" ht="70">
      <c r="B531" s="5" t="s">
        <v>1263</v>
      </c>
      <c r="C531" s="45" t="s">
        <v>135</v>
      </c>
      <c r="D531" s="45">
        <v>94691</v>
      </c>
      <c r="E531" s="6" t="s">
        <v>1264</v>
      </c>
      <c r="F531" s="45" t="s">
        <v>210</v>
      </c>
      <c r="G531" s="46">
        <f t="shared" si="64"/>
        <v>50</v>
      </c>
      <c r="H531" s="46">
        <f>TRUNC(S531*(1-LOTE_03!$K$10),2)</f>
        <v>9.76</v>
      </c>
      <c r="I531" s="46">
        <f>TRUNC(T531*(1-LOTE_03!$K$10),2)</f>
        <v>3.47</v>
      </c>
      <c r="J531" s="100">
        <f t="shared" si="65"/>
        <v>0.22470000000000001</v>
      </c>
      <c r="K531" s="48">
        <f t="shared" si="59"/>
        <v>11.95</v>
      </c>
      <c r="L531" s="48">
        <f t="shared" si="60"/>
        <v>4.24</v>
      </c>
      <c r="M531" s="48">
        <f t="shared" si="61"/>
        <v>597.5</v>
      </c>
      <c r="N531" s="48">
        <f t="shared" si="62"/>
        <v>212</v>
      </c>
      <c r="O531" s="50">
        <f t="shared" si="63"/>
        <v>809.5</v>
      </c>
      <c r="P531" s="50">
        <v>0</v>
      </c>
      <c r="Q531" s="76"/>
      <c r="R531" s="140">
        <f>IF((5*S9+10*S10)&gt;50,50,(5*S9+10*S10))</f>
        <v>50</v>
      </c>
      <c r="S531" s="79">
        <v>9.76</v>
      </c>
      <c r="T531" s="80">
        <v>3.47</v>
      </c>
    </row>
    <row r="532" spans="2:20" ht="70">
      <c r="B532" s="5" t="s">
        <v>1265</v>
      </c>
      <c r="C532" s="45" t="s">
        <v>135</v>
      </c>
      <c r="D532" s="45">
        <v>94693</v>
      </c>
      <c r="E532" s="6" t="s">
        <v>1266</v>
      </c>
      <c r="F532" s="45" t="s">
        <v>210</v>
      </c>
      <c r="G532" s="46">
        <f t="shared" si="64"/>
        <v>50</v>
      </c>
      <c r="H532" s="46">
        <f>TRUNC(S532*(1-LOTE_03!$K$10),2)</f>
        <v>12.71</v>
      </c>
      <c r="I532" s="46">
        <f>TRUNC(T532*(1-LOTE_03!$K$10),2)</f>
        <v>4.6100000000000003</v>
      </c>
      <c r="J532" s="100">
        <f t="shared" si="65"/>
        <v>0.22470000000000001</v>
      </c>
      <c r="K532" s="48">
        <f t="shared" si="59"/>
        <v>15.56</v>
      </c>
      <c r="L532" s="48">
        <f t="shared" si="60"/>
        <v>5.64</v>
      </c>
      <c r="M532" s="48">
        <f t="shared" si="61"/>
        <v>778</v>
      </c>
      <c r="N532" s="48">
        <f t="shared" si="62"/>
        <v>282</v>
      </c>
      <c r="O532" s="50">
        <f t="shared" si="63"/>
        <v>1060</v>
      </c>
      <c r="P532" s="50">
        <v>0</v>
      </c>
      <c r="Q532" s="76"/>
      <c r="R532" s="140">
        <f>IF((5*S9+10*S10)&gt;50,50,(5*S9+10*S10))</f>
        <v>50</v>
      </c>
      <c r="S532" s="79">
        <v>12.71</v>
      </c>
      <c r="T532" s="80">
        <v>4.6100000000000003</v>
      </c>
    </row>
    <row r="533" spans="2:20" ht="28">
      <c r="B533" s="5" t="s">
        <v>1267</v>
      </c>
      <c r="C533" s="45" t="s">
        <v>165</v>
      </c>
      <c r="D533" s="45" t="s">
        <v>1268</v>
      </c>
      <c r="E533" s="6" t="s">
        <v>1269</v>
      </c>
      <c r="F533" s="45" t="s">
        <v>559</v>
      </c>
      <c r="G533" s="46">
        <f t="shared" si="64"/>
        <v>50</v>
      </c>
      <c r="H533" s="46">
        <f>TRUNC(S533*(1-LOTE_03!$K$10),2)</f>
        <v>5.89</v>
      </c>
      <c r="I533" s="46">
        <f>TRUNC(T533*(1-LOTE_03!$K$10),2)</f>
        <v>6.06</v>
      </c>
      <c r="J533" s="100">
        <f t="shared" si="65"/>
        <v>0.22470000000000001</v>
      </c>
      <c r="K533" s="48">
        <f t="shared" si="59"/>
        <v>7.21</v>
      </c>
      <c r="L533" s="48">
        <f t="shared" si="60"/>
        <v>7.42</v>
      </c>
      <c r="M533" s="48">
        <f t="shared" si="61"/>
        <v>360.5</v>
      </c>
      <c r="N533" s="48">
        <f t="shared" si="62"/>
        <v>371</v>
      </c>
      <c r="O533" s="50">
        <f t="shared" si="63"/>
        <v>731.5</v>
      </c>
      <c r="P533" s="50">
        <v>0</v>
      </c>
      <c r="Q533" s="76"/>
      <c r="R533" s="140">
        <f>IF((5*S9+10*S10)&gt;50,50,(5*S9+10*S10))</f>
        <v>50</v>
      </c>
      <c r="S533" s="79">
        <v>5.89</v>
      </c>
      <c r="T533" s="80">
        <v>6.06</v>
      </c>
    </row>
    <row r="534" spans="2:20" ht="28">
      <c r="B534" s="5" t="s">
        <v>1270</v>
      </c>
      <c r="C534" s="45" t="s">
        <v>165</v>
      </c>
      <c r="D534" s="45" t="s">
        <v>1271</v>
      </c>
      <c r="E534" s="6" t="s">
        <v>1272</v>
      </c>
      <c r="F534" s="45" t="s">
        <v>559</v>
      </c>
      <c r="G534" s="46">
        <f t="shared" si="64"/>
        <v>50</v>
      </c>
      <c r="H534" s="46">
        <f>TRUNC(S534*(1-LOTE_03!$K$10),2)</f>
        <v>6.82</v>
      </c>
      <c r="I534" s="46">
        <f>TRUNC(T534*(1-LOTE_03!$K$10),2)</f>
        <v>6.38</v>
      </c>
      <c r="J534" s="100">
        <f t="shared" si="65"/>
        <v>0.22470000000000001</v>
      </c>
      <c r="K534" s="48">
        <f t="shared" si="59"/>
        <v>8.35</v>
      </c>
      <c r="L534" s="48">
        <f t="shared" si="60"/>
        <v>7.81</v>
      </c>
      <c r="M534" s="48">
        <f t="shared" si="61"/>
        <v>417.5</v>
      </c>
      <c r="N534" s="48">
        <f t="shared" si="62"/>
        <v>390.5</v>
      </c>
      <c r="O534" s="50">
        <f t="shared" si="63"/>
        <v>808</v>
      </c>
      <c r="P534" s="50">
        <v>0</v>
      </c>
      <c r="Q534" s="76"/>
      <c r="R534" s="140">
        <f>IF((5*S9+10*S10)&gt;50,50,(5*S9+10*S10))</f>
        <v>50</v>
      </c>
      <c r="S534" s="79">
        <v>6.82</v>
      </c>
      <c r="T534" s="80">
        <v>6.38</v>
      </c>
    </row>
    <row r="535" spans="2:20" ht="56">
      <c r="B535" s="5" t="s">
        <v>1273</v>
      </c>
      <c r="C535" s="45" t="s">
        <v>135</v>
      </c>
      <c r="D535" s="45">
        <v>89395</v>
      </c>
      <c r="E535" s="6" t="s">
        <v>1274</v>
      </c>
      <c r="F535" s="45" t="s">
        <v>210</v>
      </c>
      <c r="G535" s="46">
        <f t="shared" si="64"/>
        <v>50</v>
      </c>
      <c r="H535" s="46">
        <f>TRUNC(S535*(1-LOTE_03!$K$10),2)</f>
        <v>5.68</v>
      </c>
      <c r="I535" s="46">
        <f>TRUNC(T535*(1-LOTE_03!$K$10),2)</f>
        <v>7.33</v>
      </c>
      <c r="J535" s="100">
        <f t="shared" si="65"/>
        <v>0.22470000000000001</v>
      </c>
      <c r="K535" s="48">
        <f t="shared" si="59"/>
        <v>6.95</v>
      </c>
      <c r="L535" s="48">
        <f t="shared" si="60"/>
        <v>8.9700000000000006</v>
      </c>
      <c r="M535" s="48">
        <f t="shared" si="61"/>
        <v>347.5</v>
      </c>
      <c r="N535" s="48">
        <f t="shared" si="62"/>
        <v>448.5</v>
      </c>
      <c r="O535" s="50">
        <f t="shared" si="63"/>
        <v>796</v>
      </c>
      <c r="P535" s="50">
        <v>0</v>
      </c>
      <c r="Q535" s="76"/>
      <c r="R535" s="140">
        <f>IF((5*S9+10*S10)&gt;50,50,(5*S9+10*S10))</f>
        <v>50</v>
      </c>
      <c r="S535" s="79">
        <v>5.68</v>
      </c>
      <c r="T535" s="80">
        <v>7.33</v>
      </c>
    </row>
    <row r="536" spans="2:20" ht="70">
      <c r="B536" s="5" t="s">
        <v>1275</v>
      </c>
      <c r="C536" s="45" t="s">
        <v>135</v>
      </c>
      <c r="D536" s="45">
        <v>89546</v>
      </c>
      <c r="E536" s="6" t="s">
        <v>1276</v>
      </c>
      <c r="F536" s="45" t="s">
        <v>210</v>
      </c>
      <c r="G536" s="46">
        <f t="shared" si="64"/>
        <v>50</v>
      </c>
      <c r="H536" s="46">
        <f>TRUNC(S536*(1-LOTE_03!$K$10),2)</f>
        <v>9.6</v>
      </c>
      <c r="I536" s="46">
        <f>TRUNC(T536*(1-LOTE_03!$K$10),2)</f>
        <v>1.35</v>
      </c>
      <c r="J536" s="100">
        <f t="shared" si="65"/>
        <v>0.22470000000000001</v>
      </c>
      <c r="K536" s="48">
        <f t="shared" si="59"/>
        <v>11.75</v>
      </c>
      <c r="L536" s="48">
        <f t="shared" si="60"/>
        <v>1.65</v>
      </c>
      <c r="M536" s="48">
        <f t="shared" si="61"/>
        <v>587.5</v>
      </c>
      <c r="N536" s="48">
        <f t="shared" si="62"/>
        <v>82.5</v>
      </c>
      <c r="O536" s="50">
        <f t="shared" si="63"/>
        <v>670</v>
      </c>
      <c r="P536" s="50">
        <v>0</v>
      </c>
      <c r="Q536" s="76"/>
      <c r="R536" s="140">
        <f>IF((5*S9+10*S10)&gt;50,50,(5*S9+10*S10))</f>
        <v>50</v>
      </c>
      <c r="S536" s="79">
        <v>9.6</v>
      </c>
      <c r="T536" s="80">
        <v>1.35</v>
      </c>
    </row>
    <row r="537" spans="2:20" ht="28">
      <c r="B537" s="5" t="s">
        <v>1277</v>
      </c>
      <c r="C537" s="45" t="s">
        <v>97</v>
      </c>
      <c r="D537" s="45" t="s">
        <v>1278</v>
      </c>
      <c r="E537" s="6" t="s">
        <v>1279</v>
      </c>
      <c r="F537" s="45" t="s">
        <v>104</v>
      </c>
      <c r="G537" s="46">
        <f t="shared" si="64"/>
        <v>28</v>
      </c>
      <c r="H537" s="46">
        <f>TRUNC(S537*(1-LOTE_03!$K$10),2)</f>
        <v>14.32</v>
      </c>
      <c r="I537" s="46">
        <f>TRUNC(T537*(1-LOTE_03!$K$10),2)</f>
        <v>4.03</v>
      </c>
      <c r="J537" s="100">
        <f t="shared" si="65"/>
        <v>0.22470000000000001</v>
      </c>
      <c r="K537" s="48">
        <f t="shared" si="59"/>
        <v>17.53</v>
      </c>
      <c r="L537" s="48">
        <f t="shared" si="60"/>
        <v>4.93</v>
      </c>
      <c r="M537" s="48">
        <f t="shared" si="61"/>
        <v>490.84</v>
      </c>
      <c r="N537" s="48">
        <f t="shared" si="62"/>
        <v>138.04</v>
      </c>
      <c r="O537" s="50">
        <f t="shared" si="63"/>
        <v>628.88</v>
      </c>
      <c r="P537" s="50">
        <v>0</v>
      </c>
      <c r="Q537" s="76"/>
      <c r="R537" s="140">
        <f>2*S9+2*S10</f>
        <v>28</v>
      </c>
      <c r="S537" s="79">
        <v>14.32</v>
      </c>
      <c r="T537" s="80">
        <v>4.03</v>
      </c>
    </row>
    <row r="538" spans="2:20" ht="70">
      <c r="B538" s="5" t="s">
        <v>1280</v>
      </c>
      <c r="C538" s="45" t="s">
        <v>135</v>
      </c>
      <c r="D538" s="45">
        <v>89707</v>
      </c>
      <c r="E538" s="6" t="s">
        <v>1281</v>
      </c>
      <c r="F538" s="45" t="s">
        <v>210</v>
      </c>
      <c r="G538" s="46">
        <f t="shared" si="64"/>
        <v>50</v>
      </c>
      <c r="H538" s="46">
        <f>TRUNC(S538*(1-LOTE_03!$K$10),2)</f>
        <v>36.43</v>
      </c>
      <c r="I538" s="46">
        <f>TRUNC(T538*(1-LOTE_03!$K$10),2)</f>
        <v>15.21</v>
      </c>
      <c r="J538" s="100">
        <f t="shared" si="65"/>
        <v>0.22470000000000001</v>
      </c>
      <c r="K538" s="48">
        <f t="shared" si="59"/>
        <v>44.61</v>
      </c>
      <c r="L538" s="48">
        <f t="shared" si="60"/>
        <v>18.62</v>
      </c>
      <c r="M538" s="48">
        <f t="shared" si="61"/>
        <v>2230.5</v>
      </c>
      <c r="N538" s="48">
        <f t="shared" si="62"/>
        <v>931</v>
      </c>
      <c r="O538" s="50">
        <f t="shared" si="63"/>
        <v>3161.5</v>
      </c>
      <c r="P538" s="50">
        <v>0</v>
      </c>
      <c r="Q538" s="76"/>
      <c r="R538" s="140">
        <f>IF((2*S9+5*S10)&gt;50,50,(2*S9+5*S10))</f>
        <v>50</v>
      </c>
      <c r="S538" s="79">
        <v>36.43</v>
      </c>
      <c r="T538" s="80">
        <v>15.21</v>
      </c>
    </row>
    <row r="539" spans="2:20" ht="28">
      <c r="B539" s="5" t="s">
        <v>1282</v>
      </c>
      <c r="C539" s="45" t="s">
        <v>97</v>
      </c>
      <c r="D539" s="45" t="s">
        <v>1283</v>
      </c>
      <c r="E539" s="6" t="s">
        <v>1284</v>
      </c>
      <c r="F539" s="45" t="s">
        <v>104</v>
      </c>
      <c r="G539" s="46">
        <f t="shared" si="64"/>
        <v>14</v>
      </c>
      <c r="H539" s="46">
        <f>TRUNC(S539*(1-LOTE_03!$K$10),2)</f>
        <v>350</v>
      </c>
      <c r="I539" s="46">
        <f>TRUNC(T539*(1-LOTE_03!$K$10),2)</f>
        <v>0</v>
      </c>
      <c r="J539" s="100">
        <f t="shared" si="65"/>
        <v>0.22470000000000001</v>
      </c>
      <c r="K539" s="48">
        <f t="shared" si="59"/>
        <v>428.64</v>
      </c>
      <c r="L539" s="48">
        <f t="shared" si="60"/>
        <v>0</v>
      </c>
      <c r="M539" s="48">
        <f t="shared" si="61"/>
        <v>6000.96</v>
      </c>
      <c r="N539" s="48">
        <f t="shared" si="62"/>
        <v>0</v>
      </c>
      <c r="O539" s="50">
        <f t="shared" si="63"/>
        <v>6000.96</v>
      </c>
      <c r="P539" s="50">
        <v>0</v>
      </c>
      <c r="Q539" s="76"/>
      <c r="R539" s="140">
        <f>1*S9+1*S10</f>
        <v>14</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50">
        <v>0</v>
      </c>
      <c r="Q540" s="76"/>
      <c r="R540" s="154"/>
      <c r="S540" s="79" t="s">
        <v>22</v>
      </c>
      <c r="T540" s="80" t="s">
        <v>22</v>
      </c>
    </row>
    <row r="541" spans="2:20" ht="42">
      <c r="B541" s="5" t="s">
        <v>1287</v>
      </c>
      <c r="C541" s="45" t="s">
        <v>97</v>
      </c>
      <c r="D541" s="45" t="s">
        <v>1288</v>
      </c>
      <c r="E541" s="6" t="s">
        <v>1289</v>
      </c>
      <c r="F541" s="45" t="s">
        <v>104</v>
      </c>
      <c r="G541" s="46">
        <f t="shared" si="64"/>
        <v>28</v>
      </c>
      <c r="H541" s="46">
        <f>TRUNC(S541*(1-LOTE_03!$K$10),2)</f>
        <v>7.34</v>
      </c>
      <c r="I541" s="46">
        <f>TRUNC(T541*(1-LOTE_03!$K$10),2)</f>
        <v>17.8</v>
      </c>
      <c r="J541" s="100">
        <f t="shared" si="65"/>
        <v>0.22470000000000001</v>
      </c>
      <c r="K541" s="48">
        <f t="shared" si="59"/>
        <v>8.98</v>
      </c>
      <c r="L541" s="48">
        <f t="shared" si="60"/>
        <v>21.79</v>
      </c>
      <c r="M541" s="48">
        <f t="shared" si="61"/>
        <v>251.44</v>
      </c>
      <c r="N541" s="48">
        <f t="shared" si="62"/>
        <v>610.12</v>
      </c>
      <c r="O541" s="50">
        <f t="shared" si="63"/>
        <v>861.56</v>
      </c>
      <c r="P541" s="50">
        <v>0</v>
      </c>
      <c r="Q541" s="76"/>
      <c r="R541" s="140">
        <f>2*S9+2*S10</f>
        <v>28</v>
      </c>
      <c r="S541" s="79">
        <v>7.34</v>
      </c>
      <c r="T541" s="80">
        <v>17.8</v>
      </c>
    </row>
    <row r="542" spans="2:20" ht="28">
      <c r="B542" s="5" t="s">
        <v>1290</v>
      </c>
      <c r="C542" s="45" t="s">
        <v>97</v>
      </c>
      <c r="D542" s="45" t="s">
        <v>1291</v>
      </c>
      <c r="E542" s="6" t="s">
        <v>1292</v>
      </c>
      <c r="F542" s="45" t="s">
        <v>104</v>
      </c>
      <c r="G542" s="46">
        <f t="shared" si="64"/>
        <v>28</v>
      </c>
      <c r="H542" s="46">
        <f>TRUNC(S542*(1-LOTE_03!$K$10),2)</f>
        <v>3.16</v>
      </c>
      <c r="I542" s="46">
        <f>TRUNC(T542*(1-LOTE_03!$K$10),2)</f>
        <v>3.61</v>
      </c>
      <c r="J542" s="100">
        <f t="shared" si="65"/>
        <v>0.22470000000000001</v>
      </c>
      <c r="K542" s="48">
        <f t="shared" si="59"/>
        <v>3.87</v>
      </c>
      <c r="L542" s="48">
        <f t="shared" si="60"/>
        <v>4.42</v>
      </c>
      <c r="M542" s="48">
        <f t="shared" si="61"/>
        <v>108.36</v>
      </c>
      <c r="N542" s="48">
        <f t="shared" si="62"/>
        <v>123.76</v>
      </c>
      <c r="O542" s="50">
        <f t="shared" si="63"/>
        <v>232.12</v>
      </c>
      <c r="P542" s="50">
        <v>0</v>
      </c>
      <c r="Q542" s="76"/>
      <c r="R542" s="140">
        <f>2*S9+2*S10</f>
        <v>28</v>
      </c>
      <c r="S542" s="79">
        <v>3.16</v>
      </c>
      <c r="T542" s="80">
        <v>3.61</v>
      </c>
    </row>
    <row r="543" spans="2:20" ht="28">
      <c r="B543" s="5" t="s">
        <v>1293</v>
      </c>
      <c r="C543" s="45" t="s">
        <v>97</v>
      </c>
      <c r="D543" s="45" t="s">
        <v>1294</v>
      </c>
      <c r="E543" s="6" t="s">
        <v>1295</v>
      </c>
      <c r="F543" s="45" t="s">
        <v>104</v>
      </c>
      <c r="G543" s="46">
        <f t="shared" si="64"/>
        <v>28</v>
      </c>
      <c r="H543" s="46">
        <f>TRUNC(S543*(1-LOTE_03!$K$10),2)</f>
        <v>3.16</v>
      </c>
      <c r="I543" s="46">
        <f>TRUNC(T543*(1-LOTE_03!$K$10),2)</f>
        <v>3.61</v>
      </c>
      <c r="J543" s="100">
        <f t="shared" si="65"/>
        <v>0.22470000000000001</v>
      </c>
      <c r="K543" s="48">
        <f t="shared" si="59"/>
        <v>3.87</v>
      </c>
      <c r="L543" s="48">
        <f t="shared" si="60"/>
        <v>4.42</v>
      </c>
      <c r="M543" s="48">
        <f t="shared" si="61"/>
        <v>108.36</v>
      </c>
      <c r="N543" s="48">
        <f t="shared" si="62"/>
        <v>123.76</v>
      </c>
      <c r="O543" s="50">
        <f t="shared" si="63"/>
        <v>232.12</v>
      </c>
      <c r="P543" s="50">
        <v>0</v>
      </c>
      <c r="Q543" s="76"/>
      <c r="R543" s="140">
        <f>2*S9+2*S10</f>
        <v>28</v>
      </c>
      <c r="S543" s="79">
        <v>3.16</v>
      </c>
      <c r="T543" s="80">
        <v>3.61</v>
      </c>
    </row>
    <row r="544" spans="2:20" ht="70">
      <c r="B544" s="5" t="s">
        <v>1296</v>
      </c>
      <c r="C544" s="45" t="s">
        <v>97</v>
      </c>
      <c r="D544" s="45" t="s">
        <v>1297</v>
      </c>
      <c r="E544" s="6" t="s">
        <v>1298</v>
      </c>
      <c r="F544" s="45" t="s">
        <v>104</v>
      </c>
      <c r="G544" s="46">
        <f t="shared" si="64"/>
        <v>28</v>
      </c>
      <c r="H544" s="46">
        <f>TRUNC(S544*(1-LOTE_03!$K$10),2)</f>
        <v>333.06</v>
      </c>
      <c r="I544" s="46">
        <f>TRUNC(T544*(1-LOTE_03!$K$10),2)</f>
        <v>33.53</v>
      </c>
      <c r="J544" s="100">
        <f t="shared" si="65"/>
        <v>0.22470000000000001</v>
      </c>
      <c r="K544" s="48">
        <f t="shared" si="59"/>
        <v>407.89</v>
      </c>
      <c r="L544" s="48">
        <f t="shared" si="60"/>
        <v>41.06</v>
      </c>
      <c r="M544" s="48">
        <f t="shared" si="61"/>
        <v>11420.92</v>
      </c>
      <c r="N544" s="48">
        <f t="shared" si="62"/>
        <v>1149.68</v>
      </c>
      <c r="O544" s="50">
        <f t="shared" si="63"/>
        <v>12570.6</v>
      </c>
      <c r="P544" s="50">
        <v>0</v>
      </c>
      <c r="Q544" s="76"/>
      <c r="R544" s="140">
        <f>2*S9+2*S10</f>
        <v>28</v>
      </c>
      <c r="S544" s="79">
        <v>333.06</v>
      </c>
      <c r="T544" s="80">
        <v>33.53</v>
      </c>
    </row>
    <row r="545" spans="2:20" ht="28">
      <c r="B545" s="5" t="s">
        <v>1299</v>
      </c>
      <c r="C545" s="45" t="s">
        <v>97</v>
      </c>
      <c r="D545" s="45" t="s">
        <v>1300</v>
      </c>
      <c r="E545" s="6" t="s">
        <v>1301</v>
      </c>
      <c r="F545" s="45" t="s">
        <v>104</v>
      </c>
      <c r="G545" s="46">
        <f t="shared" si="64"/>
        <v>28</v>
      </c>
      <c r="H545" s="46">
        <f>TRUNC(S545*(1-LOTE_03!$K$10),2)</f>
        <v>80.3</v>
      </c>
      <c r="I545" s="46">
        <f>TRUNC(T545*(1-LOTE_03!$K$10),2)</f>
        <v>22.52</v>
      </c>
      <c r="J545" s="100">
        <f t="shared" si="65"/>
        <v>0.22470000000000001</v>
      </c>
      <c r="K545" s="48">
        <f t="shared" si="59"/>
        <v>98.34</v>
      </c>
      <c r="L545" s="48">
        <f t="shared" si="60"/>
        <v>27.58</v>
      </c>
      <c r="M545" s="48">
        <f t="shared" si="61"/>
        <v>2753.52</v>
      </c>
      <c r="N545" s="48">
        <f t="shared" si="62"/>
        <v>772.24</v>
      </c>
      <c r="O545" s="50">
        <f t="shared" si="63"/>
        <v>3525.76</v>
      </c>
      <c r="P545" s="50">
        <v>0</v>
      </c>
      <c r="Q545" s="76"/>
      <c r="R545" s="140">
        <f>2*S9+2*S10</f>
        <v>28</v>
      </c>
      <c r="S545" s="79">
        <v>80.3</v>
      </c>
      <c r="T545" s="80">
        <v>22.52</v>
      </c>
    </row>
    <row r="546" spans="2:20" ht="28">
      <c r="B546" s="5" t="s">
        <v>1302</v>
      </c>
      <c r="C546" s="45" t="s">
        <v>97</v>
      </c>
      <c r="D546" s="45" t="s">
        <v>1303</v>
      </c>
      <c r="E546" s="6" t="s">
        <v>1304</v>
      </c>
      <c r="F546" s="45" t="s">
        <v>104</v>
      </c>
      <c r="G546" s="46">
        <f t="shared" si="64"/>
        <v>28</v>
      </c>
      <c r="H546" s="46">
        <f>TRUNC(S546*(1-LOTE_03!$K$10),2)</f>
        <v>74.5</v>
      </c>
      <c r="I546" s="46">
        <f>TRUNC(T546*(1-LOTE_03!$K$10),2)</f>
        <v>15.08</v>
      </c>
      <c r="J546" s="100">
        <f t="shared" si="65"/>
        <v>0.22470000000000001</v>
      </c>
      <c r="K546" s="48">
        <f t="shared" si="59"/>
        <v>91.24</v>
      </c>
      <c r="L546" s="48">
        <f t="shared" si="60"/>
        <v>18.46</v>
      </c>
      <c r="M546" s="48">
        <f t="shared" si="61"/>
        <v>2554.7199999999998</v>
      </c>
      <c r="N546" s="48">
        <f t="shared" si="62"/>
        <v>516.88</v>
      </c>
      <c r="O546" s="50">
        <f t="shared" si="63"/>
        <v>3071.6</v>
      </c>
      <c r="P546" s="50">
        <v>0</v>
      </c>
      <c r="Q546" s="76"/>
      <c r="R546" s="140">
        <f>2*S9+2*S10</f>
        <v>28</v>
      </c>
      <c r="S546" s="79">
        <v>74.5</v>
      </c>
      <c r="T546" s="80">
        <v>15.08</v>
      </c>
    </row>
    <row r="547" spans="2:20" ht="70">
      <c r="B547" s="5" t="s">
        <v>1305</v>
      </c>
      <c r="C547" s="45" t="s">
        <v>135</v>
      </c>
      <c r="D547" s="45">
        <v>86932</v>
      </c>
      <c r="E547" s="6" t="s">
        <v>1817</v>
      </c>
      <c r="F547" s="45" t="s">
        <v>210</v>
      </c>
      <c r="G547" s="46">
        <f t="shared" si="64"/>
        <v>23</v>
      </c>
      <c r="H547" s="46">
        <f>TRUNC(S547*(1-LOTE_03!$K$10),2)</f>
        <v>593.85</v>
      </c>
      <c r="I547" s="46">
        <f>TRUNC(T547*(1-LOTE_03!$K$10),2)</f>
        <v>28.11</v>
      </c>
      <c r="J547" s="100">
        <f t="shared" si="65"/>
        <v>0.22470000000000001</v>
      </c>
      <c r="K547" s="48">
        <f t="shared" si="59"/>
        <v>727.28</v>
      </c>
      <c r="L547" s="48">
        <f t="shared" si="60"/>
        <v>34.42</v>
      </c>
      <c r="M547" s="48">
        <f t="shared" si="61"/>
        <v>16727.439999999999</v>
      </c>
      <c r="N547" s="48">
        <f t="shared" si="62"/>
        <v>791.66</v>
      </c>
      <c r="O547" s="50">
        <f t="shared" si="63"/>
        <v>17519.099999999999</v>
      </c>
      <c r="P547" s="50">
        <v>0</v>
      </c>
      <c r="Q547" s="76"/>
      <c r="R547" s="140">
        <f>1*S9+2*S10</f>
        <v>23</v>
      </c>
      <c r="S547" s="79">
        <v>593.85</v>
      </c>
      <c r="T547" s="80">
        <v>28.11</v>
      </c>
    </row>
    <row r="548" spans="2:20" ht="28">
      <c r="B548" s="5" t="s">
        <v>1306</v>
      </c>
      <c r="C548" s="45" t="s">
        <v>97</v>
      </c>
      <c r="D548" s="45" t="s">
        <v>1307</v>
      </c>
      <c r="E548" s="6" t="s">
        <v>1308</v>
      </c>
      <c r="F548" s="45" t="s">
        <v>104</v>
      </c>
      <c r="G548" s="46">
        <f t="shared" si="64"/>
        <v>28</v>
      </c>
      <c r="H548" s="46">
        <f>TRUNC(S548*(1-LOTE_03!$K$10),2)</f>
        <v>111.67</v>
      </c>
      <c r="I548" s="46">
        <f>TRUNC(T548*(1-LOTE_03!$K$10),2)</f>
        <v>3.8</v>
      </c>
      <c r="J548" s="100">
        <f t="shared" si="65"/>
        <v>0.22470000000000001</v>
      </c>
      <c r="K548" s="48">
        <f t="shared" si="59"/>
        <v>136.76</v>
      </c>
      <c r="L548" s="48">
        <f t="shared" si="60"/>
        <v>4.6500000000000004</v>
      </c>
      <c r="M548" s="48">
        <f t="shared" si="61"/>
        <v>3829.28</v>
      </c>
      <c r="N548" s="48">
        <f t="shared" si="62"/>
        <v>130.19999999999999</v>
      </c>
      <c r="O548" s="50">
        <f t="shared" si="63"/>
        <v>3959.48</v>
      </c>
      <c r="P548" s="50">
        <v>0</v>
      </c>
      <c r="Q548" s="76"/>
      <c r="R548" s="140">
        <f>2*S9+2*S10</f>
        <v>28</v>
      </c>
      <c r="S548" s="79">
        <v>111.67</v>
      </c>
      <c r="T548" s="80">
        <v>3.8</v>
      </c>
    </row>
    <row r="549" spans="2:20" ht="28">
      <c r="B549" s="5" t="s">
        <v>1309</v>
      </c>
      <c r="C549" s="45" t="s">
        <v>97</v>
      </c>
      <c r="D549" s="45" t="s">
        <v>1310</v>
      </c>
      <c r="E549" s="6" t="s">
        <v>1311</v>
      </c>
      <c r="F549" s="45" t="s">
        <v>104</v>
      </c>
      <c r="G549" s="46">
        <f t="shared" si="64"/>
        <v>28</v>
      </c>
      <c r="H549" s="46">
        <f>TRUNC(S549*(1-LOTE_03!$K$10),2)</f>
        <v>371.38</v>
      </c>
      <c r="I549" s="46">
        <f>TRUNC(T549*(1-LOTE_03!$K$10),2)</f>
        <v>3.8</v>
      </c>
      <c r="J549" s="100">
        <f t="shared" si="65"/>
        <v>0.22470000000000001</v>
      </c>
      <c r="K549" s="48">
        <f t="shared" si="59"/>
        <v>454.82</v>
      </c>
      <c r="L549" s="48">
        <f t="shared" si="60"/>
        <v>4.6500000000000004</v>
      </c>
      <c r="M549" s="48">
        <f t="shared" si="61"/>
        <v>12734.96</v>
      </c>
      <c r="N549" s="48">
        <f t="shared" si="62"/>
        <v>130.19999999999999</v>
      </c>
      <c r="O549" s="50">
        <f t="shared" si="63"/>
        <v>12865.16</v>
      </c>
      <c r="P549" s="50">
        <v>0</v>
      </c>
      <c r="Q549" s="76"/>
      <c r="R549" s="140">
        <f>2*S9+2*S10</f>
        <v>28</v>
      </c>
      <c r="S549" s="79">
        <v>371.38</v>
      </c>
      <c r="T549" s="80">
        <v>3.8</v>
      </c>
    </row>
    <row r="550" spans="2:20" ht="56">
      <c r="B550" s="5" t="s">
        <v>1312</v>
      </c>
      <c r="C550" s="45" t="s">
        <v>135</v>
      </c>
      <c r="D550" s="45">
        <v>86903</v>
      </c>
      <c r="E550" s="6" t="s">
        <v>1818</v>
      </c>
      <c r="F550" s="45" t="s">
        <v>210</v>
      </c>
      <c r="G550" s="46">
        <f t="shared" si="64"/>
        <v>23</v>
      </c>
      <c r="H550" s="46">
        <f>TRUNC(S550*(1-LOTE_03!$K$10),2)</f>
        <v>332.56</v>
      </c>
      <c r="I550" s="46">
        <f>TRUNC(T550*(1-LOTE_03!$K$10),2)</f>
        <v>39.880000000000003</v>
      </c>
      <c r="J550" s="100">
        <f t="shared" si="65"/>
        <v>0.22470000000000001</v>
      </c>
      <c r="K550" s="48">
        <f t="shared" si="59"/>
        <v>407.28</v>
      </c>
      <c r="L550" s="48">
        <f t="shared" si="60"/>
        <v>48.84</v>
      </c>
      <c r="M550" s="48">
        <f t="shared" si="61"/>
        <v>9367.44</v>
      </c>
      <c r="N550" s="48">
        <f t="shared" si="62"/>
        <v>1123.32</v>
      </c>
      <c r="O550" s="50">
        <f t="shared" si="63"/>
        <v>10490.76</v>
      </c>
      <c r="P550" s="50">
        <v>0</v>
      </c>
      <c r="Q550" s="76"/>
      <c r="R550" s="140">
        <f>1*S9+2*S10</f>
        <v>23</v>
      </c>
      <c r="S550" s="79">
        <v>332.56</v>
      </c>
      <c r="T550" s="80">
        <v>39.880000000000003</v>
      </c>
    </row>
    <row r="551" spans="2:20" ht="98">
      <c r="B551" s="5" t="s">
        <v>1313</v>
      </c>
      <c r="C551" s="45" t="s">
        <v>97</v>
      </c>
      <c r="D551" s="45" t="s">
        <v>1314</v>
      </c>
      <c r="E551" s="6" t="s">
        <v>1315</v>
      </c>
      <c r="F551" s="45" t="s">
        <v>104</v>
      </c>
      <c r="G551" s="46">
        <f t="shared" si="64"/>
        <v>23</v>
      </c>
      <c r="H551" s="46">
        <f>TRUNC(S551*(1-LOTE_03!$K$10),2)</f>
        <v>881.38</v>
      </c>
      <c r="I551" s="46">
        <f>TRUNC(T551*(1-LOTE_03!$K$10),2)</f>
        <v>60.63</v>
      </c>
      <c r="J551" s="100">
        <f t="shared" si="65"/>
        <v>0.22470000000000001</v>
      </c>
      <c r="K551" s="48">
        <f t="shared" si="59"/>
        <v>1079.42</v>
      </c>
      <c r="L551" s="48">
        <f t="shared" si="60"/>
        <v>74.25</v>
      </c>
      <c r="M551" s="48">
        <f t="shared" si="61"/>
        <v>24826.66</v>
      </c>
      <c r="N551" s="48">
        <f t="shared" si="62"/>
        <v>1707.75</v>
      </c>
      <c r="O551" s="50">
        <f t="shared" si="63"/>
        <v>26534.41</v>
      </c>
      <c r="P551" s="50">
        <v>0</v>
      </c>
      <c r="Q551" s="76"/>
      <c r="R551" s="140">
        <f>1*S9+2*S10</f>
        <v>23</v>
      </c>
      <c r="S551" s="79">
        <v>881.38</v>
      </c>
      <c r="T551" s="80">
        <v>60.63</v>
      </c>
    </row>
    <row r="552" spans="2:20" ht="56">
      <c r="B552" s="5" t="s">
        <v>1316</v>
      </c>
      <c r="C552" s="45" t="s">
        <v>135</v>
      </c>
      <c r="D552" s="45">
        <v>86904</v>
      </c>
      <c r="E552" s="6" t="s">
        <v>1819</v>
      </c>
      <c r="F552" s="45" t="s">
        <v>210</v>
      </c>
      <c r="G552" s="46">
        <f t="shared" si="64"/>
        <v>23</v>
      </c>
      <c r="H552" s="46">
        <f>TRUNC(S552*(1-LOTE_03!$K$10),2)</f>
        <v>147.59</v>
      </c>
      <c r="I552" s="46">
        <f>TRUNC(T552*(1-LOTE_03!$K$10),2)</f>
        <v>10.97</v>
      </c>
      <c r="J552" s="100">
        <f t="shared" si="65"/>
        <v>0.22470000000000001</v>
      </c>
      <c r="K552" s="48">
        <f t="shared" si="59"/>
        <v>180.75</v>
      </c>
      <c r="L552" s="48">
        <f t="shared" si="60"/>
        <v>13.43</v>
      </c>
      <c r="M552" s="48">
        <f t="shared" si="61"/>
        <v>4157.25</v>
      </c>
      <c r="N552" s="48">
        <f t="shared" si="62"/>
        <v>308.89</v>
      </c>
      <c r="O552" s="50">
        <f t="shared" si="63"/>
        <v>4466.1400000000003</v>
      </c>
      <c r="P552" s="50">
        <v>0</v>
      </c>
      <c r="Q552" s="76"/>
      <c r="R552" s="140">
        <f>1*S9+2*S10</f>
        <v>23</v>
      </c>
      <c r="S552" s="79">
        <v>147.59</v>
      </c>
      <c r="T552" s="80">
        <v>10.97</v>
      </c>
    </row>
    <row r="553" spans="2:20" ht="56">
      <c r="B553" s="5" t="s">
        <v>1317</v>
      </c>
      <c r="C553" s="45" t="s">
        <v>135</v>
      </c>
      <c r="D553" s="45">
        <v>100858</v>
      </c>
      <c r="E553" s="6" t="s">
        <v>1820</v>
      </c>
      <c r="F553" s="45" t="s">
        <v>210</v>
      </c>
      <c r="G553" s="46">
        <f t="shared" si="64"/>
        <v>23</v>
      </c>
      <c r="H553" s="46">
        <f>TRUNC(S553*(1-LOTE_03!$K$10),2)</f>
        <v>741.33</v>
      </c>
      <c r="I553" s="46">
        <f>TRUNC(T553*(1-LOTE_03!$K$10),2)</f>
        <v>26.41</v>
      </c>
      <c r="J553" s="100">
        <f t="shared" si="65"/>
        <v>0.22470000000000001</v>
      </c>
      <c r="K553" s="48">
        <f t="shared" si="59"/>
        <v>907.9</v>
      </c>
      <c r="L553" s="48">
        <f t="shared" si="60"/>
        <v>32.340000000000003</v>
      </c>
      <c r="M553" s="48">
        <f t="shared" si="61"/>
        <v>20881.7</v>
      </c>
      <c r="N553" s="48">
        <f t="shared" si="62"/>
        <v>743.82</v>
      </c>
      <c r="O553" s="50">
        <f t="shared" si="63"/>
        <v>21625.52</v>
      </c>
      <c r="P553" s="50">
        <v>0</v>
      </c>
      <c r="Q553" s="76"/>
      <c r="R553" s="140">
        <f>1*S9+2*S10</f>
        <v>23</v>
      </c>
      <c r="S553" s="79">
        <v>741.33</v>
      </c>
      <c r="T553" s="80">
        <v>26.41</v>
      </c>
    </row>
    <row r="554" spans="2:20" ht="28">
      <c r="B554" s="5" t="s">
        <v>1318</v>
      </c>
      <c r="C554" s="45" t="s">
        <v>165</v>
      </c>
      <c r="D554" s="45" t="s">
        <v>1319</v>
      </c>
      <c r="E554" s="6" t="s">
        <v>1320</v>
      </c>
      <c r="F554" s="45" t="s">
        <v>168</v>
      </c>
      <c r="G554" s="46">
        <f t="shared" si="64"/>
        <v>9.1199999999999992</v>
      </c>
      <c r="H554" s="46">
        <f>TRUNC(S554*(1-LOTE_03!$K$10),2)</f>
        <v>392.78</v>
      </c>
      <c r="I554" s="46">
        <f>TRUNC(T554*(1-LOTE_03!$K$10),2)</f>
        <v>78.489999999999995</v>
      </c>
      <c r="J554" s="100">
        <f t="shared" si="65"/>
        <v>0.22470000000000001</v>
      </c>
      <c r="K554" s="48">
        <f t="shared" si="59"/>
        <v>481.03</v>
      </c>
      <c r="L554" s="48">
        <f t="shared" si="60"/>
        <v>96.12</v>
      </c>
      <c r="M554" s="48">
        <f t="shared" si="61"/>
        <v>4386.99</v>
      </c>
      <c r="N554" s="48">
        <f t="shared" si="62"/>
        <v>876.61</v>
      </c>
      <c r="O554" s="50">
        <f t="shared" si="63"/>
        <v>5263.6</v>
      </c>
      <c r="P554" s="50">
        <v>0</v>
      </c>
      <c r="Q554" s="76"/>
      <c r="R554" s="140">
        <f>0.4*0.6*4*S9+0.4*0.6*2*S10</f>
        <v>9.120000000000001</v>
      </c>
      <c r="S554" s="79">
        <v>392.78</v>
      </c>
      <c r="T554" s="80">
        <v>78.489999999999995</v>
      </c>
    </row>
    <row r="555" spans="2:20" ht="42">
      <c r="B555" s="5" t="s">
        <v>1321</v>
      </c>
      <c r="C555" s="45" t="s">
        <v>135</v>
      </c>
      <c r="D555" s="45">
        <v>95544</v>
      </c>
      <c r="E555" s="6" t="s">
        <v>1821</v>
      </c>
      <c r="F555" s="45" t="s">
        <v>210</v>
      </c>
      <c r="G555" s="46">
        <f t="shared" si="64"/>
        <v>28</v>
      </c>
      <c r="H555" s="46">
        <f>TRUNC(S555*(1-LOTE_03!$K$10),2)</f>
        <v>64.48</v>
      </c>
      <c r="I555" s="46">
        <f>TRUNC(T555*(1-LOTE_03!$K$10),2)</f>
        <v>8.36</v>
      </c>
      <c r="J555" s="100">
        <f t="shared" si="65"/>
        <v>0.22470000000000001</v>
      </c>
      <c r="K555" s="48">
        <f t="shared" si="59"/>
        <v>78.959999999999994</v>
      </c>
      <c r="L555" s="48">
        <f t="shared" si="60"/>
        <v>10.23</v>
      </c>
      <c r="M555" s="48">
        <f t="shared" si="61"/>
        <v>2210.88</v>
      </c>
      <c r="N555" s="48">
        <f t="shared" si="62"/>
        <v>286.44</v>
      </c>
      <c r="O555" s="50">
        <f t="shared" si="63"/>
        <v>2497.3200000000002</v>
      </c>
      <c r="P555" s="50">
        <v>0</v>
      </c>
      <c r="Q555" s="76"/>
      <c r="R555" s="140">
        <f>2*S9+2*S10</f>
        <v>28</v>
      </c>
      <c r="S555" s="79">
        <v>64.48</v>
      </c>
      <c r="T555" s="80">
        <v>8.36</v>
      </c>
    </row>
    <row r="556" spans="2:20" ht="28">
      <c r="B556" s="5" t="s">
        <v>1322</v>
      </c>
      <c r="C556" s="45" t="s">
        <v>97</v>
      </c>
      <c r="D556" s="45" t="s">
        <v>1323</v>
      </c>
      <c r="E556" s="6" t="s">
        <v>1324</v>
      </c>
      <c r="F556" s="45" t="s">
        <v>104</v>
      </c>
      <c r="G556" s="46">
        <f t="shared" si="64"/>
        <v>28</v>
      </c>
      <c r="H556" s="46">
        <f>TRUNC(S556*(1-LOTE_03!$K$10),2)</f>
        <v>63.29</v>
      </c>
      <c r="I556" s="46">
        <f>TRUNC(T556*(1-LOTE_03!$K$10),2)</f>
        <v>3.61</v>
      </c>
      <c r="J556" s="100">
        <f t="shared" si="65"/>
        <v>0.22470000000000001</v>
      </c>
      <c r="K556" s="48">
        <f t="shared" si="59"/>
        <v>77.510000000000005</v>
      </c>
      <c r="L556" s="48">
        <f t="shared" si="60"/>
        <v>4.42</v>
      </c>
      <c r="M556" s="48">
        <f t="shared" si="61"/>
        <v>2170.2800000000002</v>
      </c>
      <c r="N556" s="48">
        <f t="shared" si="62"/>
        <v>123.76</v>
      </c>
      <c r="O556" s="50">
        <f t="shared" si="63"/>
        <v>2294.04</v>
      </c>
      <c r="P556" s="50">
        <v>0</v>
      </c>
      <c r="Q556" s="76"/>
      <c r="R556" s="140">
        <f>2*S9+2*S10</f>
        <v>28</v>
      </c>
      <c r="S556" s="79">
        <v>63.29</v>
      </c>
      <c r="T556" s="80">
        <v>3.61</v>
      </c>
    </row>
    <row r="557" spans="2:20" ht="42">
      <c r="B557" s="5" t="s">
        <v>1325</v>
      </c>
      <c r="C557" s="45" t="s">
        <v>97</v>
      </c>
      <c r="D557" s="45" t="s">
        <v>1326</v>
      </c>
      <c r="E557" s="6" t="s">
        <v>1327</v>
      </c>
      <c r="F557" s="45" t="s">
        <v>104</v>
      </c>
      <c r="G557" s="46">
        <f t="shared" si="64"/>
        <v>28</v>
      </c>
      <c r="H557" s="46">
        <f>TRUNC(S557*(1-LOTE_03!$K$10),2)</f>
        <v>63.29</v>
      </c>
      <c r="I557" s="46">
        <f>TRUNC(T557*(1-LOTE_03!$K$10),2)</f>
        <v>3.61</v>
      </c>
      <c r="J557" s="100">
        <f t="shared" si="65"/>
        <v>0.22470000000000001</v>
      </c>
      <c r="K557" s="48">
        <f t="shared" si="59"/>
        <v>77.510000000000005</v>
      </c>
      <c r="L557" s="48">
        <f t="shared" si="60"/>
        <v>4.42</v>
      </c>
      <c r="M557" s="48">
        <f t="shared" si="61"/>
        <v>2170.2800000000002</v>
      </c>
      <c r="N557" s="48">
        <f t="shared" si="62"/>
        <v>123.76</v>
      </c>
      <c r="O557" s="50">
        <f t="shared" si="63"/>
        <v>2294.04</v>
      </c>
      <c r="P557" s="50">
        <v>0</v>
      </c>
      <c r="Q557" s="76"/>
      <c r="R557" s="140">
        <f>2*S9+2*S10</f>
        <v>28</v>
      </c>
      <c r="S557" s="79">
        <v>63.29</v>
      </c>
      <c r="T557" s="80">
        <v>3.61</v>
      </c>
    </row>
    <row r="558" spans="2:20" ht="56">
      <c r="B558" s="5" t="s">
        <v>1328</v>
      </c>
      <c r="C558" s="45" t="s">
        <v>135</v>
      </c>
      <c r="D558" s="45">
        <v>95547</v>
      </c>
      <c r="E558" s="6" t="s">
        <v>1822</v>
      </c>
      <c r="F558" s="45" t="s">
        <v>210</v>
      </c>
      <c r="G558" s="46">
        <f t="shared" si="64"/>
        <v>28</v>
      </c>
      <c r="H558" s="46">
        <f>TRUNC(S558*(1-LOTE_03!$K$10),2)</f>
        <v>65.52</v>
      </c>
      <c r="I558" s="46">
        <f>TRUNC(T558*(1-LOTE_03!$K$10),2)</f>
        <v>5.79</v>
      </c>
      <c r="J558" s="100">
        <f t="shared" si="65"/>
        <v>0.22470000000000001</v>
      </c>
      <c r="K558" s="48">
        <f t="shared" si="59"/>
        <v>80.239999999999995</v>
      </c>
      <c r="L558" s="48">
        <f t="shared" si="60"/>
        <v>7.09</v>
      </c>
      <c r="M558" s="48">
        <f t="shared" si="61"/>
        <v>2246.7199999999998</v>
      </c>
      <c r="N558" s="48">
        <f t="shared" si="62"/>
        <v>198.52</v>
      </c>
      <c r="O558" s="50">
        <f t="shared" si="63"/>
        <v>2445.2399999999998</v>
      </c>
      <c r="P558" s="50">
        <v>0</v>
      </c>
      <c r="Q558" s="76"/>
      <c r="R558" s="140">
        <f>2*S9+2*S10</f>
        <v>28</v>
      </c>
      <c r="S558" s="79">
        <v>65.52</v>
      </c>
      <c r="T558" s="80">
        <v>5.79</v>
      </c>
    </row>
    <row r="559" spans="2:20" ht="42">
      <c r="B559" s="5" t="s">
        <v>1329</v>
      </c>
      <c r="C559" s="45" t="s">
        <v>135</v>
      </c>
      <c r="D559" s="45">
        <v>95545</v>
      </c>
      <c r="E559" s="6" t="s">
        <v>1823</v>
      </c>
      <c r="F559" s="45" t="s">
        <v>210</v>
      </c>
      <c r="G559" s="46">
        <f t="shared" si="64"/>
        <v>28</v>
      </c>
      <c r="H559" s="46">
        <f>TRUNC(S559*(1-LOTE_03!$K$10),2)</f>
        <v>62.99</v>
      </c>
      <c r="I559" s="46">
        <f>TRUNC(T559*(1-LOTE_03!$K$10),2)</f>
        <v>8.36</v>
      </c>
      <c r="J559" s="100">
        <f t="shared" si="65"/>
        <v>0.22470000000000001</v>
      </c>
      <c r="K559" s="48">
        <f t="shared" si="59"/>
        <v>77.14</v>
      </c>
      <c r="L559" s="48">
        <f t="shared" si="60"/>
        <v>10.23</v>
      </c>
      <c r="M559" s="48">
        <f t="shared" si="61"/>
        <v>2159.92</v>
      </c>
      <c r="N559" s="48">
        <f t="shared" si="62"/>
        <v>286.44</v>
      </c>
      <c r="O559" s="50">
        <f t="shared" si="63"/>
        <v>2446.36</v>
      </c>
      <c r="P559" s="50">
        <v>0</v>
      </c>
      <c r="Q559" s="76"/>
      <c r="R559" s="140">
        <f>2*S9+2*S10</f>
        <v>28</v>
      </c>
      <c r="S559" s="79">
        <v>62.989999999999995</v>
      </c>
      <c r="T559" s="80">
        <v>8.36</v>
      </c>
    </row>
    <row r="560" spans="2:20" ht="28">
      <c r="B560" s="5" t="s">
        <v>1330</v>
      </c>
      <c r="C560" s="45" t="s">
        <v>165</v>
      </c>
      <c r="D560" s="45" t="s">
        <v>1331</v>
      </c>
      <c r="E560" s="6" t="s">
        <v>1332</v>
      </c>
      <c r="F560" s="45" t="s">
        <v>559</v>
      </c>
      <c r="G560" s="46">
        <f t="shared" si="64"/>
        <v>28</v>
      </c>
      <c r="H560" s="46">
        <f>TRUNC(S560*(1-LOTE_03!$K$10),2)</f>
        <v>456.03</v>
      </c>
      <c r="I560" s="46">
        <f>TRUNC(T560*(1-LOTE_03!$K$10),2)</f>
        <v>15.94</v>
      </c>
      <c r="J560" s="100">
        <f t="shared" si="65"/>
        <v>0.22470000000000001</v>
      </c>
      <c r="K560" s="48">
        <f t="shared" si="59"/>
        <v>558.49</v>
      </c>
      <c r="L560" s="48">
        <f t="shared" si="60"/>
        <v>19.52</v>
      </c>
      <c r="M560" s="48">
        <f t="shared" si="61"/>
        <v>15637.72</v>
      </c>
      <c r="N560" s="48">
        <f t="shared" si="62"/>
        <v>546.55999999999995</v>
      </c>
      <c r="O560" s="50">
        <f t="shared" si="63"/>
        <v>16184.28</v>
      </c>
      <c r="P560" s="50">
        <v>0</v>
      </c>
      <c r="Q560" s="76"/>
      <c r="R560" s="140">
        <f>2*S9+2*S10</f>
        <v>28</v>
      </c>
      <c r="S560" s="79">
        <v>456.03</v>
      </c>
      <c r="T560" s="80">
        <v>15.94</v>
      </c>
    </row>
    <row r="561" spans="2:20" ht="42">
      <c r="B561" s="5" t="s">
        <v>1333</v>
      </c>
      <c r="C561" s="45" t="s">
        <v>97</v>
      </c>
      <c r="D561" s="45" t="s">
        <v>1354</v>
      </c>
      <c r="E561" s="6" t="s">
        <v>1355</v>
      </c>
      <c r="F561" s="45" t="s">
        <v>104</v>
      </c>
      <c r="G561" s="46">
        <f t="shared" si="64"/>
        <v>28</v>
      </c>
      <c r="H561" s="46">
        <f>TRUNC(S561*(1-LOTE_03!$K$10),2)</f>
        <v>47.31</v>
      </c>
      <c r="I561" s="46">
        <f>TRUNC(T561*(1-LOTE_03!$K$10),2)</f>
        <v>10.39</v>
      </c>
      <c r="J561" s="100">
        <f t="shared" si="65"/>
        <v>0.22470000000000001</v>
      </c>
      <c r="K561" s="48">
        <f t="shared" si="59"/>
        <v>57.94</v>
      </c>
      <c r="L561" s="48">
        <f t="shared" si="60"/>
        <v>12.72</v>
      </c>
      <c r="M561" s="48">
        <f t="shared" si="61"/>
        <v>1622.32</v>
      </c>
      <c r="N561" s="48">
        <f t="shared" si="62"/>
        <v>356.16</v>
      </c>
      <c r="O561" s="50">
        <f t="shared" si="63"/>
        <v>1978.48</v>
      </c>
      <c r="P561" s="50">
        <v>0</v>
      </c>
      <c r="Q561" s="76"/>
      <c r="R561" s="140">
        <f>2*S9+2*S10</f>
        <v>28</v>
      </c>
      <c r="S561" s="79">
        <v>47.31</v>
      </c>
      <c r="T561" s="80">
        <v>10.39</v>
      </c>
    </row>
    <row r="562" spans="2:20" ht="42">
      <c r="B562" s="5" t="s">
        <v>1334</v>
      </c>
      <c r="C562" s="45" t="s">
        <v>135</v>
      </c>
      <c r="D562" s="45">
        <v>95546</v>
      </c>
      <c r="E562" s="6" t="s">
        <v>1824</v>
      </c>
      <c r="F562" s="45" t="s">
        <v>210</v>
      </c>
      <c r="G562" s="46">
        <f t="shared" si="64"/>
        <v>28</v>
      </c>
      <c r="H562" s="46">
        <f>TRUNC(S562*(1-LOTE_03!$K$10),2)</f>
        <v>182.08</v>
      </c>
      <c r="I562" s="46">
        <f>TRUNC(T562*(1-LOTE_03!$K$10),2)</f>
        <v>51.62</v>
      </c>
      <c r="J562" s="100">
        <f t="shared" si="65"/>
        <v>0.22470000000000001</v>
      </c>
      <c r="K562" s="48">
        <f t="shared" si="59"/>
        <v>222.99</v>
      </c>
      <c r="L562" s="48">
        <f t="shared" si="60"/>
        <v>63.21</v>
      </c>
      <c r="M562" s="48">
        <f t="shared" si="61"/>
        <v>6243.72</v>
      </c>
      <c r="N562" s="48">
        <f t="shared" si="62"/>
        <v>1769.88</v>
      </c>
      <c r="O562" s="50">
        <f t="shared" si="63"/>
        <v>8013.6</v>
      </c>
      <c r="P562" s="50">
        <v>0</v>
      </c>
      <c r="Q562" s="76"/>
      <c r="R562" s="140">
        <f>2*S9+2*S10</f>
        <v>28</v>
      </c>
      <c r="S562" s="79">
        <v>182.07999999999998</v>
      </c>
      <c r="T562" s="80">
        <v>51.62</v>
      </c>
    </row>
    <row r="563" spans="2:20" ht="42">
      <c r="B563" s="5" t="s">
        <v>1335</v>
      </c>
      <c r="C563" s="45" t="s">
        <v>97</v>
      </c>
      <c r="D563" s="45" t="s">
        <v>1336</v>
      </c>
      <c r="E563" s="6" t="s">
        <v>1337</v>
      </c>
      <c r="F563" s="45" t="s">
        <v>104</v>
      </c>
      <c r="G563" s="46">
        <f t="shared" si="64"/>
        <v>28</v>
      </c>
      <c r="H563" s="46">
        <f>TRUNC(S563*(1-LOTE_03!$K$10),2)</f>
        <v>69.06</v>
      </c>
      <c r="I563" s="46">
        <f>TRUNC(T563*(1-LOTE_03!$K$10),2)</f>
        <v>3.61</v>
      </c>
      <c r="J563" s="100">
        <f t="shared" si="65"/>
        <v>0.22470000000000001</v>
      </c>
      <c r="K563" s="48">
        <f t="shared" si="59"/>
        <v>84.57</v>
      </c>
      <c r="L563" s="48">
        <f t="shared" si="60"/>
        <v>4.42</v>
      </c>
      <c r="M563" s="48">
        <f t="shared" si="61"/>
        <v>2367.96</v>
      </c>
      <c r="N563" s="48">
        <f t="shared" si="62"/>
        <v>123.76</v>
      </c>
      <c r="O563" s="50">
        <f t="shared" si="63"/>
        <v>2491.7199999999998</v>
      </c>
      <c r="P563" s="50">
        <v>0</v>
      </c>
      <c r="Q563" s="76"/>
      <c r="R563" s="140">
        <f>2*S9+2*S10</f>
        <v>28</v>
      </c>
      <c r="S563" s="79">
        <v>69.06</v>
      </c>
      <c r="T563" s="80">
        <v>3.61</v>
      </c>
    </row>
    <row r="564" spans="2:20" ht="28">
      <c r="B564" s="5" t="s">
        <v>1338</v>
      </c>
      <c r="C564" s="45" t="s">
        <v>97</v>
      </c>
      <c r="D564" s="45" t="s">
        <v>1339</v>
      </c>
      <c r="E564" s="6" t="s">
        <v>1340</v>
      </c>
      <c r="F564" s="45" t="s">
        <v>104</v>
      </c>
      <c r="G564" s="46">
        <f t="shared" si="64"/>
        <v>28</v>
      </c>
      <c r="H564" s="46">
        <f>TRUNC(S564*(1-LOTE_03!$K$10),2)</f>
        <v>42.42</v>
      </c>
      <c r="I564" s="46">
        <f>TRUNC(T564*(1-LOTE_03!$K$10),2)</f>
        <v>3.61</v>
      </c>
      <c r="J564" s="100">
        <f t="shared" si="65"/>
        <v>0.22470000000000001</v>
      </c>
      <c r="K564" s="48">
        <f t="shared" si="59"/>
        <v>51.95</v>
      </c>
      <c r="L564" s="48">
        <f t="shared" si="60"/>
        <v>4.42</v>
      </c>
      <c r="M564" s="48">
        <f t="shared" si="61"/>
        <v>1454.6</v>
      </c>
      <c r="N564" s="48">
        <f t="shared" si="62"/>
        <v>123.76</v>
      </c>
      <c r="O564" s="50">
        <f t="shared" si="63"/>
        <v>1578.36</v>
      </c>
      <c r="P564" s="50">
        <v>0</v>
      </c>
      <c r="Q564" s="76"/>
      <c r="R564" s="140">
        <f>2*S9+2*S10</f>
        <v>28</v>
      </c>
      <c r="S564" s="79">
        <v>42.42</v>
      </c>
      <c r="T564" s="80">
        <v>3.61</v>
      </c>
    </row>
    <row r="565" spans="2:20" ht="28">
      <c r="B565" s="5" t="s">
        <v>1341</v>
      </c>
      <c r="C565" s="45" t="s">
        <v>97</v>
      </c>
      <c r="D565" s="45" t="s">
        <v>1342</v>
      </c>
      <c r="E565" s="6" t="s">
        <v>1343</v>
      </c>
      <c r="F565" s="45" t="s">
        <v>104</v>
      </c>
      <c r="G565" s="46">
        <f t="shared" si="64"/>
        <v>23</v>
      </c>
      <c r="H565" s="46">
        <f>TRUNC(S565*(1-LOTE_03!$K$10),2)</f>
        <v>90.72</v>
      </c>
      <c r="I565" s="46">
        <f>TRUNC(T565*(1-LOTE_03!$K$10),2)</f>
        <v>11.05</v>
      </c>
      <c r="J565" s="100">
        <f t="shared" si="65"/>
        <v>0.22470000000000001</v>
      </c>
      <c r="K565" s="48">
        <f t="shared" si="59"/>
        <v>111.1</v>
      </c>
      <c r="L565" s="48">
        <f t="shared" si="60"/>
        <v>13.53</v>
      </c>
      <c r="M565" s="48">
        <f t="shared" si="61"/>
        <v>2555.3000000000002</v>
      </c>
      <c r="N565" s="48">
        <f t="shared" si="62"/>
        <v>311.19</v>
      </c>
      <c r="O565" s="50">
        <f t="shared" si="63"/>
        <v>2866.49</v>
      </c>
      <c r="P565" s="50">
        <v>0</v>
      </c>
      <c r="Q565" s="76"/>
      <c r="R565" s="140">
        <f>1*S9+2*S10</f>
        <v>23</v>
      </c>
      <c r="S565" s="79">
        <v>90.72</v>
      </c>
      <c r="T565" s="80">
        <v>11.05</v>
      </c>
    </row>
    <row r="566" spans="2:20" ht="70">
      <c r="B566" s="5" t="s">
        <v>1344</v>
      </c>
      <c r="C566" s="45" t="s">
        <v>135</v>
      </c>
      <c r="D566" s="45">
        <v>86909</v>
      </c>
      <c r="E566" s="6" t="s">
        <v>1825</v>
      </c>
      <c r="F566" s="45" t="s">
        <v>210</v>
      </c>
      <c r="G566" s="46">
        <f t="shared" si="64"/>
        <v>14</v>
      </c>
      <c r="H566" s="46">
        <f>TRUNC(S566*(1-LOTE_03!$K$10),2)</f>
        <v>187.35</v>
      </c>
      <c r="I566" s="46">
        <f>TRUNC(T566*(1-LOTE_03!$K$10),2)</f>
        <v>4.3899999999999997</v>
      </c>
      <c r="J566" s="100">
        <f t="shared" si="65"/>
        <v>0.22470000000000001</v>
      </c>
      <c r="K566" s="48">
        <f t="shared" si="59"/>
        <v>229.44</v>
      </c>
      <c r="L566" s="48">
        <f t="shared" si="60"/>
        <v>5.37</v>
      </c>
      <c r="M566" s="48">
        <f t="shared" si="61"/>
        <v>3212.16</v>
      </c>
      <c r="N566" s="48">
        <f t="shared" si="62"/>
        <v>75.180000000000007</v>
      </c>
      <c r="O566" s="50">
        <f t="shared" si="63"/>
        <v>3287.34</v>
      </c>
      <c r="P566" s="50">
        <v>0</v>
      </c>
      <c r="Q566" s="76"/>
      <c r="R566" s="140">
        <f>1*S9+1*S10</f>
        <v>14</v>
      </c>
      <c r="S566" s="79">
        <v>187.35000000000002</v>
      </c>
      <c r="T566" s="80">
        <v>4.3899999999999997</v>
      </c>
    </row>
    <row r="567" spans="2:20" ht="70">
      <c r="B567" s="5" t="s">
        <v>1345</v>
      </c>
      <c r="C567" s="45" t="s">
        <v>135</v>
      </c>
      <c r="D567" s="45">
        <v>86910</v>
      </c>
      <c r="E567" s="6" t="s">
        <v>1826</v>
      </c>
      <c r="F567" s="45" t="s">
        <v>210</v>
      </c>
      <c r="G567" s="46">
        <f t="shared" si="64"/>
        <v>14</v>
      </c>
      <c r="H567" s="46">
        <f>TRUNC(S567*(1-LOTE_03!$K$10),2)</f>
        <v>186.27</v>
      </c>
      <c r="I567" s="46">
        <f>TRUNC(T567*(1-LOTE_03!$K$10),2)</f>
        <v>3.06</v>
      </c>
      <c r="J567" s="100">
        <f t="shared" si="65"/>
        <v>0.22470000000000001</v>
      </c>
      <c r="K567" s="48">
        <f t="shared" si="59"/>
        <v>228.12</v>
      </c>
      <c r="L567" s="48">
        <f t="shared" si="60"/>
        <v>3.74</v>
      </c>
      <c r="M567" s="48">
        <f t="shared" si="61"/>
        <v>3193.68</v>
      </c>
      <c r="N567" s="48">
        <f t="shared" si="62"/>
        <v>52.36</v>
      </c>
      <c r="O567" s="50">
        <f t="shared" si="63"/>
        <v>3246.04</v>
      </c>
      <c r="P567" s="50">
        <v>0</v>
      </c>
      <c r="Q567" s="76"/>
      <c r="R567" s="140">
        <f>1*S9+1*S10</f>
        <v>14</v>
      </c>
      <c r="S567" s="79">
        <v>186.27</v>
      </c>
      <c r="T567" s="80">
        <v>3.06</v>
      </c>
    </row>
    <row r="568" spans="2:20" ht="42">
      <c r="B568" s="5" t="s">
        <v>1346</v>
      </c>
      <c r="C568" s="45" t="s">
        <v>135</v>
      </c>
      <c r="D568" s="45">
        <v>100853</v>
      </c>
      <c r="E568" s="6" t="s">
        <v>1827</v>
      </c>
      <c r="F568" s="45" t="s">
        <v>210</v>
      </c>
      <c r="G568" s="46">
        <f t="shared" si="64"/>
        <v>14</v>
      </c>
      <c r="H568" s="46">
        <f>TRUNC(S568*(1-LOTE_03!$K$10),2)</f>
        <v>494.75</v>
      </c>
      <c r="I568" s="46">
        <f>TRUNC(T568*(1-LOTE_03!$K$10),2)</f>
        <v>12.21</v>
      </c>
      <c r="J568" s="100">
        <f t="shared" si="65"/>
        <v>0.22470000000000001</v>
      </c>
      <c r="K568" s="48">
        <f t="shared" si="59"/>
        <v>605.91999999999996</v>
      </c>
      <c r="L568" s="48">
        <f t="shared" si="60"/>
        <v>14.95</v>
      </c>
      <c r="M568" s="48">
        <f t="shared" si="61"/>
        <v>8482.8799999999992</v>
      </c>
      <c r="N568" s="48">
        <f t="shared" si="62"/>
        <v>209.3</v>
      </c>
      <c r="O568" s="50">
        <f t="shared" si="63"/>
        <v>8692.18</v>
      </c>
      <c r="P568" s="50">
        <v>0</v>
      </c>
      <c r="Q568" s="76"/>
      <c r="R568" s="140">
        <f>1*S9+1*S10</f>
        <v>14</v>
      </c>
      <c r="S568" s="79">
        <v>494.75</v>
      </c>
      <c r="T568" s="80">
        <v>12.21</v>
      </c>
    </row>
    <row r="569" spans="2:20" ht="70">
      <c r="B569" s="5" t="s">
        <v>1347</v>
      </c>
      <c r="C569" s="45" t="s">
        <v>97</v>
      </c>
      <c r="D569" s="45" t="s">
        <v>1348</v>
      </c>
      <c r="E569" s="6" t="s">
        <v>1349</v>
      </c>
      <c r="F569" s="45" t="s">
        <v>104</v>
      </c>
      <c r="G569" s="46">
        <f t="shared" si="64"/>
        <v>23</v>
      </c>
      <c r="H569" s="46">
        <f>TRUNC(S569*(1-LOTE_03!$K$10),2)</f>
        <v>208.97</v>
      </c>
      <c r="I569" s="46">
        <f>TRUNC(T569*(1-LOTE_03!$K$10),2)</f>
        <v>2.48</v>
      </c>
      <c r="J569" s="100">
        <f t="shared" si="65"/>
        <v>0.22470000000000001</v>
      </c>
      <c r="K569" s="48">
        <f t="shared" si="59"/>
        <v>255.92</v>
      </c>
      <c r="L569" s="48">
        <f t="shared" si="60"/>
        <v>3.03</v>
      </c>
      <c r="M569" s="48">
        <f t="shared" si="61"/>
        <v>5886.16</v>
      </c>
      <c r="N569" s="48">
        <f t="shared" si="62"/>
        <v>69.69</v>
      </c>
      <c r="O569" s="50">
        <f t="shared" si="63"/>
        <v>5955.85</v>
      </c>
      <c r="P569" s="50">
        <v>0</v>
      </c>
      <c r="Q569" s="76"/>
      <c r="R569" s="140">
        <f>1*S9+2*S10</f>
        <v>23</v>
      </c>
      <c r="S569" s="79">
        <v>208.97</v>
      </c>
      <c r="T569" s="80">
        <v>2.48</v>
      </c>
    </row>
    <row r="570" spans="2:20" ht="42">
      <c r="B570" s="5" t="s">
        <v>1350</v>
      </c>
      <c r="C570" s="45" t="s">
        <v>165</v>
      </c>
      <c r="D570" s="45" t="s">
        <v>1351</v>
      </c>
      <c r="E570" s="6" t="s">
        <v>1352</v>
      </c>
      <c r="F570" s="45" t="s">
        <v>559</v>
      </c>
      <c r="G570" s="46">
        <f t="shared" si="64"/>
        <v>28</v>
      </c>
      <c r="H570" s="46">
        <f>TRUNC(S570*(1-LOTE_03!$K$10),2)</f>
        <v>410.67</v>
      </c>
      <c r="I570" s="46">
        <f>TRUNC(T570*(1-LOTE_03!$K$10),2)</f>
        <v>63.77</v>
      </c>
      <c r="J570" s="100">
        <f t="shared" si="65"/>
        <v>0.22470000000000001</v>
      </c>
      <c r="K570" s="48">
        <f t="shared" si="59"/>
        <v>502.94</v>
      </c>
      <c r="L570" s="48">
        <f t="shared" si="60"/>
        <v>78.09</v>
      </c>
      <c r="M570" s="48">
        <f t="shared" si="61"/>
        <v>14082.32</v>
      </c>
      <c r="N570" s="48">
        <f t="shared" si="62"/>
        <v>2186.52</v>
      </c>
      <c r="O570" s="50">
        <f t="shared" si="63"/>
        <v>16268.84</v>
      </c>
      <c r="P570" s="50">
        <v>0</v>
      </c>
      <c r="Q570" s="76"/>
      <c r="R570" s="140">
        <f>2*S9+2*S10</f>
        <v>28</v>
      </c>
      <c r="S570" s="79">
        <v>410.67</v>
      </c>
      <c r="T570" s="80">
        <v>63.77</v>
      </c>
    </row>
    <row r="571" spans="2:20" ht="42">
      <c r="B571" s="5" t="s">
        <v>1353</v>
      </c>
      <c r="C571" s="45" t="s">
        <v>97</v>
      </c>
      <c r="D571" s="45" t="s">
        <v>1354</v>
      </c>
      <c r="E571" s="6" t="s">
        <v>1355</v>
      </c>
      <c r="F571" s="45" t="s">
        <v>104</v>
      </c>
      <c r="G571" s="46">
        <f t="shared" si="64"/>
        <v>23</v>
      </c>
      <c r="H571" s="46">
        <f>TRUNC(S571*(1-LOTE_03!$K$10),2)</f>
        <v>47.31</v>
      </c>
      <c r="I571" s="46">
        <f>TRUNC(T571*(1-LOTE_03!$K$10),2)</f>
        <v>10.39</v>
      </c>
      <c r="J571" s="100">
        <f t="shared" si="65"/>
        <v>0.22470000000000001</v>
      </c>
      <c r="K571" s="48">
        <f t="shared" si="59"/>
        <v>57.94</v>
      </c>
      <c r="L571" s="48">
        <f t="shared" si="60"/>
        <v>12.72</v>
      </c>
      <c r="M571" s="48">
        <f t="shared" si="61"/>
        <v>1332.62</v>
      </c>
      <c r="N571" s="48">
        <f t="shared" si="62"/>
        <v>292.56</v>
      </c>
      <c r="O571" s="50">
        <f t="shared" si="63"/>
        <v>1625.18</v>
      </c>
      <c r="P571" s="50">
        <v>0</v>
      </c>
      <c r="Q571" s="76"/>
      <c r="R571" s="140">
        <f>1*S9+2*S10</f>
        <v>23</v>
      </c>
      <c r="S571" s="79">
        <v>47.31</v>
      </c>
      <c r="T571" s="80">
        <v>10.39</v>
      </c>
    </row>
    <row r="572" spans="2:20" ht="56">
      <c r="B572" s="5" t="s">
        <v>1356</v>
      </c>
      <c r="C572" s="45" t="s">
        <v>135</v>
      </c>
      <c r="D572" s="45">
        <v>86877</v>
      </c>
      <c r="E572" s="6" t="s">
        <v>1828</v>
      </c>
      <c r="F572" s="45" t="s">
        <v>210</v>
      </c>
      <c r="G572" s="46">
        <f t="shared" si="64"/>
        <v>10</v>
      </c>
      <c r="H572" s="46">
        <f>TRUNC(S572*(1-LOTE_03!$K$10),2)</f>
        <v>87.84</v>
      </c>
      <c r="I572" s="46">
        <f>TRUNC(T572*(1-LOTE_03!$K$10),2)</f>
        <v>5.08</v>
      </c>
      <c r="J572" s="100">
        <f t="shared" si="65"/>
        <v>0.22470000000000001</v>
      </c>
      <c r="K572" s="48">
        <f t="shared" si="59"/>
        <v>107.57</v>
      </c>
      <c r="L572" s="48">
        <f t="shared" si="60"/>
        <v>6.22</v>
      </c>
      <c r="M572" s="48">
        <f t="shared" si="61"/>
        <v>1075.7</v>
      </c>
      <c r="N572" s="48">
        <f t="shared" si="62"/>
        <v>62.2</v>
      </c>
      <c r="O572" s="50">
        <f t="shared" si="63"/>
        <v>1137.9000000000001</v>
      </c>
      <c r="P572" s="50">
        <v>0</v>
      </c>
      <c r="Q572" s="76"/>
      <c r="R572" s="140">
        <f>IF((1*S9+1*S10)&gt;10,10,(1*S9+1*S10))</f>
        <v>10</v>
      </c>
      <c r="S572" s="79">
        <v>87.84</v>
      </c>
      <c r="T572" s="80">
        <v>5.08</v>
      </c>
    </row>
    <row r="573" spans="2:20" ht="56">
      <c r="B573" s="5" t="s">
        <v>1357</v>
      </c>
      <c r="C573" s="45" t="s">
        <v>135</v>
      </c>
      <c r="D573" s="45">
        <v>86878</v>
      </c>
      <c r="E573" s="6" t="s">
        <v>1829</v>
      </c>
      <c r="F573" s="45" t="s">
        <v>210</v>
      </c>
      <c r="G573" s="46">
        <f t="shared" si="64"/>
        <v>10</v>
      </c>
      <c r="H573" s="46">
        <f>TRUNC(S573*(1-LOTE_03!$K$10),2)</f>
        <v>95.24</v>
      </c>
      <c r="I573" s="46">
        <f>TRUNC(T573*(1-LOTE_03!$K$10),2)</f>
        <v>5.08</v>
      </c>
      <c r="J573" s="100">
        <f t="shared" si="65"/>
        <v>0.22470000000000001</v>
      </c>
      <c r="K573" s="48">
        <f t="shared" si="59"/>
        <v>116.64</v>
      </c>
      <c r="L573" s="48">
        <f t="shared" si="60"/>
        <v>6.22</v>
      </c>
      <c r="M573" s="48">
        <f t="shared" si="61"/>
        <v>1166.4000000000001</v>
      </c>
      <c r="N573" s="48">
        <f t="shared" si="62"/>
        <v>62.2</v>
      </c>
      <c r="O573" s="50">
        <f t="shared" si="63"/>
        <v>1228.5999999999999</v>
      </c>
      <c r="P573" s="50">
        <v>0</v>
      </c>
      <c r="Q573" s="76"/>
      <c r="R573" s="140">
        <f>IF((1*S9+1*S10)&gt;10,10,(1*S9+1*S10))</f>
        <v>10</v>
      </c>
      <c r="S573" s="79">
        <v>95.24</v>
      </c>
      <c r="T573" s="80">
        <v>5.08</v>
      </c>
    </row>
    <row r="574" spans="2:20" ht="42">
      <c r="B574" s="5" t="s">
        <v>1358</v>
      </c>
      <c r="C574" s="45" t="s">
        <v>135</v>
      </c>
      <c r="D574" s="45">
        <v>86886</v>
      </c>
      <c r="E574" s="6" t="s">
        <v>1816</v>
      </c>
      <c r="F574" s="45" t="s">
        <v>210</v>
      </c>
      <c r="G574" s="46">
        <f t="shared" si="64"/>
        <v>28</v>
      </c>
      <c r="H574" s="46">
        <f>TRUNC(S574*(1-LOTE_03!$K$10),2)</f>
        <v>64.08</v>
      </c>
      <c r="I574" s="46">
        <f>TRUNC(T574*(1-LOTE_03!$K$10),2)</f>
        <v>4.45</v>
      </c>
      <c r="J574" s="100">
        <f t="shared" si="65"/>
        <v>0.22470000000000001</v>
      </c>
      <c r="K574" s="48">
        <f t="shared" si="59"/>
        <v>78.47</v>
      </c>
      <c r="L574" s="48">
        <f t="shared" si="60"/>
        <v>5.44</v>
      </c>
      <c r="M574" s="48">
        <f t="shared" si="61"/>
        <v>2197.16</v>
      </c>
      <c r="N574" s="48">
        <f t="shared" si="62"/>
        <v>152.32</v>
      </c>
      <c r="O574" s="50">
        <f t="shared" si="63"/>
        <v>2349.48</v>
      </c>
      <c r="P574" s="50">
        <v>0</v>
      </c>
      <c r="Q574" s="76"/>
      <c r="R574" s="140">
        <f>2*S9+2*S10</f>
        <v>28</v>
      </c>
      <c r="S574" s="79">
        <v>64.08</v>
      </c>
      <c r="T574" s="80">
        <v>4.45</v>
      </c>
    </row>
    <row r="575" spans="2:20" ht="42">
      <c r="B575" s="5" t="s">
        <v>1359</v>
      </c>
      <c r="C575" s="45" t="s">
        <v>135</v>
      </c>
      <c r="D575" s="45">
        <v>86887</v>
      </c>
      <c r="E575" s="6" t="s">
        <v>1830</v>
      </c>
      <c r="F575" s="45" t="s">
        <v>210</v>
      </c>
      <c r="G575" s="46">
        <f t="shared" si="64"/>
        <v>28</v>
      </c>
      <c r="H575" s="46">
        <f>TRUNC(S575*(1-LOTE_03!$K$10),2)</f>
        <v>70.040000000000006</v>
      </c>
      <c r="I575" s="46">
        <f>TRUNC(T575*(1-LOTE_03!$K$10),2)</f>
        <v>4.45</v>
      </c>
      <c r="J575" s="100">
        <f t="shared" si="65"/>
        <v>0.22470000000000001</v>
      </c>
      <c r="K575" s="48">
        <f t="shared" si="59"/>
        <v>85.77</v>
      </c>
      <c r="L575" s="48">
        <f t="shared" si="60"/>
        <v>5.44</v>
      </c>
      <c r="M575" s="48">
        <f t="shared" si="61"/>
        <v>2401.56</v>
      </c>
      <c r="N575" s="48">
        <f t="shared" si="62"/>
        <v>152.32</v>
      </c>
      <c r="O575" s="50">
        <f t="shared" si="63"/>
        <v>2553.88</v>
      </c>
      <c r="P575" s="50">
        <v>0</v>
      </c>
      <c r="Q575" s="76"/>
      <c r="R575" s="140">
        <f>2*S9+2*S10</f>
        <v>28</v>
      </c>
      <c r="S575" s="79">
        <v>70.039999999999992</v>
      </c>
      <c r="T575" s="80">
        <v>4.45</v>
      </c>
    </row>
    <row r="576" spans="2:20" ht="42">
      <c r="B576" s="5" t="s">
        <v>1360</v>
      </c>
      <c r="C576" s="45" t="s">
        <v>135</v>
      </c>
      <c r="D576" s="45">
        <v>86881</v>
      </c>
      <c r="E576" s="6" t="s">
        <v>1831</v>
      </c>
      <c r="F576" s="45" t="s">
        <v>210</v>
      </c>
      <c r="G576" s="46">
        <f t="shared" si="64"/>
        <v>37</v>
      </c>
      <c r="H576" s="46">
        <f>TRUNC(S576*(1-LOTE_03!$K$10),2)</f>
        <v>277.77</v>
      </c>
      <c r="I576" s="46">
        <f>TRUNC(T576*(1-LOTE_03!$K$10),2)</f>
        <v>8.08</v>
      </c>
      <c r="J576" s="100">
        <f t="shared" si="65"/>
        <v>0.22470000000000001</v>
      </c>
      <c r="K576" s="48">
        <f t="shared" si="59"/>
        <v>340.18</v>
      </c>
      <c r="L576" s="48">
        <f t="shared" si="60"/>
        <v>9.89</v>
      </c>
      <c r="M576" s="48">
        <f t="shared" si="61"/>
        <v>12586.66</v>
      </c>
      <c r="N576" s="48">
        <f t="shared" si="62"/>
        <v>365.93</v>
      </c>
      <c r="O576" s="50">
        <f t="shared" si="63"/>
        <v>12952.59</v>
      </c>
      <c r="P576" s="50">
        <v>0</v>
      </c>
      <c r="Q576" s="76"/>
      <c r="R576" s="140">
        <f>2*S9+3*S10</f>
        <v>37</v>
      </c>
      <c r="S576" s="79">
        <v>277.77000000000004</v>
      </c>
      <c r="T576" s="80">
        <v>8.08</v>
      </c>
    </row>
    <row r="577" spans="2:20" ht="42">
      <c r="B577" s="5" t="s">
        <v>1361</v>
      </c>
      <c r="C577" s="45" t="s">
        <v>135</v>
      </c>
      <c r="D577" s="45">
        <v>86883</v>
      </c>
      <c r="E577" s="6" t="s">
        <v>1832</v>
      </c>
      <c r="F577" s="45" t="s">
        <v>210</v>
      </c>
      <c r="G577" s="46">
        <f t="shared" si="64"/>
        <v>37</v>
      </c>
      <c r="H577" s="46">
        <f>TRUNC(S577*(1-LOTE_03!$K$10),2)</f>
        <v>10.5</v>
      </c>
      <c r="I577" s="46">
        <f>TRUNC(T577*(1-LOTE_03!$K$10),2)</f>
        <v>2.11</v>
      </c>
      <c r="J577" s="100">
        <f t="shared" si="65"/>
        <v>0.22470000000000001</v>
      </c>
      <c r="K577" s="48">
        <f t="shared" si="59"/>
        <v>12.85</v>
      </c>
      <c r="L577" s="48">
        <f t="shared" si="60"/>
        <v>2.58</v>
      </c>
      <c r="M577" s="48">
        <f t="shared" si="61"/>
        <v>475.45</v>
      </c>
      <c r="N577" s="48">
        <f t="shared" si="62"/>
        <v>95.46</v>
      </c>
      <c r="O577" s="50">
        <f t="shared" si="63"/>
        <v>570.91</v>
      </c>
      <c r="P577" s="50">
        <v>0</v>
      </c>
      <c r="Q577" s="76"/>
      <c r="R577" s="140">
        <f>2*S9+3*S10</f>
        <v>37</v>
      </c>
      <c r="S577" s="79">
        <v>10.5</v>
      </c>
      <c r="T577" s="80">
        <v>2.11</v>
      </c>
    </row>
    <row r="578" spans="2:20" ht="56">
      <c r="B578" s="5" t="s">
        <v>1362</v>
      </c>
      <c r="C578" s="45" t="s">
        <v>135</v>
      </c>
      <c r="D578" s="45">
        <v>86889</v>
      </c>
      <c r="E578" s="6" t="s">
        <v>1833</v>
      </c>
      <c r="F578" s="45" t="s">
        <v>210</v>
      </c>
      <c r="G578" s="46">
        <f t="shared" si="64"/>
        <v>5</v>
      </c>
      <c r="H578" s="46">
        <f>TRUNC(S578*(1-LOTE_03!$K$10),2)</f>
        <v>773.5</v>
      </c>
      <c r="I578" s="46">
        <f>TRUNC(T578*(1-LOTE_03!$K$10),2)</f>
        <v>45.19</v>
      </c>
      <c r="J578" s="100">
        <f t="shared" si="65"/>
        <v>0.22470000000000001</v>
      </c>
      <c r="K578" s="48">
        <f t="shared" si="59"/>
        <v>947.3</v>
      </c>
      <c r="L578" s="48">
        <f t="shared" si="60"/>
        <v>55.34</v>
      </c>
      <c r="M578" s="48">
        <f t="shared" si="61"/>
        <v>4736.5</v>
      </c>
      <c r="N578" s="48">
        <f t="shared" si="62"/>
        <v>276.7</v>
      </c>
      <c r="O578" s="50">
        <f t="shared" si="63"/>
        <v>5013.2</v>
      </c>
      <c r="P578" s="50">
        <v>0</v>
      </c>
      <c r="Q578" s="76"/>
      <c r="R578" s="140">
        <f>IF((1*S9+1*S10)&gt;5,5,(1*S9+1*S10))</f>
        <v>5</v>
      </c>
      <c r="S578" s="79">
        <v>773.5</v>
      </c>
      <c r="T578" s="80">
        <v>45.19</v>
      </c>
    </row>
    <row r="579" spans="2:20" ht="28">
      <c r="B579" s="5" t="s">
        <v>1363</v>
      </c>
      <c r="C579" s="45" t="s">
        <v>165</v>
      </c>
      <c r="D579" s="45" t="s">
        <v>1364</v>
      </c>
      <c r="E579" s="6" t="s">
        <v>1365</v>
      </c>
      <c r="F579" s="45" t="s">
        <v>559</v>
      </c>
      <c r="G579" s="46">
        <f t="shared" si="64"/>
        <v>10</v>
      </c>
      <c r="H579" s="46">
        <f>TRUNC(S579*(1-LOTE_03!$K$10),2)</f>
        <v>872.57</v>
      </c>
      <c r="I579" s="46">
        <f>TRUNC(T579*(1-LOTE_03!$K$10),2)</f>
        <v>95.66</v>
      </c>
      <c r="J579" s="100">
        <f t="shared" si="65"/>
        <v>0.22470000000000001</v>
      </c>
      <c r="K579" s="48">
        <f t="shared" si="59"/>
        <v>1068.6300000000001</v>
      </c>
      <c r="L579" s="48">
        <f t="shared" si="60"/>
        <v>117.15</v>
      </c>
      <c r="M579" s="48">
        <f t="shared" si="61"/>
        <v>10686.3</v>
      </c>
      <c r="N579" s="48">
        <f t="shared" si="62"/>
        <v>1171.5</v>
      </c>
      <c r="O579" s="50">
        <f t="shared" si="63"/>
        <v>11857.8</v>
      </c>
      <c r="P579" s="50">
        <v>0</v>
      </c>
      <c r="Q579" s="76"/>
      <c r="R579" s="140">
        <f>IF((1*S9+1*S10)&gt;10,10,(1*S9+1*S10))</f>
        <v>10</v>
      </c>
      <c r="S579" s="79">
        <v>872.57</v>
      </c>
      <c r="T579" s="80">
        <v>95.66</v>
      </c>
    </row>
    <row r="580" spans="2:20" ht="28">
      <c r="B580" s="5" t="s">
        <v>1366</v>
      </c>
      <c r="C580" s="45" t="s">
        <v>165</v>
      </c>
      <c r="D580" s="45" t="s">
        <v>1367</v>
      </c>
      <c r="E580" s="6" t="s">
        <v>1368</v>
      </c>
      <c r="F580" s="45" t="s">
        <v>559</v>
      </c>
      <c r="G580" s="46">
        <f t="shared" si="64"/>
        <v>10</v>
      </c>
      <c r="H580" s="46">
        <f>TRUNC(S580*(1-LOTE_03!$K$10),2)</f>
        <v>651.35</v>
      </c>
      <c r="I580" s="46">
        <f>TRUNC(T580*(1-LOTE_03!$K$10),2)</f>
        <v>111.6</v>
      </c>
      <c r="J580" s="100">
        <f t="shared" si="65"/>
        <v>0.22470000000000001</v>
      </c>
      <c r="K580" s="48">
        <f t="shared" si="59"/>
        <v>797.7</v>
      </c>
      <c r="L580" s="48">
        <f t="shared" si="60"/>
        <v>136.66999999999999</v>
      </c>
      <c r="M580" s="48">
        <f t="shared" si="61"/>
        <v>7977</v>
      </c>
      <c r="N580" s="48">
        <f t="shared" si="62"/>
        <v>1366.7</v>
      </c>
      <c r="O580" s="50">
        <f t="shared" si="63"/>
        <v>9343.7000000000007</v>
      </c>
      <c r="P580" s="50">
        <v>0</v>
      </c>
      <c r="Q580" s="76"/>
      <c r="R580" s="140">
        <f>IF((1*S9+1*S10)&gt;10,10,(1*S9+1*S10))</f>
        <v>10</v>
      </c>
      <c r="S580" s="79">
        <v>651.35</v>
      </c>
      <c r="T580" s="80">
        <v>111.6</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129817.19000000002</v>
      </c>
      <c r="Q581" s="76"/>
      <c r="R581" s="154"/>
      <c r="S581" s="79" t="s">
        <v>22</v>
      </c>
      <c r="T581" s="80" t="s">
        <v>22</v>
      </c>
    </row>
    <row r="582" spans="2:20">
      <c r="B582" s="5" t="s">
        <v>1369</v>
      </c>
      <c r="C582" s="45" t="s">
        <v>97</v>
      </c>
      <c r="D582" s="45" t="s">
        <v>1370</v>
      </c>
      <c r="E582" s="6" t="s">
        <v>1371</v>
      </c>
      <c r="F582" s="45" t="s">
        <v>104</v>
      </c>
      <c r="G582" s="46">
        <f t="shared" si="64"/>
        <v>70</v>
      </c>
      <c r="H582" s="46">
        <f>TRUNC(S582*(1-LOTE_03!$K$10),2)</f>
        <v>1.56</v>
      </c>
      <c r="I582" s="46">
        <f>TRUNC(T582*(1-LOTE_03!$K$10),2)</f>
        <v>3.45</v>
      </c>
      <c r="J582" s="100">
        <f t="shared" si="65"/>
        <v>0.22470000000000001</v>
      </c>
      <c r="K582" s="48">
        <f t="shared" si="59"/>
        <v>1.91</v>
      </c>
      <c r="L582" s="48">
        <f t="shared" si="60"/>
        <v>4.22</v>
      </c>
      <c r="M582" s="48">
        <f t="shared" si="61"/>
        <v>133.69999999999999</v>
      </c>
      <c r="N582" s="48">
        <f t="shared" si="62"/>
        <v>295.39999999999998</v>
      </c>
      <c r="O582" s="50">
        <f t="shared" si="63"/>
        <v>429.1</v>
      </c>
      <c r="P582" s="50">
        <v>0</v>
      </c>
      <c r="Q582" s="76"/>
      <c r="R582" s="140">
        <f>5*S9+5*S10</f>
        <v>70</v>
      </c>
      <c r="S582" s="79">
        <v>1.56</v>
      </c>
      <c r="T582" s="80">
        <v>3.45</v>
      </c>
    </row>
    <row r="583" spans="2:20" ht="28">
      <c r="B583" s="5" t="s">
        <v>1372</v>
      </c>
      <c r="C583" s="45" t="s">
        <v>97</v>
      </c>
      <c r="D583" s="45" t="s">
        <v>1373</v>
      </c>
      <c r="E583" s="6" t="s">
        <v>1374</v>
      </c>
      <c r="F583" s="45" t="s">
        <v>104</v>
      </c>
      <c r="G583" s="46">
        <f t="shared" si="64"/>
        <v>70</v>
      </c>
      <c r="H583" s="46">
        <f>TRUNC(S583*(1-LOTE_03!$K$10),2)</f>
        <v>7.85</v>
      </c>
      <c r="I583" s="46">
        <f>TRUNC(T583*(1-LOTE_03!$K$10),2)</f>
        <v>16.28</v>
      </c>
      <c r="J583" s="100">
        <f t="shared" si="65"/>
        <v>0.22470000000000001</v>
      </c>
      <c r="K583" s="48">
        <f t="shared" si="59"/>
        <v>9.61</v>
      </c>
      <c r="L583" s="48">
        <f t="shared" si="60"/>
        <v>19.93</v>
      </c>
      <c r="M583" s="48">
        <f t="shared" si="61"/>
        <v>672.7</v>
      </c>
      <c r="N583" s="48">
        <f t="shared" si="62"/>
        <v>1395.1</v>
      </c>
      <c r="O583" s="50">
        <f t="shared" si="63"/>
        <v>2067.8000000000002</v>
      </c>
      <c r="P583" s="50">
        <v>0</v>
      </c>
      <c r="Q583" s="76"/>
      <c r="R583" s="140">
        <f>5*S9+5*S10</f>
        <v>70</v>
      </c>
      <c r="S583" s="79">
        <v>7.85</v>
      </c>
      <c r="T583" s="80">
        <v>16.28</v>
      </c>
    </row>
    <row r="584" spans="2:20" ht="56">
      <c r="B584" s="5" t="s">
        <v>1375</v>
      </c>
      <c r="C584" s="45" t="s">
        <v>97</v>
      </c>
      <c r="D584" s="45" t="s">
        <v>1376</v>
      </c>
      <c r="E584" s="6" t="s">
        <v>1377</v>
      </c>
      <c r="F584" s="45" t="s">
        <v>104</v>
      </c>
      <c r="G584" s="46">
        <f t="shared" si="64"/>
        <v>70</v>
      </c>
      <c r="H584" s="46">
        <f>TRUNC(S584*(1-LOTE_03!$K$10),2)</f>
        <v>17.010000000000002</v>
      </c>
      <c r="I584" s="46">
        <f>TRUNC(T584*(1-LOTE_03!$K$10),2)</f>
        <v>10.050000000000001</v>
      </c>
      <c r="J584" s="100">
        <f t="shared" si="65"/>
        <v>0.22470000000000001</v>
      </c>
      <c r="K584" s="48">
        <f t="shared" si="59"/>
        <v>20.83</v>
      </c>
      <c r="L584" s="48">
        <f t="shared" si="60"/>
        <v>12.3</v>
      </c>
      <c r="M584" s="48">
        <f t="shared" si="61"/>
        <v>1458.1</v>
      </c>
      <c r="N584" s="48">
        <f t="shared" si="62"/>
        <v>861</v>
      </c>
      <c r="O584" s="50">
        <f t="shared" si="63"/>
        <v>2319.1</v>
      </c>
      <c r="P584" s="50">
        <v>0</v>
      </c>
      <c r="Q584" s="76"/>
      <c r="R584" s="140">
        <f>5*S9+5*S10</f>
        <v>70</v>
      </c>
      <c r="S584" s="79">
        <v>17.010000000000002</v>
      </c>
      <c r="T584" s="80">
        <v>10.050000000000001</v>
      </c>
    </row>
    <row r="585" spans="2:20" ht="56">
      <c r="B585" s="5" t="s">
        <v>1378</v>
      </c>
      <c r="C585" s="45" t="s">
        <v>135</v>
      </c>
      <c r="D585" s="45">
        <v>101905</v>
      </c>
      <c r="E585" s="6" t="s">
        <v>1834</v>
      </c>
      <c r="F585" s="45" t="s">
        <v>210</v>
      </c>
      <c r="G585" s="46">
        <f t="shared" si="64"/>
        <v>28</v>
      </c>
      <c r="H585" s="46">
        <f>TRUNC(S585*(1-LOTE_03!$K$10),2)</f>
        <v>189.51</v>
      </c>
      <c r="I585" s="46">
        <f>TRUNC(T585*(1-LOTE_03!$K$10),2)</f>
        <v>17.04</v>
      </c>
      <c r="J585" s="100">
        <f t="shared" si="65"/>
        <v>0.22470000000000001</v>
      </c>
      <c r="K585" s="48">
        <f t="shared" si="59"/>
        <v>232.09</v>
      </c>
      <c r="L585" s="48">
        <f t="shared" si="60"/>
        <v>20.86</v>
      </c>
      <c r="M585" s="48">
        <f t="shared" si="61"/>
        <v>6498.52</v>
      </c>
      <c r="N585" s="48">
        <f t="shared" si="62"/>
        <v>584.08000000000004</v>
      </c>
      <c r="O585" s="50">
        <f t="shared" si="63"/>
        <v>7082.6</v>
      </c>
      <c r="P585" s="50">
        <v>0</v>
      </c>
      <c r="Q585" s="76"/>
      <c r="R585" s="140">
        <f>2*S9+2*S10</f>
        <v>28</v>
      </c>
      <c r="S585" s="79">
        <v>189.51000000000002</v>
      </c>
      <c r="T585" s="80">
        <v>17.04</v>
      </c>
    </row>
    <row r="586" spans="2:20" ht="56">
      <c r="B586" s="5" t="s">
        <v>1379</v>
      </c>
      <c r="C586" s="45" t="s">
        <v>135</v>
      </c>
      <c r="D586" s="45">
        <v>101907</v>
      </c>
      <c r="E586" s="6" t="s">
        <v>1835</v>
      </c>
      <c r="F586" s="45" t="s">
        <v>210</v>
      </c>
      <c r="G586" s="46">
        <f t="shared" si="64"/>
        <v>28</v>
      </c>
      <c r="H586" s="46">
        <f>TRUNC(S586*(1-LOTE_03!$K$10),2)</f>
        <v>635.57000000000005</v>
      </c>
      <c r="I586" s="46">
        <f>TRUNC(T586*(1-LOTE_03!$K$10),2)</f>
        <v>17.23</v>
      </c>
      <c r="J586" s="100">
        <f t="shared" si="65"/>
        <v>0.22470000000000001</v>
      </c>
      <c r="K586" s="48">
        <f t="shared" si="59"/>
        <v>778.38</v>
      </c>
      <c r="L586" s="48">
        <f t="shared" si="60"/>
        <v>21.1</v>
      </c>
      <c r="M586" s="48">
        <f t="shared" si="61"/>
        <v>21794.639999999999</v>
      </c>
      <c r="N586" s="48">
        <f t="shared" si="62"/>
        <v>590.79999999999995</v>
      </c>
      <c r="O586" s="50">
        <f t="shared" si="63"/>
        <v>22385.439999999999</v>
      </c>
      <c r="P586" s="50">
        <v>0</v>
      </c>
      <c r="Q586" s="76"/>
      <c r="R586" s="140">
        <f>2*S9+2*S10</f>
        <v>28</v>
      </c>
      <c r="S586" s="79">
        <v>635.56999999999994</v>
      </c>
      <c r="T586" s="80">
        <v>17.23</v>
      </c>
    </row>
    <row r="587" spans="2:20" ht="56">
      <c r="B587" s="5" t="s">
        <v>1380</v>
      </c>
      <c r="C587" s="45" t="s">
        <v>135</v>
      </c>
      <c r="D587" s="45">
        <v>101909</v>
      </c>
      <c r="E587" s="6" t="s">
        <v>1836</v>
      </c>
      <c r="F587" s="45" t="s">
        <v>210</v>
      </c>
      <c r="G587" s="46">
        <f t="shared" si="64"/>
        <v>28</v>
      </c>
      <c r="H587" s="46">
        <f>TRUNC(S587*(1-LOTE_03!$K$10),2)</f>
        <v>215.74</v>
      </c>
      <c r="I587" s="46">
        <f>TRUNC(T587*(1-LOTE_03!$K$10),2)</f>
        <v>17.059999999999999</v>
      </c>
      <c r="J587" s="100">
        <f t="shared" si="65"/>
        <v>0.22470000000000001</v>
      </c>
      <c r="K587" s="48">
        <f t="shared" si="59"/>
        <v>264.20999999999998</v>
      </c>
      <c r="L587" s="48">
        <f t="shared" si="60"/>
        <v>20.89</v>
      </c>
      <c r="M587" s="48">
        <f t="shared" si="61"/>
        <v>7397.88</v>
      </c>
      <c r="N587" s="48">
        <f t="shared" si="62"/>
        <v>584.91999999999996</v>
      </c>
      <c r="O587" s="50">
        <f t="shared" si="63"/>
        <v>7982.8</v>
      </c>
      <c r="P587" s="50">
        <v>0</v>
      </c>
      <c r="Q587" s="76"/>
      <c r="R587" s="140">
        <f>2*S9+2*S10</f>
        <v>28</v>
      </c>
      <c r="S587" s="79">
        <v>215.74</v>
      </c>
      <c r="T587" s="80">
        <v>17.059999999999999</v>
      </c>
    </row>
    <row r="588" spans="2:20" ht="42">
      <c r="B588" s="5" t="s">
        <v>1381</v>
      </c>
      <c r="C588" s="45" t="s">
        <v>135</v>
      </c>
      <c r="D588" s="45">
        <v>101914</v>
      </c>
      <c r="E588" s="6" t="s">
        <v>1837</v>
      </c>
      <c r="F588" s="45" t="s">
        <v>210</v>
      </c>
      <c r="G588" s="46">
        <f t="shared" si="64"/>
        <v>14</v>
      </c>
      <c r="H588" s="46">
        <f>TRUNC(S588*(1-LOTE_03!$K$10),2)</f>
        <v>565.39</v>
      </c>
      <c r="I588" s="46">
        <f>TRUNC(T588*(1-LOTE_03!$K$10),2)</f>
        <v>57.55</v>
      </c>
      <c r="J588" s="100">
        <f t="shared" si="65"/>
        <v>0.22470000000000001</v>
      </c>
      <c r="K588" s="48">
        <f t="shared" si="59"/>
        <v>692.43</v>
      </c>
      <c r="L588" s="48">
        <f t="shared" si="60"/>
        <v>70.48</v>
      </c>
      <c r="M588" s="48">
        <f t="shared" si="61"/>
        <v>9694.02</v>
      </c>
      <c r="N588" s="48">
        <f t="shared" si="62"/>
        <v>986.72</v>
      </c>
      <c r="O588" s="50">
        <f t="shared" si="63"/>
        <v>10680.74</v>
      </c>
      <c r="P588" s="50">
        <v>0</v>
      </c>
      <c r="Q588" s="76"/>
      <c r="R588" s="140">
        <f>1*S9+1*S10</f>
        <v>14</v>
      </c>
      <c r="S588" s="79">
        <v>565.3900000000001</v>
      </c>
      <c r="T588" s="80">
        <v>57.55</v>
      </c>
    </row>
    <row r="589" spans="2:20" ht="84">
      <c r="B589" s="5" t="s">
        <v>1382</v>
      </c>
      <c r="C589" s="45" t="s">
        <v>135</v>
      </c>
      <c r="D589" s="45">
        <v>101915</v>
      </c>
      <c r="E589" s="6" t="s">
        <v>1838</v>
      </c>
      <c r="F589" s="45" t="s">
        <v>210</v>
      </c>
      <c r="G589" s="46">
        <f t="shared" si="64"/>
        <v>14</v>
      </c>
      <c r="H589" s="46">
        <f>TRUNC(S589*(1-LOTE_03!$K$10),2)</f>
        <v>370.96</v>
      </c>
      <c r="I589" s="46">
        <f>TRUNC(T589*(1-LOTE_03!$K$10),2)</f>
        <v>5.53</v>
      </c>
      <c r="J589" s="100">
        <f t="shared" si="65"/>
        <v>0.22470000000000001</v>
      </c>
      <c r="K589" s="48">
        <f t="shared" si="59"/>
        <v>454.31</v>
      </c>
      <c r="L589" s="48">
        <f t="shared" si="60"/>
        <v>6.77</v>
      </c>
      <c r="M589" s="48">
        <f t="shared" si="61"/>
        <v>6360.34</v>
      </c>
      <c r="N589" s="48">
        <f t="shared" si="62"/>
        <v>94.78</v>
      </c>
      <c r="O589" s="50">
        <f t="shared" si="63"/>
        <v>6455.12</v>
      </c>
      <c r="P589" s="50">
        <v>0</v>
      </c>
      <c r="Q589" s="76"/>
      <c r="R589" s="140">
        <f>1*S9+1*S10</f>
        <v>14</v>
      </c>
      <c r="S589" s="79">
        <v>370.96000000000004</v>
      </c>
      <c r="T589" s="80">
        <v>5.53</v>
      </c>
    </row>
    <row r="590" spans="2:20" ht="56">
      <c r="B590" s="5" t="s">
        <v>1383</v>
      </c>
      <c r="C590" s="45" t="s">
        <v>97</v>
      </c>
      <c r="D590" s="45" t="s">
        <v>1384</v>
      </c>
      <c r="E590" s="6" t="s">
        <v>1385</v>
      </c>
      <c r="F590" s="45" t="s">
        <v>104</v>
      </c>
      <c r="G590" s="46">
        <f t="shared" si="64"/>
        <v>28</v>
      </c>
      <c r="H590" s="46">
        <f>TRUNC(S590*(1-LOTE_03!$K$10),2)</f>
        <v>23.45</v>
      </c>
      <c r="I590" s="46">
        <f>TRUNC(T590*(1-LOTE_03!$K$10),2)</f>
        <v>2.89</v>
      </c>
      <c r="J590" s="100">
        <f t="shared" si="65"/>
        <v>0.22470000000000001</v>
      </c>
      <c r="K590" s="48">
        <f t="shared" si="59"/>
        <v>28.71</v>
      </c>
      <c r="L590" s="48">
        <f t="shared" si="60"/>
        <v>3.53</v>
      </c>
      <c r="M590" s="48">
        <f t="shared" si="61"/>
        <v>803.88</v>
      </c>
      <c r="N590" s="48">
        <f t="shared" si="62"/>
        <v>98.84</v>
      </c>
      <c r="O590" s="50">
        <f t="shared" si="63"/>
        <v>902.72</v>
      </c>
      <c r="P590" s="50">
        <v>0</v>
      </c>
      <c r="Q590" s="76"/>
      <c r="R590" s="140">
        <f>2*S9+2*S10</f>
        <v>28</v>
      </c>
      <c r="S590" s="79">
        <v>23.45</v>
      </c>
      <c r="T590" s="80">
        <v>2.89</v>
      </c>
    </row>
    <row r="591" spans="2:20" ht="70">
      <c r="B591" s="5" t="s">
        <v>1386</v>
      </c>
      <c r="C591" s="45" t="s">
        <v>97</v>
      </c>
      <c r="D591" s="45" t="s">
        <v>1387</v>
      </c>
      <c r="E591" s="6" t="s">
        <v>1388</v>
      </c>
      <c r="F591" s="45" t="s">
        <v>104</v>
      </c>
      <c r="G591" s="46">
        <f t="shared" si="64"/>
        <v>70</v>
      </c>
      <c r="H591" s="46">
        <f>TRUNC(S591*(1-LOTE_03!$K$10),2)</f>
        <v>44.68</v>
      </c>
      <c r="I591" s="46">
        <f>TRUNC(T591*(1-LOTE_03!$K$10),2)</f>
        <v>4.0199999999999996</v>
      </c>
      <c r="J591" s="100">
        <f t="shared" si="65"/>
        <v>0.22470000000000001</v>
      </c>
      <c r="K591" s="48">
        <f t="shared" si="59"/>
        <v>54.71</v>
      </c>
      <c r="L591" s="48">
        <f t="shared" si="60"/>
        <v>4.92</v>
      </c>
      <c r="M591" s="48">
        <f t="shared" si="61"/>
        <v>3829.7</v>
      </c>
      <c r="N591" s="48">
        <f t="shared" si="62"/>
        <v>344.4</v>
      </c>
      <c r="O591" s="50">
        <f t="shared" si="63"/>
        <v>4174.1000000000004</v>
      </c>
      <c r="P591" s="50">
        <v>0</v>
      </c>
      <c r="Q591" s="76"/>
      <c r="R591" s="140">
        <f>5*S9+5*S10</f>
        <v>70</v>
      </c>
      <c r="S591" s="79">
        <v>44.68</v>
      </c>
      <c r="T591" s="80">
        <v>4.0199999999999996</v>
      </c>
    </row>
    <row r="592" spans="2:20" ht="84">
      <c r="B592" s="5" t="s">
        <v>1389</v>
      </c>
      <c r="C592" s="45" t="s">
        <v>97</v>
      </c>
      <c r="D592" s="45" t="s">
        <v>1390</v>
      </c>
      <c r="E592" s="6" t="s">
        <v>1391</v>
      </c>
      <c r="F592" s="45" t="s">
        <v>104</v>
      </c>
      <c r="G592" s="46">
        <f t="shared" si="64"/>
        <v>70</v>
      </c>
      <c r="H592" s="46">
        <f>TRUNC(S592*(1-LOTE_03!$K$10),2)</f>
        <v>14.66</v>
      </c>
      <c r="I592" s="46">
        <f>TRUNC(T592*(1-LOTE_03!$K$10),2)</f>
        <v>4.0199999999999996</v>
      </c>
      <c r="J592" s="100">
        <f t="shared" si="65"/>
        <v>0.22470000000000001</v>
      </c>
      <c r="K592" s="48">
        <f t="shared" ref="K592:K655" si="66">TRUNC(H592*(1+J592),2)</f>
        <v>17.95</v>
      </c>
      <c r="L592" s="48">
        <f t="shared" ref="L592:L655" si="67">TRUNC(I592*(1+J592),2)</f>
        <v>4.92</v>
      </c>
      <c r="M592" s="48">
        <f t="shared" ref="M592:M655" si="68">TRUNC(K592*G592,2)</f>
        <v>1256.5</v>
      </c>
      <c r="N592" s="48">
        <f t="shared" ref="N592:N655" si="69">TRUNC(L592*G592,2)</f>
        <v>344.4</v>
      </c>
      <c r="O592" s="50">
        <f t="shared" ref="O592:O655" si="70">TRUNC(M592+N592,2)</f>
        <v>1600.9</v>
      </c>
      <c r="P592" s="50">
        <v>0</v>
      </c>
      <c r="Q592" s="76"/>
      <c r="R592" s="140">
        <f>5*S9+5*S10</f>
        <v>70</v>
      </c>
      <c r="S592" s="79">
        <v>14.66</v>
      </c>
      <c r="T592" s="80">
        <v>4.0199999999999996</v>
      </c>
    </row>
    <row r="593" spans="2:20" ht="84">
      <c r="B593" s="5" t="s">
        <v>1392</v>
      </c>
      <c r="C593" s="45" t="s">
        <v>97</v>
      </c>
      <c r="D593" s="45" t="s">
        <v>1393</v>
      </c>
      <c r="E593" s="6" t="s">
        <v>1394</v>
      </c>
      <c r="F593" s="45" t="s">
        <v>104</v>
      </c>
      <c r="G593" s="46">
        <f t="shared" si="64"/>
        <v>70</v>
      </c>
      <c r="H593" s="46">
        <f>TRUNC(S593*(1-LOTE_03!$K$10),2)</f>
        <v>26.9</v>
      </c>
      <c r="I593" s="46">
        <f>TRUNC(T593*(1-LOTE_03!$K$10),2)</f>
        <v>4.0199999999999996</v>
      </c>
      <c r="J593" s="100">
        <f t="shared" si="65"/>
        <v>0.22470000000000001</v>
      </c>
      <c r="K593" s="48">
        <f t="shared" si="66"/>
        <v>32.94</v>
      </c>
      <c r="L593" s="48">
        <f t="shared" si="67"/>
        <v>4.92</v>
      </c>
      <c r="M593" s="48">
        <f t="shared" si="68"/>
        <v>2305.8000000000002</v>
      </c>
      <c r="N593" s="48">
        <f t="shared" si="69"/>
        <v>344.4</v>
      </c>
      <c r="O593" s="50">
        <f t="shared" si="70"/>
        <v>2650.2</v>
      </c>
      <c r="P593" s="50">
        <v>0</v>
      </c>
      <c r="Q593" s="76"/>
      <c r="R593" s="140">
        <f>5*S9+5*S10</f>
        <v>70</v>
      </c>
      <c r="S593" s="79">
        <v>26.9</v>
      </c>
      <c r="T593" s="80">
        <v>4.0199999999999996</v>
      </c>
    </row>
    <row r="594" spans="2:20" ht="84">
      <c r="B594" s="5" t="s">
        <v>1395</v>
      </c>
      <c r="C594" s="45" t="s">
        <v>97</v>
      </c>
      <c r="D594" s="45" t="s">
        <v>1396</v>
      </c>
      <c r="E594" s="6" t="s">
        <v>1397</v>
      </c>
      <c r="F594" s="45" t="s">
        <v>104</v>
      </c>
      <c r="G594" s="46">
        <f t="shared" ref="G594:G657" si="71">TRUNC(R594,2)</f>
        <v>70</v>
      </c>
      <c r="H594" s="46">
        <f>TRUNC(S594*(1-LOTE_03!$K$10),2)</f>
        <v>32.64</v>
      </c>
      <c r="I594" s="46">
        <f>TRUNC(T594*(1-LOTE_03!$K$10),2)</f>
        <v>4.0199999999999996</v>
      </c>
      <c r="J594" s="100">
        <f t="shared" ref="J594:J657" si="72">$J$4</f>
        <v>0.22470000000000001</v>
      </c>
      <c r="K594" s="48">
        <f t="shared" si="66"/>
        <v>39.97</v>
      </c>
      <c r="L594" s="48">
        <f t="shared" si="67"/>
        <v>4.92</v>
      </c>
      <c r="M594" s="48">
        <f t="shared" si="68"/>
        <v>2797.9</v>
      </c>
      <c r="N594" s="48">
        <f t="shared" si="69"/>
        <v>344.4</v>
      </c>
      <c r="O594" s="50">
        <f t="shared" si="70"/>
        <v>3142.3</v>
      </c>
      <c r="P594" s="50">
        <v>0</v>
      </c>
      <c r="Q594" s="76"/>
      <c r="R594" s="140">
        <f>5*S9+5*S10</f>
        <v>70</v>
      </c>
      <c r="S594" s="79">
        <v>32.64</v>
      </c>
      <c r="T594" s="80">
        <v>4.0199999999999996</v>
      </c>
    </row>
    <row r="595" spans="2:20" ht="84">
      <c r="B595" s="5" t="s">
        <v>1398</v>
      </c>
      <c r="C595" s="45" t="s">
        <v>97</v>
      </c>
      <c r="D595" s="45" t="s">
        <v>1399</v>
      </c>
      <c r="E595" s="6" t="s">
        <v>1400</v>
      </c>
      <c r="F595" s="45" t="s">
        <v>104</v>
      </c>
      <c r="G595" s="46">
        <f t="shared" si="71"/>
        <v>70</v>
      </c>
      <c r="H595" s="46">
        <f>TRUNC(S595*(1-LOTE_03!$K$10),2)</f>
        <v>23.47</v>
      </c>
      <c r="I595" s="46">
        <f>TRUNC(T595*(1-LOTE_03!$K$10),2)</f>
        <v>4.0199999999999996</v>
      </c>
      <c r="J595" s="100">
        <f t="shared" si="72"/>
        <v>0.22470000000000001</v>
      </c>
      <c r="K595" s="48">
        <f t="shared" si="66"/>
        <v>28.74</v>
      </c>
      <c r="L595" s="48">
        <f t="shared" si="67"/>
        <v>4.92</v>
      </c>
      <c r="M595" s="48">
        <f t="shared" si="68"/>
        <v>2011.8</v>
      </c>
      <c r="N595" s="48">
        <f t="shared" si="69"/>
        <v>344.4</v>
      </c>
      <c r="O595" s="50">
        <f t="shared" si="70"/>
        <v>2356.1999999999998</v>
      </c>
      <c r="P595" s="50">
        <v>0</v>
      </c>
      <c r="Q595" s="76"/>
      <c r="R595" s="140">
        <f>5*S9+5*S10</f>
        <v>70</v>
      </c>
      <c r="S595" s="79">
        <v>23.47</v>
      </c>
      <c r="T595" s="80">
        <v>4.0199999999999996</v>
      </c>
    </row>
    <row r="596" spans="2:20" ht="84">
      <c r="B596" s="5" t="s">
        <v>1401</v>
      </c>
      <c r="C596" s="45" t="s">
        <v>97</v>
      </c>
      <c r="D596" s="45" t="s">
        <v>1402</v>
      </c>
      <c r="E596" s="6" t="s">
        <v>1403</v>
      </c>
      <c r="F596" s="45" t="s">
        <v>104</v>
      </c>
      <c r="G596" s="46">
        <f t="shared" si="71"/>
        <v>70</v>
      </c>
      <c r="H596" s="46">
        <f>TRUNC(S596*(1-LOTE_03!$K$10),2)</f>
        <v>42.4</v>
      </c>
      <c r="I596" s="46">
        <f>TRUNC(T596*(1-LOTE_03!$K$10),2)</f>
        <v>4.0199999999999996</v>
      </c>
      <c r="J596" s="100">
        <f t="shared" si="72"/>
        <v>0.22470000000000001</v>
      </c>
      <c r="K596" s="48">
        <f t="shared" si="66"/>
        <v>51.92</v>
      </c>
      <c r="L596" s="48">
        <f t="shared" si="67"/>
        <v>4.92</v>
      </c>
      <c r="M596" s="48">
        <f t="shared" si="68"/>
        <v>3634.4</v>
      </c>
      <c r="N596" s="48">
        <f t="shared" si="69"/>
        <v>344.4</v>
      </c>
      <c r="O596" s="50">
        <f t="shared" si="70"/>
        <v>3978.8</v>
      </c>
      <c r="P596" s="50">
        <v>0</v>
      </c>
      <c r="Q596" s="76"/>
      <c r="R596" s="140">
        <f>5*S9+5*S10</f>
        <v>70</v>
      </c>
      <c r="S596" s="79">
        <v>42.4</v>
      </c>
      <c r="T596" s="80">
        <v>4.0199999999999996</v>
      </c>
    </row>
    <row r="597" spans="2:20" ht="56">
      <c r="B597" s="5" t="s">
        <v>1404</v>
      </c>
      <c r="C597" s="45" t="s">
        <v>97</v>
      </c>
      <c r="D597" s="45" t="s">
        <v>1405</v>
      </c>
      <c r="E597" s="6" t="s">
        <v>1406</v>
      </c>
      <c r="F597" s="45" t="s">
        <v>104</v>
      </c>
      <c r="G597" s="46">
        <f t="shared" si="71"/>
        <v>28</v>
      </c>
      <c r="H597" s="46">
        <f>TRUNC(S597*(1-LOTE_03!$K$10),2)</f>
        <v>26.88</v>
      </c>
      <c r="I597" s="46">
        <f>TRUNC(T597*(1-LOTE_03!$K$10),2)</f>
        <v>2.89</v>
      </c>
      <c r="J597" s="100">
        <f t="shared" si="72"/>
        <v>0.22470000000000001</v>
      </c>
      <c r="K597" s="48">
        <f t="shared" si="66"/>
        <v>32.909999999999997</v>
      </c>
      <c r="L597" s="48">
        <f t="shared" si="67"/>
        <v>3.53</v>
      </c>
      <c r="M597" s="48">
        <f t="shared" si="68"/>
        <v>921.48</v>
      </c>
      <c r="N597" s="48">
        <f t="shared" si="69"/>
        <v>98.84</v>
      </c>
      <c r="O597" s="50">
        <f t="shared" si="70"/>
        <v>1020.32</v>
      </c>
      <c r="P597" s="50">
        <v>0</v>
      </c>
      <c r="Q597" s="76"/>
      <c r="R597" s="140">
        <f>2*S9+2*S10</f>
        <v>28</v>
      </c>
      <c r="S597" s="79">
        <v>26.88</v>
      </c>
      <c r="T597" s="80">
        <v>2.89</v>
      </c>
    </row>
    <row r="598" spans="2:20" ht="28">
      <c r="B598" s="5" t="s">
        <v>1407</v>
      </c>
      <c r="C598" s="45" t="s">
        <v>165</v>
      </c>
      <c r="D598" s="45" t="s">
        <v>1408</v>
      </c>
      <c r="E598" s="6" t="s">
        <v>1409</v>
      </c>
      <c r="F598" s="45" t="s">
        <v>559</v>
      </c>
      <c r="G598" s="46">
        <f t="shared" si="71"/>
        <v>5</v>
      </c>
      <c r="H598" s="46">
        <f>TRUNC(S598*(1-LOTE_03!$K$10),2)</f>
        <v>1046.97</v>
      </c>
      <c r="I598" s="46">
        <f>TRUNC(T598*(1-LOTE_03!$K$10),2)</f>
        <v>63.77</v>
      </c>
      <c r="J598" s="100">
        <f t="shared" si="72"/>
        <v>0.22470000000000001</v>
      </c>
      <c r="K598" s="48">
        <f t="shared" si="66"/>
        <v>1282.22</v>
      </c>
      <c r="L598" s="48">
        <f t="shared" si="67"/>
        <v>78.09</v>
      </c>
      <c r="M598" s="48">
        <f t="shared" si="68"/>
        <v>6411.1</v>
      </c>
      <c r="N598" s="48">
        <f t="shared" si="69"/>
        <v>390.45</v>
      </c>
      <c r="O598" s="50">
        <f t="shared" si="70"/>
        <v>6801.55</v>
      </c>
      <c r="P598" s="50">
        <v>0</v>
      </c>
      <c r="Q598" s="76"/>
      <c r="R598" s="140">
        <f>IF((1*S9+1*S10)&gt;5,5,(1*S9+1*S10))</f>
        <v>5</v>
      </c>
      <c r="S598" s="79">
        <v>1046.97</v>
      </c>
      <c r="T598" s="80">
        <v>63.77</v>
      </c>
    </row>
    <row r="599" spans="2:20" ht="28">
      <c r="B599" s="5" t="s">
        <v>1410</v>
      </c>
      <c r="C599" s="45" t="s">
        <v>165</v>
      </c>
      <c r="D599" s="45" t="s">
        <v>1411</v>
      </c>
      <c r="E599" s="6" t="s">
        <v>1412</v>
      </c>
      <c r="F599" s="45" t="s">
        <v>559</v>
      </c>
      <c r="G599" s="46">
        <f t="shared" si="71"/>
        <v>5</v>
      </c>
      <c r="H599" s="46">
        <f>TRUNC(S599*(1-LOTE_03!$K$10),2)</f>
        <v>107.88</v>
      </c>
      <c r="I599" s="46">
        <f>TRUNC(T599*(1-LOTE_03!$K$10),2)</f>
        <v>9.25</v>
      </c>
      <c r="J599" s="100">
        <f t="shared" si="72"/>
        <v>0.22470000000000001</v>
      </c>
      <c r="K599" s="48">
        <f t="shared" si="66"/>
        <v>132.12</v>
      </c>
      <c r="L599" s="48">
        <f t="shared" si="67"/>
        <v>11.32</v>
      </c>
      <c r="M599" s="48">
        <f t="shared" si="68"/>
        <v>660.6</v>
      </c>
      <c r="N599" s="48">
        <f t="shared" si="69"/>
        <v>56.6</v>
      </c>
      <c r="O599" s="50">
        <f t="shared" si="70"/>
        <v>717.2</v>
      </c>
      <c r="P599" s="50">
        <v>0</v>
      </c>
      <c r="Q599" s="76"/>
      <c r="R599" s="140">
        <f>IF((1*S9+1*S10)&gt;5,5,(1*S9+1*S10))</f>
        <v>5</v>
      </c>
      <c r="S599" s="79">
        <v>107.88</v>
      </c>
      <c r="T599" s="80">
        <v>9.25</v>
      </c>
    </row>
    <row r="600" spans="2:20" ht="28">
      <c r="B600" s="5" t="s">
        <v>1413</v>
      </c>
      <c r="C600" s="45" t="s">
        <v>97</v>
      </c>
      <c r="D600" s="45" t="s">
        <v>1414</v>
      </c>
      <c r="E600" s="6" t="s">
        <v>1415</v>
      </c>
      <c r="F600" s="45" t="s">
        <v>1416</v>
      </c>
      <c r="G600" s="46">
        <f t="shared" si="71"/>
        <v>500</v>
      </c>
      <c r="H600" s="46">
        <f>TRUNC(S600*(1-LOTE_03!$K$10),2)</f>
        <v>22.51</v>
      </c>
      <c r="I600" s="46">
        <f>TRUNC(T600*(1-LOTE_03!$K$10),2)</f>
        <v>5.34</v>
      </c>
      <c r="J600" s="100">
        <f t="shared" si="72"/>
        <v>0.22470000000000001</v>
      </c>
      <c r="K600" s="48">
        <f t="shared" si="66"/>
        <v>27.56</v>
      </c>
      <c r="L600" s="48">
        <f t="shared" si="67"/>
        <v>6.53</v>
      </c>
      <c r="M600" s="48">
        <f t="shared" si="68"/>
        <v>13780</v>
      </c>
      <c r="N600" s="48">
        <f t="shared" si="69"/>
        <v>3265</v>
      </c>
      <c r="O600" s="50">
        <f t="shared" si="70"/>
        <v>17045</v>
      </c>
      <c r="P600" s="50">
        <v>0</v>
      </c>
      <c r="Q600" s="76"/>
      <c r="R600" s="141">
        <f>IF(100*(S9+S10)&gt;500,500,100*(S9+S10))</f>
        <v>500</v>
      </c>
      <c r="S600" s="79">
        <v>22.51</v>
      </c>
      <c r="T600" s="80">
        <v>5.34</v>
      </c>
    </row>
    <row r="601" spans="2:20" ht="28">
      <c r="B601" s="5" t="s">
        <v>1417</v>
      </c>
      <c r="C601" s="45" t="s">
        <v>97</v>
      </c>
      <c r="D601" s="45" t="s">
        <v>1418</v>
      </c>
      <c r="E601" s="6" t="s">
        <v>1419</v>
      </c>
      <c r="F601" s="45" t="s">
        <v>187</v>
      </c>
      <c r="G601" s="46">
        <f t="shared" si="71"/>
        <v>500</v>
      </c>
      <c r="H601" s="46">
        <f>TRUNC(S601*(1-LOTE_03!$K$10),2)</f>
        <v>27.44</v>
      </c>
      <c r="I601" s="46">
        <f>TRUNC(T601*(1-LOTE_03!$K$10),2)</f>
        <v>5.34</v>
      </c>
      <c r="J601" s="100">
        <f t="shared" si="72"/>
        <v>0.22470000000000001</v>
      </c>
      <c r="K601" s="48">
        <f t="shared" si="66"/>
        <v>33.6</v>
      </c>
      <c r="L601" s="48">
        <f t="shared" si="67"/>
        <v>6.53</v>
      </c>
      <c r="M601" s="48">
        <f t="shared" si="68"/>
        <v>16800</v>
      </c>
      <c r="N601" s="48">
        <f t="shared" si="69"/>
        <v>3265</v>
      </c>
      <c r="O601" s="50">
        <f t="shared" si="70"/>
        <v>20065</v>
      </c>
      <c r="P601" s="50">
        <v>0</v>
      </c>
      <c r="Q601" s="76"/>
      <c r="R601" s="141">
        <f>IF(100*(S9+S10)&gt;500,500,100*(S9+S10))</f>
        <v>500</v>
      </c>
      <c r="S601" s="79">
        <v>27.44</v>
      </c>
      <c r="T601" s="80">
        <v>5.34</v>
      </c>
    </row>
    <row r="602" spans="2:20" ht="28">
      <c r="B602" s="5" t="s">
        <v>1420</v>
      </c>
      <c r="C602" s="45" t="s">
        <v>97</v>
      </c>
      <c r="D602" s="45" t="s">
        <v>1421</v>
      </c>
      <c r="E602" s="6" t="s">
        <v>1422</v>
      </c>
      <c r="F602" s="45" t="s">
        <v>104</v>
      </c>
      <c r="G602" s="46">
        <f t="shared" si="71"/>
        <v>10</v>
      </c>
      <c r="H602" s="46">
        <f>TRUNC(S602*(1-LOTE_03!$K$10),2)</f>
        <v>218.41</v>
      </c>
      <c r="I602" s="46">
        <f>TRUNC(T602*(1-LOTE_03!$K$10),2)</f>
        <v>24.93</v>
      </c>
      <c r="J602" s="100">
        <f t="shared" si="72"/>
        <v>0.22470000000000001</v>
      </c>
      <c r="K602" s="48">
        <f t="shared" si="66"/>
        <v>267.48</v>
      </c>
      <c r="L602" s="48">
        <f t="shared" si="67"/>
        <v>30.53</v>
      </c>
      <c r="M602" s="48">
        <f t="shared" si="68"/>
        <v>2674.8</v>
      </c>
      <c r="N602" s="48">
        <f t="shared" si="69"/>
        <v>305.3</v>
      </c>
      <c r="O602" s="50">
        <f t="shared" si="70"/>
        <v>2980.1</v>
      </c>
      <c r="P602" s="50">
        <v>0</v>
      </c>
      <c r="Q602" s="76"/>
      <c r="R602" s="141">
        <f>IF(2*(S9+S10)&gt;10,10,2*(S9+S10))</f>
        <v>10</v>
      </c>
      <c r="S602" s="79">
        <v>218.41</v>
      </c>
      <c r="T602" s="80">
        <v>24.93</v>
      </c>
    </row>
    <row r="603" spans="2:20" ht="28">
      <c r="B603" s="5" t="s">
        <v>1423</v>
      </c>
      <c r="C603" s="45" t="s">
        <v>97</v>
      </c>
      <c r="D603" s="45" t="s">
        <v>1421</v>
      </c>
      <c r="E603" s="6" t="s">
        <v>1422</v>
      </c>
      <c r="F603" s="45" t="s">
        <v>104</v>
      </c>
      <c r="G603" s="46">
        <f t="shared" si="71"/>
        <v>5</v>
      </c>
      <c r="H603" s="46">
        <f>TRUNC(S603*(1-LOTE_03!$K$10),2)</f>
        <v>218.41</v>
      </c>
      <c r="I603" s="46">
        <f>TRUNC(T603*(1-LOTE_03!$K$10),2)</f>
        <v>24.93</v>
      </c>
      <c r="J603" s="100">
        <f t="shared" si="72"/>
        <v>0.22470000000000001</v>
      </c>
      <c r="K603" s="48">
        <f t="shared" si="66"/>
        <v>267.48</v>
      </c>
      <c r="L603" s="48">
        <f t="shared" si="67"/>
        <v>30.53</v>
      </c>
      <c r="M603" s="48">
        <f t="shared" si="68"/>
        <v>1337.4</v>
      </c>
      <c r="N603" s="48">
        <f t="shared" si="69"/>
        <v>152.65</v>
      </c>
      <c r="O603" s="50">
        <f t="shared" si="70"/>
        <v>1490.05</v>
      </c>
      <c r="P603" s="50">
        <v>0</v>
      </c>
      <c r="Q603" s="76"/>
      <c r="R603" s="141">
        <f>IF(1*(S9+S10)&gt;5,5,1*(S9+S10))</f>
        <v>5</v>
      </c>
      <c r="S603" s="79">
        <v>218.41</v>
      </c>
      <c r="T603" s="80">
        <v>24.93</v>
      </c>
    </row>
    <row r="604" spans="2:20" ht="28">
      <c r="B604" s="5" t="s">
        <v>1424</v>
      </c>
      <c r="C604" s="45" t="s">
        <v>97</v>
      </c>
      <c r="D604" s="45" t="s">
        <v>1421</v>
      </c>
      <c r="E604" s="6" t="s">
        <v>1422</v>
      </c>
      <c r="F604" s="45" t="s">
        <v>104</v>
      </c>
      <c r="G604" s="46">
        <f t="shared" si="71"/>
        <v>5</v>
      </c>
      <c r="H604" s="46">
        <f>TRUNC(S604*(1-LOTE_03!$K$10),2)</f>
        <v>218.41</v>
      </c>
      <c r="I604" s="46">
        <f>TRUNC(T604*(1-LOTE_03!$K$10),2)</f>
        <v>24.93</v>
      </c>
      <c r="J604" s="100">
        <f t="shared" si="72"/>
        <v>0.22470000000000001</v>
      </c>
      <c r="K604" s="48">
        <f t="shared" si="66"/>
        <v>267.48</v>
      </c>
      <c r="L604" s="48">
        <f t="shared" si="67"/>
        <v>30.53</v>
      </c>
      <c r="M604" s="48">
        <f t="shared" si="68"/>
        <v>1337.4</v>
      </c>
      <c r="N604" s="48">
        <f t="shared" si="69"/>
        <v>152.65</v>
      </c>
      <c r="O604" s="50">
        <f t="shared" si="70"/>
        <v>1490.05</v>
      </c>
      <c r="P604" s="50">
        <v>0</v>
      </c>
      <c r="Q604" s="76"/>
      <c r="R604" s="141">
        <f>IF(1*(S10+1*S9)&gt;5,5,(2*S10+1*S9))</f>
        <v>5</v>
      </c>
      <c r="S604" s="79">
        <v>218.41</v>
      </c>
      <c r="T604" s="80">
        <v>24.93</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650591.89999999991</v>
      </c>
      <c r="Q605" s="76"/>
      <c r="R605" s="154"/>
      <c r="S605" s="79" t="s">
        <v>22</v>
      </c>
      <c r="T605" s="80" t="s">
        <v>22</v>
      </c>
    </row>
    <row r="606" spans="2:20" ht="56">
      <c r="B606" s="5" t="s">
        <v>1425</v>
      </c>
      <c r="C606" s="45" t="s">
        <v>97</v>
      </c>
      <c r="D606" s="45" t="s">
        <v>1426</v>
      </c>
      <c r="E606" s="6" t="s">
        <v>1427</v>
      </c>
      <c r="F606" s="45" t="s">
        <v>104</v>
      </c>
      <c r="G606" s="46">
        <f t="shared" si="71"/>
        <v>42</v>
      </c>
      <c r="H606" s="46">
        <f>TRUNC(S606*(1-LOTE_03!$K$10),2)</f>
        <v>7.86</v>
      </c>
      <c r="I606" s="46">
        <f>TRUNC(T606*(1-LOTE_03!$K$10),2)</f>
        <v>17.510000000000002</v>
      </c>
      <c r="J606" s="100">
        <f t="shared" si="72"/>
        <v>0.22470000000000001</v>
      </c>
      <c r="K606" s="48">
        <f t="shared" si="66"/>
        <v>9.6199999999999992</v>
      </c>
      <c r="L606" s="48">
        <f t="shared" si="67"/>
        <v>21.44</v>
      </c>
      <c r="M606" s="48">
        <f t="shared" si="68"/>
        <v>404.04</v>
      </c>
      <c r="N606" s="48">
        <f t="shared" si="69"/>
        <v>900.48</v>
      </c>
      <c r="O606" s="50">
        <f t="shared" si="70"/>
        <v>1304.52</v>
      </c>
      <c r="P606" s="50">
        <v>0</v>
      </c>
      <c r="Q606" s="76"/>
      <c r="R606" s="139">
        <f>3*S9+3*S10</f>
        <v>42</v>
      </c>
      <c r="S606" s="79">
        <v>7.86</v>
      </c>
      <c r="T606" s="80">
        <v>17.510000000000002</v>
      </c>
    </row>
    <row r="607" spans="2:20" ht="42">
      <c r="B607" s="5" t="s">
        <v>1428</v>
      </c>
      <c r="C607" s="45" t="s">
        <v>135</v>
      </c>
      <c r="D607" s="45">
        <v>103288</v>
      </c>
      <c r="E607" s="6" t="s">
        <v>1429</v>
      </c>
      <c r="F607" s="45" t="s">
        <v>210</v>
      </c>
      <c r="G607" s="46">
        <f t="shared" si="71"/>
        <v>28</v>
      </c>
      <c r="H607" s="46">
        <f>TRUNC(S607*(1-LOTE_03!$K$10),2)</f>
        <v>5.76</v>
      </c>
      <c r="I607" s="46">
        <f>TRUNC(T607*(1-LOTE_03!$K$10),2)</f>
        <v>9.9600000000000009</v>
      </c>
      <c r="J607" s="100">
        <f t="shared" si="72"/>
        <v>0.22470000000000001</v>
      </c>
      <c r="K607" s="48">
        <f t="shared" si="66"/>
        <v>7.05</v>
      </c>
      <c r="L607" s="48">
        <f t="shared" si="67"/>
        <v>12.19</v>
      </c>
      <c r="M607" s="48">
        <f t="shared" si="68"/>
        <v>197.4</v>
      </c>
      <c r="N607" s="48">
        <f t="shared" si="69"/>
        <v>341.32</v>
      </c>
      <c r="O607" s="50">
        <f t="shared" si="70"/>
        <v>538.72</v>
      </c>
      <c r="P607" s="50">
        <v>0</v>
      </c>
      <c r="Q607" s="76"/>
      <c r="R607" s="139">
        <f>2*S9+2*S10</f>
        <v>28</v>
      </c>
      <c r="S607" s="79">
        <v>5.76</v>
      </c>
      <c r="T607" s="80">
        <v>9.9600000000000009</v>
      </c>
    </row>
    <row r="608" spans="2:20" ht="28">
      <c r="B608" s="5" t="s">
        <v>1430</v>
      </c>
      <c r="C608" s="45" t="s">
        <v>165</v>
      </c>
      <c r="D608" s="45" t="s">
        <v>1431</v>
      </c>
      <c r="E608" s="6" t="s">
        <v>1432</v>
      </c>
      <c r="F608" s="45" t="s">
        <v>168</v>
      </c>
      <c r="G608" s="46">
        <f t="shared" si="71"/>
        <v>476</v>
      </c>
      <c r="H608" s="46">
        <f>TRUNC(S608*(1-LOTE_03!$K$10),2)</f>
        <v>146.9</v>
      </c>
      <c r="I608" s="46">
        <f>TRUNC(T608*(1-LOTE_03!$K$10),2)</f>
        <v>106.75</v>
      </c>
      <c r="J608" s="100">
        <f t="shared" si="72"/>
        <v>0.22470000000000001</v>
      </c>
      <c r="K608" s="48">
        <f t="shared" si="66"/>
        <v>179.9</v>
      </c>
      <c r="L608" s="48">
        <f t="shared" si="67"/>
        <v>130.72999999999999</v>
      </c>
      <c r="M608" s="48">
        <f t="shared" si="68"/>
        <v>85632.4</v>
      </c>
      <c r="N608" s="48">
        <f t="shared" si="69"/>
        <v>62227.48</v>
      </c>
      <c r="O608" s="50">
        <f t="shared" si="70"/>
        <v>147859.88</v>
      </c>
      <c r="P608" s="50">
        <v>0</v>
      </c>
      <c r="Q608" s="76"/>
      <c r="R608" s="139">
        <f>(21+10+3)*(S9+S10)</f>
        <v>476</v>
      </c>
      <c r="S608" s="79">
        <v>146.9</v>
      </c>
      <c r="T608" s="80">
        <v>106.75</v>
      </c>
    </row>
    <row r="609" spans="2:20" ht="28">
      <c r="B609" s="5" t="s">
        <v>1433</v>
      </c>
      <c r="C609" s="45" t="s">
        <v>165</v>
      </c>
      <c r="D609" s="45" t="s">
        <v>1434</v>
      </c>
      <c r="E609" s="6" t="s">
        <v>1435</v>
      </c>
      <c r="F609" s="45" t="s">
        <v>559</v>
      </c>
      <c r="G609" s="46">
        <f t="shared" si="71"/>
        <v>56</v>
      </c>
      <c r="H609" s="46">
        <f>TRUNC(S609*(1-LOTE_03!$K$10),2)</f>
        <v>109.45</v>
      </c>
      <c r="I609" s="46">
        <f>TRUNC(T609*(1-LOTE_03!$K$10),2)</f>
        <v>79.709999999999994</v>
      </c>
      <c r="J609" s="100">
        <f t="shared" si="72"/>
        <v>0.22470000000000001</v>
      </c>
      <c r="K609" s="48">
        <f t="shared" si="66"/>
        <v>134.04</v>
      </c>
      <c r="L609" s="48">
        <f t="shared" si="67"/>
        <v>97.62</v>
      </c>
      <c r="M609" s="48">
        <f t="shared" si="68"/>
        <v>7506.24</v>
      </c>
      <c r="N609" s="48">
        <f t="shared" si="69"/>
        <v>5466.72</v>
      </c>
      <c r="O609" s="50">
        <f t="shared" si="70"/>
        <v>12972.96</v>
      </c>
      <c r="P609" s="50">
        <v>0</v>
      </c>
      <c r="Q609" s="76"/>
      <c r="R609" s="139">
        <f>4*(S9+S10)</f>
        <v>56</v>
      </c>
      <c r="S609" s="79">
        <v>109.45</v>
      </c>
      <c r="T609" s="80">
        <v>79.709999999999994</v>
      </c>
    </row>
    <row r="610" spans="2:20" ht="42">
      <c r="B610" s="5" t="s">
        <v>1436</v>
      </c>
      <c r="C610" s="45" t="s">
        <v>165</v>
      </c>
      <c r="D610" s="45" t="s">
        <v>1437</v>
      </c>
      <c r="E610" s="6" t="s">
        <v>1438</v>
      </c>
      <c r="F610" s="45" t="s">
        <v>559</v>
      </c>
      <c r="G610" s="46">
        <f t="shared" si="71"/>
        <v>56</v>
      </c>
      <c r="H610" s="46">
        <f>TRUNC(S610*(1-LOTE_03!$K$10),2)</f>
        <v>110.86</v>
      </c>
      <c r="I610" s="46">
        <f>TRUNC(T610*(1-LOTE_03!$K$10),2)</f>
        <v>102.35</v>
      </c>
      <c r="J610" s="100">
        <f t="shared" si="72"/>
        <v>0.22470000000000001</v>
      </c>
      <c r="K610" s="48">
        <f t="shared" si="66"/>
        <v>135.77000000000001</v>
      </c>
      <c r="L610" s="48">
        <f t="shared" si="67"/>
        <v>125.34</v>
      </c>
      <c r="M610" s="48">
        <f t="shared" si="68"/>
        <v>7603.12</v>
      </c>
      <c r="N610" s="48">
        <f t="shared" si="69"/>
        <v>7019.04</v>
      </c>
      <c r="O610" s="50">
        <f t="shared" si="70"/>
        <v>14622.16</v>
      </c>
      <c r="P610" s="50">
        <v>0</v>
      </c>
      <c r="Q610" s="76"/>
      <c r="R610" s="139">
        <f>4*(S9+S10)</f>
        <v>56</v>
      </c>
      <c r="S610" s="79">
        <v>110.86</v>
      </c>
      <c r="T610" s="80">
        <v>102.35</v>
      </c>
    </row>
    <row r="611" spans="2:20" ht="28">
      <c r="B611" s="5" t="s">
        <v>1439</v>
      </c>
      <c r="C611" s="45" t="s">
        <v>165</v>
      </c>
      <c r="D611" s="45" t="s">
        <v>1440</v>
      </c>
      <c r="E611" s="6" t="s">
        <v>1441</v>
      </c>
      <c r="F611" s="45" t="s">
        <v>559</v>
      </c>
      <c r="G611" s="46">
        <f t="shared" si="71"/>
        <v>70</v>
      </c>
      <c r="H611" s="46">
        <f>TRUNC(S611*(1-LOTE_03!$K$10),2)</f>
        <v>137.68</v>
      </c>
      <c r="I611" s="46">
        <f>TRUNC(T611*(1-LOTE_03!$K$10),2)</f>
        <v>111.6</v>
      </c>
      <c r="J611" s="100">
        <f t="shared" si="72"/>
        <v>0.22470000000000001</v>
      </c>
      <c r="K611" s="48">
        <f t="shared" si="66"/>
        <v>168.61</v>
      </c>
      <c r="L611" s="48">
        <f t="shared" si="67"/>
        <v>136.66999999999999</v>
      </c>
      <c r="M611" s="48">
        <f t="shared" si="68"/>
        <v>11802.7</v>
      </c>
      <c r="N611" s="48">
        <f t="shared" si="69"/>
        <v>9566.9</v>
      </c>
      <c r="O611" s="50">
        <f t="shared" si="70"/>
        <v>21369.599999999999</v>
      </c>
      <c r="P611" s="50">
        <v>0</v>
      </c>
      <c r="Q611" s="76"/>
      <c r="R611" s="139">
        <f>5*(S9+S10)</f>
        <v>70</v>
      </c>
      <c r="S611" s="79">
        <v>137.68</v>
      </c>
      <c r="T611" s="80">
        <v>111.6</v>
      </c>
    </row>
    <row r="612" spans="2:20" ht="28">
      <c r="B612" s="5" t="s">
        <v>1442</v>
      </c>
      <c r="C612" s="45" t="s">
        <v>165</v>
      </c>
      <c r="D612" s="45" t="s">
        <v>1443</v>
      </c>
      <c r="E612" s="6" t="s">
        <v>1444</v>
      </c>
      <c r="F612" s="45" t="s">
        <v>559</v>
      </c>
      <c r="G612" s="46">
        <f t="shared" si="71"/>
        <v>70</v>
      </c>
      <c r="H612" s="46">
        <f>TRUNC(S612*(1-LOTE_03!$K$10),2)</f>
        <v>147.44</v>
      </c>
      <c r="I612" s="46">
        <f>TRUNC(T612*(1-LOTE_03!$K$10),2)</f>
        <v>111.6</v>
      </c>
      <c r="J612" s="100">
        <f t="shared" si="72"/>
        <v>0.22470000000000001</v>
      </c>
      <c r="K612" s="48">
        <f t="shared" si="66"/>
        <v>180.56</v>
      </c>
      <c r="L612" s="48">
        <f t="shared" si="67"/>
        <v>136.66999999999999</v>
      </c>
      <c r="M612" s="48">
        <f t="shared" si="68"/>
        <v>12639.2</v>
      </c>
      <c r="N612" s="48">
        <f t="shared" si="69"/>
        <v>9566.9</v>
      </c>
      <c r="O612" s="50">
        <f t="shared" si="70"/>
        <v>22206.1</v>
      </c>
      <c r="P612" s="50">
        <v>0</v>
      </c>
      <c r="Q612" s="76"/>
      <c r="R612" s="139">
        <f>5*(S9+S10)</f>
        <v>70</v>
      </c>
      <c r="S612" s="79">
        <v>147.44</v>
      </c>
      <c r="T612" s="80">
        <v>111.6</v>
      </c>
    </row>
    <row r="613" spans="2:20" ht="28">
      <c r="B613" s="5" t="s">
        <v>1445</v>
      </c>
      <c r="C613" s="45" t="s">
        <v>165</v>
      </c>
      <c r="D613" s="45" t="s">
        <v>1446</v>
      </c>
      <c r="E613" s="6" t="s">
        <v>1447</v>
      </c>
      <c r="F613" s="45" t="s">
        <v>559</v>
      </c>
      <c r="G613" s="46">
        <f t="shared" si="71"/>
        <v>70</v>
      </c>
      <c r="H613" s="46">
        <f>TRUNC(S613*(1-LOTE_03!$K$10),2)</f>
        <v>169.53</v>
      </c>
      <c r="I613" s="46">
        <f>TRUNC(T613*(1-LOTE_03!$K$10),2)</f>
        <v>111.6</v>
      </c>
      <c r="J613" s="100">
        <f t="shared" si="72"/>
        <v>0.22470000000000001</v>
      </c>
      <c r="K613" s="48">
        <f t="shared" si="66"/>
        <v>207.62</v>
      </c>
      <c r="L613" s="48">
        <f t="shared" si="67"/>
        <v>136.66999999999999</v>
      </c>
      <c r="M613" s="48">
        <f t="shared" si="68"/>
        <v>14533.4</v>
      </c>
      <c r="N613" s="48">
        <f t="shared" si="69"/>
        <v>9566.9</v>
      </c>
      <c r="O613" s="50">
        <f t="shared" si="70"/>
        <v>24100.3</v>
      </c>
      <c r="P613" s="50">
        <v>0</v>
      </c>
      <c r="Q613" s="76"/>
      <c r="R613" s="139">
        <f>5*(S9+S10)</f>
        <v>70</v>
      </c>
      <c r="S613" s="79">
        <v>169.53</v>
      </c>
      <c r="T613" s="80">
        <v>111.6</v>
      </c>
    </row>
    <row r="614" spans="2:20" ht="28">
      <c r="B614" s="5" t="s">
        <v>1448</v>
      </c>
      <c r="C614" s="45" t="s">
        <v>97</v>
      </c>
      <c r="D614" s="45" t="s">
        <v>1449</v>
      </c>
      <c r="E614" s="6" t="s">
        <v>1450</v>
      </c>
      <c r="F614" s="45" t="s">
        <v>104</v>
      </c>
      <c r="G614" s="46">
        <f t="shared" si="71"/>
        <v>42</v>
      </c>
      <c r="H614" s="46">
        <f>TRUNC(S614*(1-LOTE_03!$K$10),2)</f>
        <v>493.51</v>
      </c>
      <c r="I614" s="46">
        <f>TRUNC(T614*(1-LOTE_03!$K$10),2)</f>
        <v>342.24</v>
      </c>
      <c r="J614" s="100">
        <f t="shared" si="72"/>
        <v>0.22470000000000001</v>
      </c>
      <c r="K614" s="48">
        <f t="shared" si="66"/>
        <v>604.4</v>
      </c>
      <c r="L614" s="48">
        <f t="shared" si="67"/>
        <v>419.14</v>
      </c>
      <c r="M614" s="48">
        <f t="shared" si="68"/>
        <v>25384.799999999999</v>
      </c>
      <c r="N614" s="48">
        <f t="shared" si="69"/>
        <v>17603.88</v>
      </c>
      <c r="O614" s="50">
        <f t="shared" si="70"/>
        <v>42988.68</v>
      </c>
      <c r="P614" s="50">
        <v>0</v>
      </c>
      <c r="Q614" s="76"/>
      <c r="R614" s="139">
        <f>3*S9+3*S10</f>
        <v>42</v>
      </c>
      <c r="S614" s="79">
        <v>493.51</v>
      </c>
      <c r="T614" s="80">
        <v>342.24</v>
      </c>
    </row>
    <row r="615" spans="2:20" ht="42">
      <c r="B615" s="5" t="s">
        <v>1451</v>
      </c>
      <c r="C615" s="45" t="s">
        <v>97</v>
      </c>
      <c r="D615" s="45" t="s">
        <v>1452</v>
      </c>
      <c r="E615" s="6" t="s">
        <v>1453</v>
      </c>
      <c r="F615" s="45" t="s">
        <v>104</v>
      </c>
      <c r="G615" s="46">
        <f t="shared" si="71"/>
        <v>42</v>
      </c>
      <c r="H615" s="46">
        <f>TRUNC(S615*(1-LOTE_03!$K$10),2)</f>
        <v>181.78</v>
      </c>
      <c r="I615" s="46">
        <f>TRUNC(T615*(1-LOTE_03!$K$10),2)</f>
        <v>187.56</v>
      </c>
      <c r="J615" s="100">
        <f t="shared" si="72"/>
        <v>0.22470000000000001</v>
      </c>
      <c r="K615" s="48">
        <f t="shared" si="66"/>
        <v>222.62</v>
      </c>
      <c r="L615" s="48">
        <f t="shared" si="67"/>
        <v>229.7</v>
      </c>
      <c r="M615" s="48">
        <f t="shared" si="68"/>
        <v>9350.0400000000009</v>
      </c>
      <c r="N615" s="48">
        <f t="shared" si="69"/>
        <v>9647.4</v>
      </c>
      <c r="O615" s="50">
        <f t="shared" si="70"/>
        <v>18997.439999999999</v>
      </c>
      <c r="P615" s="50">
        <v>0</v>
      </c>
      <c r="Q615" s="76"/>
      <c r="R615" s="139">
        <f>3*S9+3*S10</f>
        <v>42</v>
      </c>
      <c r="S615" s="79">
        <v>181.78</v>
      </c>
      <c r="T615" s="80">
        <v>187.56</v>
      </c>
    </row>
    <row r="616" spans="2:20" ht="28">
      <c r="B616" s="5" t="s">
        <v>1454</v>
      </c>
      <c r="C616" s="45" t="s">
        <v>97</v>
      </c>
      <c r="D616" s="45" t="s">
        <v>1455</v>
      </c>
      <c r="E616" s="6" t="s">
        <v>1456</v>
      </c>
      <c r="F616" s="45" t="s">
        <v>104</v>
      </c>
      <c r="G616" s="46">
        <f t="shared" si="71"/>
        <v>42</v>
      </c>
      <c r="H616" s="46">
        <f>TRUNC(S616*(1-LOTE_03!$K$10),2)</f>
        <v>2311.6799999999998</v>
      </c>
      <c r="I616" s="46">
        <f>TRUNC(T616*(1-LOTE_03!$K$10),2)</f>
        <v>532.54</v>
      </c>
      <c r="J616" s="100">
        <f t="shared" si="72"/>
        <v>0.22470000000000001</v>
      </c>
      <c r="K616" s="48">
        <f t="shared" si="66"/>
        <v>2831.11</v>
      </c>
      <c r="L616" s="48">
        <f t="shared" si="67"/>
        <v>652.20000000000005</v>
      </c>
      <c r="M616" s="48">
        <f t="shared" si="68"/>
        <v>118906.62</v>
      </c>
      <c r="N616" s="48">
        <f t="shared" si="69"/>
        <v>27392.400000000001</v>
      </c>
      <c r="O616" s="50">
        <f t="shared" si="70"/>
        <v>146299.01999999999</v>
      </c>
      <c r="P616" s="50">
        <v>0</v>
      </c>
      <c r="Q616" s="76"/>
      <c r="R616" s="139">
        <f>3*S9+3*S10</f>
        <v>42</v>
      </c>
      <c r="S616" s="79">
        <v>2311.6799999999998</v>
      </c>
      <c r="T616" s="80">
        <v>532.54</v>
      </c>
    </row>
    <row r="617" spans="2:20" ht="70">
      <c r="B617" s="5" t="s">
        <v>1457</v>
      </c>
      <c r="C617" s="45" t="s">
        <v>97</v>
      </c>
      <c r="D617" s="45" t="s">
        <v>1458</v>
      </c>
      <c r="E617" s="6" t="s">
        <v>1459</v>
      </c>
      <c r="F617" s="45" t="s">
        <v>104</v>
      </c>
      <c r="G617" s="46">
        <f t="shared" si="71"/>
        <v>28</v>
      </c>
      <c r="H617" s="46">
        <f>TRUNC(S617*(1-LOTE_03!$K$10),2)</f>
        <v>460.19</v>
      </c>
      <c r="I617" s="46">
        <f>TRUNC(T617*(1-LOTE_03!$K$10),2)</f>
        <v>45.45</v>
      </c>
      <c r="J617" s="100">
        <f t="shared" si="72"/>
        <v>0.22470000000000001</v>
      </c>
      <c r="K617" s="48">
        <f t="shared" si="66"/>
        <v>563.59</v>
      </c>
      <c r="L617" s="48">
        <f t="shared" si="67"/>
        <v>55.66</v>
      </c>
      <c r="M617" s="48">
        <f t="shared" si="68"/>
        <v>15780.52</v>
      </c>
      <c r="N617" s="48">
        <f t="shared" si="69"/>
        <v>1558.48</v>
      </c>
      <c r="O617" s="50">
        <f t="shared" si="70"/>
        <v>17339</v>
      </c>
      <c r="P617" s="50">
        <v>0</v>
      </c>
      <c r="Q617" s="76"/>
      <c r="R617" s="139">
        <f>2*S9+2*S10</f>
        <v>28</v>
      </c>
      <c r="S617" s="79">
        <v>460.19</v>
      </c>
      <c r="T617" s="80">
        <v>45.45</v>
      </c>
    </row>
    <row r="618" spans="2:20" ht="70">
      <c r="B618" s="5" t="s">
        <v>1460</v>
      </c>
      <c r="C618" s="45" t="s">
        <v>97</v>
      </c>
      <c r="D618" s="45" t="s">
        <v>1461</v>
      </c>
      <c r="E618" s="6" t="s">
        <v>1462</v>
      </c>
      <c r="F618" s="45" t="s">
        <v>104</v>
      </c>
      <c r="G618" s="46">
        <f t="shared" si="71"/>
        <v>28</v>
      </c>
      <c r="H618" s="46">
        <f>TRUNC(S618*(1-LOTE_03!$K$10),2)</f>
        <v>2171.6</v>
      </c>
      <c r="I618" s="46">
        <f>TRUNC(T618*(1-LOTE_03!$K$10),2)</f>
        <v>285.29000000000002</v>
      </c>
      <c r="J618" s="100">
        <f t="shared" si="72"/>
        <v>0.22470000000000001</v>
      </c>
      <c r="K618" s="48">
        <f t="shared" si="66"/>
        <v>2659.55</v>
      </c>
      <c r="L618" s="48">
        <f t="shared" si="67"/>
        <v>349.39</v>
      </c>
      <c r="M618" s="48">
        <f t="shared" si="68"/>
        <v>74467.399999999994</v>
      </c>
      <c r="N618" s="48">
        <f t="shared" si="69"/>
        <v>9782.92</v>
      </c>
      <c r="O618" s="50">
        <f t="shared" si="70"/>
        <v>84250.32</v>
      </c>
      <c r="P618" s="50">
        <v>0</v>
      </c>
      <c r="Q618" s="76"/>
      <c r="R618" s="139">
        <f>2*S9+2*S10</f>
        <v>28</v>
      </c>
      <c r="S618" s="79">
        <v>2171.6</v>
      </c>
      <c r="T618" s="80">
        <v>285.29000000000002</v>
      </c>
    </row>
    <row r="619" spans="2:20" ht="70">
      <c r="B619" s="5" t="s">
        <v>1463</v>
      </c>
      <c r="C619" s="45" t="s">
        <v>135</v>
      </c>
      <c r="D619" s="45">
        <v>103289</v>
      </c>
      <c r="E619" s="6" t="s">
        <v>1464</v>
      </c>
      <c r="F619" s="45" t="s">
        <v>187</v>
      </c>
      <c r="G619" s="46">
        <f t="shared" si="71"/>
        <v>140</v>
      </c>
      <c r="H619" s="46">
        <f>TRUNC(S619*(1-LOTE_03!$K$10),2)</f>
        <v>33.32</v>
      </c>
      <c r="I619" s="46">
        <f>TRUNC(T619*(1-LOTE_03!$K$10),2)</f>
        <v>3.09</v>
      </c>
      <c r="J619" s="100">
        <f t="shared" si="72"/>
        <v>0.22470000000000001</v>
      </c>
      <c r="K619" s="48">
        <f t="shared" si="66"/>
        <v>40.799999999999997</v>
      </c>
      <c r="L619" s="48">
        <f t="shared" si="67"/>
        <v>3.78</v>
      </c>
      <c r="M619" s="48">
        <f t="shared" si="68"/>
        <v>5712</v>
      </c>
      <c r="N619" s="48">
        <f t="shared" si="69"/>
        <v>529.20000000000005</v>
      </c>
      <c r="O619" s="50">
        <f t="shared" si="70"/>
        <v>6241.2</v>
      </c>
      <c r="P619" s="50">
        <v>0</v>
      </c>
      <c r="Q619" s="76"/>
      <c r="R619" s="139">
        <f>10*S9+10*S10</f>
        <v>140</v>
      </c>
      <c r="S619" s="79">
        <v>33.319999999999993</v>
      </c>
      <c r="T619" s="80">
        <v>3.09</v>
      </c>
    </row>
    <row r="620" spans="2:20" ht="70">
      <c r="B620" s="5" t="s">
        <v>1465</v>
      </c>
      <c r="C620" s="45" t="s">
        <v>135</v>
      </c>
      <c r="D620" s="45">
        <v>103290</v>
      </c>
      <c r="E620" s="6" t="s">
        <v>1466</v>
      </c>
      <c r="F620" s="45" t="s">
        <v>187</v>
      </c>
      <c r="G620" s="46">
        <f t="shared" si="71"/>
        <v>140</v>
      </c>
      <c r="H620" s="46">
        <f>TRUNC(S620*(1-LOTE_03!$K$10),2)</f>
        <v>58.55</v>
      </c>
      <c r="I620" s="46">
        <f>TRUNC(T620*(1-LOTE_03!$K$10),2)</f>
        <v>3.44</v>
      </c>
      <c r="J620" s="100">
        <f t="shared" si="72"/>
        <v>0.22470000000000001</v>
      </c>
      <c r="K620" s="48">
        <f t="shared" si="66"/>
        <v>71.7</v>
      </c>
      <c r="L620" s="48">
        <f t="shared" si="67"/>
        <v>4.21</v>
      </c>
      <c r="M620" s="48">
        <f t="shared" si="68"/>
        <v>10038</v>
      </c>
      <c r="N620" s="48">
        <f t="shared" si="69"/>
        <v>589.4</v>
      </c>
      <c r="O620" s="50">
        <f t="shared" si="70"/>
        <v>10627.4</v>
      </c>
      <c r="P620" s="50">
        <v>0</v>
      </c>
      <c r="Q620" s="76"/>
      <c r="R620" s="139">
        <f>10*S9+10*S10</f>
        <v>140</v>
      </c>
      <c r="S620" s="79">
        <v>58.550000000000004</v>
      </c>
      <c r="T620" s="80">
        <v>3.44</v>
      </c>
    </row>
    <row r="621" spans="2:20" ht="70">
      <c r="B621" s="5" t="s">
        <v>1467</v>
      </c>
      <c r="C621" s="45" t="s">
        <v>135</v>
      </c>
      <c r="D621" s="45">
        <v>103291</v>
      </c>
      <c r="E621" s="6" t="s">
        <v>1468</v>
      </c>
      <c r="F621" s="45" t="s">
        <v>187</v>
      </c>
      <c r="G621" s="46">
        <f t="shared" si="71"/>
        <v>140</v>
      </c>
      <c r="H621" s="46">
        <f>TRUNC(S621*(1-LOTE_03!$K$10),2)</f>
        <v>72.5</v>
      </c>
      <c r="I621" s="46">
        <f>TRUNC(T621*(1-LOTE_03!$K$10),2)</f>
        <v>3.79</v>
      </c>
      <c r="J621" s="100">
        <f t="shared" si="72"/>
        <v>0.22470000000000001</v>
      </c>
      <c r="K621" s="48">
        <f t="shared" si="66"/>
        <v>88.79</v>
      </c>
      <c r="L621" s="48">
        <f t="shared" si="67"/>
        <v>4.6399999999999997</v>
      </c>
      <c r="M621" s="48">
        <f t="shared" si="68"/>
        <v>12430.6</v>
      </c>
      <c r="N621" s="48">
        <f t="shared" si="69"/>
        <v>649.6</v>
      </c>
      <c r="O621" s="50">
        <f t="shared" si="70"/>
        <v>13080.2</v>
      </c>
      <c r="P621" s="50">
        <v>0</v>
      </c>
      <c r="Q621" s="76"/>
      <c r="R621" s="139">
        <f>10*S9+10*S10</f>
        <v>140</v>
      </c>
      <c r="S621" s="79">
        <v>72.5</v>
      </c>
      <c r="T621" s="80">
        <v>3.79</v>
      </c>
    </row>
    <row r="622" spans="2:20" ht="70">
      <c r="B622" s="5" t="s">
        <v>1469</v>
      </c>
      <c r="C622" s="45" t="s">
        <v>135</v>
      </c>
      <c r="D622" s="45">
        <v>103292</v>
      </c>
      <c r="E622" s="6" t="s">
        <v>1470</v>
      </c>
      <c r="F622" s="45" t="s">
        <v>187</v>
      </c>
      <c r="G622" s="46">
        <f t="shared" si="71"/>
        <v>140</v>
      </c>
      <c r="H622" s="46">
        <f>TRUNC(S622*(1-LOTE_03!$K$10),2)</f>
        <v>88.27</v>
      </c>
      <c r="I622" s="46">
        <f>TRUNC(T622*(1-LOTE_03!$K$10),2)</f>
        <v>4.13</v>
      </c>
      <c r="J622" s="100">
        <f t="shared" si="72"/>
        <v>0.22470000000000001</v>
      </c>
      <c r="K622" s="48">
        <f t="shared" si="66"/>
        <v>108.1</v>
      </c>
      <c r="L622" s="48">
        <f t="shared" si="67"/>
        <v>5.05</v>
      </c>
      <c r="M622" s="48">
        <f t="shared" si="68"/>
        <v>15134</v>
      </c>
      <c r="N622" s="48">
        <f t="shared" si="69"/>
        <v>707</v>
      </c>
      <c r="O622" s="50">
        <f t="shared" si="70"/>
        <v>15841</v>
      </c>
      <c r="P622" s="50">
        <v>0</v>
      </c>
      <c r="Q622" s="76"/>
      <c r="R622" s="139">
        <f>10*S9+10*S10</f>
        <v>140</v>
      </c>
      <c r="S622" s="79">
        <v>88.27000000000001</v>
      </c>
      <c r="T622" s="80">
        <v>4.13</v>
      </c>
    </row>
    <row r="623" spans="2:20" ht="28">
      <c r="B623" s="5" t="s">
        <v>1471</v>
      </c>
      <c r="C623" s="45" t="s">
        <v>97</v>
      </c>
      <c r="D623" s="45" t="s">
        <v>1472</v>
      </c>
      <c r="E623" s="6" t="s">
        <v>1473</v>
      </c>
      <c r="F623" s="45" t="s">
        <v>104</v>
      </c>
      <c r="G623" s="46">
        <f t="shared" si="71"/>
        <v>70</v>
      </c>
      <c r="H623" s="46">
        <f>TRUNC(S623*(1-LOTE_03!$K$10),2)</f>
        <v>262.12</v>
      </c>
      <c r="I623" s="46">
        <f>TRUNC(T623*(1-LOTE_03!$K$10),2)</f>
        <v>320.58</v>
      </c>
      <c r="J623" s="100">
        <f t="shared" si="72"/>
        <v>0.22470000000000001</v>
      </c>
      <c r="K623" s="48">
        <f t="shared" si="66"/>
        <v>321.01</v>
      </c>
      <c r="L623" s="48">
        <f t="shared" si="67"/>
        <v>392.61</v>
      </c>
      <c r="M623" s="48">
        <f t="shared" si="68"/>
        <v>22470.7</v>
      </c>
      <c r="N623" s="48">
        <f t="shared" si="69"/>
        <v>27482.7</v>
      </c>
      <c r="O623" s="50">
        <f t="shared" si="70"/>
        <v>49953.4</v>
      </c>
      <c r="P623" s="50">
        <v>0</v>
      </c>
      <c r="Q623" s="76"/>
      <c r="R623" s="139">
        <f>5*S9+5*S10</f>
        <v>70</v>
      </c>
      <c r="S623" s="79">
        <v>262.12</v>
      </c>
      <c r="T623" s="80">
        <v>320.58</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8914883.3400000017</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50">
        <v>0</v>
      </c>
      <c r="Q625" s="76"/>
      <c r="R625" s="154"/>
      <c r="S625" s="79" t="s">
        <v>22</v>
      </c>
      <c r="T625" s="80" t="s">
        <v>22</v>
      </c>
    </row>
    <row r="626" spans="2:20" ht="84">
      <c r="B626" s="5" t="s">
        <v>1476</v>
      </c>
      <c r="C626" s="45" t="s">
        <v>97</v>
      </c>
      <c r="D626" s="45" t="s">
        <v>1477</v>
      </c>
      <c r="E626" s="6" t="s">
        <v>1478</v>
      </c>
      <c r="F626" s="45" t="s">
        <v>121</v>
      </c>
      <c r="G626" s="46">
        <f t="shared" si="71"/>
        <v>420</v>
      </c>
      <c r="H626" s="46">
        <f>TRUNC(S626*(1-LOTE_03!$K$10),2)</f>
        <v>323.75</v>
      </c>
      <c r="I626" s="46">
        <f>TRUNC(T626*(1-LOTE_03!$K$10),2)</f>
        <v>27.74</v>
      </c>
      <c r="J626" s="100">
        <f t="shared" si="72"/>
        <v>0.22470000000000001</v>
      </c>
      <c r="K626" s="48">
        <f t="shared" si="66"/>
        <v>396.49</v>
      </c>
      <c r="L626" s="48">
        <f t="shared" si="67"/>
        <v>33.97</v>
      </c>
      <c r="M626" s="48">
        <f t="shared" si="68"/>
        <v>166525.79999999999</v>
      </c>
      <c r="N626" s="48">
        <f t="shared" si="69"/>
        <v>14267.4</v>
      </c>
      <c r="O626" s="50">
        <f t="shared" si="70"/>
        <v>180793.2</v>
      </c>
      <c r="P626" s="50">
        <v>0</v>
      </c>
      <c r="Q626" s="76"/>
      <c r="R626" s="139">
        <f>30*(S9+S10)</f>
        <v>420</v>
      </c>
      <c r="S626" s="79">
        <v>323.75</v>
      </c>
      <c r="T626" s="80">
        <v>27.74</v>
      </c>
    </row>
    <row r="627" spans="2:20" ht="70">
      <c r="B627" s="5" t="s">
        <v>1479</v>
      </c>
      <c r="C627" s="45" t="s">
        <v>97</v>
      </c>
      <c r="D627" s="45" t="s">
        <v>1480</v>
      </c>
      <c r="E627" s="6" t="s">
        <v>1481</v>
      </c>
      <c r="F627" s="45" t="s">
        <v>104</v>
      </c>
      <c r="G627" s="46">
        <f t="shared" si="71"/>
        <v>10</v>
      </c>
      <c r="H627" s="46">
        <f>TRUNC(S627*(1-LOTE_03!$K$10),2)</f>
        <v>1645.79</v>
      </c>
      <c r="I627" s="46">
        <f>TRUNC(T627*(1-LOTE_03!$K$10),2)</f>
        <v>126.09</v>
      </c>
      <c r="J627" s="100">
        <f t="shared" si="72"/>
        <v>0.22470000000000001</v>
      </c>
      <c r="K627" s="48">
        <f t="shared" si="66"/>
        <v>2015.59</v>
      </c>
      <c r="L627" s="48">
        <f t="shared" si="67"/>
        <v>154.41999999999999</v>
      </c>
      <c r="M627" s="48">
        <f t="shared" si="68"/>
        <v>20155.900000000001</v>
      </c>
      <c r="N627" s="48">
        <f t="shared" si="69"/>
        <v>1544.2</v>
      </c>
      <c r="O627" s="50">
        <f t="shared" si="70"/>
        <v>21700.1</v>
      </c>
      <c r="P627" s="50">
        <v>0</v>
      </c>
      <c r="Q627" s="76"/>
      <c r="R627" s="140">
        <f>IF((S9+S10)&gt;10,10,(S9+S10))</f>
        <v>10</v>
      </c>
      <c r="S627" s="79">
        <v>1645.79</v>
      </c>
      <c r="T627" s="80">
        <v>126.09</v>
      </c>
    </row>
    <row r="628" spans="2:20" ht="56">
      <c r="B628" s="5" t="s">
        <v>1482</v>
      </c>
      <c r="C628" s="45" t="s">
        <v>97</v>
      </c>
      <c r="D628" s="45" t="s">
        <v>467</v>
      </c>
      <c r="E628" s="6" t="s">
        <v>468</v>
      </c>
      <c r="F628" s="45" t="s">
        <v>121</v>
      </c>
      <c r="G628" s="46">
        <f t="shared" si="71"/>
        <v>939.4</v>
      </c>
      <c r="H628" s="46">
        <f>TRUNC(S628*(1-LOTE_03!$K$10),2)</f>
        <v>385.68</v>
      </c>
      <c r="I628" s="46">
        <f>TRUNC(T628*(1-LOTE_03!$K$10),2)</f>
        <v>124.04</v>
      </c>
      <c r="J628" s="100">
        <f t="shared" si="72"/>
        <v>0.22470000000000001</v>
      </c>
      <c r="K628" s="48">
        <f t="shared" si="66"/>
        <v>472.34</v>
      </c>
      <c r="L628" s="48">
        <f t="shared" si="67"/>
        <v>151.91</v>
      </c>
      <c r="M628" s="48">
        <f t="shared" si="68"/>
        <v>443716.19</v>
      </c>
      <c r="N628" s="48">
        <f t="shared" si="69"/>
        <v>142704.25</v>
      </c>
      <c r="O628" s="50">
        <f t="shared" si="70"/>
        <v>586420.43999999994</v>
      </c>
      <c r="P628" s="50">
        <v>0</v>
      </c>
      <c r="Q628" s="76"/>
      <c r="R628" s="139">
        <f>(13.5+12.5+5.5+22.6+13)*(S9+S10)</f>
        <v>939.39999999999986</v>
      </c>
      <c r="S628" s="79">
        <v>385.68</v>
      </c>
      <c r="T628" s="80">
        <v>124.04</v>
      </c>
    </row>
    <row r="629" spans="2:20" ht="28">
      <c r="B629" s="5" t="s">
        <v>1483</v>
      </c>
      <c r="C629" s="45" t="s">
        <v>97</v>
      </c>
      <c r="D629" s="45" t="s">
        <v>1484</v>
      </c>
      <c r="E629" s="6" t="s">
        <v>1485</v>
      </c>
      <c r="F629" s="45" t="s">
        <v>121</v>
      </c>
      <c r="G629" s="46">
        <f t="shared" si="71"/>
        <v>112</v>
      </c>
      <c r="H629" s="46">
        <f>TRUNC(S629*(1-LOTE_03!$K$10),2)</f>
        <v>444.45</v>
      </c>
      <c r="I629" s="46">
        <f>TRUNC(T629*(1-LOTE_03!$K$10),2)</f>
        <v>4.0199999999999996</v>
      </c>
      <c r="J629" s="100">
        <f t="shared" si="72"/>
        <v>0.22470000000000001</v>
      </c>
      <c r="K629" s="48">
        <f t="shared" si="66"/>
        <v>544.30999999999995</v>
      </c>
      <c r="L629" s="48">
        <f t="shared" si="67"/>
        <v>4.92</v>
      </c>
      <c r="M629" s="48">
        <f t="shared" si="68"/>
        <v>60962.720000000001</v>
      </c>
      <c r="N629" s="48">
        <f t="shared" si="69"/>
        <v>551.04</v>
      </c>
      <c r="O629" s="50">
        <f t="shared" si="70"/>
        <v>61513.760000000002</v>
      </c>
      <c r="P629" s="50">
        <v>0</v>
      </c>
      <c r="Q629" s="76"/>
      <c r="R629" s="139">
        <f>8*(S9+S10)</f>
        <v>112</v>
      </c>
      <c r="S629" s="79">
        <v>444.45</v>
      </c>
      <c r="T629" s="80">
        <v>4.0199999999999996</v>
      </c>
    </row>
    <row r="630" spans="2:20" ht="126">
      <c r="B630" s="5" t="s">
        <v>1486</v>
      </c>
      <c r="C630" s="45" t="s">
        <v>97</v>
      </c>
      <c r="D630" s="45" t="s">
        <v>1487</v>
      </c>
      <c r="E630" s="6" t="s">
        <v>1488</v>
      </c>
      <c r="F630" s="45" t="s">
        <v>104</v>
      </c>
      <c r="G630" s="46">
        <f t="shared" si="71"/>
        <v>14</v>
      </c>
      <c r="H630" s="46">
        <f>TRUNC(S630*(1-LOTE_03!$K$10),2)</f>
        <v>11776.87</v>
      </c>
      <c r="I630" s="46">
        <f>TRUNC(T630*(1-LOTE_03!$K$10),2)</f>
        <v>1407</v>
      </c>
      <c r="J630" s="100">
        <f t="shared" si="72"/>
        <v>0.22470000000000001</v>
      </c>
      <c r="K630" s="48">
        <f t="shared" si="66"/>
        <v>14423.13</v>
      </c>
      <c r="L630" s="48">
        <f t="shared" si="67"/>
        <v>1723.15</v>
      </c>
      <c r="M630" s="48">
        <f t="shared" si="68"/>
        <v>201923.82</v>
      </c>
      <c r="N630" s="48">
        <f t="shared" si="69"/>
        <v>24124.1</v>
      </c>
      <c r="O630" s="50">
        <f t="shared" si="70"/>
        <v>226047.92</v>
      </c>
      <c r="P630" s="50">
        <v>0</v>
      </c>
      <c r="Q630" s="76"/>
      <c r="R630" s="139">
        <f>1*(S9+S10)</f>
        <v>14</v>
      </c>
      <c r="S630" s="79">
        <v>11776.87</v>
      </c>
      <c r="T630" s="80">
        <v>1407</v>
      </c>
    </row>
    <row r="631" spans="2:20" ht="42">
      <c r="B631" s="5" t="s">
        <v>1489</v>
      </c>
      <c r="C631" s="45" t="s">
        <v>97</v>
      </c>
      <c r="D631" s="45" t="s">
        <v>1490</v>
      </c>
      <c r="E631" s="6" t="s">
        <v>1491</v>
      </c>
      <c r="F631" s="45" t="s">
        <v>104</v>
      </c>
      <c r="G631" s="46">
        <f t="shared" si="71"/>
        <v>14</v>
      </c>
      <c r="H631" s="46">
        <f>TRUNC(S631*(1-LOTE_03!$K$10),2)</f>
        <v>3036.74</v>
      </c>
      <c r="I631" s="46">
        <f>TRUNC(T631*(1-LOTE_03!$K$10),2)</f>
        <v>403.06</v>
      </c>
      <c r="J631" s="100">
        <f t="shared" si="72"/>
        <v>0.22470000000000001</v>
      </c>
      <c r="K631" s="48">
        <f t="shared" si="66"/>
        <v>3719.09</v>
      </c>
      <c r="L631" s="48">
        <f t="shared" si="67"/>
        <v>493.62</v>
      </c>
      <c r="M631" s="48">
        <f t="shared" si="68"/>
        <v>52067.26</v>
      </c>
      <c r="N631" s="48">
        <f t="shared" si="69"/>
        <v>6910.68</v>
      </c>
      <c r="O631" s="50">
        <f t="shared" si="70"/>
        <v>58977.94</v>
      </c>
      <c r="P631" s="50">
        <v>0</v>
      </c>
      <c r="Q631" s="76"/>
      <c r="R631" s="139">
        <f>1*(S9+S10)</f>
        <v>14</v>
      </c>
      <c r="S631" s="79">
        <v>3036.74</v>
      </c>
      <c r="T631" s="80">
        <v>403.06</v>
      </c>
    </row>
    <row r="632" spans="2:20" ht="84">
      <c r="B632" s="5" t="s">
        <v>1492</v>
      </c>
      <c r="C632" s="45" t="s">
        <v>97</v>
      </c>
      <c r="D632" s="45" t="s">
        <v>1493</v>
      </c>
      <c r="E632" s="6" t="s">
        <v>1494</v>
      </c>
      <c r="F632" s="45" t="s">
        <v>104</v>
      </c>
      <c r="G632" s="46">
        <f t="shared" si="71"/>
        <v>14</v>
      </c>
      <c r="H632" s="46">
        <f>TRUNC(S632*(1-LOTE_03!$K$10),2)</f>
        <v>9016.92</v>
      </c>
      <c r="I632" s="46">
        <f>TRUNC(T632*(1-LOTE_03!$K$10),2)</f>
        <v>103.68</v>
      </c>
      <c r="J632" s="100">
        <f t="shared" si="72"/>
        <v>0.22470000000000001</v>
      </c>
      <c r="K632" s="48">
        <f t="shared" si="66"/>
        <v>11043.02</v>
      </c>
      <c r="L632" s="48">
        <f t="shared" si="67"/>
        <v>126.97</v>
      </c>
      <c r="M632" s="48">
        <f t="shared" si="68"/>
        <v>154602.28</v>
      </c>
      <c r="N632" s="48">
        <f t="shared" si="69"/>
        <v>1777.58</v>
      </c>
      <c r="O632" s="50">
        <f t="shared" si="70"/>
        <v>156379.85999999999</v>
      </c>
      <c r="P632" s="50">
        <v>0</v>
      </c>
      <c r="Q632" s="76"/>
      <c r="R632" s="139">
        <f>1*(S9+S10)</f>
        <v>14</v>
      </c>
      <c r="S632" s="79">
        <v>9016.92</v>
      </c>
      <c r="T632" s="80">
        <v>103.68</v>
      </c>
    </row>
    <row r="633" spans="2:20" ht="84">
      <c r="B633" s="5" t="s">
        <v>1495</v>
      </c>
      <c r="C633" s="45" t="s">
        <v>97</v>
      </c>
      <c r="D633" s="45" t="s">
        <v>1496</v>
      </c>
      <c r="E633" s="6" t="s">
        <v>1497</v>
      </c>
      <c r="F633" s="45" t="s">
        <v>104</v>
      </c>
      <c r="G633" s="46">
        <f t="shared" si="71"/>
        <v>14</v>
      </c>
      <c r="H633" s="46">
        <f>TRUNC(S633*(1-LOTE_03!$K$10),2)</f>
        <v>6804.67</v>
      </c>
      <c r="I633" s="46">
        <f>TRUNC(T633*(1-LOTE_03!$K$10),2)</f>
        <v>103.68</v>
      </c>
      <c r="J633" s="100">
        <f t="shared" si="72"/>
        <v>0.22470000000000001</v>
      </c>
      <c r="K633" s="48">
        <f t="shared" si="66"/>
        <v>8333.67</v>
      </c>
      <c r="L633" s="48">
        <f t="shared" si="67"/>
        <v>126.97</v>
      </c>
      <c r="M633" s="48">
        <f t="shared" si="68"/>
        <v>116671.38</v>
      </c>
      <c r="N633" s="48">
        <f t="shared" si="69"/>
        <v>1777.58</v>
      </c>
      <c r="O633" s="50">
        <f t="shared" si="70"/>
        <v>118448.96000000001</v>
      </c>
      <c r="P633" s="50">
        <v>0</v>
      </c>
      <c r="Q633" s="76"/>
      <c r="R633" s="139">
        <f>1*(S9+S10)</f>
        <v>14</v>
      </c>
      <c r="S633" s="79">
        <v>6804.67</v>
      </c>
      <c r="T633" s="80">
        <v>103.68</v>
      </c>
    </row>
    <row r="634" spans="2:20" ht="56">
      <c r="B634" s="5" t="s">
        <v>1498</v>
      </c>
      <c r="C634" s="45" t="s">
        <v>97</v>
      </c>
      <c r="D634" s="45" t="s">
        <v>1499</v>
      </c>
      <c r="E634" s="6" t="s">
        <v>1500</v>
      </c>
      <c r="F634" s="45" t="s">
        <v>121</v>
      </c>
      <c r="G634" s="46">
        <f t="shared" si="71"/>
        <v>210</v>
      </c>
      <c r="H634" s="46">
        <f>TRUNC(S634*(1-LOTE_03!$K$10),2)</f>
        <v>446.01</v>
      </c>
      <c r="I634" s="46">
        <f>TRUNC(T634*(1-LOTE_03!$K$10),2)</f>
        <v>6.91</v>
      </c>
      <c r="J634" s="100">
        <f t="shared" si="72"/>
        <v>0.22470000000000001</v>
      </c>
      <c r="K634" s="48">
        <f t="shared" si="66"/>
        <v>546.22</v>
      </c>
      <c r="L634" s="48">
        <f t="shared" si="67"/>
        <v>8.4600000000000009</v>
      </c>
      <c r="M634" s="48">
        <f t="shared" si="68"/>
        <v>114706.2</v>
      </c>
      <c r="N634" s="48">
        <f t="shared" si="69"/>
        <v>1776.6</v>
      </c>
      <c r="O634" s="50">
        <f t="shared" si="70"/>
        <v>116482.8</v>
      </c>
      <c r="P634" s="50">
        <v>0</v>
      </c>
      <c r="Q634" s="76"/>
      <c r="R634" s="139">
        <f>15*(S9+S10)</f>
        <v>210</v>
      </c>
      <c r="S634" s="79">
        <v>446.01</v>
      </c>
      <c r="T634" s="80">
        <v>6.91</v>
      </c>
    </row>
    <row r="635" spans="2:20" ht="28">
      <c r="B635" s="5" t="s">
        <v>1501</v>
      </c>
      <c r="C635" s="45" t="s">
        <v>97</v>
      </c>
      <c r="D635" s="45" t="s">
        <v>1502</v>
      </c>
      <c r="E635" s="6" t="s">
        <v>1503</v>
      </c>
      <c r="F635" s="45" t="s">
        <v>104</v>
      </c>
      <c r="G635" s="46">
        <f t="shared" si="71"/>
        <v>28</v>
      </c>
      <c r="H635" s="46">
        <f>TRUNC(S635*(1-LOTE_03!$K$10),2)</f>
        <v>311.89999999999998</v>
      </c>
      <c r="I635" s="46">
        <f>TRUNC(T635*(1-LOTE_03!$K$10),2)</f>
        <v>21.4</v>
      </c>
      <c r="J635" s="100">
        <f t="shared" si="72"/>
        <v>0.22470000000000001</v>
      </c>
      <c r="K635" s="48">
        <f t="shared" si="66"/>
        <v>381.98</v>
      </c>
      <c r="L635" s="48">
        <f t="shared" si="67"/>
        <v>26.2</v>
      </c>
      <c r="M635" s="48">
        <f t="shared" si="68"/>
        <v>10695.44</v>
      </c>
      <c r="N635" s="48">
        <f t="shared" si="69"/>
        <v>733.6</v>
      </c>
      <c r="O635" s="50">
        <f t="shared" si="70"/>
        <v>11429.04</v>
      </c>
      <c r="P635" s="50">
        <v>0</v>
      </c>
      <c r="Q635" s="76"/>
      <c r="R635" s="139">
        <f>2*(S9+S10)</f>
        <v>28</v>
      </c>
      <c r="S635" s="79">
        <v>311.89999999999998</v>
      </c>
      <c r="T635" s="80">
        <v>21.4</v>
      </c>
    </row>
    <row r="636" spans="2:20" ht="56">
      <c r="B636" s="5" t="s">
        <v>1504</v>
      </c>
      <c r="C636" s="45" t="s">
        <v>97</v>
      </c>
      <c r="D636" s="45" t="s">
        <v>1505</v>
      </c>
      <c r="E636" s="6" t="s">
        <v>1506</v>
      </c>
      <c r="F636" s="45" t="s">
        <v>104</v>
      </c>
      <c r="G636" s="46">
        <f t="shared" si="71"/>
        <v>14</v>
      </c>
      <c r="H636" s="46">
        <f>TRUNC(S636*(1-LOTE_03!$K$10),2)</f>
        <v>217.3</v>
      </c>
      <c r="I636" s="46">
        <f>TRUNC(T636*(1-LOTE_03!$K$10),2)</f>
        <v>2.89</v>
      </c>
      <c r="J636" s="100">
        <f t="shared" si="72"/>
        <v>0.22470000000000001</v>
      </c>
      <c r="K636" s="48">
        <f t="shared" si="66"/>
        <v>266.12</v>
      </c>
      <c r="L636" s="48">
        <f t="shared" si="67"/>
        <v>3.53</v>
      </c>
      <c r="M636" s="48">
        <f t="shared" si="68"/>
        <v>3725.68</v>
      </c>
      <c r="N636" s="48">
        <f t="shared" si="69"/>
        <v>49.42</v>
      </c>
      <c r="O636" s="50">
        <f t="shared" si="70"/>
        <v>3775.1</v>
      </c>
      <c r="P636" s="50">
        <v>0</v>
      </c>
      <c r="Q636" s="76"/>
      <c r="R636" s="139">
        <f>1*(S9+S10)</f>
        <v>14</v>
      </c>
      <c r="S636" s="79">
        <v>217.3</v>
      </c>
      <c r="T636" s="80">
        <v>2.89</v>
      </c>
    </row>
    <row r="637" spans="2:20" ht="42">
      <c r="B637" s="5" t="s">
        <v>1507</v>
      </c>
      <c r="C637" s="45" t="s">
        <v>97</v>
      </c>
      <c r="D637" s="45" t="s">
        <v>1508</v>
      </c>
      <c r="E637" s="6" t="s">
        <v>1509</v>
      </c>
      <c r="F637" s="45" t="s">
        <v>121</v>
      </c>
      <c r="G637" s="46">
        <f t="shared" si="71"/>
        <v>70</v>
      </c>
      <c r="H637" s="46">
        <f>TRUNC(S637*(1-LOTE_03!$K$10),2)</f>
        <v>3504.18</v>
      </c>
      <c r="I637" s="46">
        <f>TRUNC(T637*(1-LOTE_03!$K$10),2)</f>
        <v>34.56</v>
      </c>
      <c r="J637" s="100">
        <f t="shared" si="72"/>
        <v>0.22470000000000001</v>
      </c>
      <c r="K637" s="48">
        <f t="shared" si="66"/>
        <v>4291.5600000000004</v>
      </c>
      <c r="L637" s="48">
        <f t="shared" si="67"/>
        <v>42.32</v>
      </c>
      <c r="M637" s="48">
        <f t="shared" si="68"/>
        <v>300409.2</v>
      </c>
      <c r="N637" s="48">
        <f t="shared" si="69"/>
        <v>2962.4</v>
      </c>
      <c r="O637" s="50">
        <f t="shared" si="70"/>
        <v>303371.59999999998</v>
      </c>
      <c r="P637" s="50">
        <v>0</v>
      </c>
      <c r="Q637" s="76"/>
      <c r="R637" s="139">
        <f>2.5*2*(S9+S10)</f>
        <v>70</v>
      </c>
      <c r="S637" s="79">
        <v>3504.18</v>
      </c>
      <c r="T637" s="80">
        <v>34.56</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50">
        <v>0</v>
      </c>
      <c r="Q638" s="76"/>
      <c r="R638" s="154"/>
      <c r="S638" s="79" t="s">
        <v>22</v>
      </c>
      <c r="T638" s="80" t="s">
        <v>22</v>
      </c>
    </row>
    <row r="639" spans="2:20" ht="98">
      <c r="B639" s="5" t="s">
        <v>1512</v>
      </c>
      <c r="C639" s="45" t="s">
        <v>135</v>
      </c>
      <c r="D639" s="45">
        <v>96369</v>
      </c>
      <c r="E639" s="6" t="s">
        <v>1513</v>
      </c>
      <c r="F639" s="45" t="s">
        <v>121</v>
      </c>
      <c r="G639" s="46">
        <f t="shared" si="71"/>
        <v>252</v>
      </c>
      <c r="H639" s="46">
        <f>TRUNC(S639*(1-LOTE_03!$K$10),2)</f>
        <v>203.86</v>
      </c>
      <c r="I639" s="46">
        <f>TRUNC(T639*(1-LOTE_03!$K$10),2)</f>
        <v>19.2</v>
      </c>
      <c r="J639" s="100">
        <f t="shared" si="72"/>
        <v>0.22470000000000001</v>
      </c>
      <c r="K639" s="48">
        <f t="shared" si="66"/>
        <v>249.66</v>
      </c>
      <c r="L639" s="48">
        <f t="shared" si="67"/>
        <v>23.51</v>
      </c>
      <c r="M639" s="48">
        <f t="shared" si="68"/>
        <v>62914.32</v>
      </c>
      <c r="N639" s="48">
        <f t="shared" si="69"/>
        <v>5924.52</v>
      </c>
      <c r="O639" s="50">
        <f t="shared" si="70"/>
        <v>68838.84</v>
      </c>
      <c r="P639" s="50">
        <v>0</v>
      </c>
      <c r="Q639" s="76"/>
      <c r="R639" s="139">
        <f>4.5*4*(S9+S10)</f>
        <v>252</v>
      </c>
      <c r="S639" s="79">
        <v>203.86</v>
      </c>
      <c r="T639" s="80">
        <v>19.2</v>
      </c>
    </row>
    <row r="640" spans="2:20" ht="98">
      <c r="B640" s="5" t="s">
        <v>1514</v>
      </c>
      <c r="C640" s="45" t="s">
        <v>97</v>
      </c>
      <c r="D640" s="45" t="s">
        <v>1515</v>
      </c>
      <c r="E640" s="6" t="s">
        <v>1516</v>
      </c>
      <c r="F640" s="45" t="s">
        <v>121</v>
      </c>
      <c r="G640" s="46">
        <f t="shared" si="71"/>
        <v>126</v>
      </c>
      <c r="H640" s="46">
        <f>TRUNC(S640*(1-LOTE_03!$K$10),2)</f>
        <v>1300.6500000000001</v>
      </c>
      <c r="I640" s="46">
        <f>TRUNC(T640*(1-LOTE_03!$K$10),2)</f>
        <v>17.28</v>
      </c>
      <c r="J640" s="100">
        <f t="shared" si="72"/>
        <v>0.22470000000000001</v>
      </c>
      <c r="K640" s="48">
        <f t="shared" si="66"/>
        <v>1592.9</v>
      </c>
      <c r="L640" s="48">
        <f t="shared" si="67"/>
        <v>21.16</v>
      </c>
      <c r="M640" s="48">
        <f t="shared" si="68"/>
        <v>200705.4</v>
      </c>
      <c r="N640" s="48">
        <f t="shared" si="69"/>
        <v>2666.16</v>
      </c>
      <c r="O640" s="50">
        <f t="shared" si="70"/>
        <v>203371.56</v>
      </c>
      <c r="P640" s="50">
        <v>0</v>
      </c>
      <c r="Q640" s="76"/>
      <c r="R640" s="139">
        <f>1.2*3*2.5*(S9+S10)</f>
        <v>126</v>
      </c>
      <c r="S640" s="79">
        <v>1300.6500000000001</v>
      </c>
      <c r="T640" s="80">
        <v>17.28</v>
      </c>
    </row>
    <row r="641" spans="2:20" ht="42">
      <c r="B641" s="5" t="s">
        <v>1517</v>
      </c>
      <c r="C641" s="45" t="s">
        <v>97</v>
      </c>
      <c r="D641" s="45" t="s">
        <v>1518</v>
      </c>
      <c r="E641" s="6" t="s">
        <v>1519</v>
      </c>
      <c r="F641" s="45" t="s">
        <v>121</v>
      </c>
      <c r="G641" s="46">
        <f t="shared" si="71"/>
        <v>126</v>
      </c>
      <c r="H641" s="46">
        <f>TRUNC(S641*(1-LOTE_03!$K$10),2)</f>
        <v>614.44000000000005</v>
      </c>
      <c r="I641" s="46">
        <f>TRUNC(T641*(1-LOTE_03!$K$10),2)</f>
        <v>14.59</v>
      </c>
      <c r="J641" s="100">
        <f t="shared" si="72"/>
        <v>0.22470000000000001</v>
      </c>
      <c r="K641" s="48">
        <f t="shared" si="66"/>
        <v>752.5</v>
      </c>
      <c r="L641" s="48">
        <f t="shared" si="67"/>
        <v>17.86</v>
      </c>
      <c r="M641" s="48">
        <f t="shared" si="68"/>
        <v>94815</v>
      </c>
      <c r="N641" s="48">
        <f t="shared" si="69"/>
        <v>2250.36</v>
      </c>
      <c r="O641" s="50">
        <f t="shared" si="70"/>
        <v>97065.36</v>
      </c>
      <c r="P641" s="50">
        <v>0</v>
      </c>
      <c r="Q641" s="76"/>
      <c r="R641" s="139">
        <f>(R639-R640)</f>
        <v>126</v>
      </c>
      <c r="S641" s="79">
        <v>614.44000000000005</v>
      </c>
      <c r="T641" s="80">
        <v>14.59</v>
      </c>
    </row>
    <row r="642" spans="2:20" ht="70">
      <c r="B642" s="5" t="s">
        <v>1520</v>
      </c>
      <c r="C642" s="45" t="s">
        <v>97</v>
      </c>
      <c r="D642" s="45" t="s">
        <v>1521</v>
      </c>
      <c r="E642" s="6" t="s">
        <v>1522</v>
      </c>
      <c r="F642" s="45" t="s">
        <v>104</v>
      </c>
      <c r="G642" s="46">
        <f t="shared" si="71"/>
        <v>42</v>
      </c>
      <c r="H642" s="46">
        <f>TRUNC(S642*(1-LOTE_03!$K$10),2)</f>
        <v>1134.93</v>
      </c>
      <c r="I642" s="46">
        <f>TRUNC(T642*(1-LOTE_03!$K$10),2)</f>
        <v>6.91</v>
      </c>
      <c r="J642" s="100">
        <f t="shared" si="72"/>
        <v>0.22470000000000001</v>
      </c>
      <c r="K642" s="48">
        <f t="shared" si="66"/>
        <v>1389.94</v>
      </c>
      <c r="L642" s="48">
        <f t="shared" si="67"/>
        <v>8.4600000000000009</v>
      </c>
      <c r="M642" s="48">
        <f t="shared" si="68"/>
        <v>58377.48</v>
      </c>
      <c r="N642" s="48">
        <f t="shared" si="69"/>
        <v>355.32</v>
      </c>
      <c r="O642" s="50">
        <f t="shared" si="70"/>
        <v>58732.800000000003</v>
      </c>
      <c r="P642" s="50">
        <v>0</v>
      </c>
      <c r="Q642" s="76"/>
      <c r="R642" s="139">
        <f>3*(S9+S10)</f>
        <v>42</v>
      </c>
      <c r="S642" s="79">
        <v>1134.93</v>
      </c>
      <c r="T642" s="80">
        <v>6.91</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50">
        <v>0</v>
      </c>
      <c r="Q643" s="76"/>
      <c r="R643" s="154"/>
      <c r="S643" s="79" t="s">
        <v>22</v>
      </c>
      <c r="T643" s="80" t="s">
        <v>22</v>
      </c>
    </row>
    <row r="644" spans="2:20" ht="28">
      <c r="B644" s="5" t="s">
        <v>1525</v>
      </c>
      <c r="C644" s="45" t="s">
        <v>97</v>
      </c>
      <c r="D644" s="45" t="s">
        <v>1526</v>
      </c>
      <c r="E644" s="6" t="s">
        <v>1527</v>
      </c>
      <c r="F644" s="45" t="s">
        <v>121</v>
      </c>
      <c r="G644" s="46">
        <f t="shared" si="71"/>
        <v>2856</v>
      </c>
      <c r="H644" s="46">
        <f>TRUNC(S644*(1-LOTE_03!$K$10),2)</f>
        <v>578.42999999999995</v>
      </c>
      <c r="I644" s="46">
        <f>TRUNC(T644*(1-LOTE_03!$K$10),2)</f>
        <v>67.7</v>
      </c>
      <c r="J644" s="100">
        <f t="shared" si="72"/>
        <v>0.22470000000000001</v>
      </c>
      <c r="K644" s="48">
        <f t="shared" si="66"/>
        <v>708.4</v>
      </c>
      <c r="L644" s="48">
        <f t="shared" si="67"/>
        <v>82.91</v>
      </c>
      <c r="M644" s="48">
        <f t="shared" si="68"/>
        <v>2023190.4</v>
      </c>
      <c r="N644" s="48">
        <f t="shared" si="69"/>
        <v>236790.96</v>
      </c>
      <c r="O644" s="50">
        <f t="shared" si="70"/>
        <v>2259981.36</v>
      </c>
      <c r="P644" s="50">
        <v>0</v>
      </c>
      <c r="Q644" s="76"/>
      <c r="R644" s="139">
        <f>(25*(4+2*2)+2*2)*(S9+S10)</f>
        <v>2856</v>
      </c>
      <c r="S644" s="79">
        <v>578.42999999999995</v>
      </c>
      <c r="T644" s="80">
        <v>67.7</v>
      </c>
    </row>
    <row r="645" spans="2:20" ht="42">
      <c r="B645" s="5" t="s">
        <v>1528</v>
      </c>
      <c r="C645" s="45" t="s">
        <v>165</v>
      </c>
      <c r="D645" s="45" t="s">
        <v>1529</v>
      </c>
      <c r="E645" s="6" t="s">
        <v>1530</v>
      </c>
      <c r="F645" s="45" t="s">
        <v>168</v>
      </c>
      <c r="G645" s="46">
        <f t="shared" si="71"/>
        <v>2954</v>
      </c>
      <c r="H645" s="46">
        <f>TRUNC(S645*(1-LOTE_03!$K$10),2)</f>
        <v>256.83</v>
      </c>
      <c r="I645" s="46">
        <f>TRUNC(T645*(1-LOTE_03!$K$10),2)</f>
        <v>15.94</v>
      </c>
      <c r="J645" s="100">
        <f t="shared" si="72"/>
        <v>0.22470000000000001</v>
      </c>
      <c r="K645" s="48">
        <f t="shared" si="66"/>
        <v>314.52999999999997</v>
      </c>
      <c r="L645" s="48">
        <f t="shared" si="67"/>
        <v>19.52</v>
      </c>
      <c r="M645" s="48">
        <f t="shared" si="68"/>
        <v>929121.62</v>
      </c>
      <c r="N645" s="48">
        <f t="shared" si="69"/>
        <v>57662.080000000002</v>
      </c>
      <c r="O645" s="50">
        <f t="shared" si="70"/>
        <v>986783.7</v>
      </c>
      <c r="P645" s="50">
        <v>0</v>
      </c>
      <c r="Q645" s="76"/>
      <c r="R645" s="139">
        <f>211*(S9+S10)</f>
        <v>2954</v>
      </c>
      <c r="S645" s="79">
        <v>256.83</v>
      </c>
      <c r="T645" s="80">
        <v>15.94</v>
      </c>
    </row>
    <row r="646" spans="2:20" ht="28">
      <c r="B646" s="5" t="s">
        <v>1531</v>
      </c>
      <c r="C646" s="45" t="s">
        <v>97</v>
      </c>
      <c r="D646" s="45" t="s">
        <v>1532</v>
      </c>
      <c r="E646" s="6" t="s">
        <v>1533</v>
      </c>
      <c r="F646" s="45" t="s">
        <v>121</v>
      </c>
      <c r="G646" s="46">
        <f t="shared" si="71"/>
        <v>147</v>
      </c>
      <c r="H646" s="46">
        <f>TRUNC(S646*(1-LOTE_03!$K$10),2)</f>
        <v>2146.52</v>
      </c>
      <c r="I646" s="46">
        <f>TRUNC(T646*(1-LOTE_03!$K$10),2)</f>
        <v>20.309999999999999</v>
      </c>
      <c r="J646" s="100">
        <f t="shared" si="72"/>
        <v>0.22470000000000001</v>
      </c>
      <c r="K646" s="48">
        <f t="shared" si="66"/>
        <v>2628.84</v>
      </c>
      <c r="L646" s="48">
        <f t="shared" si="67"/>
        <v>24.87</v>
      </c>
      <c r="M646" s="48">
        <f t="shared" si="68"/>
        <v>386439.48</v>
      </c>
      <c r="N646" s="48">
        <f t="shared" si="69"/>
        <v>3655.89</v>
      </c>
      <c r="O646" s="50">
        <f t="shared" si="70"/>
        <v>390095.37</v>
      </c>
      <c r="P646" s="50">
        <v>0</v>
      </c>
      <c r="Q646" s="76"/>
      <c r="R646" s="139">
        <f>3*3.5*(S9+S10)</f>
        <v>147</v>
      </c>
      <c r="S646" s="79">
        <v>2146.52</v>
      </c>
      <c r="T646" s="80">
        <v>20.309999999999999</v>
      </c>
    </row>
    <row r="647" spans="2:20" ht="56">
      <c r="B647" s="5" t="s">
        <v>1534</v>
      </c>
      <c r="C647" s="45" t="s">
        <v>97</v>
      </c>
      <c r="D647" s="45" t="s">
        <v>1535</v>
      </c>
      <c r="E647" s="6" t="s">
        <v>1536</v>
      </c>
      <c r="F647" s="45" t="s">
        <v>104</v>
      </c>
      <c r="G647" s="46">
        <f t="shared" si="71"/>
        <v>14</v>
      </c>
      <c r="H647" s="46">
        <f>TRUNC(S647*(1-LOTE_03!$K$10),2)</f>
        <v>3329.97</v>
      </c>
      <c r="I647" s="46">
        <f>TRUNC(T647*(1-LOTE_03!$K$10),2)</f>
        <v>34.56</v>
      </c>
      <c r="J647" s="100">
        <f t="shared" si="72"/>
        <v>0.22470000000000001</v>
      </c>
      <c r="K647" s="48">
        <f t="shared" si="66"/>
        <v>4078.21</v>
      </c>
      <c r="L647" s="48">
        <f t="shared" si="67"/>
        <v>42.32</v>
      </c>
      <c r="M647" s="48">
        <f t="shared" si="68"/>
        <v>57094.94</v>
      </c>
      <c r="N647" s="48">
        <f t="shared" si="69"/>
        <v>592.48</v>
      </c>
      <c r="O647" s="50">
        <f t="shared" si="70"/>
        <v>57687.42</v>
      </c>
      <c r="P647" s="50">
        <v>0</v>
      </c>
      <c r="Q647" s="76"/>
      <c r="R647" s="139">
        <f>1*(S9+S10)</f>
        <v>14</v>
      </c>
      <c r="S647" s="79">
        <v>3329.97</v>
      </c>
      <c r="T647" s="80">
        <v>34.56</v>
      </c>
    </row>
    <row r="648" spans="2:20" ht="84">
      <c r="B648" s="5" t="s">
        <v>1537</v>
      </c>
      <c r="C648" s="45" t="s">
        <v>97</v>
      </c>
      <c r="D648" s="45" t="s">
        <v>1477</v>
      </c>
      <c r="E648" s="6" t="s">
        <v>1478</v>
      </c>
      <c r="F648" s="45" t="s">
        <v>121</v>
      </c>
      <c r="G648" s="46">
        <f t="shared" si="71"/>
        <v>210</v>
      </c>
      <c r="H648" s="46">
        <f>TRUNC(S648*(1-LOTE_03!$K$10),2)</f>
        <v>323.75</v>
      </c>
      <c r="I648" s="46">
        <f>TRUNC(T648*(1-LOTE_03!$K$10),2)</f>
        <v>27.74</v>
      </c>
      <c r="J648" s="100">
        <f t="shared" si="72"/>
        <v>0.22470000000000001</v>
      </c>
      <c r="K648" s="48">
        <f t="shared" si="66"/>
        <v>396.49</v>
      </c>
      <c r="L648" s="48">
        <f t="shared" si="67"/>
        <v>33.97</v>
      </c>
      <c r="M648" s="48">
        <f t="shared" si="68"/>
        <v>83262.899999999994</v>
      </c>
      <c r="N648" s="48">
        <f t="shared" si="69"/>
        <v>7133.7</v>
      </c>
      <c r="O648" s="50">
        <f t="shared" si="70"/>
        <v>90396.6</v>
      </c>
      <c r="P648" s="50">
        <v>0</v>
      </c>
      <c r="Q648" s="76"/>
      <c r="R648" s="139">
        <f>5*3*(S9+S10)</f>
        <v>210</v>
      </c>
      <c r="S648" s="79">
        <v>323.75</v>
      </c>
      <c r="T648" s="80">
        <v>27.74</v>
      </c>
    </row>
    <row r="649" spans="2:20" ht="56">
      <c r="B649" s="5" t="s">
        <v>1538</v>
      </c>
      <c r="C649" s="45" t="s">
        <v>97</v>
      </c>
      <c r="D649" s="45" t="s">
        <v>1539</v>
      </c>
      <c r="E649" s="6" t="s">
        <v>1540</v>
      </c>
      <c r="F649" s="45" t="s">
        <v>104</v>
      </c>
      <c r="G649" s="46">
        <f t="shared" si="71"/>
        <v>14</v>
      </c>
      <c r="H649" s="46">
        <f>TRUNC(S649*(1-LOTE_03!$K$10),2)</f>
        <v>5060.7</v>
      </c>
      <c r="I649" s="46">
        <f>TRUNC(T649*(1-LOTE_03!$K$10),2)</f>
        <v>69.12</v>
      </c>
      <c r="J649" s="100">
        <f t="shared" si="72"/>
        <v>0.22470000000000001</v>
      </c>
      <c r="K649" s="48">
        <f t="shared" si="66"/>
        <v>6197.83</v>
      </c>
      <c r="L649" s="48">
        <f t="shared" si="67"/>
        <v>84.65</v>
      </c>
      <c r="M649" s="48">
        <f t="shared" si="68"/>
        <v>86769.62</v>
      </c>
      <c r="N649" s="48">
        <f t="shared" si="69"/>
        <v>1185.0999999999999</v>
      </c>
      <c r="O649" s="50">
        <f t="shared" si="70"/>
        <v>87954.72</v>
      </c>
      <c r="P649" s="50">
        <v>0</v>
      </c>
      <c r="Q649" s="76"/>
      <c r="R649" s="139">
        <f>1*(S9+S10)</f>
        <v>14</v>
      </c>
      <c r="S649" s="79">
        <v>5060.7</v>
      </c>
      <c r="T649" s="80">
        <v>69.12</v>
      </c>
    </row>
    <row r="650" spans="2:20" ht="42">
      <c r="B650" s="5" t="s">
        <v>1541</v>
      </c>
      <c r="C650" s="45" t="s">
        <v>97</v>
      </c>
      <c r="D650" s="45" t="s">
        <v>1542</v>
      </c>
      <c r="E650" s="6" t="s">
        <v>1543</v>
      </c>
      <c r="F650" s="45" t="s">
        <v>121</v>
      </c>
      <c r="G650" s="46">
        <f t="shared" si="71"/>
        <v>56</v>
      </c>
      <c r="H650" s="46">
        <f>TRUNC(S650*(1-LOTE_03!$K$10),2)</f>
        <v>1643.81</v>
      </c>
      <c r="I650" s="46">
        <f>TRUNC(T650*(1-LOTE_03!$K$10),2)</f>
        <v>10.050000000000001</v>
      </c>
      <c r="J650" s="100">
        <f t="shared" si="72"/>
        <v>0.22470000000000001</v>
      </c>
      <c r="K650" s="48">
        <f t="shared" si="66"/>
        <v>2013.17</v>
      </c>
      <c r="L650" s="48">
        <f t="shared" si="67"/>
        <v>12.3</v>
      </c>
      <c r="M650" s="48">
        <f t="shared" si="68"/>
        <v>112737.52</v>
      </c>
      <c r="N650" s="48">
        <f t="shared" si="69"/>
        <v>688.8</v>
      </c>
      <c r="O650" s="50">
        <f t="shared" si="70"/>
        <v>113426.32</v>
      </c>
      <c r="P650" s="50">
        <v>0</v>
      </c>
      <c r="Q650" s="76"/>
      <c r="R650" s="139">
        <f>(2+2)*(S9+S10)</f>
        <v>56</v>
      </c>
      <c r="S650" s="79">
        <v>1643.81</v>
      </c>
      <c r="T650" s="80">
        <v>10.050000000000001</v>
      </c>
    </row>
    <row r="651" spans="2:20" ht="70">
      <c r="B651" s="5" t="s">
        <v>1544</v>
      </c>
      <c r="C651" s="45" t="s">
        <v>97</v>
      </c>
      <c r="D651" s="45" t="s">
        <v>1545</v>
      </c>
      <c r="E651" s="6" t="s">
        <v>1546</v>
      </c>
      <c r="F651" s="45" t="s">
        <v>104</v>
      </c>
      <c r="G651" s="46">
        <f t="shared" si="71"/>
        <v>98</v>
      </c>
      <c r="H651" s="46">
        <f>TRUNC(S651*(1-LOTE_03!$K$10),2)</f>
        <v>792.98</v>
      </c>
      <c r="I651" s="46">
        <f>TRUNC(T651*(1-LOTE_03!$K$10),2)</f>
        <v>4.0199999999999996</v>
      </c>
      <c r="J651" s="100">
        <f t="shared" si="72"/>
        <v>0.22470000000000001</v>
      </c>
      <c r="K651" s="48">
        <f t="shared" si="66"/>
        <v>971.16</v>
      </c>
      <c r="L651" s="48">
        <f t="shared" si="67"/>
        <v>4.92</v>
      </c>
      <c r="M651" s="48">
        <f t="shared" si="68"/>
        <v>95173.68</v>
      </c>
      <c r="N651" s="48">
        <f t="shared" si="69"/>
        <v>482.16</v>
      </c>
      <c r="O651" s="50">
        <f t="shared" si="70"/>
        <v>95655.84</v>
      </c>
      <c r="P651" s="50">
        <v>0</v>
      </c>
      <c r="Q651" s="76"/>
      <c r="R651" s="139">
        <f>7*(S9+S10)</f>
        <v>98</v>
      </c>
      <c r="S651" s="79">
        <v>792.98</v>
      </c>
      <c r="T651" s="80">
        <v>4.0199999999999996</v>
      </c>
    </row>
    <row r="652" spans="2:20" ht="70">
      <c r="B652" s="5" t="s">
        <v>1547</v>
      </c>
      <c r="C652" s="45" t="s">
        <v>97</v>
      </c>
      <c r="D652" s="45" t="s">
        <v>1548</v>
      </c>
      <c r="E652" s="6" t="s">
        <v>1549</v>
      </c>
      <c r="F652" s="45" t="s">
        <v>104</v>
      </c>
      <c r="G652" s="46">
        <f t="shared" si="71"/>
        <v>14</v>
      </c>
      <c r="H652" s="46">
        <f>TRUNC(S652*(1-LOTE_03!$K$10),2)</f>
        <v>1864.9</v>
      </c>
      <c r="I652" s="46">
        <f>TRUNC(T652*(1-LOTE_03!$K$10),2)</f>
        <v>4.0199999999999996</v>
      </c>
      <c r="J652" s="100">
        <f t="shared" si="72"/>
        <v>0.22470000000000001</v>
      </c>
      <c r="K652" s="48">
        <f t="shared" si="66"/>
        <v>2283.94</v>
      </c>
      <c r="L652" s="48">
        <f t="shared" si="67"/>
        <v>4.92</v>
      </c>
      <c r="M652" s="48">
        <f t="shared" si="68"/>
        <v>31975.16</v>
      </c>
      <c r="N652" s="48">
        <f t="shared" si="69"/>
        <v>68.88</v>
      </c>
      <c r="O652" s="50">
        <f t="shared" si="70"/>
        <v>32044.04</v>
      </c>
      <c r="P652" s="50">
        <v>0</v>
      </c>
      <c r="Q652" s="76"/>
      <c r="R652" s="139">
        <f>1*(S9+S10)</f>
        <v>14</v>
      </c>
      <c r="S652" s="79">
        <v>1864.9</v>
      </c>
      <c r="T652" s="80">
        <v>4.0199999999999996</v>
      </c>
    </row>
    <row r="653" spans="2:20" ht="70">
      <c r="B653" s="5" t="s">
        <v>1550</v>
      </c>
      <c r="C653" s="45" t="s">
        <v>97</v>
      </c>
      <c r="D653" s="45" t="s">
        <v>1551</v>
      </c>
      <c r="E653" s="6" t="s">
        <v>1552</v>
      </c>
      <c r="F653" s="45" t="s">
        <v>104</v>
      </c>
      <c r="G653" s="46">
        <f t="shared" si="71"/>
        <v>56</v>
      </c>
      <c r="H653" s="46">
        <f>TRUNC(S653*(1-LOTE_03!$K$10),2)</f>
        <v>782.58</v>
      </c>
      <c r="I653" s="46">
        <f>TRUNC(T653*(1-LOTE_03!$K$10),2)</f>
        <v>3.75</v>
      </c>
      <c r="J653" s="100">
        <f t="shared" si="72"/>
        <v>0.22470000000000001</v>
      </c>
      <c r="K653" s="48">
        <f t="shared" si="66"/>
        <v>958.42</v>
      </c>
      <c r="L653" s="48">
        <f t="shared" si="67"/>
        <v>4.59</v>
      </c>
      <c r="M653" s="48">
        <f t="shared" si="68"/>
        <v>53671.519999999997</v>
      </c>
      <c r="N653" s="48">
        <f t="shared" si="69"/>
        <v>257.04000000000002</v>
      </c>
      <c r="O653" s="50">
        <f t="shared" si="70"/>
        <v>53928.56</v>
      </c>
      <c r="P653" s="50">
        <v>0</v>
      </c>
      <c r="Q653" s="76"/>
      <c r="R653" s="139">
        <f>4*(S9+S10)</f>
        <v>56</v>
      </c>
      <c r="S653" s="79">
        <v>782.58</v>
      </c>
      <c r="T653" s="80">
        <v>3.75</v>
      </c>
    </row>
    <row r="654" spans="2:20" ht="56">
      <c r="B654" s="5" t="s">
        <v>1553</v>
      </c>
      <c r="C654" s="45" t="s">
        <v>97</v>
      </c>
      <c r="D654" s="45" t="s">
        <v>1554</v>
      </c>
      <c r="E654" s="6" t="s">
        <v>1555</v>
      </c>
      <c r="F654" s="45" t="s">
        <v>104</v>
      </c>
      <c r="G654" s="46">
        <f t="shared" si="71"/>
        <v>70</v>
      </c>
      <c r="H654" s="46">
        <f>TRUNC(S654*(1-LOTE_03!$K$10),2)</f>
        <v>563.07000000000005</v>
      </c>
      <c r="I654" s="46">
        <f>TRUNC(T654*(1-LOTE_03!$K$10),2)</f>
        <v>4.0199999999999996</v>
      </c>
      <c r="J654" s="100">
        <f t="shared" si="72"/>
        <v>0.22470000000000001</v>
      </c>
      <c r="K654" s="48">
        <f t="shared" si="66"/>
        <v>689.59</v>
      </c>
      <c r="L654" s="48">
        <f t="shared" si="67"/>
        <v>4.92</v>
      </c>
      <c r="M654" s="48">
        <f t="shared" si="68"/>
        <v>48271.3</v>
      </c>
      <c r="N654" s="48">
        <f t="shared" si="69"/>
        <v>344.4</v>
      </c>
      <c r="O654" s="50">
        <f t="shared" si="70"/>
        <v>48615.7</v>
      </c>
      <c r="P654" s="50">
        <v>0</v>
      </c>
      <c r="Q654" s="76"/>
      <c r="R654" s="139">
        <f>5*(S9+S10)</f>
        <v>70</v>
      </c>
      <c r="S654" s="79">
        <v>563.07000000000005</v>
      </c>
      <c r="T654" s="80">
        <v>4.0199999999999996</v>
      </c>
    </row>
    <row r="655" spans="2:20" ht="70">
      <c r="B655" s="5" t="s">
        <v>1556</v>
      </c>
      <c r="C655" s="45" t="s">
        <v>97</v>
      </c>
      <c r="D655" s="45" t="s">
        <v>1557</v>
      </c>
      <c r="E655" s="6" t="s">
        <v>1558</v>
      </c>
      <c r="F655" s="45" t="s">
        <v>104</v>
      </c>
      <c r="G655" s="46">
        <f t="shared" si="71"/>
        <v>14</v>
      </c>
      <c r="H655" s="46">
        <f>TRUNC(S655*(1-LOTE_03!$K$10),2)</f>
        <v>2926.57</v>
      </c>
      <c r="I655" s="46">
        <f>TRUNC(T655*(1-LOTE_03!$K$10),2)</f>
        <v>4.0199999999999996</v>
      </c>
      <c r="J655" s="100">
        <f t="shared" si="72"/>
        <v>0.22470000000000001</v>
      </c>
      <c r="K655" s="48">
        <f t="shared" si="66"/>
        <v>3584.17</v>
      </c>
      <c r="L655" s="48">
        <f t="shared" si="67"/>
        <v>4.92</v>
      </c>
      <c r="M655" s="48">
        <f t="shared" si="68"/>
        <v>50178.38</v>
      </c>
      <c r="N655" s="48">
        <f t="shared" si="69"/>
        <v>68.88</v>
      </c>
      <c r="O655" s="50">
        <f t="shared" si="70"/>
        <v>50247.26</v>
      </c>
      <c r="P655" s="50">
        <v>0</v>
      </c>
      <c r="Q655" s="76"/>
      <c r="R655" s="139">
        <f>1*(S9+S10)</f>
        <v>14</v>
      </c>
      <c r="S655" s="79">
        <v>2926.57</v>
      </c>
      <c r="T655" s="80">
        <v>4.0199999999999996</v>
      </c>
    </row>
    <row r="656" spans="2:20" ht="56">
      <c r="B656" s="5" t="s">
        <v>1559</v>
      </c>
      <c r="C656" s="45" t="s">
        <v>97</v>
      </c>
      <c r="D656" s="45" t="s">
        <v>1560</v>
      </c>
      <c r="E656" s="6" t="s">
        <v>1561</v>
      </c>
      <c r="F656" s="45" t="s">
        <v>104</v>
      </c>
      <c r="G656" s="46">
        <f t="shared" si="71"/>
        <v>14</v>
      </c>
      <c r="H656" s="46">
        <f>TRUNC(S656*(1-LOTE_03!$K$10),2)</f>
        <v>1032.82</v>
      </c>
      <c r="I656" s="46">
        <f>TRUNC(T656*(1-LOTE_03!$K$10),2)</f>
        <v>4.0199999999999996</v>
      </c>
      <c r="J656" s="100">
        <f t="shared" si="72"/>
        <v>0.22470000000000001</v>
      </c>
      <c r="K656" s="48">
        <f t="shared" ref="K656:K719" si="73">TRUNC(H656*(1+J656),2)</f>
        <v>1264.8900000000001</v>
      </c>
      <c r="L656" s="48">
        <f t="shared" ref="L656:L719" si="74">TRUNC(I656*(1+J656),2)</f>
        <v>4.92</v>
      </c>
      <c r="M656" s="48">
        <f t="shared" ref="M656:M719" si="75">TRUNC(K656*G656,2)</f>
        <v>17708.46</v>
      </c>
      <c r="N656" s="48">
        <f t="shared" ref="N656:N719" si="76">TRUNC(L656*G656,2)</f>
        <v>68.88</v>
      </c>
      <c r="O656" s="50">
        <f t="shared" ref="O656:O719" si="77">TRUNC(M656+N656,2)</f>
        <v>17777.34</v>
      </c>
      <c r="P656" s="50">
        <v>0</v>
      </c>
      <c r="Q656" s="76"/>
      <c r="R656" s="139">
        <f>1*(S9+S10)</f>
        <v>14</v>
      </c>
      <c r="S656" s="79">
        <v>1032.82</v>
      </c>
      <c r="T656" s="80">
        <v>4.0199999999999996</v>
      </c>
    </row>
    <row r="657" spans="2:20" ht="56">
      <c r="B657" s="5" t="s">
        <v>1562</v>
      </c>
      <c r="C657" s="45" t="s">
        <v>97</v>
      </c>
      <c r="D657" s="45" t="s">
        <v>1563</v>
      </c>
      <c r="E657" s="6" t="s">
        <v>1564</v>
      </c>
      <c r="F657" s="45" t="s">
        <v>104</v>
      </c>
      <c r="G657" s="46">
        <f t="shared" si="71"/>
        <v>14</v>
      </c>
      <c r="H657" s="46">
        <f>TRUNC(S657*(1-LOTE_03!$K$10),2)</f>
        <v>691.19</v>
      </c>
      <c r="I657" s="46">
        <f>TRUNC(T657*(1-LOTE_03!$K$10),2)</f>
        <v>4.0199999999999996</v>
      </c>
      <c r="J657" s="100">
        <f t="shared" si="72"/>
        <v>0.22470000000000001</v>
      </c>
      <c r="K657" s="48">
        <f t="shared" si="73"/>
        <v>846.5</v>
      </c>
      <c r="L657" s="48">
        <f t="shared" si="74"/>
        <v>4.92</v>
      </c>
      <c r="M657" s="48">
        <f t="shared" si="75"/>
        <v>11851</v>
      </c>
      <c r="N657" s="48">
        <f t="shared" si="76"/>
        <v>68.88</v>
      </c>
      <c r="O657" s="50">
        <f t="shared" si="77"/>
        <v>11919.88</v>
      </c>
      <c r="P657" s="50">
        <v>0</v>
      </c>
      <c r="Q657" s="76"/>
      <c r="R657" s="139">
        <f>1*(S9+S10)</f>
        <v>14</v>
      </c>
      <c r="S657" s="79">
        <v>691.19</v>
      </c>
      <c r="T657" s="80">
        <v>4.0199999999999996</v>
      </c>
    </row>
    <row r="658" spans="2:20" ht="56">
      <c r="B658" s="5" t="s">
        <v>1565</v>
      </c>
      <c r="C658" s="45" t="s">
        <v>97</v>
      </c>
      <c r="D658" s="45" t="s">
        <v>1566</v>
      </c>
      <c r="E658" s="6" t="s">
        <v>1567</v>
      </c>
      <c r="F658" s="45" t="s">
        <v>104</v>
      </c>
      <c r="G658" s="46">
        <f t="shared" ref="G658:G721" si="78">TRUNC(R658,2)</f>
        <v>42</v>
      </c>
      <c r="H658" s="46">
        <f>TRUNC(S658*(1-LOTE_03!$K$10),2)</f>
        <v>975.7</v>
      </c>
      <c r="I658" s="46">
        <f>TRUNC(T658*(1-LOTE_03!$K$10),2)</f>
        <v>5.63</v>
      </c>
      <c r="J658" s="100">
        <f t="shared" ref="J658:J721" si="79">$J$4</f>
        <v>0.22470000000000001</v>
      </c>
      <c r="K658" s="48">
        <f t="shared" si="73"/>
        <v>1194.93</v>
      </c>
      <c r="L658" s="48">
        <f t="shared" si="74"/>
        <v>6.89</v>
      </c>
      <c r="M658" s="48">
        <f t="shared" si="75"/>
        <v>50187.06</v>
      </c>
      <c r="N658" s="48">
        <f t="shared" si="76"/>
        <v>289.38</v>
      </c>
      <c r="O658" s="50">
        <f t="shared" si="77"/>
        <v>50476.44</v>
      </c>
      <c r="P658" s="50">
        <v>0</v>
      </c>
      <c r="Q658" s="76"/>
      <c r="R658" s="139">
        <f>3*(S9+S10)</f>
        <v>42</v>
      </c>
      <c r="S658" s="79">
        <v>975.7</v>
      </c>
      <c r="T658" s="80">
        <v>5.63</v>
      </c>
    </row>
    <row r="659" spans="2:20" ht="56">
      <c r="B659" s="5" t="s">
        <v>1568</v>
      </c>
      <c r="C659" s="45" t="s">
        <v>97</v>
      </c>
      <c r="D659" s="45" t="s">
        <v>1569</v>
      </c>
      <c r="E659" s="6" t="s">
        <v>1570</v>
      </c>
      <c r="F659" s="45" t="s">
        <v>104</v>
      </c>
      <c r="G659" s="46">
        <f t="shared" si="78"/>
        <v>14</v>
      </c>
      <c r="H659" s="46">
        <f>TRUNC(S659*(1-LOTE_03!$K$10),2)</f>
        <v>153.91</v>
      </c>
      <c r="I659" s="46">
        <f>TRUNC(T659*(1-LOTE_03!$K$10),2)</f>
        <v>4.0199999999999996</v>
      </c>
      <c r="J659" s="100">
        <f t="shared" si="79"/>
        <v>0.22470000000000001</v>
      </c>
      <c r="K659" s="48">
        <f t="shared" si="73"/>
        <v>188.49</v>
      </c>
      <c r="L659" s="48">
        <f t="shared" si="74"/>
        <v>4.92</v>
      </c>
      <c r="M659" s="48">
        <f t="shared" si="75"/>
        <v>2638.86</v>
      </c>
      <c r="N659" s="48">
        <f t="shared" si="76"/>
        <v>68.88</v>
      </c>
      <c r="O659" s="50">
        <f t="shared" si="77"/>
        <v>2707.74</v>
      </c>
      <c r="P659" s="50">
        <v>0</v>
      </c>
      <c r="Q659" s="76"/>
      <c r="R659" s="139">
        <f>1*(S9+S10)</f>
        <v>14</v>
      </c>
      <c r="S659" s="79">
        <v>153.91</v>
      </c>
      <c r="T659" s="80">
        <v>4.0199999999999996</v>
      </c>
    </row>
    <row r="660" spans="2:20" ht="56">
      <c r="B660" s="5" t="s">
        <v>1571</v>
      </c>
      <c r="C660" s="45" t="s">
        <v>97</v>
      </c>
      <c r="D660" s="45" t="s">
        <v>1572</v>
      </c>
      <c r="E660" s="6" t="s">
        <v>1573</v>
      </c>
      <c r="F660" s="45" t="s">
        <v>104</v>
      </c>
      <c r="G660" s="46">
        <f t="shared" si="78"/>
        <v>56</v>
      </c>
      <c r="H660" s="46">
        <f>TRUNC(S660*(1-LOTE_03!$K$10),2)</f>
        <v>60.07</v>
      </c>
      <c r="I660" s="46">
        <f>TRUNC(T660*(1-LOTE_03!$K$10),2)</f>
        <v>4.0199999999999996</v>
      </c>
      <c r="J660" s="100">
        <f t="shared" si="79"/>
        <v>0.22470000000000001</v>
      </c>
      <c r="K660" s="48">
        <f t="shared" si="73"/>
        <v>73.56</v>
      </c>
      <c r="L660" s="48">
        <f t="shared" si="74"/>
        <v>4.92</v>
      </c>
      <c r="M660" s="48">
        <f t="shared" si="75"/>
        <v>4119.3599999999997</v>
      </c>
      <c r="N660" s="48">
        <f t="shared" si="76"/>
        <v>275.52</v>
      </c>
      <c r="O660" s="50">
        <f t="shared" si="77"/>
        <v>4394.88</v>
      </c>
      <c r="P660" s="50">
        <v>0</v>
      </c>
      <c r="Q660" s="76"/>
      <c r="R660" s="139">
        <f>4*(S9+S10)</f>
        <v>56</v>
      </c>
      <c r="S660" s="79">
        <v>60.07</v>
      </c>
      <c r="T660" s="80">
        <v>4.0199999999999996</v>
      </c>
    </row>
    <row r="661" spans="2:20" ht="42">
      <c r="B661" s="5" t="s">
        <v>1574</v>
      </c>
      <c r="C661" s="45" t="s">
        <v>97</v>
      </c>
      <c r="D661" s="45" t="s">
        <v>1575</v>
      </c>
      <c r="E661" s="6" t="s">
        <v>1576</v>
      </c>
      <c r="F661" s="45" t="s">
        <v>121</v>
      </c>
      <c r="G661" s="46">
        <f t="shared" si="78"/>
        <v>14</v>
      </c>
      <c r="H661" s="46">
        <f>TRUNC(S661*(1-LOTE_03!$K$10),2)</f>
        <v>2681.93</v>
      </c>
      <c r="I661" s="46">
        <f>TRUNC(T661*(1-LOTE_03!$K$10),2)</f>
        <v>17.28</v>
      </c>
      <c r="J661" s="100">
        <f t="shared" si="79"/>
        <v>0.22470000000000001</v>
      </c>
      <c r="K661" s="48">
        <f t="shared" si="73"/>
        <v>3284.55</v>
      </c>
      <c r="L661" s="48">
        <f t="shared" si="74"/>
        <v>21.16</v>
      </c>
      <c r="M661" s="48">
        <f t="shared" si="75"/>
        <v>45983.7</v>
      </c>
      <c r="N661" s="48">
        <f t="shared" si="76"/>
        <v>296.24</v>
      </c>
      <c r="O661" s="50">
        <f t="shared" si="77"/>
        <v>46279.94</v>
      </c>
      <c r="P661" s="50">
        <v>0</v>
      </c>
      <c r="Q661" s="76"/>
      <c r="R661" s="139">
        <f>1*(S9+S10)</f>
        <v>14</v>
      </c>
      <c r="S661" s="79">
        <v>2681.93</v>
      </c>
      <c r="T661" s="80">
        <v>17.28</v>
      </c>
    </row>
    <row r="662" spans="2:20" ht="56">
      <c r="B662" s="5" t="s">
        <v>1577</v>
      </c>
      <c r="C662" s="45" t="s">
        <v>97</v>
      </c>
      <c r="D662" s="45" t="s">
        <v>1578</v>
      </c>
      <c r="E662" s="6" t="s">
        <v>1579</v>
      </c>
      <c r="F662" s="45" t="s">
        <v>121</v>
      </c>
      <c r="G662" s="46">
        <f t="shared" si="78"/>
        <v>14</v>
      </c>
      <c r="H662" s="46">
        <f>TRUNC(S662*(1-LOTE_03!$K$10),2)</f>
        <v>1222</v>
      </c>
      <c r="I662" s="46">
        <f>TRUNC(T662*(1-LOTE_03!$K$10),2)</f>
        <v>34.56</v>
      </c>
      <c r="J662" s="100">
        <f t="shared" si="79"/>
        <v>0.22470000000000001</v>
      </c>
      <c r="K662" s="48">
        <f t="shared" si="73"/>
        <v>1496.58</v>
      </c>
      <c r="L662" s="48">
        <f t="shared" si="74"/>
        <v>42.32</v>
      </c>
      <c r="M662" s="48">
        <f t="shared" si="75"/>
        <v>20952.12</v>
      </c>
      <c r="N662" s="48">
        <f t="shared" si="76"/>
        <v>592.48</v>
      </c>
      <c r="O662" s="50">
        <f t="shared" si="77"/>
        <v>21544.6</v>
      </c>
      <c r="P662" s="50">
        <v>0</v>
      </c>
      <c r="Q662" s="76"/>
      <c r="R662" s="139">
        <f>1*(S9+S10)</f>
        <v>14</v>
      </c>
      <c r="S662" s="79">
        <v>1222</v>
      </c>
      <c r="T662" s="80">
        <v>34.56</v>
      </c>
    </row>
    <row r="663" spans="2:20" ht="56">
      <c r="B663" s="5" t="s">
        <v>1580</v>
      </c>
      <c r="C663" s="45" t="s">
        <v>97</v>
      </c>
      <c r="D663" s="45" t="s">
        <v>1581</v>
      </c>
      <c r="E663" s="6" t="s">
        <v>1582</v>
      </c>
      <c r="F663" s="45" t="s">
        <v>104</v>
      </c>
      <c r="G663" s="46">
        <f t="shared" si="78"/>
        <v>14</v>
      </c>
      <c r="H663" s="46">
        <f>TRUNC(S663*(1-LOTE_03!$K$10),2)</f>
        <v>3500.82</v>
      </c>
      <c r="I663" s="46">
        <f>TRUNC(T663*(1-LOTE_03!$K$10),2)</f>
        <v>17.28</v>
      </c>
      <c r="J663" s="100">
        <f t="shared" si="79"/>
        <v>0.22470000000000001</v>
      </c>
      <c r="K663" s="48">
        <f t="shared" si="73"/>
        <v>4287.45</v>
      </c>
      <c r="L663" s="48">
        <f t="shared" si="74"/>
        <v>21.16</v>
      </c>
      <c r="M663" s="48">
        <f t="shared" si="75"/>
        <v>60024.3</v>
      </c>
      <c r="N663" s="48">
        <f t="shared" si="76"/>
        <v>296.24</v>
      </c>
      <c r="O663" s="50">
        <f t="shared" si="77"/>
        <v>60320.54</v>
      </c>
      <c r="P663" s="50">
        <v>0</v>
      </c>
      <c r="Q663" s="76"/>
      <c r="R663" s="139">
        <f>S9+S10</f>
        <v>14</v>
      </c>
      <c r="S663" s="79">
        <v>3500.82</v>
      </c>
      <c r="T663" s="80">
        <v>17.28</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50">
        <v>0</v>
      </c>
      <c r="Q664" s="76"/>
      <c r="R664" s="154"/>
      <c r="S664" s="79" t="s">
        <v>22</v>
      </c>
      <c r="T664" s="80" t="s">
        <v>22</v>
      </c>
    </row>
    <row r="665" spans="2:20" ht="42">
      <c r="B665" s="5" t="s">
        <v>1585</v>
      </c>
      <c r="C665" s="45" t="s">
        <v>135</v>
      </c>
      <c r="D665" s="45">
        <v>102181</v>
      </c>
      <c r="E665" s="6" t="s">
        <v>1773</v>
      </c>
      <c r="F665" s="45" t="s">
        <v>121</v>
      </c>
      <c r="G665" s="46">
        <f t="shared" si="78"/>
        <v>210</v>
      </c>
      <c r="H665" s="46">
        <f>TRUNC(S665*(1-LOTE_03!$K$10),2)</f>
        <v>418.12</v>
      </c>
      <c r="I665" s="46">
        <f>TRUNC(T665*(1-LOTE_03!$K$10),2)</f>
        <v>46.71</v>
      </c>
      <c r="J665" s="100">
        <f t="shared" si="79"/>
        <v>0.22470000000000001</v>
      </c>
      <c r="K665" s="48">
        <f t="shared" si="73"/>
        <v>512.07000000000005</v>
      </c>
      <c r="L665" s="48">
        <f t="shared" si="74"/>
        <v>57.2</v>
      </c>
      <c r="M665" s="48">
        <f t="shared" si="75"/>
        <v>107534.7</v>
      </c>
      <c r="N665" s="48">
        <f t="shared" si="76"/>
        <v>12012</v>
      </c>
      <c r="O665" s="50">
        <f t="shared" si="77"/>
        <v>119546.7</v>
      </c>
      <c r="P665" s="50">
        <v>0</v>
      </c>
      <c r="Q665" s="76"/>
      <c r="R665" s="139">
        <f>5*3*(S9+S10)</f>
        <v>210</v>
      </c>
      <c r="S665" s="79">
        <v>418.12</v>
      </c>
      <c r="T665" s="80">
        <v>46.71</v>
      </c>
    </row>
    <row r="666" spans="2:20" ht="56">
      <c r="B666" s="5" t="s">
        <v>1586</v>
      </c>
      <c r="C666" s="45" t="s">
        <v>135</v>
      </c>
      <c r="D666" s="45">
        <v>102184</v>
      </c>
      <c r="E666" s="6" t="s">
        <v>1787</v>
      </c>
      <c r="F666" s="45" t="s">
        <v>210</v>
      </c>
      <c r="G666" s="46">
        <f t="shared" si="78"/>
        <v>14</v>
      </c>
      <c r="H666" s="46">
        <f>TRUNC(S666*(1-LOTE_03!$K$10),2)</f>
        <v>1796.78</v>
      </c>
      <c r="I666" s="46">
        <f>TRUNC(T666*(1-LOTE_03!$K$10),2)</f>
        <v>98.15</v>
      </c>
      <c r="J666" s="100">
        <f t="shared" si="79"/>
        <v>0.22470000000000001</v>
      </c>
      <c r="K666" s="48">
        <f t="shared" si="73"/>
        <v>2200.5100000000002</v>
      </c>
      <c r="L666" s="48">
        <f t="shared" si="74"/>
        <v>120.2</v>
      </c>
      <c r="M666" s="48">
        <f t="shared" si="75"/>
        <v>30807.14</v>
      </c>
      <c r="N666" s="48">
        <f t="shared" si="76"/>
        <v>1682.8</v>
      </c>
      <c r="O666" s="50">
        <f t="shared" si="77"/>
        <v>32489.94</v>
      </c>
      <c r="P666" s="50">
        <v>0</v>
      </c>
      <c r="Q666" s="76"/>
      <c r="R666" s="139">
        <f>1*(S9+S10)</f>
        <v>14</v>
      </c>
      <c r="S666" s="79">
        <v>1796.78</v>
      </c>
      <c r="T666" s="80">
        <v>98.15</v>
      </c>
    </row>
    <row r="667" spans="2:20" ht="70">
      <c r="B667" s="5" t="s">
        <v>1587</v>
      </c>
      <c r="C667" s="45" t="s">
        <v>135</v>
      </c>
      <c r="D667" s="45">
        <v>96366</v>
      </c>
      <c r="E667" s="6" t="s">
        <v>1588</v>
      </c>
      <c r="F667" s="45" t="s">
        <v>121</v>
      </c>
      <c r="G667" s="46">
        <f t="shared" si="78"/>
        <v>210</v>
      </c>
      <c r="H667" s="46">
        <f>TRUNC(S667*(1-LOTE_03!$K$10),2)</f>
        <v>149.30000000000001</v>
      </c>
      <c r="I667" s="46">
        <f>TRUNC(T667*(1-LOTE_03!$K$10),2)</f>
        <v>14.67</v>
      </c>
      <c r="J667" s="100">
        <f t="shared" si="79"/>
        <v>0.22470000000000001</v>
      </c>
      <c r="K667" s="48">
        <f t="shared" si="73"/>
        <v>182.84</v>
      </c>
      <c r="L667" s="48">
        <f t="shared" si="74"/>
        <v>17.96</v>
      </c>
      <c r="M667" s="48">
        <f t="shared" si="75"/>
        <v>38396.400000000001</v>
      </c>
      <c r="N667" s="48">
        <f t="shared" si="76"/>
        <v>3771.6</v>
      </c>
      <c r="O667" s="50">
        <f t="shared" si="77"/>
        <v>42168</v>
      </c>
      <c r="P667" s="50">
        <v>0</v>
      </c>
      <c r="Q667" s="76"/>
      <c r="R667" s="139">
        <f>5*3*(S9+S10)</f>
        <v>210</v>
      </c>
      <c r="S667" s="79">
        <v>149.30000000000001</v>
      </c>
      <c r="T667" s="80">
        <v>14.67</v>
      </c>
    </row>
    <row r="668" spans="2:20" ht="84">
      <c r="B668" s="5" t="s">
        <v>1589</v>
      </c>
      <c r="C668" s="45" t="s">
        <v>97</v>
      </c>
      <c r="D668" s="45" t="s">
        <v>1477</v>
      </c>
      <c r="E668" s="6" t="s">
        <v>1478</v>
      </c>
      <c r="F668" s="45" t="s">
        <v>121</v>
      </c>
      <c r="G668" s="46">
        <f t="shared" si="78"/>
        <v>245</v>
      </c>
      <c r="H668" s="46">
        <f>TRUNC(S668*(1-LOTE_03!$K$10),2)</f>
        <v>323.75</v>
      </c>
      <c r="I668" s="46">
        <f>TRUNC(T668*(1-LOTE_03!$K$10),2)</f>
        <v>27.74</v>
      </c>
      <c r="J668" s="100">
        <f t="shared" si="79"/>
        <v>0.22470000000000001</v>
      </c>
      <c r="K668" s="48">
        <f t="shared" si="73"/>
        <v>396.49</v>
      </c>
      <c r="L668" s="48">
        <f t="shared" si="74"/>
        <v>33.97</v>
      </c>
      <c r="M668" s="48">
        <f t="shared" si="75"/>
        <v>97140.05</v>
      </c>
      <c r="N668" s="48">
        <f t="shared" si="76"/>
        <v>8322.65</v>
      </c>
      <c r="O668" s="50">
        <f t="shared" si="77"/>
        <v>105462.7</v>
      </c>
      <c r="P668" s="50">
        <v>0</v>
      </c>
      <c r="Q668" s="76"/>
      <c r="R668" s="139">
        <f>5*3.5*(S9+S10)</f>
        <v>245</v>
      </c>
      <c r="S668" s="79">
        <v>323.75</v>
      </c>
      <c r="T668" s="80">
        <v>27.74</v>
      </c>
    </row>
    <row r="669" spans="2:20" ht="84">
      <c r="B669" s="5" t="s">
        <v>1590</v>
      </c>
      <c r="C669" s="45" t="s">
        <v>97</v>
      </c>
      <c r="D669" s="45" t="s">
        <v>1591</v>
      </c>
      <c r="E669" s="6" t="s">
        <v>1592</v>
      </c>
      <c r="F669" s="45" t="s">
        <v>104</v>
      </c>
      <c r="G669" s="46">
        <f t="shared" si="78"/>
        <v>14</v>
      </c>
      <c r="H669" s="46">
        <f>TRUNC(S669*(1-LOTE_03!$K$10),2)</f>
        <v>462.34</v>
      </c>
      <c r="I669" s="46">
        <f>TRUNC(T669*(1-LOTE_03!$K$10),2)</f>
        <v>3.75</v>
      </c>
      <c r="J669" s="100">
        <f t="shared" si="79"/>
        <v>0.22470000000000001</v>
      </c>
      <c r="K669" s="48">
        <f t="shared" si="73"/>
        <v>566.22</v>
      </c>
      <c r="L669" s="48">
        <f t="shared" si="74"/>
        <v>4.59</v>
      </c>
      <c r="M669" s="48">
        <f t="shared" si="75"/>
        <v>7927.08</v>
      </c>
      <c r="N669" s="48">
        <f t="shared" si="76"/>
        <v>64.260000000000005</v>
      </c>
      <c r="O669" s="50">
        <f t="shared" si="77"/>
        <v>7991.34</v>
      </c>
      <c r="P669" s="50">
        <v>0</v>
      </c>
      <c r="Q669" s="76"/>
      <c r="R669" s="139">
        <f>1*(S9+S10)</f>
        <v>14</v>
      </c>
      <c r="S669" s="79">
        <v>462.34</v>
      </c>
      <c r="T669" s="80">
        <v>3.75</v>
      </c>
    </row>
    <row r="670" spans="2:20" ht="56">
      <c r="B670" s="5" t="s">
        <v>1593</v>
      </c>
      <c r="C670" s="45" t="s">
        <v>97</v>
      </c>
      <c r="D670" s="45" t="s">
        <v>1594</v>
      </c>
      <c r="E670" s="6" t="s">
        <v>1595</v>
      </c>
      <c r="F670" s="45" t="s">
        <v>104</v>
      </c>
      <c r="G670" s="46">
        <f t="shared" si="78"/>
        <v>14</v>
      </c>
      <c r="H670" s="46">
        <f>TRUNC(S670*(1-LOTE_03!$K$10),2)</f>
        <v>4499.8999999999996</v>
      </c>
      <c r="I670" s="46">
        <f>TRUNC(T670*(1-LOTE_03!$K$10),2)</f>
        <v>17.28</v>
      </c>
      <c r="J670" s="100">
        <f t="shared" si="79"/>
        <v>0.22470000000000001</v>
      </c>
      <c r="K670" s="48">
        <f t="shared" si="73"/>
        <v>5511.02</v>
      </c>
      <c r="L670" s="48">
        <f t="shared" si="74"/>
        <v>21.16</v>
      </c>
      <c r="M670" s="48">
        <f t="shared" si="75"/>
        <v>77154.28</v>
      </c>
      <c r="N670" s="48">
        <f t="shared" si="76"/>
        <v>296.24</v>
      </c>
      <c r="O670" s="50">
        <f t="shared" si="77"/>
        <v>77450.52</v>
      </c>
      <c r="P670" s="50">
        <v>0</v>
      </c>
      <c r="Q670" s="76"/>
      <c r="R670" s="139">
        <f>1*(S9+S10)</f>
        <v>14</v>
      </c>
      <c r="S670" s="79">
        <v>4499.8999999999996</v>
      </c>
      <c r="T670" s="80">
        <v>17.28</v>
      </c>
    </row>
    <row r="671" spans="2:20">
      <c r="B671" s="5" t="s">
        <v>1596</v>
      </c>
      <c r="C671" s="45" t="s">
        <v>97</v>
      </c>
      <c r="D671" s="45" t="s">
        <v>1597</v>
      </c>
      <c r="E671" s="6" t="s">
        <v>1598</v>
      </c>
      <c r="F671" s="45" t="s">
        <v>121</v>
      </c>
      <c r="G671" s="46">
        <f t="shared" si="78"/>
        <v>210</v>
      </c>
      <c r="H671" s="46">
        <f>TRUNC(S671*(1-LOTE_03!$K$10),2)</f>
        <v>2094.08</v>
      </c>
      <c r="I671" s="46">
        <f>TRUNC(T671*(1-LOTE_03!$K$10),2)</f>
        <v>6.91</v>
      </c>
      <c r="J671" s="100">
        <f t="shared" si="79"/>
        <v>0.22470000000000001</v>
      </c>
      <c r="K671" s="48">
        <f t="shared" si="73"/>
        <v>2564.61</v>
      </c>
      <c r="L671" s="48">
        <f t="shared" si="74"/>
        <v>8.4600000000000009</v>
      </c>
      <c r="M671" s="48">
        <f t="shared" si="75"/>
        <v>538568.1</v>
      </c>
      <c r="N671" s="48">
        <f t="shared" si="76"/>
        <v>1776.6</v>
      </c>
      <c r="O671" s="50">
        <f t="shared" si="77"/>
        <v>540344.69999999995</v>
      </c>
      <c r="P671" s="50">
        <v>0</v>
      </c>
      <c r="Q671" s="76"/>
      <c r="R671" s="139">
        <f>5*3*(S9+S10)</f>
        <v>210</v>
      </c>
      <c r="S671" s="79">
        <v>2094.08</v>
      </c>
      <c r="T671" s="80">
        <v>6.91</v>
      </c>
    </row>
    <row r="672" spans="2:20" ht="42">
      <c r="B672" s="5" t="s">
        <v>1599</v>
      </c>
      <c r="C672" s="45" t="s">
        <v>97</v>
      </c>
      <c r="D672" s="45" t="s">
        <v>1600</v>
      </c>
      <c r="E672" s="6" t="s">
        <v>1601</v>
      </c>
      <c r="F672" s="45" t="s">
        <v>121</v>
      </c>
      <c r="G672" s="46">
        <f t="shared" si="78"/>
        <v>210</v>
      </c>
      <c r="H672" s="46">
        <f>TRUNC(S672*(1-LOTE_03!$K$10),2)</f>
        <v>289.60000000000002</v>
      </c>
      <c r="I672" s="46">
        <f>TRUNC(T672*(1-LOTE_03!$K$10),2)</f>
        <v>9.9700000000000006</v>
      </c>
      <c r="J672" s="100">
        <f t="shared" si="79"/>
        <v>0.22470000000000001</v>
      </c>
      <c r="K672" s="48">
        <f t="shared" si="73"/>
        <v>354.67</v>
      </c>
      <c r="L672" s="48">
        <f t="shared" si="74"/>
        <v>12.21</v>
      </c>
      <c r="M672" s="48">
        <f t="shared" si="75"/>
        <v>74480.7</v>
      </c>
      <c r="N672" s="48">
        <f t="shared" si="76"/>
        <v>2564.1</v>
      </c>
      <c r="O672" s="50">
        <f t="shared" si="77"/>
        <v>77044.800000000003</v>
      </c>
      <c r="P672" s="50">
        <v>0</v>
      </c>
      <c r="Q672" s="76"/>
      <c r="R672" s="139">
        <f>5*3*(S9+S10)</f>
        <v>210</v>
      </c>
      <c r="S672" s="79">
        <v>289.60000000000002</v>
      </c>
      <c r="T672" s="80">
        <v>9.9700000000000006</v>
      </c>
    </row>
    <row r="673" spans="2:20" ht="28">
      <c r="B673" s="5" t="s">
        <v>1602</v>
      </c>
      <c r="C673" s="45" t="s">
        <v>97</v>
      </c>
      <c r="D673" s="45" t="s">
        <v>1484</v>
      </c>
      <c r="E673" s="6" t="s">
        <v>1485</v>
      </c>
      <c r="F673" s="45" t="s">
        <v>121</v>
      </c>
      <c r="G673" s="46">
        <f t="shared" si="78"/>
        <v>70</v>
      </c>
      <c r="H673" s="46">
        <f>TRUNC(S673*(1-LOTE_03!$K$10),2)</f>
        <v>444.45</v>
      </c>
      <c r="I673" s="46">
        <f>TRUNC(T673*(1-LOTE_03!$K$10),2)</f>
        <v>4.0199999999999996</v>
      </c>
      <c r="J673" s="100">
        <f t="shared" si="79"/>
        <v>0.22470000000000001</v>
      </c>
      <c r="K673" s="48">
        <f t="shared" si="73"/>
        <v>544.30999999999995</v>
      </c>
      <c r="L673" s="48">
        <f t="shared" si="74"/>
        <v>4.92</v>
      </c>
      <c r="M673" s="48">
        <f t="shared" si="75"/>
        <v>38101.699999999997</v>
      </c>
      <c r="N673" s="48">
        <f t="shared" si="76"/>
        <v>344.4</v>
      </c>
      <c r="O673" s="50">
        <f t="shared" si="77"/>
        <v>38446.1</v>
      </c>
      <c r="P673" s="50">
        <v>0</v>
      </c>
      <c r="Q673" s="76"/>
      <c r="R673" s="139">
        <f>1*5*(S9+S10)</f>
        <v>70</v>
      </c>
      <c r="S673" s="79">
        <v>444.45</v>
      </c>
      <c r="T673" s="80">
        <v>4.0199999999999996</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50">
        <v>0</v>
      </c>
      <c r="Q674" s="76"/>
      <c r="R674" s="154"/>
      <c r="S674" s="79" t="s">
        <v>22</v>
      </c>
      <c r="T674" s="80" t="s">
        <v>22</v>
      </c>
    </row>
    <row r="675" spans="2:20" ht="42">
      <c r="B675" s="5" t="s">
        <v>1605</v>
      </c>
      <c r="C675" s="45" t="s">
        <v>135</v>
      </c>
      <c r="D675" s="45">
        <v>102181</v>
      </c>
      <c r="E675" s="6" t="s">
        <v>1773</v>
      </c>
      <c r="F675" s="45" t="s">
        <v>121</v>
      </c>
      <c r="G675" s="46">
        <f t="shared" si="78"/>
        <v>252</v>
      </c>
      <c r="H675" s="46">
        <f>TRUNC(S675*(1-LOTE_03!$K$10),2)</f>
        <v>418.12</v>
      </c>
      <c r="I675" s="46">
        <f>TRUNC(T675*(1-LOTE_03!$K$10),2)</f>
        <v>46.71</v>
      </c>
      <c r="J675" s="100">
        <f t="shared" si="79"/>
        <v>0.22470000000000001</v>
      </c>
      <c r="K675" s="48">
        <f t="shared" si="73"/>
        <v>512.07000000000005</v>
      </c>
      <c r="L675" s="48">
        <f t="shared" si="74"/>
        <v>57.2</v>
      </c>
      <c r="M675" s="48">
        <f t="shared" si="75"/>
        <v>129041.64</v>
      </c>
      <c r="N675" s="48">
        <f t="shared" si="76"/>
        <v>14414.4</v>
      </c>
      <c r="O675" s="50">
        <f t="shared" si="77"/>
        <v>143456.04</v>
      </c>
      <c r="P675" s="50">
        <v>0</v>
      </c>
      <c r="Q675" s="76"/>
      <c r="R675" s="139">
        <f>6*3*(S9+S10)</f>
        <v>252</v>
      </c>
      <c r="S675" s="79">
        <v>418.12</v>
      </c>
      <c r="T675" s="80">
        <v>46.71</v>
      </c>
    </row>
    <row r="676" spans="2:20" ht="56">
      <c r="B676" s="5" t="s">
        <v>1606</v>
      </c>
      <c r="C676" s="45" t="s">
        <v>135</v>
      </c>
      <c r="D676" s="45">
        <v>102184</v>
      </c>
      <c r="E676" s="6" t="s">
        <v>1787</v>
      </c>
      <c r="F676" s="45" t="s">
        <v>210</v>
      </c>
      <c r="G676" s="46">
        <f t="shared" si="78"/>
        <v>14</v>
      </c>
      <c r="H676" s="46">
        <f>TRUNC(S676*(1-LOTE_03!$K$10),2)</f>
        <v>1796.78</v>
      </c>
      <c r="I676" s="46">
        <f>TRUNC(T676*(1-LOTE_03!$K$10),2)</f>
        <v>98.15</v>
      </c>
      <c r="J676" s="100">
        <f t="shared" si="79"/>
        <v>0.22470000000000001</v>
      </c>
      <c r="K676" s="48">
        <f t="shared" si="73"/>
        <v>2200.5100000000002</v>
      </c>
      <c r="L676" s="48">
        <f t="shared" si="74"/>
        <v>120.2</v>
      </c>
      <c r="M676" s="48">
        <f t="shared" si="75"/>
        <v>30807.14</v>
      </c>
      <c r="N676" s="48">
        <f t="shared" si="76"/>
        <v>1682.8</v>
      </c>
      <c r="O676" s="50">
        <f t="shared" si="77"/>
        <v>32489.94</v>
      </c>
      <c r="P676" s="50">
        <v>0</v>
      </c>
      <c r="Q676" s="76"/>
      <c r="R676" s="139">
        <f>1*(S9+S10)</f>
        <v>14</v>
      </c>
      <c r="S676" s="79">
        <v>1796.78</v>
      </c>
      <c r="T676" s="80">
        <v>98.15</v>
      </c>
    </row>
    <row r="677" spans="2:20" ht="84">
      <c r="B677" s="5" t="s">
        <v>1607</v>
      </c>
      <c r="C677" s="45" t="s">
        <v>97</v>
      </c>
      <c r="D677" s="45" t="s">
        <v>1477</v>
      </c>
      <c r="E677" s="6" t="s">
        <v>1478</v>
      </c>
      <c r="F677" s="45" t="s">
        <v>121</v>
      </c>
      <c r="G677" s="46">
        <f t="shared" si="78"/>
        <v>252</v>
      </c>
      <c r="H677" s="46">
        <f>TRUNC(S677*(1-LOTE_03!$K$10),2)</f>
        <v>323.75</v>
      </c>
      <c r="I677" s="46">
        <f>TRUNC(T677*(1-LOTE_03!$K$10),2)</f>
        <v>27.74</v>
      </c>
      <c r="J677" s="100">
        <f t="shared" si="79"/>
        <v>0.22470000000000001</v>
      </c>
      <c r="K677" s="48">
        <f t="shared" si="73"/>
        <v>396.49</v>
      </c>
      <c r="L677" s="48">
        <f t="shared" si="74"/>
        <v>33.97</v>
      </c>
      <c r="M677" s="48">
        <f t="shared" si="75"/>
        <v>99915.48</v>
      </c>
      <c r="N677" s="48">
        <f t="shared" si="76"/>
        <v>8560.44</v>
      </c>
      <c r="O677" s="50">
        <f t="shared" si="77"/>
        <v>108475.92</v>
      </c>
      <c r="P677" s="50">
        <v>0</v>
      </c>
      <c r="Q677" s="76"/>
      <c r="R677" s="139">
        <f>6*3*(S9+S10)</f>
        <v>252</v>
      </c>
      <c r="S677" s="79">
        <v>323.75</v>
      </c>
      <c r="T677" s="80">
        <v>27.74</v>
      </c>
    </row>
    <row r="678" spans="2:20" ht="84">
      <c r="B678" s="5" t="s">
        <v>1608</v>
      </c>
      <c r="C678" s="45" t="s">
        <v>97</v>
      </c>
      <c r="D678" s="45" t="s">
        <v>1591</v>
      </c>
      <c r="E678" s="6" t="s">
        <v>1592</v>
      </c>
      <c r="F678" s="45" t="s">
        <v>104</v>
      </c>
      <c r="G678" s="46">
        <f t="shared" si="78"/>
        <v>14</v>
      </c>
      <c r="H678" s="46">
        <f>TRUNC(S678*(1-LOTE_03!$K$10),2)</f>
        <v>462.34</v>
      </c>
      <c r="I678" s="46">
        <f>TRUNC(T678*(1-LOTE_03!$K$10),2)</f>
        <v>3.75</v>
      </c>
      <c r="J678" s="100">
        <f t="shared" si="79"/>
        <v>0.22470000000000001</v>
      </c>
      <c r="K678" s="48">
        <f t="shared" si="73"/>
        <v>566.22</v>
      </c>
      <c r="L678" s="48">
        <f t="shared" si="74"/>
        <v>4.59</v>
      </c>
      <c r="M678" s="48">
        <f t="shared" si="75"/>
        <v>7927.08</v>
      </c>
      <c r="N678" s="48">
        <f t="shared" si="76"/>
        <v>64.260000000000005</v>
      </c>
      <c r="O678" s="50">
        <f t="shared" si="77"/>
        <v>7991.34</v>
      </c>
      <c r="P678" s="50">
        <v>0</v>
      </c>
      <c r="Q678" s="76"/>
      <c r="R678" s="139">
        <f>1*(S9+S10)</f>
        <v>14</v>
      </c>
      <c r="S678" s="79">
        <v>462.34</v>
      </c>
      <c r="T678" s="80">
        <v>3.75</v>
      </c>
    </row>
    <row r="679" spans="2:20" ht="42">
      <c r="B679" s="5" t="s">
        <v>1609</v>
      </c>
      <c r="C679" s="45" t="s">
        <v>97</v>
      </c>
      <c r="D679" s="45" t="s">
        <v>1610</v>
      </c>
      <c r="E679" s="6" t="s">
        <v>1611</v>
      </c>
      <c r="F679" s="45" t="s">
        <v>104</v>
      </c>
      <c r="G679" s="46">
        <f t="shared" si="78"/>
        <v>14</v>
      </c>
      <c r="H679" s="46">
        <f>TRUNC(S679*(1-LOTE_03!$K$10),2)</f>
        <v>64.39</v>
      </c>
      <c r="I679" s="46">
        <f>TRUNC(T679*(1-LOTE_03!$K$10),2)</f>
        <v>0</v>
      </c>
      <c r="J679" s="100">
        <f t="shared" si="79"/>
        <v>0.22470000000000001</v>
      </c>
      <c r="K679" s="48">
        <f t="shared" si="73"/>
        <v>78.849999999999994</v>
      </c>
      <c r="L679" s="48">
        <f t="shared" si="74"/>
        <v>0</v>
      </c>
      <c r="M679" s="48">
        <f t="shared" si="75"/>
        <v>1103.9000000000001</v>
      </c>
      <c r="N679" s="48">
        <f t="shared" si="76"/>
        <v>0</v>
      </c>
      <c r="O679" s="50">
        <f t="shared" si="77"/>
        <v>1103.9000000000001</v>
      </c>
      <c r="P679" s="50">
        <v>0</v>
      </c>
      <c r="Q679" s="76"/>
      <c r="R679" s="140">
        <f>1*(S10+S9)</f>
        <v>14</v>
      </c>
      <c r="S679" s="79">
        <v>64.39</v>
      </c>
      <c r="T679" s="80">
        <v>0</v>
      </c>
    </row>
    <row r="680" spans="2:20">
      <c r="B680" s="5" t="s">
        <v>1612</v>
      </c>
      <c r="C680" s="45" t="s">
        <v>97</v>
      </c>
      <c r="D680" s="45" t="s">
        <v>1597</v>
      </c>
      <c r="E680" s="6" t="s">
        <v>1598</v>
      </c>
      <c r="F680" s="45" t="s">
        <v>121</v>
      </c>
      <c r="G680" s="46">
        <f t="shared" si="78"/>
        <v>252</v>
      </c>
      <c r="H680" s="46">
        <f>TRUNC(S680*(1-LOTE_03!$K$10),2)</f>
        <v>2094.08</v>
      </c>
      <c r="I680" s="46">
        <f>TRUNC(T680*(1-LOTE_03!$K$10),2)</f>
        <v>6.91</v>
      </c>
      <c r="J680" s="100">
        <f t="shared" si="79"/>
        <v>0.22470000000000001</v>
      </c>
      <c r="K680" s="48">
        <f t="shared" si="73"/>
        <v>2564.61</v>
      </c>
      <c r="L680" s="48">
        <f t="shared" si="74"/>
        <v>8.4600000000000009</v>
      </c>
      <c r="M680" s="48">
        <f t="shared" si="75"/>
        <v>646281.72</v>
      </c>
      <c r="N680" s="48">
        <f t="shared" si="76"/>
        <v>2131.92</v>
      </c>
      <c r="O680" s="50">
        <f t="shared" si="77"/>
        <v>648413.64</v>
      </c>
      <c r="P680" s="50">
        <v>0</v>
      </c>
      <c r="Q680" s="76"/>
      <c r="R680" s="139">
        <f>6*3*(S9+S10)</f>
        <v>252</v>
      </c>
      <c r="S680" s="79">
        <v>2094.08</v>
      </c>
      <c r="T680" s="80">
        <v>6.91</v>
      </c>
    </row>
    <row r="681" spans="2:20" ht="42">
      <c r="B681" s="5" t="s">
        <v>1613</v>
      </c>
      <c r="C681" s="45" t="s">
        <v>97</v>
      </c>
      <c r="D681" s="45" t="s">
        <v>1600</v>
      </c>
      <c r="E681" s="6" t="s">
        <v>1601</v>
      </c>
      <c r="F681" s="45" t="s">
        <v>121</v>
      </c>
      <c r="G681" s="46">
        <f t="shared" si="78"/>
        <v>210</v>
      </c>
      <c r="H681" s="46">
        <f>TRUNC(S681*(1-LOTE_03!$K$10),2)</f>
        <v>289.60000000000002</v>
      </c>
      <c r="I681" s="46">
        <f>TRUNC(T681*(1-LOTE_03!$K$10),2)</f>
        <v>9.9700000000000006</v>
      </c>
      <c r="J681" s="100">
        <f t="shared" si="79"/>
        <v>0.22470000000000001</v>
      </c>
      <c r="K681" s="48">
        <f t="shared" si="73"/>
        <v>354.67</v>
      </c>
      <c r="L681" s="48">
        <f t="shared" si="74"/>
        <v>12.21</v>
      </c>
      <c r="M681" s="48">
        <f t="shared" si="75"/>
        <v>74480.7</v>
      </c>
      <c r="N681" s="48">
        <f t="shared" si="76"/>
        <v>2564.1</v>
      </c>
      <c r="O681" s="50">
        <f t="shared" si="77"/>
        <v>77044.800000000003</v>
      </c>
      <c r="P681" s="50">
        <v>0</v>
      </c>
      <c r="Q681" s="76"/>
      <c r="R681" s="139">
        <f>5*3*(S9+S10)</f>
        <v>210</v>
      </c>
      <c r="S681" s="79">
        <v>289.60000000000002</v>
      </c>
      <c r="T681" s="80">
        <v>9.9700000000000006</v>
      </c>
    </row>
    <row r="682" spans="2:20" ht="56">
      <c r="B682" s="5" t="s">
        <v>1614</v>
      </c>
      <c r="C682" s="45" t="s">
        <v>97</v>
      </c>
      <c r="D682" s="45" t="s">
        <v>1615</v>
      </c>
      <c r="E682" s="6" t="s">
        <v>1616</v>
      </c>
      <c r="F682" s="45" t="s">
        <v>104</v>
      </c>
      <c r="G682" s="46">
        <f t="shared" si="78"/>
        <v>14</v>
      </c>
      <c r="H682" s="46">
        <f>TRUNC(S682*(1-LOTE_03!$K$10),2)</f>
        <v>3319.02</v>
      </c>
      <c r="I682" s="46">
        <f>TRUNC(T682*(1-LOTE_03!$K$10),2)</f>
        <v>10.36</v>
      </c>
      <c r="J682" s="100">
        <f t="shared" si="79"/>
        <v>0.22470000000000001</v>
      </c>
      <c r="K682" s="48">
        <f t="shared" si="73"/>
        <v>4064.8</v>
      </c>
      <c r="L682" s="48">
        <f t="shared" si="74"/>
        <v>12.68</v>
      </c>
      <c r="M682" s="48">
        <f t="shared" si="75"/>
        <v>56907.199999999997</v>
      </c>
      <c r="N682" s="48">
        <f t="shared" si="76"/>
        <v>177.52</v>
      </c>
      <c r="O682" s="50">
        <f t="shared" si="77"/>
        <v>57084.72</v>
      </c>
      <c r="P682" s="50">
        <v>0</v>
      </c>
      <c r="Q682" s="76"/>
      <c r="R682" s="139">
        <f>1*(S9+S10)</f>
        <v>14</v>
      </c>
      <c r="S682" s="79">
        <v>3319.02</v>
      </c>
      <c r="T682" s="80">
        <v>10.36</v>
      </c>
    </row>
    <row r="683" spans="2:20" ht="28">
      <c r="B683" s="5" t="s">
        <v>1617</v>
      </c>
      <c r="C683" s="45" t="s">
        <v>97</v>
      </c>
      <c r="D683" s="45" t="s">
        <v>1484</v>
      </c>
      <c r="E683" s="6" t="s">
        <v>1485</v>
      </c>
      <c r="F683" s="45" t="s">
        <v>121</v>
      </c>
      <c r="G683" s="46">
        <f t="shared" si="78"/>
        <v>77</v>
      </c>
      <c r="H683" s="46">
        <f>TRUNC(S683*(1-LOTE_03!$K$10),2)</f>
        <v>444.45</v>
      </c>
      <c r="I683" s="46">
        <f>TRUNC(T683*(1-LOTE_03!$K$10),2)</f>
        <v>4.0199999999999996</v>
      </c>
      <c r="J683" s="100">
        <f t="shared" si="79"/>
        <v>0.22470000000000001</v>
      </c>
      <c r="K683" s="48">
        <f t="shared" si="73"/>
        <v>544.30999999999995</v>
      </c>
      <c r="L683" s="48">
        <f t="shared" si="74"/>
        <v>4.92</v>
      </c>
      <c r="M683" s="48">
        <f t="shared" si="75"/>
        <v>41911.870000000003</v>
      </c>
      <c r="N683" s="48">
        <f t="shared" si="76"/>
        <v>378.84</v>
      </c>
      <c r="O683" s="50">
        <f t="shared" si="77"/>
        <v>42290.71</v>
      </c>
      <c r="P683" s="50">
        <v>0</v>
      </c>
      <c r="Q683" s="76"/>
      <c r="R683" s="139">
        <f>1*5.5*(S9+S10)</f>
        <v>77</v>
      </c>
      <c r="S683" s="79">
        <v>444.45</v>
      </c>
      <c r="T683" s="80">
        <v>4.0199999999999996</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1838692.98</v>
      </c>
      <c r="Q684" s="76"/>
      <c r="R684" s="155"/>
      <c r="S684" s="79" t="s">
        <v>22</v>
      </c>
      <c r="T684" s="80" t="s">
        <v>22</v>
      </c>
    </row>
    <row r="685" spans="2:20" ht="56">
      <c r="B685" s="5" t="s">
        <v>1619</v>
      </c>
      <c r="C685" s="45" t="s">
        <v>135</v>
      </c>
      <c r="D685" s="45">
        <v>103247</v>
      </c>
      <c r="E685" s="6" t="s">
        <v>1620</v>
      </c>
      <c r="F685" s="45" t="s">
        <v>210</v>
      </c>
      <c r="G685" s="46">
        <f t="shared" si="78"/>
        <v>28</v>
      </c>
      <c r="H685" s="46">
        <f>TRUNC(S685*(1-LOTE_03!$K$10),2)</f>
        <v>3389.44</v>
      </c>
      <c r="I685" s="46">
        <f>TRUNC(T685*(1-LOTE_03!$K$10),2)</f>
        <v>100.15</v>
      </c>
      <c r="J685" s="100">
        <f>$J$5</f>
        <v>0.16500000000000001</v>
      </c>
      <c r="K685" s="48">
        <f t="shared" si="73"/>
        <v>3948.69</v>
      </c>
      <c r="L685" s="48">
        <f t="shared" si="74"/>
        <v>116.67</v>
      </c>
      <c r="M685" s="48">
        <f t="shared" si="75"/>
        <v>110563.32</v>
      </c>
      <c r="N685" s="48">
        <f t="shared" si="76"/>
        <v>3266.76</v>
      </c>
      <c r="O685" s="50">
        <f t="shared" si="77"/>
        <v>113830.08</v>
      </c>
      <c r="P685" s="50">
        <v>0</v>
      </c>
      <c r="Q685" s="76"/>
      <c r="R685" s="139">
        <f>2*(S9+S10)</f>
        <v>28</v>
      </c>
      <c r="S685" s="79">
        <v>3389.44</v>
      </c>
      <c r="T685" s="80">
        <v>100.15</v>
      </c>
    </row>
    <row r="686" spans="2:20" ht="56">
      <c r="B686" s="5" t="s">
        <v>1621</v>
      </c>
      <c r="C686" s="45" t="s">
        <v>135</v>
      </c>
      <c r="D686" s="45">
        <v>103250</v>
      </c>
      <c r="E686" s="6" t="s">
        <v>1622</v>
      </c>
      <c r="F686" s="45" t="s">
        <v>210</v>
      </c>
      <c r="G686" s="46">
        <f t="shared" si="78"/>
        <v>28</v>
      </c>
      <c r="H686" s="46">
        <f>TRUNC(S686*(1-LOTE_03!$K$10),2)</f>
        <v>4991.62</v>
      </c>
      <c r="I686" s="46">
        <f>TRUNC(T686*(1-LOTE_03!$K$10),2)</f>
        <v>108.63</v>
      </c>
      <c r="J686" s="100">
        <f t="shared" ref="J686:J691" si="80">$J$5</f>
        <v>0.16500000000000001</v>
      </c>
      <c r="K686" s="48">
        <f t="shared" si="73"/>
        <v>5815.23</v>
      </c>
      <c r="L686" s="48">
        <f t="shared" si="74"/>
        <v>126.55</v>
      </c>
      <c r="M686" s="48">
        <f t="shared" si="75"/>
        <v>162826.44</v>
      </c>
      <c r="N686" s="48">
        <f t="shared" si="76"/>
        <v>3543.4</v>
      </c>
      <c r="O686" s="50">
        <f t="shared" si="77"/>
        <v>166369.84</v>
      </c>
      <c r="P686" s="50">
        <v>0</v>
      </c>
      <c r="Q686" s="76"/>
      <c r="R686" s="139">
        <f>2*(S10+S9)</f>
        <v>28</v>
      </c>
      <c r="S686" s="79">
        <v>4991.62</v>
      </c>
      <c r="T686" s="80">
        <v>108.63</v>
      </c>
    </row>
    <row r="687" spans="2:20" ht="56">
      <c r="B687" s="5" t="s">
        <v>1623</v>
      </c>
      <c r="C687" s="45" t="s">
        <v>135</v>
      </c>
      <c r="D687" s="45">
        <v>103253</v>
      </c>
      <c r="E687" s="6" t="s">
        <v>1624</v>
      </c>
      <c r="F687" s="45" t="s">
        <v>210</v>
      </c>
      <c r="G687" s="46">
        <f t="shared" si="78"/>
        <v>28</v>
      </c>
      <c r="H687" s="46">
        <f>TRUNC(S687*(1-LOTE_03!$K$10),2)</f>
        <v>6866.31</v>
      </c>
      <c r="I687" s="46">
        <f>TRUNC(T687*(1-LOTE_03!$K$10),2)</f>
        <v>113.77</v>
      </c>
      <c r="J687" s="100">
        <f t="shared" si="80"/>
        <v>0.16500000000000001</v>
      </c>
      <c r="K687" s="48">
        <f t="shared" si="73"/>
        <v>7999.25</v>
      </c>
      <c r="L687" s="48">
        <f t="shared" si="74"/>
        <v>132.54</v>
      </c>
      <c r="M687" s="48">
        <f t="shared" si="75"/>
        <v>223979</v>
      </c>
      <c r="N687" s="48">
        <f t="shared" si="76"/>
        <v>3711.12</v>
      </c>
      <c r="O687" s="50">
        <f t="shared" si="77"/>
        <v>227690.12</v>
      </c>
      <c r="P687" s="50">
        <v>0</v>
      </c>
      <c r="Q687" s="76"/>
      <c r="R687" s="139">
        <f>2*(S10+S9)</f>
        <v>28</v>
      </c>
      <c r="S687" s="79">
        <v>6866.3099999999995</v>
      </c>
      <c r="T687" s="80">
        <v>113.77</v>
      </c>
    </row>
    <row r="688" spans="2:20" ht="56">
      <c r="B688" s="5" t="s">
        <v>1625</v>
      </c>
      <c r="C688" s="45" t="s">
        <v>135</v>
      </c>
      <c r="D688" s="45">
        <v>103244</v>
      </c>
      <c r="E688" s="6" t="s">
        <v>1626</v>
      </c>
      <c r="F688" s="45" t="s">
        <v>210</v>
      </c>
      <c r="G688" s="46">
        <f t="shared" si="78"/>
        <v>28</v>
      </c>
      <c r="H688" s="46">
        <f>TRUNC(S688*(1-LOTE_03!$K$10),2)</f>
        <v>3036.3</v>
      </c>
      <c r="I688" s="46">
        <f>TRUNC(T688*(1-LOTE_03!$K$10),2)</f>
        <v>100.04</v>
      </c>
      <c r="J688" s="100">
        <f t="shared" si="80"/>
        <v>0.16500000000000001</v>
      </c>
      <c r="K688" s="48">
        <f t="shared" si="73"/>
        <v>3537.28</v>
      </c>
      <c r="L688" s="48">
        <f t="shared" si="74"/>
        <v>116.54</v>
      </c>
      <c r="M688" s="48">
        <f t="shared" si="75"/>
        <v>99043.839999999997</v>
      </c>
      <c r="N688" s="48">
        <f t="shared" si="76"/>
        <v>3263.12</v>
      </c>
      <c r="O688" s="50">
        <f t="shared" si="77"/>
        <v>102306.96</v>
      </c>
      <c r="P688" s="50">
        <v>0</v>
      </c>
      <c r="Q688" s="76"/>
      <c r="R688" s="139">
        <f>2*(S9+S10)</f>
        <v>28</v>
      </c>
      <c r="S688" s="79">
        <v>3036.3</v>
      </c>
      <c r="T688" s="80">
        <v>100.04</v>
      </c>
    </row>
    <row r="689" spans="2:20" ht="56">
      <c r="B689" s="5" t="s">
        <v>1627</v>
      </c>
      <c r="C689" s="45" t="s">
        <v>135</v>
      </c>
      <c r="D689" s="45">
        <v>103261</v>
      </c>
      <c r="E689" s="6" t="s">
        <v>1628</v>
      </c>
      <c r="F689" s="45" t="s">
        <v>210</v>
      </c>
      <c r="G689" s="46">
        <f t="shared" si="78"/>
        <v>14</v>
      </c>
      <c r="H689" s="46">
        <f>TRUNC(S689*(1-LOTE_03!$K$10),2)</f>
        <v>16227.89</v>
      </c>
      <c r="I689" s="46">
        <f>TRUNC(T689*(1-LOTE_03!$K$10),2)</f>
        <v>188.79</v>
      </c>
      <c r="J689" s="100">
        <f t="shared" si="80"/>
        <v>0.16500000000000001</v>
      </c>
      <c r="K689" s="48">
        <f t="shared" si="73"/>
        <v>18905.490000000002</v>
      </c>
      <c r="L689" s="48">
        <f t="shared" si="74"/>
        <v>219.94</v>
      </c>
      <c r="M689" s="48">
        <f t="shared" si="75"/>
        <v>264676.86</v>
      </c>
      <c r="N689" s="48">
        <f t="shared" si="76"/>
        <v>3079.16</v>
      </c>
      <c r="O689" s="50">
        <f t="shared" si="77"/>
        <v>267756.02</v>
      </c>
      <c r="P689" s="50">
        <v>0</v>
      </c>
      <c r="Q689" s="76"/>
      <c r="R689" s="139">
        <f>1*(S9+S10)</f>
        <v>14</v>
      </c>
      <c r="S689" s="79">
        <v>16227.89</v>
      </c>
      <c r="T689" s="80">
        <v>188.79</v>
      </c>
    </row>
    <row r="690" spans="2:20" ht="42">
      <c r="B690" s="5" t="s">
        <v>1629</v>
      </c>
      <c r="C690" s="45" t="s">
        <v>135</v>
      </c>
      <c r="D690" s="45">
        <v>103277</v>
      </c>
      <c r="E690" s="6" t="s">
        <v>1630</v>
      </c>
      <c r="F690" s="45" t="s">
        <v>210</v>
      </c>
      <c r="G690" s="46">
        <f>IF($S$11=0,0,TRUNC(R690,2))</f>
        <v>6</v>
      </c>
      <c r="H690" s="46">
        <f>TRUNC(S690*(1-LOTE_03!$K$10),2)</f>
        <v>34093.699999999997</v>
      </c>
      <c r="I690" s="46">
        <f>TRUNC(T690*(1-LOTE_03!$K$10),2)</f>
        <v>330.47</v>
      </c>
      <c r="J690" s="100">
        <f t="shared" si="80"/>
        <v>0.16500000000000001</v>
      </c>
      <c r="K690" s="48">
        <f t="shared" si="73"/>
        <v>39719.160000000003</v>
      </c>
      <c r="L690" s="48">
        <f t="shared" si="74"/>
        <v>384.99</v>
      </c>
      <c r="M690" s="48">
        <f t="shared" si="75"/>
        <v>238314.96</v>
      </c>
      <c r="N690" s="48">
        <f t="shared" si="76"/>
        <v>2309.94</v>
      </c>
      <c r="O690" s="50">
        <f t="shared" si="77"/>
        <v>240624.9</v>
      </c>
      <c r="P690" s="50">
        <v>0</v>
      </c>
      <c r="Q690" s="76"/>
      <c r="R690" s="139">
        <f>IF(40%*R691&lt;1,1,ROUND(40%*R691,0))</f>
        <v>6</v>
      </c>
      <c r="S690" s="79">
        <v>34093.699999999997</v>
      </c>
      <c r="T690" s="80">
        <v>330.47</v>
      </c>
    </row>
    <row r="691" spans="2:20" ht="42">
      <c r="B691" s="5" t="s">
        <v>1631</v>
      </c>
      <c r="C691" s="45" t="s">
        <v>135</v>
      </c>
      <c r="D691" s="45">
        <v>103278</v>
      </c>
      <c r="E691" s="6" t="s">
        <v>1632</v>
      </c>
      <c r="F691" s="45" t="s">
        <v>210</v>
      </c>
      <c r="G691" s="46">
        <f t="shared" si="78"/>
        <v>14</v>
      </c>
      <c r="H691" s="46">
        <f>TRUNC(S691*(1-LOTE_03!$K$10),2)</f>
        <v>43811.8</v>
      </c>
      <c r="I691" s="46">
        <f>TRUNC(T691*(1-LOTE_03!$K$10),2)</f>
        <v>339.96</v>
      </c>
      <c r="J691" s="100">
        <f t="shared" si="80"/>
        <v>0.16500000000000001</v>
      </c>
      <c r="K691" s="48">
        <f t="shared" si="73"/>
        <v>51040.74</v>
      </c>
      <c r="L691" s="48">
        <f t="shared" si="74"/>
        <v>396.05</v>
      </c>
      <c r="M691" s="48">
        <f t="shared" si="75"/>
        <v>714570.36</v>
      </c>
      <c r="N691" s="48">
        <f t="shared" si="76"/>
        <v>5544.7</v>
      </c>
      <c r="O691" s="50">
        <f t="shared" si="77"/>
        <v>720115.06</v>
      </c>
      <c r="P691" s="50">
        <v>0</v>
      </c>
      <c r="Q691" s="76"/>
      <c r="R691" s="139">
        <f>S10+S9</f>
        <v>14</v>
      </c>
      <c r="S691" s="79">
        <v>43811.8</v>
      </c>
      <c r="T691" s="80">
        <v>339.96</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473044.63999999996</v>
      </c>
      <c r="Q692" s="76"/>
      <c r="R692" s="154"/>
      <c r="S692" s="79" t="s">
        <v>22</v>
      </c>
      <c r="T692" s="80" t="s">
        <v>22</v>
      </c>
    </row>
    <row r="693" spans="2:20" ht="28">
      <c r="B693" s="5" t="s">
        <v>1633</v>
      </c>
      <c r="C693" s="45" t="s">
        <v>97</v>
      </c>
      <c r="D693" s="45" t="s">
        <v>1634</v>
      </c>
      <c r="E693" s="6" t="s">
        <v>1635</v>
      </c>
      <c r="F693" s="45" t="s">
        <v>104</v>
      </c>
      <c r="G693" s="46">
        <f t="shared" si="78"/>
        <v>10</v>
      </c>
      <c r="H693" s="46">
        <f>TRUNC(S693*(1-LOTE_03!$K$10),2)</f>
        <v>180.67</v>
      </c>
      <c r="I693" s="46">
        <f>TRUNC(T693*(1-LOTE_03!$K$10),2)</f>
        <v>131.63999999999999</v>
      </c>
      <c r="J693" s="100">
        <f t="shared" si="79"/>
        <v>0.22470000000000001</v>
      </c>
      <c r="K693" s="48">
        <f t="shared" si="73"/>
        <v>221.26</v>
      </c>
      <c r="L693" s="48">
        <f t="shared" si="74"/>
        <v>161.21</v>
      </c>
      <c r="M693" s="48">
        <f t="shared" si="75"/>
        <v>2212.6</v>
      </c>
      <c r="N693" s="48">
        <f t="shared" si="76"/>
        <v>1612.1</v>
      </c>
      <c r="O693" s="50">
        <f t="shared" si="77"/>
        <v>3824.7</v>
      </c>
      <c r="P693" s="50">
        <v>0</v>
      </c>
      <c r="Q693" s="76"/>
      <c r="R693" s="140">
        <f>IF((1*S9+1*S10)&gt;10,10,(1*S9+1*S10))</f>
        <v>10</v>
      </c>
      <c r="S693" s="79">
        <v>180.67</v>
      </c>
      <c r="T693" s="80">
        <v>131.63999999999999</v>
      </c>
    </row>
    <row r="694" spans="2:20" ht="42">
      <c r="B694" s="5" t="s">
        <v>1636</v>
      </c>
      <c r="C694" s="45" t="s">
        <v>97</v>
      </c>
      <c r="D694" s="45" t="s">
        <v>1637</v>
      </c>
      <c r="E694" s="6" t="s">
        <v>1638</v>
      </c>
      <c r="F694" s="45" t="s">
        <v>121</v>
      </c>
      <c r="G694" s="46">
        <f t="shared" si="78"/>
        <v>420</v>
      </c>
      <c r="H694" s="46">
        <f>TRUNC(S694*(1-LOTE_03!$K$10),2)</f>
        <v>220.63</v>
      </c>
      <c r="I694" s="46">
        <f>TRUNC(T694*(1-LOTE_03!$K$10),2)</f>
        <v>59.93</v>
      </c>
      <c r="J694" s="100">
        <f t="shared" si="79"/>
        <v>0.22470000000000001</v>
      </c>
      <c r="K694" s="48">
        <f t="shared" si="73"/>
        <v>270.2</v>
      </c>
      <c r="L694" s="48">
        <f t="shared" si="74"/>
        <v>73.39</v>
      </c>
      <c r="M694" s="48">
        <f t="shared" si="75"/>
        <v>113484</v>
      </c>
      <c r="N694" s="48">
        <f t="shared" si="76"/>
        <v>30823.8</v>
      </c>
      <c r="O694" s="50">
        <f t="shared" si="77"/>
        <v>144307.79999999999</v>
      </c>
      <c r="P694" s="50">
        <v>0</v>
      </c>
      <c r="Q694" s="76"/>
      <c r="R694" s="139">
        <f>30*(S9+S10)</f>
        <v>420</v>
      </c>
      <c r="S694" s="79">
        <v>220.63</v>
      </c>
      <c r="T694" s="80">
        <v>59.93</v>
      </c>
    </row>
    <row r="695" spans="2:20" ht="28">
      <c r="B695" s="5" t="s">
        <v>1639</v>
      </c>
      <c r="C695" s="45" t="s">
        <v>97</v>
      </c>
      <c r="D695" s="45" t="s">
        <v>1640</v>
      </c>
      <c r="E695" s="6" t="s">
        <v>1641</v>
      </c>
      <c r="F695" s="45" t="s">
        <v>104</v>
      </c>
      <c r="G695" s="46">
        <f t="shared" si="78"/>
        <v>700</v>
      </c>
      <c r="H695" s="46">
        <f>TRUNC(S695*(1-LOTE_03!$K$10),2)</f>
        <v>3.89</v>
      </c>
      <c r="I695" s="46">
        <f>TRUNC(T695*(1-LOTE_03!$K$10),2)</f>
        <v>7.23</v>
      </c>
      <c r="J695" s="100">
        <f t="shared" si="79"/>
        <v>0.22470000000000001</v>
      </c>
      <c r="K695" s="48">
        <f t="shared" si="73"/>
        <v>4.76</v>
      </c>
      <c r="L695" s="48">
        <f t="shared" si="74"/>
        <v>8.85</v>
      </c>
      <c r="M695" s="48">
        <f t="shared" si="75"/>
        <v>3332</v>
      </c>
      <c r="N695" s="48">
        <f t="shared" si="76"/>
        <v>6195</v>
      </c>
      <c r="O695" s="50">
        <f t="shared" si="77"/>
        <v>9527</v>
      </c>
      <c r="P695" s="50">
        <v>0</v>
      </c>
      <c r="Q695" s="76"/>
      <c r="R695" s="139">
        <f>50*(S9+S10)</f>
        <v>700</v>
      </c>
      <c r="S695" s="79">
        <v>3.89</v>
      </c>
      <c r="T695" s="80">
        <v>7.23</v>
      </c>
    </row>
    <row r="696" spans="2:20" ht="28">
      <c r="B696" s="5" t="s">
        <v>1642</v>
      </c>
      <c r="C696" s="45" t="s">
        <v>97</v>
      </c>
      <c r="D696" s="45" t="s">
        <v>1643</v>
      </c>
      <c r="E696" s="6" t="s">
        <v>1644</v>
      </c>
      <c r="F696" s="45" t="s">
        <v>104</v>
      </c>
      <c r="G696" s="46">
        <f t="shared" si="78"/>
        <v>42</v>
      </c>
      <c r="H696" s="46">
        <f>TRUNC(S696*(1-LOTE_03!$K$10),2)</f>
        <v>31.12</v>
      </c>
      <c r="I696" s="46">
        <f>TRUNC(T696*(1-LOTE_03!$K$10),2)</f>
        <v>57.84</v>
      </c>
      <c r="J696" s="100">
        <f t="shared" si="79"/>
        <v>0.22470000000000001</v>
      </c>
      <c r="K696" s="48">
        <f t="shared" si="73"/>
        <v>38.11</v>
      </c>
      <c r="L696" s="48">
        <f t="shared" si="74"/>
        <v>70.83</v>
      </c>
      <c r="M696" s="48">
        <f t="shared" si="75"/>
        <v>1600.62</v>
      </c>
      <c r="N696" s="48">
        <f t="shared" si="76"/>
        <v>2974.86</v>
      </c>
      <c r="O696" s="50">
        <f t="shared" si="77"/>
        <v>4575.4799999999996</v>
      </c>
      <c r="P696" s="50">
        <v>0</v>
      </c>
      <c r="Q696" s="76"/>
      <c r="R696" s="139">
        <f>3*(S9+S10)</f>
        <v>42</v>
      </c>
      <c r="S696" s="79">
        <v>31.12</v>
      </c>
      <c r="T696" s="80">
        <v>57.84</v>
      </c>
    </row>
    <row r="697" spans="2:20" ht="28">
      <c r="B697" s="5" t="s">
        <v>1645</v>
      </c>
      <c r="C697" s="45" t="s">
        <v>97</v>
      </c>
      <c r="D697" s="45" t="s">
        <v>1646</v>
      </c>
      <c r="E697" s="6" t="s">
        <v>1647</v>
      </c>
      <c r="F697" s="45" t="s">
        <v>104</v>
      </c>
      <c r="G697" s="46">
        <f t="shared" si="78"/>
        <v>14</v>
      </c>
      <c r="H697" s="46">
        <f>TRUNC(S697*(1-LOTE_03!$K$10),2)</f>
        <v>4903.1099999999997</v>
      </c>
      <c r="I697" s="46">
        <f>TRUNC(T697*(1-LOTE_03!$K$10),2)</f>
        <v>1366.94</v>
      </c>
      <c r="J697" s="100">
        <f t="shared" si="79"/>
        <v>0.22470000000000001</v>
      </c>
      <c r="K697" s="48">
        <f t="shared" si="73"/>
        <v>6004.83</v>
      </c>
      <c r="L697" s="48">
        <f t="shared" si="74"/>
        <v>1674.09</v>
      </c>
      <c r="M697" s="48">
        <f t="shared" si="75"/>
        <v>84067.62</v>
      </c>
      <c r="N697" s="48">
        <f t="shared" si="76"/>
        <v>23437.26</v>
      </c>
      <c r="O697" s="50">
        <f t="shared" si="77"/>
        <v>107504.88</v>
      </c>
      <c r="P697" s="50">
        <v>0</v>
      </c>
      <c r="Q697" s="76"/>
      <c r="R697" s="139">
        <f>1*(S9+S10)</f>
        <v>14</v>
      </c>
      <c r="S697" s="79">
        <v>4903.1099999999997</v>
      </c>
      <c r="T697" s="80">
        <v>1366.94</v>
      </c>
    </row>
    <row r="698" spans="2:20" ht="28">
      <c r="B698" s="5" t="s">
        <v>1648</v>
      </c>
      <c r="C698" s="45" t="s">
        <v>97</v>
      </c>
      <c r="D698" s="45" t="s">
        <v>331</v>
      </c>
      <c r="E698" s="6" t="s">
        <v>332</v>
      </c>
      <c r="F698" s="45" t="s">
        <v>104</v>
      </c>
      <c r="G698" s="46">
        <f t="shared" si="78"/>
        <v>14</v>
      </c>
      <c r="H698" s="46">
        <f>TRUNC(S698*(1-LOTE_03!$K$10),2)</f>
        <v>4602.34</v>
      </c>
      <c r="I698" s="46">
        <f>TRUNC(T698*(1-LOTE_03!$K$10),2)</f>
        <v>614.54</v>
      </c>
      <c r="J698" s="100">
        <f t="shared" si="79"/>
        <v>0.22470000000000001</v>
      </c>
      <c r="K698" s="48">
        <f t="shared" si="73"/>
        <v>5636.48</v>
      </c>
      <c r="L698" s="48">
        <f t="shared" si="74"/>
        <v>752.62</v>
      </c>
      <c r="M698" s="48">
        <f t="shared" si="75"/>
        <v>78910.720000000001</v>
      </c>
      <c r="N698" s="48">
        <f t="shared" si="76"/>
        <v>10536.68</v>
      </c>
      <c r="O698" s="50">
        <f t="shared" si="77"/>
        <v>89447.4</v>
      </c>
      <c r="P698" s="50">
        <v>0</v>
      </c>
      <c r="Q698" s="76"/>
      <c r="R698" s="139">
        <f>1*(S9+S10)</f>
        <v>14</v>
      </c>
      <c r="S698" s="79">
        <v>4602.34</v>
      </c>
      <c r="T698" s="80">
        <v>614.54</v>
      </c>
    </row>
    <row r="699" spans="2:20" ht="42">
      <c r="B699" s="5" t="s">
        <v>1649</v>
      </c>
      <c r="C699" s="45" t="s">
        <v>97</v>
      </c>
      <c r="D699" s="45" t="s">
        <v>1650</v>
      </c>
      <c r="E699" s="6" t="s">
        <v>1651</v>
      </c>
      <c r="F699" s="45" t="s">
        <v>104</v>
      </c>
      <c r="G699" s="46">
        <f t="shared" si="78"/>
        <v>280</v>
      </c>
      <c r="H699" s="46">
        <f>TRUNC(S699*(1-LOTE_03!$K$10),2)</f>
        <v>19.16</v>
      </c>
      <c r="I699" s="46">
        <f>TRUNC(T699*(1-LOTE_03!$K$10),2)</f>
        <v>44.52</v>
      </c>
      <c r="J699" s="100">
        <f t="shared" si="79"/>
        <v>0.22470000000000001</v>
      </c>
      <c r="K699" s="48">
        <f t="shared" si="73"/>
        <v>23.46</v>
      </c>
      <c r="L699" s="48">
        <f t="shared" si="74"/>
        <v>54.52</v>
      </c>
      <c r="M699" s="48">
        <f t="shared" si="75"/>
        <v>6568.8</v>
      </c>
      <c r="N699" s="48">
        <f t="shared" si="76"/>
        <v>15265.6</v>
      </c>
      <c r="O699" s="50">
        <f t="shared" si="77"/>
        <v>21834.400000000001</v>
      </c>
      <c r="P699" s="50">
        <v>0</v>
      </c>
      <c r="Q699" s="76"/>
      <c r="R699" s="139">
        <f>20*(S9+S10)</f>
        <v>280</v>
      </c>
      <c r="S699" s="79">
        <v>19.16</v>
      </c>
      <c r="T699" s="80">
        <v>44.52</v>
      </c>
    </row>
    <row r="700" spans="2:20" ht="28">
      <c r="B700" s="5" t="s">
        <v>1652</v>
      </c>
      <c r="C700" s="45" t="s">
        <v>97</v>
      </c>
      <c r="D700" s="45" t="s">
        <v>1653</v>
      </c>
      <c r="E700" s="6" t="s">
        <v>1654</v>
      </c>
      <c r="F700" s="45" t="s">
        <v>104</v>
      </c>
      <c r="G700" s="46">
        <f t="shared" si="78"/>
        <v>28</v>
      </c>
      <c r="H700" s="46">
        <f>TRUNC(S700*(1-LOTE_03!$K$10),2)</f>
        <v>5.66</v>
      </c>
      <c r="I700" s="46">
        <f>TRUNC(T700*(1-LOTE_03!$K$10),2)</f>
        <v>3.61</v>
      </c>
      <c r="J700" s="100">
        <f t="shared" si="79"/>
        <v>0.22470000000000001</v>
      </c>
      <c r="K700" s="48">
        <f t="shared" si="73"/>
        <v>6.93</v>
      </c>
      <c r="L700" s="48">
        <f t="shared" si="74"/>
        <v>4.42</v>
      </c>
      <c r="M700" s="48">
        <f t="shared" si="75"/>
        <v>194.04</v>
      </c>
      <c r="N700" s="48">
        <f t="shared" si="76"/>
        <v>123.76</v>
      </c>
      <c r="O700" s="50">
        <f t="shared" si="77"/>
        <v>317.8</v>
      </c>
      <c r="P700" s="50">
        <v>0</v>
      </c>
      <c r="Q700" s="76"/>
      <c r="R700" s="139">
        <f>2*(S9+S10)</f>
        <v>28</v>
      </c>
      <c r="S700" s="79">
        <v>5.66</v>
      </c>
      <c r="T700" s="80">
        <v>3.61</v>
      </c>
    </row>
    <row r="701" spans="2:20" ht="70">
      <c r="B701" s="5" t="s">
        <v>1655</v>
      </c>
      <c r="C701" s="45" t="s">
        <v>97</v>
      </c>
      <c r="D701" s="45" t="s">
        <v>1656</v>
      </c>
      <c r="E701" s="6" t="s">
        <v>1657</v>
      </c>
      <c r="F701" s="45" t="s">
        <v>104</v>
      </c>
      <c r="G701" s="46">
        <f t="shared" si="78"/>
        <v>14</v>
      </c>
      <c r="H701" s="46">
        <f>TRUNC(S701*(1-LOTE_03!$K$10),2)</f>
        <v>931.55</v>
      </c>
      <c r="I701" s="46">
        <f>TRUNC(T701*(1-LOTE_03!$K$10),2)</f>
        <v>2.89</v>
      </c>
      <c r="J701" s="100">
        <f t="shared" si="79"/>
        <v>0.22470000000000001</v>
      </c>
      <c r="K701" s="48">
        <f t="shared" si="73"/>
        <v>1140.8599999999999</v>
      </c>
      <c r="L701" s="48">
        <f t="shared" si="74"/>
        <v>3.53</v>
      </c>
      <c r="M701" s="48">
        <f t="shared" si="75"/>
        <v>15972.04</v>
      </c>
      <c r="N701" s="48">
        <f t="shared" si="76"/>
        <v>49.42</v>
      </c>
      <c r="O701" s="50">
        <f t="shared" si="77"/>
        <v>16021.46</v>
      </c>
      <c r="P701" s="50">
        <v>0</v>
      </c>
      <c r="Q701" s="76"/>
      <c r="R701" s="139">
        <f>1*(S9+S10)</f>
        <v>14</v>
      </c>
      <c r="S701" s="79">
        <v>931.55</v>
      </c>
      <c r="T701" s="80">
        <v>2.89</v>
      </c>
    </row>
    <row r="702" spans="2:20" ht="28">
      <c r="B702" s="5" t="s">
        <v>1658</v>
      </c>
      <c r="C702" s="45" t="s">
        <v>97</v>
      </c>
      <c r="D702" s="45" t="s">
        <v>1659</v>
      </c>
      <c r="E702" s="6" t="s">
        <v>1660</v>
      </c>
      <c r="F702" s="45" t="s">
        <v>104</v>
      </c>
      <c r="G702" s="46">
        <f t="shared" si="78"/>
        <v>140</v>
      </c>
      <c r="H702" s="46">
        <f>TRUNC(S702*(1-LOTE_03!$K$10),2)</f>
        <v>3.67</v>
      </c>
      <c r="I702" s="46">
        <f>TRUNC(T702*(1-LOTE_03!$K$10),2)</f>
        <v>7.96</v>
      </c>
      <c r="J702" s="100">
        <f t="shared" si="79"/>
        <v>0.22470000000000001</v>
      </c>
      <c r="K702" s="48">
        <f t="shared" si="73"/>
        <v>4.49</v>
      </c>
      <c r="L702" s="48">
        <f t="shared" si="74"/>
        <v>9.74</v>
      </c>
      <c r="M702" s="48">
        <f t="shared" si="75"/>
        <v>628.6</v>
      </c>
      <c r="N702" s="48">
        <f t="shared" si="76"/>
        <v>1363.6</v>
      </c>
      <c r="O702" s="50">
        <f t="shared" si="77"/>
        <v>1992.2</v>
      </c>
      <c r="P702" s="50">
        <v>0</v>
      </c>
      <c r="Q702" s="76"/>
      <c r="R702" s="139">
        <f>10*(S9+S10)</f>
        <v>140</v>
      </c>
      <c r="S702" s="79">
        <v>3.67</v>
      </c>
      <c r="T702" s="80">
        <v>7.96</v>
      </c>
    </row>
    <row r="703" spans="2:20" ht="42">
      <c r="B703" s="5" t="s">
        <v>1661</v>
      </c>
      <c r="C703" s="45" t="s">
        <v>97</v>
      </c>
      <c r="D703" s="45" t="s">
        <v>1662</v>
      </c>
      <c r="E703" s="6" t="s">
        <v>1663</v>
      </c>
      <c r="F703" s="45" t="s">
        <v>104</v>
      </c>
      <c r="G703" s="46">
        <f t="shared" si="78"/>
        <v>14</v>
      </c>
      <c r="H703" s="46">
        <f>TRUNC(S703*(1-LOTE_03!$K$10),2)</f>
        <v>0</v>
      </c>
      <c r="I703" s="46">
        <f>TRUNC(T703*(1-LOTE_03!$K$10),2)</f>
        <v>260</v>
      </c>
      <c r="J703" s="100">
        <f t="shared" si="79"/>
        <v>0.22470000000000001</v>
      </c>
      <c r="K703" s="48">
        <f t="shared" si="73"/>
        <v>0</v>
      </c>
      <c r="L703" s="48">
        <f t="shared" si="74"/>
        <v>318.42</v>
      </c>
      <c r="M703" s="48">
        <f t="shared" si="75"/>
        <v>0</v>
      </c>
      <c r="N703" s="48">
        <f t="shared" si="76"/>
        <v>4457.88</v>
      </c>
      <c r="O703" s="50">
        <f t="shared" si="77"/>
        <v>4457.88</v>
      </c>
      <c r="P703" s="50">
        <v>0</v>
      </c>
      <c r="Q703" s="76"/>
      <c r="R703" s="139">
        <f>1*(S9+S10)</f>
        <v>14</v>
      </c>
      <c r="S703" s="79">
        <v>0</v>
      </c>
      <c r="T703" s="80">
        <v>260</v>
      </c>
    </row>
    <row r="704" spans="2:20" ht="42">
      <c r="B704" s="5" t="s">
        <v>1664</v>
      </c>
      <c r="C704" s="45" t="s">
        <v>97</v>
      </c>
      <c r="D704" s="45" t="s">
        <v>1665</v>
      </c>
      <c r="E704" s="6" t="s">
        <v>1666</v>
      </c>
      <c r="F704" s="45" t="s">
        <v>104</v>
      </c>
      <c r="G704" s="46">
        <f t="shared" si="78"/>
        <v>14</v>
      </c>
      <c r="H704" s="46">
        <f>TRUNC(S704*(1-LOTE_03!$K$10),2)</f>
        <v>0</v>
      </c>
      <c r="I704" s="46">
        <f>TRUNC(T704*(1-LOTE_03!$K$10),2)</f>
        <v>516.83000000000004</v>
      </c>
      <c r="J704" s="100">
        <f t="shared" si="79"/>
        <v>0.22470000000000001</v>
      </c>
      <c r="K704" s="48">
        <f t="shared" si="73"/>
        <v>0</v>
      </c>
      <c r="L704" s="48">
        <f t="shared" si="74"/>
        <v>632.96</v>
      </c>
      <c r="M704" s="48">
        <f t="shared" si="75"/>
        <v>0</v>
      </c>
      <c r="N704" s="48">
        <f t="shared" si="76"/>
        <v>8861.44</v>
      </c>
      <c r="O704" s="50">
        <f t="shared" si="77"/>
        <v>8861.44</v>
      </c>
      <c r="P704" s="50">
        <v>0</v>
      </c>
      <c r="Q704" s="76"/>
      <c r="R704" s="139">
        <f>1*(S9+S10)</f>
        <v>14</v>
      </c>
      <c r="S704" s="79">
        <v>0</v>
      </c>
      <c r="T704" s="80">
        <v>516.83000000000004</v>
      </c>
    </row>
    <row r="705" spans="2:20" ht="42">
      <c r="B705" s="5" t="s">
        <v>1667</v>
      </c>
      <c r="C705" s="45" t="s">
        <v>97</v>
      </c>
      <c r="D705" s="45" t="s">
        <v>1668</v>
      </c>
      <c r="E705" s="6" t="s">
        <v>1669</v>
      </c>
      <c r="F705" s="45" t="s">
        <v>104</v>
      </c>
      <c r="G705" s="46">
        <f t="shared" si="78"/>
        <v>14</v>
      </c>
      <c r="H705" s="46">
        <f>TRUNC(S705*(1-LOTE_03!$K$10),2)</f>
        <v>0</v>
      </c>
      <c r="I705" s="46">
        <f>TRUNC(T705*(1-LOTE_03!$K$10),2)</f>
        <v>779.3</v>
      </c>
      <c r="J705" s="100">
        <f t="shared" si="79"/>
        <v>0.22470000000000001</v>
      </c>
      <c r="K705" s="48">
        <f t="shared" si="73"/>
        <v>0</v>
      </c>
      <c r="L705" s="48">
        <f t="shared" si="74"/>
        <v>954.4</v>
      </c>
      <c r="M705" s="48">
        <f t="shared" si="75"/>
        <v>0</v>
      </c>
      <c r="N705" s="48">
        <f t="shared" si="76"/>
        <v>13361.6</v>
      </c>
      <c r="O705" s="50">
        <f t="shared" si="77"/>
        <v>13361.6</v>
      </c>
      <c r="P705" s="50">
        <v>0</v>
      </c>
      <c r="Q705" s="76"/>
      <c r="R705" s="139">
        <f>1*(S9+S10)</f>
        <v>14</v>
      </c>
      <c r="S705" s="79">
        <v>0</v>
      </c>
      <c r="T705" s="80">
        <v>779.3</v>
      </c>
    </row>
    <row r="706" spans="2:20" ht="42">
      <c r="B706" s="5" t="s">
        <v>1670</v>
      </c>
      <c r="C706" s="45" t="s">
        <v>97</v>
      </c>
      <c r="D706" s="45" t="s">
        <v>1671</v>
      </c>
      <c r="E706" s="6" t="s">
        <v>1672</v>
      </c>
      <c r="F706" s="45" t="s">
        <v>104</v>
      </c>
      <c r="G706" s="46">
        <f t="shared" si="78"/>
        <v>14</v>
      </c>
      <c r="H706" s="46">
        <f>TRUNC(S706*(1-LOTE_03!$K$10),2)</f>
        <v>339.54</v>
      </c>
      <c r="I706" s="46">
        <f>TRUNC(T706*(1-LOTE_03!$K$10),2)</f>
        <v>0</v>
      </c>
      <c r="J706" s="100">
        <f t="shared" si="79"/>
        <v>0.22470000000000001</v>
      </c>
      <c r="K706" s="48">
        <f t="shared" si="73"/>
        <v>415.83</v>
      </c>
      <c r="L706" s="48">
        <f t="shared" si="74"/>
        <v>0</v>
      </c>
      <c r="M706" s="48">
        <f t="shared" si="75"/>
        <v>5821.62</v>
      </c>
      <c r="N706" s="48">
        <f t="shared" si="76"/>
        <v>0</v>
      </c>
      <c r="O706" s="50">
        <f t="shared" si="77"/>
        <v>5821.62</v>
      </c>
      <c r="P706" s="50">
        <v>0</v>
      </c>
      <c r="Q706" s="76"/>
      <c r="R706" s="139">
        <f>1*(S9+S10)</f>
        <v>14</v>
      </c>
      <c r="S706" s="79">
        <v>339.54</v>
      </c>
      <c r="T706" s="80">
        <v>0</v>
      </c>
    </row>
    <row r="707" spans="2:20" ht="42">
      <c r="B707" s="5" t="s">
        <v>1673</v>
      </c>
      <c r="C707" s="45" t="s">
        <v>97</v>
      </c>
      <c r="D707" s="45" t="s">
        <v>1674</v>
      </c>
      <c r="E707" s="6" t="s">
        <v>1675</v>
      </c>
      <c r="F707" s="45" t="s">
        <v>104</v>
      </c>
      <c r="G707" s="46">
        <f t="shared" si="78"/>
        <v>14</v>
      </c>
      <c r="H707" s="46">
        <f>TRUNC(S707*(1-LOTE_03!$K$10),2)</f>
        <v>0</v>
      </c>
      <c r="I707" s="46">
        <f>TRUNC(T707*(1-LOTE_03!$K$10),2)</f>
        <v>667.87</v>
      </c>
      <c r="J707" s="100">
        <f t="shared" si="79"/>
        <v>0.22470000000000001</v>
      </c>
      <c r="K707" s="48">
        <f t="shared" si="73"/>
        <v>0</v>
      </c>
      <c r="L707" s="48">
        <f t="shared" si="74"/>
        <v>817.94</v>
      </c>
      <c r="M707" s="48">
        <f t="shared" si="75"/>
        <v>0</v>
      </c>
      <c r="N707" s="48">
        <f t="shared" si="76"/>
        <v>11451.16</v>
      </c>
      <c r="O707" s="50">
        <f t="shared" si="77"/>
        <v>11451.16</v>
      </c>
      <c r="P707" s="50">
        <v>0</v>
      </c>
      <c r="Q707" s="76"/>
      <c r="R707" s="139">
        <f>1*(S9+S10)</f>
        <v>14</v>
      </c>
      <c r="S707" s="79">
        <v>0</v>
      </c>
      <c r="T707" s="80">
        <v>667.87</v>
      </c>
    </row>
    <row r="708" spans="2:20" ht="42">
      <c r="B708" s="5" t="s">
        <v>1676</v>
      </c>
      <c r="C708" s="45" t="s">
        <v>97</v>
      </c>
      <c r="D708" s="45" t="s">
        <v>1677</v>
      </c>
      <c r="E708" s="6" t="s">
        <v>1678</v>
      </c>
      <c r="F708" s="45" t="s">
        <v>104</v>
      </c>
      <c r="G708" s="46">
        <f t="shared" si="78"/>
        <v>28</v>
      </c>
      <c r="H708" s="46">
        <f>TRUNC(S708*(1-LOTE_03!$K$10),2)</f>
        <v>233.38</v>
      </c>
      <c r="I708" s="46">
        <f>TRUNC(T708*(1-LOTE_03!$K$10),2)</f>
        <v>19.73</v>
      </c>
      <c r="J708" s="100">
        <f t="shared" si="79"/>
        <v>0.22470000000000001</v>
      </c>
      <c r="K708" s="48">
        <f t="shared" si="73"/>
        <v>285.82</v>
      </c>
      <c r="L708" s="48">
        <f t="shared" si="74"/>
        <v>24.16</v>
      </c>
      <c r="M708" s="48">
        <f t="shared" si="75"/>
        <v>8002.96</v>
      </c>
      <c r="N708" s="48">
        <f t="shared" si="76"/>
        <v>676.48</v>
      </c>
      <c r="O708" s="50">
        <f t="shared" si="77"/>
        <v>8679.44</v>
      </c>
      <c r="P708" s="50">
        <v>0</v>
      </c>
      <c r="Q708" s="76"/>
      <c r="R708" s="139">
        <f>2*(S9+S10)</f>
        <v>28</v>
      </c>
      <c r="S708" s="79">
        <v>233.38</v>
      </c>
      <c r="T708" s="80">
        <v>19.73</v>
      </c>
    </row>
    <row r="709" spans="2:20" ht="28">
      <c r="B709" s="5" t="s">
        <v>1679</v>
      </c>
      <c r="C709" s="45" t="s">
        <v>97</v>
      </c>
      <c r="D709" s="45" t="s">
        <v>1680</v>
      </c>
      <c r="E709" s="6" t="s">
        <v>1681</v>
      </c>
      <c r="F709" s="45" t="s">
        <v>104</v>
      </c>
      <c r="G709" s="46">
        <f t="shared" si="78"/>
        <v>28</v>
      </c>
      <c r="H709" s="46">
        <f>TRUNC(S709*(1-LOTE_03!$K$10),2)</f>
        <v>7.68</v>
      </c>
      <c r="I709" s="46">
        <f>TRUNC(T709*(1-LOTE_03!$K$10),2)</f>
        <v>17.09</v>
      </c>
      <c r="J709" s="100">
        <f t="shared" si="79"/>
        <v>0.22470000000000001</v>
      </c>
      <c r="K709" s="48">
        <f t="shared" si="73"/>
        <v>9.4</v>
      </c>
      <c r="L709" s="48">
        <f t="shared" si="74"/>
        <v>20.93</v>
      </c>
      <c r="M709" s="48">
        <f t="shared" si="75"/>
        <v>263.2</v>
      </c>
      <c r="N709" s="48">
        <f t="shared" si="76"/>
        <v>586.04</v>
      </c>
      <c r="O709" s="50">
        <f t="shared" si="77"/>
        <v>849.24</v>
      </c>
      <c r="P709" s="50">
        <v>0</v>
      </c>
      <c r="Q709" s="76"/>
      <c r="R709" s="139">
        <f>2*(S9+S10)</f>
        <v>28</v>
      </c>
      <c r="S709" s="79">
        <v>7.68</v>
      </c>
      <c r="T709" s="80">
        <v>17.09</v>
      </c>
    </row>
    <row r="710" spans="2:20" ht="28">
      <c r="B710" s="5" t="s">
        <v>1682</v>
      </c>
      <c r="C710" s="45" t="s">
        <v>165</v>
      </c>
      <c r="D710" s="45" t="s">
        <v>1683</v>
      </c>
      <c r="E710" s="6" t="s">
        <v>1684</v>
      </c>
      <c r="F710" s="45" t="s">
        <v>531</v>
      </c>
      <c r="G710" s="46">
        <f t="shared" si="78"/>
        <v>70</v>
      </c>
      <c r="H710" s="46">
        <f>TRUNC(S710*(1-LOTE_03!$K$10),2)</f>
        <v>24.35</v>
      </c>
      <c r="I710" s="46">
        <f>TRUNC(T710*(1-LOTE_03!$K$10),2)</f>
        <v>2.64</v>
      </c>
      <c r="J710" s="100">
        <f t="shared" si="79"/>
        <v>0.22470000000000001</v>
      </c>
      <c r="K710" s="48">
        <f t="shared" si="73"/>
        <v>29.82</v>
      </c>
      <c r="L710" s="48">
        <f t="shared" si="74"/>
        <v>3.23</v>
      </c>
      <c r="M710" s="48">
        <f t="shared" si="75"/>
        <v>2087.4</v>
      </c>
      <c r="N710" s="48">
        <f t="shared" si="76"/>
        <v>226.1</v>
      </c>
      <c r="O710" s="50">
        <f t="shared" si="77"/>
        <v>2313.5</v>
      </c>
      <c r="P710" s="50">
        <v>0</v>
      </c>
      <c r="Q710" s="76"/>
      <c r="R710" s="139">
        <f>5*(S9+S10)</f>
        <v>70</v>
      </c>
      <c r="S710" s="79">
        <v>24.35</v>
      </c>
      <c r="T710" s="80">
        <v>2.64</v>
      </c>
    </row>
    <row r="711" spans="2:20" ht="42">
      <c r="B711" s="5" t="s">
        <v>1685</v>
      </c>
      <c r="C711" s="45" t="s">
        <v>97</v>
      </c>
      <c r="D711" s="45" t="s">
        <v>1686</v>
      </c>
      <c r="E711" s="6" t="s">
        <v>1687</v>
      </c>
      <c r="F711" s="45" t="s">
        <v>187</v>
      </c>
      <c r="G711" s="46">
        <f t="shared" si="78"/>
        <v>70</v>
      </c>
      <c r="H711" s="46">
        <f>TRUNC(S711*(1-LOTE_03!$K$10),2)</f>
        <v>9.6199999999999992</v>
      </c>
      <c r="I711" s="46">
        <f>TRUNC(T711*(1-LOTE_03!$K$10),2)</f>
        <v>1.1499999999999999</v>
      </c>
      <c r="J711" s="100">
        <f t="shared" si="79"/>
        <v>0.22470000000000001</v>
      </c>
      <c r="K711" s="48">
        <f t="shared" si="73"/>
        <v>11.78</v>
      </c>
      <c r="L711" s="48">
        <f t="shared" si="74"/>
        <v>1.4</v>
      </c>
      <c r="M711" s="48">
        <f t="shared" si="75"/>
        <v>824.6</v>
      </c>
      <c r="N711" s="48">
        <f t="shared" si="76"/>
        <v>98</v>
      </c>
      <c r="O711" s="50">
        <f t="shared" si="77"/>
        <v>922.6</v>
      </c>
      <c r="P711" s="50">
        <v>0</v>
      </c>
      <c r="Q711" s="76"/>
      <c r="R711" s="139">
        <f>5*(S9+S10)</f>
        <v>70</v>
      </c>
      <c r="S711" s="79">
        <v>9.6199999999999992</v>
      </c>
      <c r="T711" s="80">
        <v>1.1499999999999999</v>
      </c>
    </row>
    <row r="712" spans="2:20" ht="28">
      <c r="B712" s="5" t="s">
        <v>1688</v>
      </c>
      <c r="C712" s="45" t="s">
        <v>97</v>
      </c>
      <c r="D712" s="45" t="s">
        <v>1689</v>
      </c>
      <c r="E712" s="6" t="s">
        <v>1690</v>
      </c>
      <c r="F712" s="45" t="s">
        <v>519</v>
      </c>
      <c r="G712" s="46">
        <f t="shared" si="78"/>
        <v>70</v>
      </c>
      <c r="H712" s="46">
        <f>TRUNC(S712*(1-LOTE_03!$K$10),2)</f>
        <v>29.14</v>
      </c>
      <c r="I712" s="46">
        <f>TRUNC(T712*(1-LOTE_03!$K$10),2)</f>
        <v>6.91</v>
      </c>
      <c r="J712" s="100">
        <f t="shared" si="79"/>
        <v>0.22470000000000001</v>
      </c>
      <c r="K712" s="48">
        <f t="shared" si="73"/>
        <v>35.68</v>
      </c>
      <c r="L712" s="48">
        <f t="shared" si="74"/>
        <v>8.4600000000000009</v>
      </c>
      <c r="M712" s="48">
        <f t="shared" si="75"/>
        <v>2497.6</v>
      </c>
      <c r="N712" s="48">
        <f t="shared" si="76"/>
        <v>592.20000000000005</v>
      </c>
      <c r="O712" s="50">
        <f t="shared" si="77"/>
        <v>3089.8</v>
      </c>
      <c r="P712" s="50">
        <v>0</v>
      </c>
      <c r="Q712" s="76"/>
      <c r="R712" s="139">
        <f>5*(S9+S10)</f>
        <v>70</v>
      </c>
      <c r="S712" s="79">
        <v>29.14</v>
      </c>
      <c r="T712" s="80">
        <v>6.91</v>
      </c>
    </row>
    <row r="713" spans="2:20" ht="28">
      <c r="B713" s="5" t="s">
        <v>1691</v>
      </c>
      <c r="C713" s="45" t="s">
        <v>165</v>
      </c>
      <c r="D713" s="45" t="s">
        <v>1692</v>
      </c>
      <c r="E713" s="6" t="s">
        <v>1693</v>
      </c>
      <c r="F713" s="45" t="s">
        <v>182</v>
      </c>
      <c r="G713" s="46">
        <f t="shared" si="78"/>
        <v>28</v>
      </c>
      <c r="H713" s="46">
        <f>TRUNC(S713*(1-LOTE_03!$K$10),2)</f>
        <v>305.44</v>
      </c>
      <c r="I713" s="46">
        <f>TRUNC(T713*(1-LOTE_03!$K$10),2)</f>
        <v>21.09</v>
      </c>
      <c r="J713" s="100">
        <f t="shared" si="79"/>
        <v>0.22470000000000001</v>
      </c>
      <c r="K713" s="48">
        <f t="shared" si="73"/>
        <v>374.07</v>
      </c>
      <c r="L713" s="48">
        <f t="shared" si="74"/>
        <v>25.82</v>
      </c>
      <c r="M713" s="48">
        <f t="shared" si="75"/>
        <v>10473.959999999999</v>
      </c>
      <c r="N713" s="48">
        <f t="shared" si="76"/>
        <v>722.96</v>
      </c>
      <c r="O713" s="50">
        <f t="shared" si="77"/>
        <v>11196.92</v>
      </c>
      <c r="P713" s="50">
        <v>0</v>
      </c>
      <c r="Q713" s="76"/>
      <c r="R713" s="139">
        <f>2*(S9+S10)</f>
        <v>28</v>
      </c>
      <c r="S713" s="79">
        <v>305.44</v>
      </c>
      <c r="T713" s="80">
        <v>21.09</v>
      </c>
    </row>
    <row r="714" spans="2:20" ht="28">
      <c r="B714" s="5" t="s">
        <v>1694</v>
      </c>
      <c r="C714" s="45" t="s">
        <v>165</v>
      </c>
      <c r="D714" s="45" t="s">
        <v>1695</v>
      </c>
      <c r="E714" s="6" t="s">
        <v>1696</v>
      </c>
      <c r="F714" s="45" t="s">
        <v>559</v>
      </c>
      <c r="G714" s="46">
        <f t="shared" si="78"/>
        <v>42</v>
      </c>
      <c r="H714" s="46">
        <f>TRUNC(S714*(1-LOTE_03!$K$10),2)</f>
        <v>49.4</v>
      </c>
      <c r="I714" s="46">
        <f>TRUNC(T714*(1-LOTE_03!$K$10),2)</f>
        <v>2.83</v>
      </c>
      <c r="J714" s="100">
        <f t="shared" si="79"/>
        <v>0.22470000000000001</v>
      </c>
      <c r="K714" s="48">
        <f t="shared" si="73"/>
        <v>60.5</v>
      </c>
      <c r="L714" s="48">
        <f t="shared" si="74"/>
        <v>3.46</v>
      </c>
      <c r="M714" s="48">
        <f t="shared" si="75"/>
        <v>2541</v>
      </c>
      <c r="N714" s="48">
        <f t="shared" si="76"/>
        <v>145.32</v>
      </c>
      <c r="O714" s="50">
        <f t="shared" si="77"/>
        <v>2686.32</v>
      </c>
      <c r="P714" s="50">
        <v>0</v>
      </c>
      <c r="Q714" s="76"/>
      <c r="R714" s="139">
        <f>3*(S9+S10)</f>
        <v>42</v>
      </c>
      <c r="S714" s="79">
        <v>49.4</v>
      </c>
      <c r="T714" s="80">
        <v>2.83</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540101.27</v>
      </c>
      <c r="Q715" s="76"/>
      <c r="R715" s="139"/>
      <c r="S715" s="79" t="s">
        <v>22</v>
      </c>
      <c r="T715" s="80" t="s">
        <v>22</v>
      </c>
    </row>
    <row r="716" spans="2:20" ht="28">
      <c r="B716" s="5" t="s">
        <v>1698</v>
      </c>
      <c r="C716" s="45" t="s">
        <v>165</v>
      </c>
      <c r="D716" s="45" t="s">
        <v>1699</v>
      </c>
      <c r="E716" s="6" t="s">
        <v>1700</v>
      </c>
      <c r="F716" s="45" t="s">
        <v>168</v>
      </c>
      <c r="G716" s="46">
        <f t="shared" si="78"/>
        <v>5600</v>
      </c>
      <c r="H716" s="46">
        <f>TRUNC(S716*(1-LOTE_03!$K$10),2)</f>
        <v>0</v>
      </c>
      <c r="I716" s="46">
        <f>TRUNC(T716*(1-LOTE_03!$K$10),2)</f>
        <v>9.2200000000000006</v>
      </c>
      <c r="J716" s="100">
        <f t="shared" si="79"/>
        <v>0.22470000000000001</v>
      </c>
      <c r="K716" s="48">
        <f t="shared" si="73"/>
        <v>0</v>
      </c>
      <c r="L716" s="48">
        <f t="shared" si="74"/>
        <v>11.29</v>
      </c>
      <c r="M716" s="48">
        <f t="shared" si="75"/>
        <v>0</v>
      </c>
      <c r="N716" s="48">
        <f t="shared" si="76"/>
        <v>63224</v>
      </c>
      <c r="O716" s="50">
        <f t="shared" si="77"/>
        <v>63224</v>
      </c>
      <c r="P716" s="50">
        <v>0</v>
      </c>
      <c r="Q716" s="76"/>
      <c r="R716" s="139">
        <f>400*(S9+S10)</f>
        <v>5600</v>
      </c>
      <c r="S716" s="79">
        <v>0</v>
      </c>
      <c r="T716" s="80">
        <v>9.2200000000000006</v>
      </c>
    </row>
    <row r="717" spans="2:20" ht="28">
      <c r="B717" s="5" t="s">
        <v>1701</v>
      </c>
      <c r="C717" s="45" t="s">
        <v>97</v>
      </c>
      <c r="D717" s="45" t="s">
        <v>1702</v>
      </c>
      <c r="E717" s="6" t="s">
        <v>1703</v>
      </c>
      <c r="F717" s="45" t="s">
        <v>104</v>
      </c>
      <c r="G717" s="46">
        <f t="shared" si="78"/>
        <v>14</v>
      </c>
      <c r="H717" s="46">
        <f>TRUNC(S717*(1-LOTE_03!$K$10),2)</f>
        <v>266</v>
      </c>
      <c r="I717" s="46">
        <f>TRUNC(T717*(1-LOTE_03!$K$10),2)</f>
        <v>0</v>
      </c>
      <c r="J717" s="100">
        <f t="shared" si="79"/>
        <v>0.22470000000000001</v>
      </c>
      <c r="K717" s="48">
        <f t="shared" si="73"/>
        <v>325.77</v>
      </c>
      <c r="L717" s="48">
        <f t="shared" si="74"/>
        <v>0</v>
      </c>
      <c r="M717" s="48">
        <f t="shared" si="75"/>
        <v>4560.78</v>
      </c>
      <c r="N717" s="48">
        <f t="shared" si="76"/>
        <v>0</v>
      </c>
      <c r="O717" s="50">
        <f t="shared" si="77"/>
        <v>4560.78</v>
      </c>
      <c r="P717" s="50">
        <v>0</v>
      </c>
      <c r="Q717" s="76"/>
      <c r="R717" s="139">
        <f>1*(S9+S10)</f>
        <v>14</v>
      </c>
      <c r="S717" s="79">
        <v>266</v>
      </c>
      <c r="T717" s="80">
        <v>0</v>
      </c>
    </row>
    <row r="718" spans="2:20" ht="42">
      <c r="B718" s="5" t="s">
        <v>1704</v>
      </c>
      <c r="C718" s="45" t="s">
        <v>135</v>
      </c>
      <c r="D718" s="45">
        <v>99814</v>
      </c>
      <c r="E718" s="6" t="s">
        <v>1839</v>
      </c>
      <c r="F718" s="45" t="s">
        <v>121</v>
      </c>
      <c r="G718" s="46">
        <f t="shared" si="78"/>
        <v>14</v>
      </c>
      <c r="H718" s="46">
        <f>TRUNC(S718*(1-LOTE_03!$K$10),2)</f>
        <v>0.57999999999999996</v>
      </c>
      <c r="I718" s="46">
        <f>TRUNC(T718*(1-LOTE_03!$K$10),2)</f>
        <v>0.98</v>
      </c>
      <c r="J718" s="100">
        <f t="shared" si="79"/>
        <v>0.22470000000000001</v>
      </c>
      <c r="K718" s="48">
        <f t="shared" si="73"/>
        <v>0.71</v>
      </c>
      <c r="L718" s="48">
        <f t="shared" si="74"/>
        <v>1.2</v>
      </c>
      <c r="M718" s="48">
        <f t="shared" si="75"/>
        <v>9.94</v>
      </c>
      <c r="N718" s="48">
        <f t="shared" si="76"/>
        <v>16.8</v>
      </c>
      <c r="O718" s="50">
        <f t="shared" si="77"/>
        <v>26.74</v>
      </c>
      <c r="P718" s="50">
        <v>0</v>
      </c>
      <c r="Q718" s="76"/>
      <c r="R718" s="139">
        <f>1*(S9+S10)</f>
        <v>14</v>
      </c>
      <c r="S718" s="79">
        <v>0.58000000000000007</v>
      </c>
      <c r="T718" s="80">
        <v>0.98</v>
      </c>
    </row>
    <row r="719" spans="2:20" ht="28">
      <c r="B719" s="5" t="s">
        <v>1705</v>
      </c>
      <c r="C719" s="45" t="s">
        <v>135</v>
      </c>
      <c r="D719" s="45">
        <v>98524</v>
      </c>
      <c r="E719" s="6" t="s">
        <v>1706</v>
      </c>
      <c r="F719" s="45" t="s">
        <v>121</v>
      </c>
      <c r="G719" s="46">
        <f t="shared" si="78"/>
        <v>14</v>
      </c>
      <c r="H719" s="46">
        <f>TRUNC(S719*(1-LOTE_03!$K$10),2)</f>
        <v>1.67</v>
      </c>
      <c r="I719" s="46">
        <f>TRUNC(T719*(1-LOTE_03!$K$10),2)</f>
        <v>3.07</v>
      </c>
      <c r="J719" s="100">
        <f t="shared" si="79"/>
        <v>0.22470000000000001</v>
      </c>
      <c r="K719" s="48">
        <f t="shared" si="73"/>
        <v>2.04</v>
      </c>
      <c r="L719" s="48">
        <f t="shared" si="74"/>
        <v>3.75</v>
      </c>
      <c r="M719" s="48">
        <f t="shared" si="75"/>
        <v>28.56</v>
      </c>
      <c r="N719" s="48">
        <f t="shared" si="76"/>
        <v>52.5</v>
      </c>
      <c r="O719" s="50">
        <f t="shared" si="77"/>
        <v>81.06</v>
      </c>
      <c r="P719" s="50">
        <v>0</v>
      </c>
      <c r="Q719" s="76"/>
      <c r="R719" s="139">
        <f>1*(S9+S10)</f>
        <v>14</v>
      </c>
      <c r="S719" s="79">
        <v>1.6700000000000004</v>
      </c>
      <c r="T719" s="80">
        <v>3.07</v>
      </c>
    </row>
    <row r="720" spans="2:20" ht="42">
      <c r="B720" s="5" t="s">
        <v>1707</v>
      </c>
      <c r="C720" s="45" t="s">
        <v>135</v>
      </c>
      <c r="D720" s="45">
        <v>98531</v>
      </c>
      <c r="E720" s="6" t="s">
        <v>1708</v>
      </c>
      <c r="F720" s="45" t="s">
        <v>210</v>
      </c>
      <c r="G720" s="46">
        <f t="shared" si="78"/>
        <v>14</v>
      </c>
      <c r="H720" s="46">
        <f>TRUNC(S720*(1-LOTE_03!$K$10),2)</f>
        <v>211.56</v>
      </c>
      <c r="I720" s="46">
        <f>TRUNC(T720*(1-LOTE_03!$K$10),2)</f>
        <v>175.12</v>
      </c>
      <c r="J720" s="100">
        <f t="shared" si="79"/>
        <v>0.22470000000000001</v>
      </c>
      <c r="K720" s="48">
        <f t="shared" ref="K720:K737" si="81">TRUNC(H720*(1+J720),2)</f>
        <v>259.08999999999997</v>
      </c>
      <c r="L720" s="48">
        <f t="shared" ref="L720:L737" si="82">TRUNC(I720*(1+J720),2)</f>
        <v>214.46</v>
      </c>
      <c r="M720" s="48">
        <f t="shared" ref="M720:M737" si="83">TRUNC(K720*G720,2)</f>
        <v>3627.26</v>
      </c>
      <c r="N720" s="48">
        <f t="shared" ref="N720:N737" si="84">TRUNC(L720*G720,2)</f>
        <v>3002.44</v>
      </c>
      <c r="O720" s="50">
        <f t="shared" ref="O720:O737" si="85">TRUNC(M720+N720,2)</f>
        <v>6629.7</v>
      </c>
      <c r="P720" s="50">
        <v>0</v>
      </c>
      <c r="Q720" s="76"/>
      <c r="R720" s="139">
        <f>1*(S9+S10)</f>
        <v>14</v>
      </c>
      <c r="S720" s="79">
        <v>211.56</v>
      </c>
      <c r="T720" s="80">
        <v>175.12</v>
      </c>
    </row>
    <row r="721" spans="2:20" ht="42">
      <c r="B721" s="5" t="s">
        <v>1709</v>
      </c>
      <c r="C721" s="45" t="s">
        <v>135</v>
      </c>
      <c r="D721" s="45">
        <v>99805</v>
      </c>
      <c r="E721" s="6" t="s">
        <v>1840</v>
      </c>
      <c r="F721" s="45" t="s">
        <v>121</v>
      </c>
      <c r="G721" s="46">
        <f t="shared" si="78"/>
        <v>5600</v>
      </c>
      <c r="H721" s="46">
        <f>TRUNC(S721*(1-LOTE_03!$K$10),2)</f>
        <v>4.1900000000000004</v>
      </c>
      <c r="I721" s="46">
        <f>TRUNC(T721*(1-LOTE_03!$K$10),2)</f>
        <v>6.6</v>
      </c>
      <c r="J721" s="100">
        <f t="shared" si="79"/>
        <v>0.22470000000000001</v>
      </c>
      <c r="K721" s="48">
        <f t="shared" si="81"/>
        <v>5.13</v>
      </c>
      <c r="L721" s="48">
        <f t="shared" si="82"/>
        <v>8.08</v>
      </c>
      <c r="M721" s="48">
        <f t="shared" si="83"/>
        <v>28728</v>
      </c>
      <c r="N721" s="48">
        <f t="shared" si="84"/>
        <v>45248</v>
      </c>
      <c r="O721" s="50">
        <f t="shared" si="85"/>
        <v>73976</v>
      </c>
      <c r="P721" s="50">
        <v>0</v>
      </c>
      <c r="Q721" s="76"/>
      <c r="R721" s="139">
        <f>400*(S9+S10)</f>
        <v>5600</v>
      </c>
      <c r="S721" s="79">
        <v>4.1899999999999995</v>
      </c>
      <c r="T721" s="80">
        <v>6.6</v>
      </c>
    </row>
    <row r="722" spans="2:20" ht="42">
      <c r="B722" s="5" t="s">
        <v>1710</v>
      </c>
      <c r="C722" s="45" t="s">
        <v>135</v>
      </c>
      <c r="D722" s="45">
        <v>99802</v>
      </c>
      <c r="E722" s="6" t="s">
        <v>1841</v>
      </c>
      <c r="F722" s="45" t="s">
        <v>121</v>
      </c>
      <c r="G722" s="46">
        <f t="shared" ref="G722:G737" si="86">TRUNC(R722,2)</f>
        <v>5600</v>
      </c>
      <c r="H722" s="46">
        <f>TRUNC(S722*(1-LOTE_03!$K$10),2)</f>
        <v>0.19</v>
      </c>
      <c r="I722" s="46">
        <f>TRUNC(T722*(1-LOTE_03!$K$10),2)</f>
        <v>0.32</v>
      </c>
      <c r="J722" s="100">
        <f t="shared" ref="J722:J737" si="87">$J$4</f>
        <v>0.22470000000000001</v>
      </c>
      <c r="K722" s="48">
        <f t="shared" si="81"/>
        <v>0.23</v>
      </c>
      <c r="L722" s="48">
        <f t="shared" si="82"/>
        <v>0.39</v>
      </c>
      <c r="M722" s="48">
        <f t="shared" si="83"/>
        <v>1288</v>
      </c>
      <c r="N722" s="48">
        <f t="shared" si="84"/>
        <v>2184</v>
      </c>
      <c r="O722" s="50">
        <f t="shared" si="85"/>
        <v>3472</v>
      </c>
      <c r="P722" s="50">
        <v>0</v>
      </c>
      <c r="Q722" s="76"/>
      <c r="R722" s="139">
        <f>400*(S9+S10)</f>
        <v>5600</v>
      </c>
      <c r="S722" s="79">
        <v>0.19</v>
      </c>
      <c r="T722" s="80">
        <v>0.32</v>
      </c>
    </row>
    <row r="723" spans="2:20" ht="42">
      <c r="B723" s="5" t="s">
        <v>1711</v>
      </c>
      <c r="C723" s="45" t="s">
        <v>135</v>
      </c>
      <c r="D723" s="45">
        <v>99803</v>
      </c>
      <c r="E723" s="6" t="s">
        <v>1842</v>
      </c>
      <c r="F723" s="45" t="s">
        <v>121</v>
      </c>
      <c r="G723" s="46">
        <f t="shared" si="86"/>
        <v>700</v>
      </c>
      <c r="H723" s="46">
        <f>TRUNC(S723*(1-LOTE_03!$K$10),2)</f>
        <v>1.38</v>
      </c>
      <c r="I723" s="46">
        <f>TRUNC(T723*(1-LOTE_03!$K$10),2)</f>
        <v>2.5499999999999998</v>
      </c>
      <c r="J723" s="100">
        <f t="shared" si="87"/>
        <v>0.22470000000000001</v>
      </c>
      <c r="K723" s="48">
        <f t="shared" si="81"/>
        <v>1.69</v>
      </c>
      <c r="L723" s="48">
        <f t="shared" si="82"/>
        <v>3.12</v>
      </c>
      <c r="M723" s="48">
        <f t="shared" si="83"/>
        <v>1183</v>
      </c>
      <c r="N723" s="48">
        <f t="shared" si="84"/>
        <v>2184</v>
      </c>
      <c r="O723" s="50">
        <f t="shared" si="85"/>
        <v>3367</v>
      </c>
      <c r="P723" s="50">
        <v>0</v>
      </c>
      <c r="Q723" s="76"/>
      <c r="R723" s="139">
        <f>50*(S9+S10)</f>
        <v>700</v>
      </c>
      <c r="S723" s="79">
        <v>1.3800000000000003</v>
      </c>
      <c r="T723" s="80">
        <v>2.5499999999999998</v>
      </c>
    </row>
    <row r="724" spans="2:20" ht="56">
      <c r="B724" s="5" t="s">
        <v>1712</v>
      </c>
      <c r="C724" s="45" t="s">
        <v>135</v>
      </c>
      <c r="D724" s="45">
        <v>99810</v>
      </c>
      <c r="E724" s="6" t="s">
        <v>1843</v>
      </c>
      <c r="F724" s="45" t="s">
        <v>121</v>
      </c>
      <c r="G724" s="46">
        <f t="shared" si="86"/>
        <v>5600</v>
      </c>
      <c r="H724" s="46">
        <f>TRUNC(S724*(1-LOTE_03!$K$10),2)</f>
        <v>2.27</v>
      </c>
      <c r="I724" s="46">
        <f>TRUNC(T724*(1-LOTE_03!$K$10),2)</f>
        <v>4.0999999999999996</v>
      </c>
      <c r="J724" s="100">
        <f t="shared" si="87"/>
        <v>0.22470000000000001</v>
      </c>
      <c r="K724" s="48">
        <f t="shared" si="81"/>
        <v>2.78</v>
      </c>
      <c r="L724" s="48">
        <f t="shared" si="82"/>
        <v>5.0199999999999996</v>
      </c>
      <c r="M724" s="48">
        <f t="shared" si="83"/>
        <v>15568</v>
      </c>
      <c r="N724" s="48">
        <f t="shared" si="84"/>
        <v>28112</v>
      </c>
      <c r="O724" s="50">
        <f t="shared" si="85"/>
        <v>43680</v>
      </c>
      <c r="P724" s="50">
        <v>0</v>
      </c>
      <c r="Q724" s="76"/>
      <c r="R724" s="139">
        <f>400*(S9+S10)</f>
        <v>5600</v>
      </c>
      <c r="S724" s="79">
        <v>2.2700000000000005</v>
      </c>
      <c r="T724" s="80">
        <v>4.0999999999999996</v>
      </c>
    </row>
    <row r="725" spans="2:20" ht="42">
      <c r="B725" s="5" t="s">
        <v>1713</v>
      </c>
      <c r="C725" s="45" t="s">
        <v>135</v>
      </c>
      <c r="D725" s="45">
        <v>99806</v>
      </c>
      <c r="E725" s="6" t="s">
        <v>1844</v>
      </c>
      <c r="F725" s="45" t="s">
        <v>121</v>
      </c>
      <c r="G725" s="46">
        <f t="shared" si="86"/>
        <v>5600</v>
      </c>
      <c r="H725" s="46">
        <f>TRUNC(S725*(1-LOTE_03!$K$10),2)</f>
        <v>1</v>
      </c>
      <c r="I725" s="46">
        <f>TRUNC(T725*(1-LOTE_03!$K$10),2)</f>
        <v>1.86</v>
      </c>
      <c r="J725" s="100">
        <f t="shared" si="87"/>
        <v>0.22470000000000001</v>
      </c>
      <c r="K725" s="48">
        <f t="shared" si="81"/>
        <v>1.22</v>
      </c>
      <c r="L725" s="48">
        <f t="shared" si="82"/>
        <v>2.27</v>
      </c>
      <c r="M725" s="48">
        <f t="shared" si="83"/>
        <v>6832</v>
      </c>
      <c r="N725" s="48">
        <f t="shared" si="84"/>
        <v>12712</v>
      </c>
      <c r="O725" s="50">
        <f t="shared" si="85"/>
        <v>19544</v>
      </c>
      <c r="P725" s="50">
        <v>0</v>
      </c>
      <c r="Q725" s="76"/>
      <c r="R725" s="139">
        <f>400*(S9+S10)</f>
        <v>5600</v>
      </c>
      <c r="S725" s="79">
        <v>0.99999999999999978</v>
      </c>
      <c r="T725" s="80">
        <v>1.86</v>
      </c>
    </row>
    <row r="726" spans="2:20">
      <c r="B726" s="5" t="s">
        <v>1714</v>
      </c>
      <c r="C726" s="45" t="s">
        <v>97</v>
      </c>
      <c r="D726" s="45" t="s">
        <v>1717</v>
      </c>
      <c r="E726" s="6" t="s">
        <v>1718</v>
      </c>
      <c r="F726" s="45" t="s">
        <v>121</v>
      </c>
      <c r="G726" s="46">
        <f t="shared" si="86"/>
        <v>700</v>
      </c>
      <c r="H726" s="46">
        <f>TRUNC(S726*(1-LOTE_03!$K$10),2)</f>
        <v>5.76</v>
      </c>
      <c r="I726" s="46">
        <f>TRUNC(T726*(1-LOTE_03!$K$10),2)</f>
        <v>8.67</v>
      </c>
      <c r="J726" s="100">
        <f t="shared" si="87"/>
        <v>0.22470000000000001</v>
      </c>
      <c r="K726" s="48">
        <f t="shared" si="81"/>
        <v>7.05</v>
      </c>
      <c r="L726" s="48">
        <f t="shared" si="82"/>
        <v>10.61</v>
      </c>
      <c r="M726" s="48">
        <f t="shared" si="83"/>
        <v>4935</v>
      </c>
      <c r="N726" s="48">
        <f t="shared" si="84"/>
        <v>7427</v>
      </c>
      <c r="O726" s="50">
        <f t="shared" si="85"/>
        <v>12362</v>
      </c>
      <c r="P726" s="50">
        <v>0</v>
      </c>
      <c r="Q726" s="76"/>
      <c r="R726" s="139">
        <f>50*(S9+S10)</f>
        <v>700</v>
      </c>
      <c r="S726" s="79">
        <v>5.76</v>
      </c>
      <c r="T726" s="80">
        <v>8.67</v>
      </c>
    </row>
    <row r="727" spans="2:20" ht="28">
      <c r="B727" s="5" t="s">
        <v>1715</v>
      </c>
      <c r="C727" s="45" t="s">
        <v>135</v>
      </c>
      <c r="D727" s="45">
        <v>99823</v>
      </c>
      <c r="E727" s="6" t="s">
        <v>1845</v>
      </c>
      <c r="F727" s="45" t="s">
        <v>121</v>
      </c>
      <c r="G727" s="46">
        <f t="shared" si="86"/>
        <v>5600</v>
      </c>
      <c r="H727" s="46">
        <f>TRUNC(S727*(1-LOTE_03!$K$10),2)</f>
        <v>1.26</v>
      </c>
      <c r="I727" s="46">
        <f>TRUNC(T727*(1-LOTE_03!$K$10),2)</f>
        <v>1.1499999999999999</v>
      </c>
      <c r="J727" s="100">
        <f t="shared" si="87"/>
        <v>0.22470000000000001</v>
      </c>
      <c r="K727" s="48">
        <f t="shared" si="81"/>
        <v>1.54</v>
      </c>
      <c r="L727" s="48">
        <f t="shared" si="82"/>
        <v>1.4</v>
      </c>
      <c r="M727" s="48">
        <f t="shared" si="83"/>
        <v>8624</v>
      </c>
      <c r="N727" s="48">
        <f t="shared" si="84"/>
        <v>7840</v>
      </c>
      <c r="O727" s="50">
        <f t="shared" si="85"/>
        <v>16464</v>
      </c>
      <c r="P727" s="50">
        <v>0</v>
      </c>
      <c r="Q727" s="76"/>
      <c r="R727" s="139">
        <f>400*(S9+S10)</f>
        <v>5600</v>
      </c>
      <c r="S727" s="79">
        <v>1.2600000000000002</v>
      </c>
      <c r="T727" s="80">
        <v>1.1499999999999999</v>
      </c>
    </row>
    <row r="728" spans="2:20" ht="42">
      <c r="B728" s="5" t="s">
        <v>1716</v>
      </c>
      <c r="C728" s="45" t="s">
        <v>135</v>
      </c>
      <c r="D728" s="45">
        <v>99821</v>
      </c>
      <c r="E728" s="6" t="s">
        <v>1846</v>
      </c>
      <c r="F728" s="45" t="s">
        <v>121</v>
      </c>
      <c r="G728" s="46">
        <f t="shared" si="86"/>
        <v>700</v>
      </c>
      <c r="H728" s="46">
        <f>TRUNC(S728*(1-LOTE_03!$K$10),2)</f>
        <v>2.72</v>
      </c>
      <c r="I728" s="46">
        <f>TRUNC(T728*(1-LOTE_03!$K$10),2)</f>
        <v>1.99</v>
      </c>
      <c r="J728" s="100">
        <f t="shared" si="87"/>
        <v>0.22470000000000001</v>
      </c>
      <c r="K728" s="48">
        <f t="shared" si="81"/>
        <v>3.33</v>
      </c>
      <c r="L728" s="48">
        <f t="shared" si="82"/>
        <v>2.4300000000000002</v>
      </c>
      <c r="M728" s="48">
        <f t="shared" si="83"/>
        <v>2331</v>
      </c>
      <c r="N728" s="48">
        <f t="shared" si="84"/>
        <v>1701</v>
      </c>
      <c r="O728" s="50">
        <f t="shared" si="85"/>
        <v>4032</v>
      </c>
      <c r="P728" s="50">
        <v>0</v>
      </c>
      <c r="Q728" s="76"/>
      <c r="R728" s="139">
        <f>50*(S9+S10)</f>
        <v>700</v>
      </c>
      <c r="S728" s="79">
        <v>2.7199999999999998</v>
      </c>
      <c r="T728" s="80">
        <v>1.99</v>
      </c>
    </row>
    <row r="729" spans="2:20" ht="28">
      <c r="B729" s="5" t="s">
        <v>1719</v>
      </c>
      <c r="C729" s="45" t="s">
        <v>135</v>
      </c>
      <c r="D729" s="45">
        <v>99826</v>
      </c>
      <c r="E729" s="6" t="s">
        <v>1847</v>
      </c>
      <c r="F729" s="45" t="s">
        <v>121</v>
      </c>
      <c r="G729" s="46">
        <f t="shared" si="86"/>
        <v>700</v>
      </c>
      <c r="H729" s="46">
        <f>TRUNC(S729*(1-LOTE_03!$K$10),2)</f>
        <v>0.56000000000000005</v>
      </c>
      <c r="I729" s="46">
        <f>TRUNC(T729*(1-LOTE_03!$K$10),2)</f>
        <v>1.03</v>
      </c>
      <c r="J729" s="100">
        <f t="shared" si="87"/>
        <v>0.22470000000000001</v>
      </c>
      <c r="K729" s="48">
        <f t="shared" si="81"/>
        <v>0.68</v>
      </c>
      <c r="L729" s="48">
        <f t="shared" si="82"/>
        <v>1.26</v>
      </c>
      <c r="M729" s="48">
        <f t="shared" si="83"/>
        <v>476</v>
      </c>
      <c r="N729" s="48">
        <f t="shared" si="84"/>
        <v>882</v>
      </c>
      <c r="O729" s="50">
        <f t="shared" si="85"/>
        <v>1358</v>
      </c>
      <c r="P729" s="50">
        <v>0</v>
      </c>
      <c r="Q729" s="76"/>
      <c r="R729" s="139">
        <f>50*(S9+S10)</f>
        <v>700</v>
      </c>
      <c r="S729" s="79">
        <v>0.56000000000000005</v>
      </c>
      <c r="T729" s="80">
        <v>1.03</v>
      </c>
    </row>
    <row r="730" spans="2:20" ht="28">
      <c r="B730" s="5" t="s">
        <v>1720</v>
      </c>
      <c r="C730" s="45" t="s">
        <v>135</v>
      </c>
      <c r="D730" s="45">
        <v>99822</v>
      </c>
      <c r="E730" s="6" t="s">
        <v>1848</v>
      </c>
      <c r="F730" s="45" t="s">
        <v>121</v>
      </c>
      <c r="G730" s="46">
        <f t="shared" si="86"/>
        <v>92.4</v>
      </c>
      <c r="H730" s="46">
        <f>TRUNC(S730*(1-LOTE_03!$K$10),2)</f>
        <v>0.38</v>
      </c>
      <c r="I730" s="46">
        <f>TRUNC(T730*(1-LOTE_03!$K$10),2)</f>
        <v>0.66</v>
      </c>
      <c r="J730" s="100">
        <f t="shared" si="87"/>
        <v>0.22470000000000001</v>
      </c>
      <c r="K730" s="48">
        <f t="shared" si="81"/>
        <v>0.46</v>
      </c>
      <c r="L730" s="48">
        <f t="shared" si="82"/>
        <v>0.8</v>
      </c>
      <c r="M730" s="48">
        <f t="shared" si="83"/>
        <v>42.5</v>
      </c>
      <c r="N730" s="48">
        <f t="shared" si="84"/>
        <v>73.92</v>
      </c>
      <c r="O730" s="50">
        <f t="shared" si="85"/>
        <v>116.42</v>
      </c>
      <c r="P730" s="50">
        <v>0</v>
      </c>
      <c r="Q730" s="76"/>
      <c r="R730" s="139">
        <f>2.2*1*3*(S9+S10)</f>
        <v>92.4</v>
      </c>
      <c r="S730" s="79">
        <v>0.38</v>
      </c>
      <c r="T730" s="80">
        <v>0.66</v>
      </c>
    </row>
    <row r="731" spans="2:20" ht="42">
      <c r="B731" s="5" t="s">
        <v>1721</v>
      </c>
      <c r="C731" s="45" t="s">
        <v>135</v>
      </c>
      <c r="D731" s="45">
        <v>99825</v>
      </c>
      <c r="E731" s="6" t="s">
        <v>1849</v>
      </c>
      <c r="F731" s="45" t="s">
        <v>121</v>
      </c>
      <c r="G731" s="46">
        <f t="shared" si="86"/>
        <v>30.8</v>
      </c>
      <c r="H731" s="46">
        <f>TRUNC(S731*(1-LOTE_03!$K$10),2)</f>
        <v>2.4700000000000002</v>
      </c>
      <c r="I731" s="46">
        <f>TRUNC(T731*(1-LOTE_03!$K$10),2)</f>
        <v>2.0499999999999998</v>
      </c>
      <c r="J731" s="100">
        <f t="shared" si="87"/>
        <v>0.22470000000000001</v>
      </c>
      <c r="K731" s="48">
        <f t="shared" si="81"/>
        <v>3.02</v>
      </c>
      <c r="L731" s="48">
        <f t="shared" si="82"/>
        <v>2.5099999999999998</v>
      </c>
      <c r="M731" s="48">
        <f t="shared" si="83"/>
        <v>93.01</v>
      </c>
      <c r="N731" s="48">
        <f t="shared" si="84"/>
        <v>77.3</v>
      </c>
      <c r="O731" s="50">
        <f t="shared" si="85"/>
        <v>170.31</v>
      </c>
      <c r="P731" s="50">
        <v>0</v>
      </c>
      <c r="Q731" s="76"/>
      <c r="R731" s="139">
        <f>2.2*1*(S9+S10)</f>
        <v>30.800000000000004</v>
      </c>
      <c r="S731" s="79">
        <v>2.4699999999999998</v>
      </c>
      <c r="T731" s="80">
        <v>2.0499999999999998</v>
      </c>
    </row>
    <row r="732" spans="2:20" ht="28">
      <c r="B732" s="5" t="s">
        <v>1722</v>
      </c>
      <c r="C732" s="45" t="s">
        <v>135</v>
      </c>
      <c r="D732" s="45">
        <v>99824</v>
      </c>
      <c r="E732" s="6" t="s">
        <v>1850</v>
      </c>
      <c r="F732" s="45" t="s">
        <v>121</v>
      </c>
      <c r="G732" s="46">
        <f t="shared" si="86"/>
        <v>92.4</v>
      </c>
      <c r="H732" s="46">
        <f>TRUNC(S732*(1-LOTE_03!$K$10),2)</f>
        <v>1.32</v>
      </c>
      <c r="I732" s="46">
        <f>TRUNC(T732*(1-LOTE_03!$K$10),2)</f>
        <v>1.4</v>
      </c>
      <c r="J732" s="100">
        <f t="shared" si="87"/>
        <v>0.22470000000000001</v>
      </c>
      <c r="K732" s="48">
        <f t="shared" si="81"/>
        <v>1.61</v>
      </c>
      <c r="L732" s="48">
        <f t="shared" si="82"/>
        <v>1.71</v>
      </c>
      <c r="M732" s="48">
        <f t="shared" si="83"/>
        <v>148.76</v>
      </c>
      <c r="N732" s="48">
        <f t="shared" si="84"/>
        <v>158</v>
      </c>
      <c r="O732" s="50">
        <f t="shared" si="85"/>
        <v>306.76</v>
      </c>
      <c r="P732" s="50">
        <v>0</v>
      </c>
      <c r="Q732" s="76"/>
      <c r="R732" s="139">
        <f>2.2*1*3*(S9+S10)</f>
        <v>92.4</v>
      </c>
      <c r="S732" s="79">
        <v>1.3200000000000003</v>
      </c>
      <c r="T732" s="80">
        <v>1.4</v>
      </c>
    </row>
    <row r="733" spans="2:20" ht="28">
      <c r="B733" s="5" t="s">
        <v>1723</v>
      </c>
      <c r="C733" s="45" t="s">
        <v>135</v>
      </c>
      <c r="D733" s="45">
        <v>99811</v>
      </c>
      <c r="E733" s="6" t="s">
        <v>1851</v>
      </c>
      <c r="F733" s="45" t="s">
        <v>121</v>
      </c>
      <c r="G733" s="46">
        <f t="shared" si="86"/>
        <v>700</v>
      </c>
      <c r="H733" s="46">
        <f>TRUNC(S733*(1-LOTE_03!$K$10),2)</f>
        <v>0.23</v>
      </c>
      <c r="I733" s="46">
        <f>TRUNC(T733*(1-LOTE_03!$K$10),2)</f>
        <v>0.4</v>
      </c>
      <c r="J733" s="100">
        <f t="shared" si="87"/>
        <v>0.22470000000000001</v>
      </c>
      <c r="K733" s="48">
        <f t="shared" si="81"/>
        <v>0.28000000000000003</v>
      </c>
      <c r="L733" s="48">
        <f t="shared" si="82"/>
        <v>0.48</v>
      </c>
      <c r="M733" s="48">
        <f t="shared" si="83"/>
        <v>196</v>
      </c>
      <c r="N733" s="48">
        <f t="shared" si="84"/>
        <v>336</v>
      </c>
      <c r="O733" s="50">
        <f t="shared" si="85"/>
        <v>532</v>
      </c>
      <c r="P733" s="50">
        <v>0</v>
      </c>
      <c r="Q733" s="76"/>
      <c r="R733" s="139">
        <f>50*(S9+S10)</f>
        <v>700</v>
      </c>
      <c r="S733" s="79">
        <v>0.22999999999999998</v>
      </c>
      <c r="T733" s="80">
        <v>0.4</v>
      </c>
    </row>
    <row r="734" spans="2:20" ht="42">
      <c r="B734" s="5" t="s">
        <v>1724</v>
      </c>
      <c r="C734" s="45" t="s">
        <v>135</v>
      </c>
      <c r="D734" s="45">
        <v>99805</v>
      </c>
      <c r="E734" s="6" t="s">
        <v>1840</v>
      </c>
      <c r="F734" s="45" t="s">
        <v>121</v>
      </c>
      <c r="G734" s="46">
        <f t="shared" si="86"/>
        <v>5600</v>
      </c>
      <c r="H734" s="46">
        <f>TRUNC(S734*(1-LOTE_03!$K$10),2)</f>
        <v>4.1900000000000004</v>
      </c>
      <c r="I734" s="46">
        <f>TRUNC(T734*(1-LOTE_03!$K$10),2)</f>
        <v>6.6</v>
      </c>
      <c r="J734" s="100">
        <f t="shared" si="87"/>
        <v>0.22470000000000001</v>
      </c>
      <c r="K734" s="48">
        <f t="shared" si="81"/>
        <v>5.13</v>
      </c>
      <c r="L734" s="48">
        <f t="shared" si="82"/>
        <v>8.08</v>
      </c>
      <c r="M734" s="48">
        <f t="shared" si="83"/>
        <v>28728</v>
      </c>
      <c r="N734" s="48">
        <f t="shared" si="84"/>
        <v>45248</v>
      </c>
      <c r="O734" s="50">
        <f t="shared" si="85"/>
        <v>73976</v>
      </c>
      <c r="P734" s="50">
        <v>0</v>
      </c>
      <c r="Q734" s="76"/>
      <c r="R734" s="139">
        <f>400*(S9+S10)</f>
        <v>5600</v>
      </c>
      <c r="S734" s="79">
        <v>4.1899999999999995</v>
      </c>
      <c r="T734" s="80">
        <v>6.6</v>
      </c>
    </row>
    <row r="735" spans="2:20">
      <c r="B735" s="5" t="s">
        <v>1725</v>
      </c>
      <c r="C735" s="45" t="s">
        <v>97</v>
      </c>
      <c r="D735" s="45" t="s">
        <v>1728</v>
      </c>
      <c r="E735" s="6" t="s">
        <v>1729</v>
      </c>
      <c r="F735" s="45" t="s">
        <v>104</v>
      </c>
      <c r="G735" s="46">
        <f t="shared" si="86"/>
        <v>14</v>
      </c>
      <c r="H735" s="46">
        <f>TRUNC(S735*(1-LOTE_03!$K$10),2)</f>
        <v>841.68</v>
      </c>
      <c r="I735" s="46">
        <f>TRUNC(T735*(1-LOTE_03!$K$10),2)</f>
        <v>225.2</v>
      </c>
      <c r="J735" s="100">
        <f t="shared" si="87"/>
        <v>0.22470000000000001</v>
      </c>
      <c r="K735" s="48">
        <f t="shared" si="81"/>
        <v>1030.8</v>
      </c>
      <c r="L735" s="48">
        <f t="shared" si="82"/>
        <v>275.8</v>
      </c>
      <c r="M735" s="48">
        <f t="shared" si="83"/>
        <v>14431.2</v>
      </c>
      <c r="N735" s="48">
        <f t="shared" si="84"/>
        <v>3861.2</v>
      </c>
      <c r="O735" s="50">
        <f t="shared" si="85"/>
        <v>18292.400000000001</v>
      </c>
      <c r="P735" s="50">
        <v>0</v>
      </c>
      <c r="Q735" s="76"/>
      <c r="R735" s="139">
        <f>1*(S9+S10)</f>
        <v>14</v>
      </c>
      <c r="S735" s="79">
        <v>841.68</v>
      </c>
      <c r="T735" s="80">
        <v>225.2</v>
      </c>
    </row>
    <row r="736" spans="2:20">
      <c r="B736" s="5" t="s">
        <v>1726</v>
      </c>
      <c r="C736" s="45" t="s">
        <v>97</v>
      </c>
      <c r="D736" s="45" t="s">
        <v>1730</v>
      </c>
      <c r="E736" s="6" t="s">
        <v>1731</v>
      </c>
      <c r="F736" s="45" t="s">
        <v>104</v>
      </c>
      <c r="G736" s="46">
        <f t="shared" si="86"/>
        <v>14</v>
      </c>
      <c r="H736" s="46">
        <f>TRUNC(S736*(1-LOTE_03!$K$10),2)</f>
        <v>2097.75</v>
      </c>
      <c r="I736" s="46">
        <f>TRUNC(T736*(1-LOTE_03!$K$10),2)</f>
        <v>375.28</v>
      </c>
      <c r="J736" s="100">
        <f t="shared" si="87"/>
        <v>0.22470000000000001</v>
      </c>
      <c r="K736" s="48">
        <f t="shared" si="81"/>
        <v>2569.11</v>
      </c>
      <c r="L736" s="48">
        <f t="shared" si="82"/>
        <v>459.6</v>
      </c>
      <c r="M736" s="48">
        <f t="shared" si="83"/>
        <v>35967.54</v>
      </c>
      <c r="N736" s="48">
        <f t="shared" si="84"/>
        <v>6434.4</v>
      </c>
      <c r="O736" s="50">
        <f t="shared" si="85"/>
        <v>42401.94</v>
      </c>
      <c r="P736" s="50">
        <v>0</v>
      </c>
      <c r="Q736" s="76"/>
      <c r="R736" s="139">
        <f>1*(S9+S10)</f>
        <v>14</v>
      </c>
      <c r="S736" s="79">
        <v>2097.75</v>
      </c>
      <c r="T736" s="80">
        <v>375.28</v>
      </c>
    </row>
    <row r="737" spans="2:20">
      <c r="B737" s="5" t="s">
        <v>1727</v>
      </c>
      <c r="C737" s="45" t="s">
        <v>97</v>
      </c>
      <c r="D737" s="45" t="s">
        <v>1732</v>
      </c>
      <c r="E737" s="6" t="s">
        <v>1733</v>
      </c>
      <c r="F737" s="45" t="s">
        <v>104</v>
      </c>
      <c r="G737" s="46">
        <f t="shared" si="86"/>
        <v>14</v>
      </c>
      <c r="H737" s="46">
        <f>TRUNC(S737*(1-LOTE_03!$K$10),2)</f>
        <v>7649.41</v>
      </c>
      <c r="I737" s="46">
        <f>TRUNC(T737*(1-LOTE_03!$K$10),2)</f>
        <v>1188.22</v>
      </c>
      <c r="J737" s="100">
        <f t="shared" si="87"/>
        <v>0.22470000000000001</v>
      </c>
      <c r="K737" s="48">
        <f t="shared" si="81"/>
        <v>9368.23</v>
      </c>
      <c r="L737" s="48">
        <f t="shared" si="82"/>
        <v>1455.21</v>
      </c>
      <c r="M737" s="48">
        <f t="shared" si="83"/>
        <v>131155.22</v>
      </c>
      <c r="N737" s="48">
        <f t="shared" si="84"/>
        <v>20372.939999999999</v>
      </c>
      <c r="O737" s="50">
        <f t="shared" si="85"/>
        <v>151528.16</v>
      </c>
      <c r="P737" s="50">
        <v>0</v>
      </c>
      <c r="Q737" s="76"/>
      <c r="R737" s="139">
        <f>1*(S9+S10)</f>
        <v>14</v>
      </c>
      <c r="S737" s="79">
        <v>7649.41</v>
      </c>
      <c r="T737" s="80">
        <v>1188.22</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25957092.82</v>
      </c>
      <c r="N741" s="58">
        <f>SUM(N15:N740)</f>
        <v>7106607.9600000074</v>
      </c>
      <c r="O741" s="58">
        <f t="shared" ref="O741:P741" si="91">SUM(O15:O740)</f>
        <v>33063700.780000024</v>
      </c>
      <c r="P741" s="58">
        <f t="shared" si="91"/>
        <v>33063700.780000009</v>
      </c>
      <c r="Q741" s="78"/>
      <c r="R741" s="78"/>
      <c r="S741" s="78"/>
    </row>
  </sheetData>
  <sheetProtection selectLockedCells="1"/>
  <protectedRanges>
    <protectedRange sqref="E15:F33 G739:O739 S15 E179:F471 G179:G429 G124 G132 G134 G150:G159 G431:G689 J179:J737 G15:J15 M738:O738 M15:Q15 G16:G114 E35:F176 J16:J176 P16:Q176 G161:G176 B15:B176 S16:T176 G691:G737 P179:Q740 B179:B739 S179:T738 E473:F739" name="Intervalo1_7_1"/>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R15" name="Intervalo1_3_1_2_1_1"/>
    <protectedRange sqref="B177 S177:T177 E177:G177 P177:Q177 J177" name="Intervalo1_3_1"/>
    <protectedRange sqref="G115:G123 G125:G131 G133 G135:G149 G160 G430 G690" name="Intervalo1_7_1_2"/>
    <protectedRange sqref="B178 S178:T178 E178:G178 P178:Q178 J178" name="Intervalo1_5_1_1"/>
    <protectedRange sqref="K15:L737" name="Intervalo1"/>
    <protectedRange sqref="M16:O737" name="Intervalo1_3"/>
    <protectedRange sqref="H16:I737" name="Intervalo1_2_1_1"/>
    <protectedRange sqref="R663 R684 R192:R194 R306 R310" name="Intervalo1_3_1_2"/>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5000000}"/>
  <mergeCells count="4">
    <mergeCell ref="H13:I13"/>
    <mergeCell ref="J13:J14"/>
    <mergeCell ref="M13:P13"/>
    <mergeCell ref="K13:L13"/>
  </mergeCells>
  <conditionalFormatting sqref="R15:R176 R179:R683">
    <cfRule type="expression" dxfId="20" priority="3" stopIfTrue="1">
      <formula>P15="-"</formula>
    </cfRule>
  </conditionalFormatting>
  <conditionalFormatting sqref="R15:R683">
    <cfRule type="cellIs" dxfId="19" priority="1" stopIfTrue="1" operator="equal">
      <formula>""</formula>
    </cfRule>
  </conditionalFormatting>
  <conditionalFormatting sqref="R177:R178">
    <cfRule type="expression" dxfId="18" priority="2" stopIfTrue="1">
      <formula>Q177="-"</formula>
    </cfRule>
  </conditionalFormatting>
  <conditionalFormatting sqref="R684">
    <cfRule type="cellIs" dxfId="17" priority="6" stopIfTrue="1" operator="equal">
      <formula>0</formula>
    </cfRule>
    <cfRule type="expression" dxfId="16" priority="7" stopIfTrue="1">
      <formula>I684="-"</formula>
    </cfRule>
  </conditionalFormatting>
  <conditionalFormatting sqref="R685:R737">
    <cfRule type="cellIs" dxfId="15" priority="4" stopIfTrue="1" operator="equal">
      <formula>""</formula>
    </cfRule>
    <cfRule type="expression" dxfId="14"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T741"/>
  <sheetViews>
    <sheetView topLeftCell="F1" zoomScale="55" zoomScaleNormal="55" workbookViewId="0">
      <selection activeCell="N3" sqref="N3:O5"/>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2.36328125" style="66" customWidth="1"/>
    <col min="12" max="12" width="11.1796875" style="66" customWidth="1"/>
    <col min="13" max="13" width="14.1796875" style="51" customWidth="1"/>
    <col min="14" max="14" width="12.7265625" style="51" customWidth="1"/>
    <col min="15" max="15" width="15.6328125" style="51" customWidth="1"/>
    <col min="16" max="16" width="15" style="51" customWidth="1"/>
    <col min="17" max="17" width="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72</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ht="28">
      <c r="B5" s="99" t="s">
        <v>93</v>
      </c>
      <c r="C5" s="98"/>
      <c r="E5" s="16"/>
      <c r="F5" s="17"/>
      <c r="G5" s="17"/>
      <c r="H5" s="116"/>
      <c r="I5" s="117" t="s">
        <v>95</v>
      </c>
      <c r="J5" s="118">
        <v>0.16500000000000001</v>
      </c>
      <c r="K5" s="151"/>
      <c r="L5" s="151"/>
      <c r="N5" s="111" t="s">
        <v>1735</v>
      </c>
      <c r="O5" s="110">
        <v>1.0532999999999999</v>
      </c>
    </row>
    <row r="6" spans="2:20" s="8" customFormat="1">
      <c r="D6" s="4"/>
      <c r="E6" s="16" t="s">
        <v>2</v>
      </c>
      <c r="F6" s="23" t="s">
        <v>1761</v>
      </c>
      <c r="G6" s="121"/>
      <c r="H6" s="18"/>
      <c r="N6" s="27" t="s">
        <v>4</v>
      </c>
      <c r="O6" s="28">
        <f>O741</f>
        <v>22944781.419999998</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1737</v>
      </c>
      <c r="F9" s="33"/>
      <c r="G9" s="34"/>
      <c r="H9" s="34"/>
      <c r="I9" s="35"/>
      <c r="J9" s="35"/>
      <c r="K9" s="35"/>
      <c r="L9" s="35"/>
      <c r="M9" s="31"/>
      <c r="N9" s="67"/>
      <c r="O9" s="68"/>
      <c r="R9" s="143" t="s">
        <v>1744</v>
      </c>
      <c r="S9" s="144">
        <v>4</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5</v>
      </c>
    </row>
    <row r="11" spans="2:20" s="8" customFormat="1">
      <c r="C11" s="135"/>
      <c r="E11" s="136" t="s">
        <v>165</v>
      </c>
      <c r="F11" s="137" t="s">
        <v>1853</v>
      </c>
      <c r="G11" s="134" t="s">
        <v>1749</v>
      </c>
      <c r="H11" s="134"/>
      <c r="I11" s="133">
        <v>46082</v>
      </c>
      <c r="J11" s="35"/>
      <c r="K11" s="35"/>
      <c r="L11" s="35"/>
      <c r="M11" s="31"/>
      <c r="N11" s="67"/>
      <c r="O11" s="68"/>
      <c r="R11" s="145" t="s">
        <v>77</v>
      </c>
      <c r="S11" s="146">
        <f>S9+S10</f>
        <v>9</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t="s">
        <v>21</v>
      </c>
      <c r="P15" s="104">
        <f>SUM(O16:O32)</f>
        <v>1266683.1400000001</v>
      </c>
      <c r="Q15" s="107"/>
      <c r="R15" s="139"/>
      <c r="S15" s="76" t="s">
        <v>22</v>
      </c>
      <c r="T15" s="51" t="s">
        <v>22</v>
      </c>
    </row>
    <row r="16" spans="2:20" ht="28">
      <c r="B16" s="5" t="s">
        <v>96</v>
      </c>
      <c r="C16" s="45" t="s">
        <v>97</v>
      </c>
      <c r="D16" s="45" t="s">
        <v>98</v>
      </c>
      <c r="E16" s="6" t="s">
        <v>99</v>
      </c>
      <c r="F16" s="45" t="s">
        <v>100</v>
      </c>
      <c r="G16" s="46">
        <f>TRUNC(R16,2)</f>
        <v>9</v>
      </c>
      <c r="H16" s="46">
        <f>TRUNC(S16*(1-LOTE_03!$K$10),2)</f>
        <v>1083.29</v>
      </c>
      <c r="I16" s="46">
        <f>TRUNC(T16*(1-LOTE_03!$K$10),2)</f>
        <v>0</v>
      </c>
      <c r="J16" s="100">
        <f>$J$4</f>
        <v>0.22470000000000001</v>
      </c>
      <c r="K16" s="48">
        <f>TRUNC(H16*(1+J16),2)</f>
        <v>1326.7</v>
      </c>
      <c r="L16" s="48">
        <f>TRUNC(I16*(1+J16),2)</f>
        <v>0</v>
      </c>
      <c r="M16" s="48">
        <f>TRUNC(K16*G16,2)</f>
        <v>11940.3</v>
      </c>
      <c r="N16" s="48">
        <f>TRUNC(L16*G16,2)</f>
        <v>0</v>
      </c>
      <c r="O16" s="50">
        <f>TRUNC(M16+N16,2)</f>
        <v>11940.3</v>
      </c>
      <c r="P16" s="50">
        <v>0</v>
      </c>
      <c r="Q16" s="76"/>
      <c r="R16" s="140">
        <f>S9+S10</f>
        <v>9</v>
      </c>
      <c r="S16" s="79">
        <v>1083.29</v>
      </c>
      <c r="T16" s="80">
        <v>0</v>
      </c>
    </row>
    <row r="17" spans="2:20" ht="28">
      <c r="B17" s="5" t="s">
        <v>101</v>
      </c>
      <c r="C17" s="45" t="s">
        <v>97</v>
      </c>
      <c r="D17" s="45" t="s">
        <v>102</v>
      </c>
      <c r="E17" s="6" t="s">
        <v>103</v>
      </c>
      <c r="F17" s="45" t="s">
        <v>104</v>
      </c>
      <c r="G17" s="46">
        <f t="shared" ref="G17:G80" si="0">TRUNC(R17,2)</f>
        <v>9</v>
      </c>
      <c r="H17" s="46">
        <f>TRUNC(S17*(1-LOTE_03!$K$10),2)</f>
        <v>881.17</v>
      </c>
      <c r="I17" s="46">
        <f>TRUNC(T17*(1-LOTE_03!$K$10),2)</f>
        <v>0</v>
      </c>
      <c r="J17" s="100">
        <f t="shared" ref="J17:J80" si="1">$J$4</f>
        <v>0.22470000000000001</v>
      </c>
      <c r="K17" s="48">
        <f t="shared" ref="K17:K80" si="2">TRUNC(H17*(1+J17),2)</f>
        <v>1079.1600000000001</v>
      </c>
      <c r="L17" s="48">
        <f t="shared" ref="L17:L80" si="3">TRUNC(I17*(1+J17),2)</f>
        <v>0</v>
      </c>
      <c r="M17" s="48">
        <f t="shared" ref="M17:M80" si="4">TRUNC(K17*G17,2)</f>
        <v>9712.44</v>
      </c>
      <c r="N17" s="48">
        <f t="shared" ref="N17:N80" si="5">TRUNC(L17*G17,2)</f>
        <v>0</v>
      </c>
      <c r="O17" s="50">
        <f t="shared" ref="O17:O80" si="6">TRUNC(M17+N17,2)</f>
        <v>9712.44</v>
      </c>
      <c r="P17" s="50">
        <v>0</v>
      </c>
      <c r="Q17" s="76"/>
      <c r="R17" s="140">
        <f>IF((S9+S10)&gt;50,50,(S9+S10))</f>
        <v>9</v>
      </c>
      <c r="S17" s="79">
        <v>881.17</v>
      </c>
      <c r="T17" s="80">
        <v>0</v>
      </c>
    </row>
    <row r="18" spans="2:20" ht="70">
      <c r="B18" s="5" t="s">
        <v>105</v>
      </c>
      <c r="C18" s="45" t="s">
        <v>97</v>
      </c>
      <c r="D18" s="45" t="s">
        <v>106</v>
      </c>
      <c r="E18" s="6" t="s">
        <v>107</v>
      </c>
      <c r="F18" s="45" t="s">
        <v>104</v>
      </c>
      <c r="G18" s="46">
        <f t="shared" si="0"/>
        <v>9</v>
      </c>
      <c r="H18" s="46">
        <f>TRUNC(S18*(1-LOTE_03!$K$10),2)</f>
        <v>325.76</v>
      </c>
      <c r="I18" s="46">
        <f>TRUNC(T18*(1-LOTE_03!$K$10),2)</f>
        <v>0</v>
      </c>
      <c r="J18" s="100">
        <f t="shared" si="1"/>
        <v>0.22470000000000001</v>
      </c>
      <c r="K18" s="48">
        <f t="shared" si="2"/>
        <v>398.95</v>
      </c>
      <c r="L18" s="48">
        <f t="shared" si="3"/>
        <v>0</v>
      </c>
      <c r="M18" s="48">
        <f t="shared" si="4"/>
        <v>3590.55</v>
      </c>
      <c r="N18" s="48">
        <f t="shared" si="5"/>
        <v>0</v>
      </c>
      <c r="O18" s="50">
        <f t="shared" si="6"/>
        <v>3590.55</v>
      </c>
      <c r="P18" s="50">
        <v>0</v>
      </c>
      <c r="Q18" s="76"/>
      <c r="R18" s="140">
        <f>1*(S9+S10)</f>
        <v>9</v>
      </c>
      <c r="S18" s="79">
        <v>325.76</v>
      </c>
      <c r="T18" s="80">
        <v>0</v>
      </c>
    </row>
    <row r="19" spans="2:20" ht="84">
      <c r="B19" s="5" t="s">
        <v>108</v>
      </c>
      <c r="C19" s="45" t="s">
        <v>97</v>
      </c>
      <c r="D19" s="45" t="s">
        <v>109</v>
      </c>
      <c r="E19" s="6" t="s">
        <v>110</v>
      </c>
      <c r="F19" s="45" t="s">
        <v>111</v>
      </c>
      <c r="G19" s="46">
        <f t="shared" si="0"/>
        <v>9</v>
      </c>
      <c r="H19" s="46">
        <f>TRUNC(S19*(1-LOTE_03!$K$10),2)</f>
        <v>440</v>
      </c>
      <c r="I19" s="46">
        <f>TRUNC(T19*(1-LOTE_03!$K$10),2)</f>
        <v>23529.439999999999</v>
      </c>
      <c r="J19" s="100">
        <f t="shared" si="1"/>
        <v>0.22470000000000001</v>
      </c>
      <c r="K19" s="48">
        <f t="shared" si="2"/>
        <v>538.86</v>
      </c>
      <c r="L19" s="48">
        <f t="shared" si="3"/>
        <v>28816.5</v>
      </c>
      <c r="M19" s="48">
        <f t="shared" si="4"/>
        <v>4849.74</v>
      </c>
      <c r="N19" s="48">
        <f t="shared" si="5"/>
        <v>259348.5</v>
      </c>
      <c r="O19" s="50">
        <f t="shared" si="6"/>
        <v>264198.24</v>
      </c>
      <c r="P19" s="50">
        <v>0</v>
      </c>
      <c r="Q19" s="76"/>
      <c r="R19" s="140">
        <f>S9+S10</f>
        <v>9</v>
      </c>
      <c r="S19" s="79">
        <v>440</v>
      </c>
      <c r="T19" s="80">
        <v>23529.439999999999</v>
      </c>
    </row>
    <row r="20" spans="2:20" ht="70">
      <c r="B20" s="5" t="s">
        <v>112</v>
      </c>
      <c r="C20" s="45" t="s">
        <v>97</v>
      </c>
      <c r="D20" s="45" t="s">
        <v>113</v>
      </c>
      <c r="E20" s="6" t="s">
        <v>114</v>
      </c>
      <c r="F20" s="45" t="s">
        <v>111</v>
      </c>
      <c r="G20" s="46">
        <f t="shared" si="0"/>
        <v>18</v>
      </c>
      <c r="H20" s="46">
        <f>TRUNC(S20*(1-LOTE_03!$K$10),2)</f>
        <v>601.91999999999996</v>
      </c>
      <c r="I20" s="46">
        <f>TRUNC(T20*(1-LOTE_03!$K$10),2)</f>
        <v>12179.2</v>
      </c>
      <c r="J20" s="100">
        <f t="shared" si="1"/>
        <v>0.22470000000000001</v>
      </c>
      <c r="K20" s="48">
        <f>TRUNC(H20*(1+J20),2)</f>
        <v>737.17</v>
      </c>
      <c r="L20" s="48">
        <f>TRUNC(I20*(1+J20),2)</f>
        <v>14915.86</v>
      </c>
      <c r="M20" s="48">
        <f>TRUNC(K20*G20,2)</f>
        <v>13269.06</v>
      </c>
      <c r="N20" s="48">
        <f>TRUNC(L20*G20,2)</f>
        <v>268485.48</v>
      </c>
      <c r="O20" s="50">
        <f>TRUNC(M20+N20,2)</f>
        <v>281754.53999999998</v>
      </c>
      <c r="P20" s="50">
        <v>0</v>
      </c>
      <c r="Q20" s="76"/>
      <c r="R20" s="140">
        <f>2*S9+2*S10</f>
        <v>18</v>
      </c>
      <c r="S20" s="79">
        <v>601.91999999999996</v>
      </c>
      <c r="T20" s="80">
        <v>12179.2</v>
      </c>
    </row>
    <row r="21" spans="2:20" ht="70">
      <c r="B21" s="5" t="s">
        <v>115</v>
      </c>
      <c r="C21" s="45" t="s">
        <v>97</v>
      </c>
      <c r="D21" s="45" t="s">
        <v>116</v>
      </c>
      <c r="E21" s="6" t="s">
        <v>117</v>
      </c>
      <c r="F21" s="45" t="s">
        <v>111</v>
      </c>
      <c r="G21" s="46">
        <f t="shared" si="0"/>
        <v>18</v>
      </c>
      <c r="H21" s="46">
        <f>TRUNC(S21*(1-LOTE_03!$K$10),2)</f>
        <v>700.12</v>
      </c>
      <c r="I21" s="46">
        <f>TRUNC(T21*(1-LOTE_03!$K$10),2)</f>
        <v>6998.91</v>
      </c>
      <c r="J21" s="100">
        <f t="shared" si="1"/>
        <v>0.22470000000000001</v>
      </c>
      <c r="K21" s="48">
        <f t="shared" si="2"/>
        <v>857.43</v>
      </c>
      <c r="L21" s="48">
        <f t="shared" si="3"/>
        <v>8571.56</v>
      </c>
      <c r="M21" s="48">
        <f t="shared" si="4"/>
        <v>15433.74</v>
      </c>
      <c r="N21" s="48">
        <f t="shared" si="5"/>
        <v>154288.07999999999</v>
      </c>
      <c r="O21" s="50">
        <f t="shared" si="6"/>
        <v>169721.82</v>
      </c>
      <c r="P21" s="50">
        <v>0</v>
      </c>
      <c r="Q21" s="76"/>
      <c r="R21" s="140">
        <f>2*S9+2*S10</f>
        <v>18</v>
      </c>
      <c r="S21" s="79">
        <v>700.12</v>
      </c>
      <c r="T21" s="80">
        <v>6998.91</v>
      </c>
    </row>
    <row r="22" spans="2:20">
      <c r="B22" s="5" t="s">
        <v>118</v>
      </c>
      <c r="C22" s="45" t="s">
        <v>97</v>
      </c>
      <c r="D22" s="45" t="s">
        <v>119</v>
      </c>
      <c r="E22" s="6" t="s">
        <v>120</v>
      </c>
      <c r="F22" s="45" t="s">
        <v>121</v>
      </c>
      <c r="G22" s="46">
        <f t="shared" si="0"/>
        <v>3600</v>
      </c>
      <c r="H22" s="46">
        <f>TRUNC(S22*(1-LOTE_03!$K$10),2)</f>
        <v>0</v>
      </c>
      <c r="I22" s="46">
        <f>TRUNC(T22*(1-LOTE_03!$K$10),2)</f>
        <v>27.5</v>
      </c>
      <c r="J22" s="100">
        <f t="shared" si="1"/>
        <v>0.22470000000000001</v>
      </c>
      <c r="K22" s="48">
        <f t="shared" si="2"/>
        <v>0</v>
      </c>
      <c r="L22" s="48">
        <f t="shared" si="3"/>
        <v>33.67</v>
      </c>
      <c r="M22" s="48">
        <f t="shared" si="4"/>
        <v>0</v>
      </c>
      <c r="N22" s="48">
        <f t="shared" si="5"/>
        <v>121212</v>
      </c>
      <c r="O22" s="50">
        <f t="shared" si="6"/>
        <v>121212</v>
      </c>
      <c r="P22" s="50">
        <v>0</v>
      </c>
      <c r="Q22" s="76"/>
      <c r="R22" s="140">
        <f>400*(S9+S10)</f>
        <v>3600</v>
      </c>
      <c r="S22" s="79">
        <v>0</v>
      </c>
      <c r="T22" s="80">
        <v>27.5</v>
      </c>
    </row>
    <row r="23" spans="2:20" ht="28">
      <c r="B23" s="5" t="s">
        <v>122</v>
      </c>
      <c r="C23" s="45" t="s">
        <v>97</v>
      </c>
      <c r="D23" s="45" t="s">
        <v>123</v>
      </c>
      <c r="E23" s="6" t="s">
        <v>124</v>
      </c>
      <c r="F23" s="45" t="s">
        <v>121</v>
      </c>
      <c r="G23" s="46">
        <f t="shared" si="0"/>
        <v>3600</v>
      </c>
      <c r="H23" s="46">
        <f>TRUNC(S23*(1-LOTE_03!$K$10),2)</f>
        <v>0</v>
      </c>
      <c r="I23" s="46">
        <f>TRUNC(T23*(1-LOTE_03!$K$10),2)</f>
        <v>3.6</v>
      </c>
      <c r="J23" s="100">
        <f t="shared" si="1"/>
        <v>0.22470000000000001</v>
      </c>
      <c r="K23" s="48">
        <f t="shared" si="2"/>
        <v>0</v>
      </c>
      <c r="L23" s="48">
        <f t="shared" si="3"/>
        <v>4.4000000000000004</v>
      </c>
      <c r="M23" s="48">
        <f t="shared" si="4"/>
        <v>0</v>
      </c>
      <c r="N23" s="48">
        <f t="shared" si="5"/>
        <v>15840</v>
      </c>
      <c r="O23" s="50">
        <f t="shared" si="6"/>
        <v>15840</v>
      </c>
      <c r="P23" s="50">
        <v>0</v>
      </c>
      <c r="Q23" s="76"/>
      <c r="R23" s="140">
        <f>400*(S9+S10)</f>
        <v>3600</v>
      </c>
      <c r="S23" s="79">
        <v>0</v>
      </c>
      <c r="T23" s="80">
        <v>3.6</v>
      </c>
    </row>
    <row r="24" spans="2:20" ht="28">
      <c r="B24" s="5" t="s">
        <v>125</v>
      </c>
      <c r="C24" s="45" t="s">
        <v>97</v>
      </c>
      <c r="D24" s="45" t="s">
        <v>126</v>
      </c>
      <c r="E24" s="6" t="s">
        <v>127</v>
      </c>
      <c r="F24" s="45" t="s">
        <v>121</v>
      </c>
      <c r="G24" s="46">
        <f t="shared" si="0"/>
        <v>3600</v>
      </c>
      <c r="H24" s="46">
        <f>TRUNC(S24*(1-LOTE_03!$K$10),2)</f>
        <v>0</v>
      </c>
      <c r="I24" s="46">
        <f>TRUNC(T24*(1-LOTE_03!$K$10),2)</f>
        <v>8.5</v>
      </c>
      <c r="J24" s="100">
        <f t="shared" si="1"/>
        <v>0.22470000000000001</v>
      </c>
      <c r="K24" s="48">
        <f t="shared" si="2"/>
        <v>0</v>
      </c>
      <c r="L24" s="48">
        <f t="shared" si="3"/>
        <v>10.4</v>
      </c>
      <c r="M24" s="48">
        <f t="shared" si="4"/>
        <v>0</v>
      </c>
      <c r="N24" s="48">
        <f t="shared" si="5"/>
        <v>37440</v>
      </c>
      <c r="O24" s="50">
        <f t="shared" si="6"/>
        <v>37440</v>
      </c>
      <c r="P24" s="50">
        <v>0</v>
      </c>
      <c r="Q24" s="76"/>
      <c r="R24" s="140">
        <f>400*(S9+S10)</f>
        <v>3600</v>
      </c>
      <c r="S24" s="79">
        <v>0</v>
      </c>
      <c r="T24" s="80">
        <v>8.5</v>
      </c>
    </row>
    <row r="25" spans="2:20" ht="28">
      <c r="B25" s="5" t="s">
        <v>128</v>
      </c>
      <c r="C25" s="45" t="s">
        <v>97</v>
      </c>
      <c r="D25" s="45" t="s">
        <v>129</v>
      </c>
      <c r="E25" s="6" t="s">
        <v>130</v>
      </c>
      <c r="F25" s="45" t="s">
        <v>121</v>
      </c>
      <c r="G25" s="46">
        <f t="shared" si="0"/>
        <v>3600</v>
      </c>
      <c r="H25" s="46">
        <f>TRUNC(S25*(1-LOTE_03!$K$10),2)</f>
        <v>0</v>
      </c>
      <c r="I25" s="46">
        <f>TRUNC(T25*(1-LOTE_03!$K$10),2)</f>
        <v>5</v>
      </c>
      <c r="J25" s="100">
        <f t="shared" si="1"/>
        <v>0.22470000000000001</v>
      </c>
      <c r="K25" s="48">
        <f t="shared" si="2"/>
        <v>0</v>
      </c>
      <c r="L25" s="48">
        <f t="shared" si="3"/>
        <v>6.12</v>
      </c>
      <c r="M25" s="48">
        <f t="shared" si="4"/>
        <v>0</v>
      </c>
      <c r="N25" s="48">
        <f t="shared" si="5"/>
        <v>22032</v>
      </c>
      <c r="O25" s="50">
        <f t="shared" si="6"/>
        <v>22032</v>
      </c>
      <c r="P25" s="50">
        <v>0</v>
      </c>
      <c r="Q25" s="76"/>
      <c r="R25" s="140">
        <f>400*(S9+S10)</f>
        <v>3600</v>
      </c>
      <c r="S25" s="79">
        <v>0</v>
      </c>
      <c r="T25" s="80">
        <v>5</v>
      </c>
    </row>
    <row r="26" spans="2:20" ht="28">
      <c r="B26" s="5" t="s">
        <v>131</v>
      </c>
      <c r="C26" s="45" t="s">
        <v>97</v>
      </c>
      <c r="D26" s="45" t="s">
        <v>132</v>
      </c>
      <c r="E26" s="6" t="s">
        <v>133</v>
      </c>
      <c r="F26" s="45" t="s">
        <v>121</v>
      </c>
      <c r="G26" s="46">
        <f t="shared" si="0"/>
        <v>3600</v>
      </c>
      <c r="H26" s="46">
        <f>TRUNC(S26*(1-LOTE_03!$K$10),2)</f>
        <v>0</v>
      </c>
      <c r="I26" s="46">
        <f>TRUNC(T26*(1-LOTE_03!$K$10),2)</f>
        <v>5.5</v>
      </c>
      <c r="J26" s="100">
        <f t="shared" si="1"/>
        <v>0.22470000000000001</v>
      </c>
      <c r="K26" s="48">
        <f t="shared" si="2"/>
        <v>0</v>
      </c>
      <c r="L26" s="48">
        <f t="shared" si="3"/>
        <v>6.73</v>
      </c>
      <c r="M26" s="48">
        <f t="shared" si="4"/>
        <v>0</v>
      </c>
      <c r="N26" s="48">
        <f t="shared" si="5"/>
        <v>24228</v>
      </c>
      <c r="O26" s="50">
        <f t="shared" si="6"/>
        <v>24228</v>
      </c>
      <c r="P26" s="50">
        <v>0</v>
      </c>
      <c r="Q26" s="76"/>
      <c r="R26" s="140">
        <f>400*(S9+S10)</f>
        <v>3600</v>
      </c>
      <c r="S26" s="79">
        <v>0</v>
      </c>
      <c r="T26" s="80">
        <v>5.5</v>
      </c>
    </row>
    <row r="27" spans="2:20" ht="28">
      <c r="B27" s="5" t="s">
        <v>134</v>
      </c>
      <c r="C27" s="45" t="s">
        <v>135</v>
      </c>
      <c r="D27" s="45">
        <v>90769</v>
      </c>
      <c r="E27" s="6" t="s">
        <v>136</v>
      </c>
      <c r="F27" s="45" t="s">
        <v>137</v>
      </c>
      <c r="G27" s="46">
        <f t="shared" si="0"/>
        <v>450</v>
      </c>
      <c r="H27" s="46">
        <f>TRUNC(S27*(1-LOTE_03!$K$10),2)</f>
        <v>2.4900000000000002</v>
      </c>
      <c r="I27" s="46">
        <f>TRUNC(T27*(1-LOTE_03!$K$10),2)</f>
        <v>138.04</v>
      </c>
      <c r="J27" s="100">
        <f t="shared" si="1"/>
        <v>0.22470000000000001</v>
      </c>
      <c r="K27" s="48">
        <f t="shared" si="2"/>
        <v>3.04</v>
      </c>
      <c r="L27" s="48">
        <f t="shared" si="3"/>
        <v>169.05</v>
      </c>
      <c r="M27" s="48">
        <f t="shared" si="4"/>
        <v>1368</v>
      </c>
      <c r="N27" s="48">
        <f t="shared" si="5"/>
        <v>76072.5</v>
      </c>
      <c r="O27" s="50">
        <f t="shared" si="6"/>
        <v>77440.5</v>
      </c>
      <c r="P27" s="50">
        <v>0</v>
      </c>
      <c r="Q27" s="76"/>
      <c r="R27" s="140">
        <f>IF((50*S10+50*S9),(50*S10+50*S9))</f>
        <v>450</v>
      </c>
      <c r="S27" s="79">
        <v>2.4900000000000091</v>
      </c>
      <c r="T27" s="80">
        <v>138.04</v>
      </c>
    </row>
    <row r="28" spans="2:20" ht="28">
      <c r="B28" s="5" t="s">
        <v>138</v>
      </c>
      <c r="C28" s="45" t="s">
        <v>135</v>
      </c>
      <c r="D28" s="45">
        <v>90778</v>
      </c>
      <c r="E28" s="6" t="s">
        <v>139</v>
      </c>
      <c r="F28" s="45" t="s">
        <v>137</v>
      </c>
      <c r="G28" s="46">
        <f t="shared" si="0"/>
        <v>450</v>
      </c>
      <c r="H28" s="46">
        <f>TRUNC(S28*(1-LOTE_03!$K$10),2)</f>
        <v>2.4900000000000002</v>
      </c>
      <c r="I28" s="46">
        <f>TRUNC(T28*(1-LOTE_03!$K$10),2)</f>
        <v>140.97999999999999</v>
      </c>
      <c r="J28" s="100">
        <f t="shared" si="1"/>
        <v>0.22470000000000001</v>
      </c>
      <c r="K28" s="48">
        <f t="shared" si="2"/>
        <v>3.04</v>
      </c>
      <c r="L28" s="48">
        <f t="shared" si="3"/>
        <v>172.65</v>
      </c>
      <c r="M28" s="48">
        <f t="shared" si="4"/>
        <v>1368</v>
      </c>
      <c r="N28" s="48">
        <f t="shared" si="5"/>
        <v>77692.5</v>
      </c>
      <c r="O28" s="50">
        <f t="shared" si="6"/>
        <v>79060.5</v>
      </c>
      <c r="P28" s="50">
        <v>0</v>
      </c>
      <c r="Q28" s="76"/>
      <c r="R28" s="140">
        <f>IF((50*S10+50*S9)&gt;1000,1000,(50*S10+50*S9))</f>
        <v>450</v>
      </c>
      <c r="S28" s="79">
        <v>2.4900000000000091</v>
      </c>
      <c r="T28" s="80">
        <v>140.97999999999999</v>
      </c>
    </row>
    <row r="29" spans="2:20" ht="42">
      <c r="B29" s="5" t="s">
        <v>140</v>
      </c>
      <c r="C29" s="45" t="s">
        <v>97</v>
      </c>
      <c r="D29" s="45" t="s">
        <v>141</v>
      </c>
      <c r="E29" s="6" t="s">
        <v>142</v>
      </c>
      <c r="F29" s="45" t="s">
        <v>111</v>
      </c>
      <c r="G29" s="46">
        <f t="shared" si="0"/>
        <v>10</v>
      </c>
      <c r="H29" s="46">
        <f>TRUNC(S29*(1-LOTE_03!$K$10),2)</f>
        <v>71.52</v>
      </c>
      <c r="I29" s="46">
        <f>TRUNC(T29*(1-LOTE_03!$K$10),2)</f>
        <v>819.6</v>
      </c>
      <c r="J29" s="100">
        <f t="shared" si="1"/>
        <v>0.22470000000000001</v>
      </c>
      <c r="K29" s="48">
        <f t="shared" si="2"/>
        <v>87.59</v>
      </c>
      <c r="L29" s="48">
        <f t="shared" si="3"/>
        <v>1003.76</v>
      </c>
      <c r="M29" s="48">
        <f t="shared" si="4"/>
        <v>875.9</v>
      </c>
      <c r="N29" s="48">
        <f t="shared" si="5"/>
        <v>10037.6</v>
      </c>
      <c r="O29" s="50">
        <f t="shared" si="6"/>
        <v>10913.5</v>
      </c>
      <c r="P29" s="50">
        <v>0</v>
      </c>
      <c r="Q29" s="76"/>
      <c r="R29" s="140">
        <f>IF((2*S9+2*S10)&gt;10,10,(2*S9+2*S10))</f>
        <v>10</v>
      </c>
      <c r="S29" s="79">
        <v>71.52</v>
      </c>
      <c r="T29" s="80">
        <v>819.6</v>
      </c>
    </row>
    <row r="30" spans="2:20">
      <c r="B30" s="5" t="s">
        <v>143</v>
      </c>
      <c r="C30" s="45" t="s">
        <v>97</v>
      </c>
      <c r="D30" s="45" t="s">
        <v>144</v>
      </c>
      <c r="E30" s="6" t="s">
        <v>145</v>
      </c>
      <c r="F30" s="45" t="s">
        <v>104</v>
      </c>
      <c r="G30" s="46">
        <f t="shared" si="0"/>
        <v>9</v>
      </c>
      <c r="H30" s="46">
        <f>TRUNC(S30*(1-LOTE_03!$K$10),2)</f>
        <v>858.81</v>
      </c>
      <c r="I30" s="46">
        <f>TRUNC(T30*(1-LOTE_03!$K$10),2)</f>
        <v>287.79000000000002</v>
      </c>
      <c r="J30" s="100">
        <f t="shared" si="1"/>
        <v>0.22470000000000001</v>
      </c>
      <c r="K30" s="48">
        <f t="shared" si="2"/>
        <v>1051.78</v>
      </c>
      <c r="L30" s="48">
        <f t="shared" si="3"/>
        <v>352.45</v>
      </c>
      <c r="M30" s="48">
        <f t="shared" si="4"/>
        <v>9466.02</v>
      </c>
      <c r="N30" s="48">
        <f t="shared" si="5"/>
        <v>3172.05</v>
      </c>
      <c r="O30" s="50">
        <f t="shared" si="6"/>
        <v>12638.07</v>
      </c>
      <c r="P30" s="50">
        <v>0</v>
      </c>
      <c r="Q30" s="76"/>
      <c r="R30" s="140">
        <f>S9+S10</f>
        <v>9</v>
      </c>
      <c r="S30" s="79">
        <v>858.81</v>
      </c>
      <c r="T30" s="80">
        <v>287.79000000000002</v>
      </c>
    </row>
    <row r="31" spans="2:20" ht="28">
      <c r="B31" s="5" t="s">
        <v>146</v>
      </c>
      <c r="C31" s="45" t="s">
        <v>97</v>
      </c>
      <c r="D31" s="45" t="s">
        <v>147</v>
      </c>
      <c r="E31" s="6" t="s">
        <v>148</v>
      </c>
      <c r="F31" s="45" t="s">
        <v>104</v>
      </c>
      <c r="G31" s="46">
        <f t="shared" si="0"/>
        <v>9</v>
      </c>
      <c r="H31" s="46">
        <f>TRUNC(S31*(1-LOTE_03!$K$10),2)</f>
        <v>1621.08</v>
      </c>
      <c r="I31" s="46">
        <f>TRUNC(T31*(1-LOTE_03!$K$10),2)</f>
        <v>454.82</v>
      </c>
      <c r="J31" s="100">
        <f t="shared" si="1"/>
        <v>0.22470000000000001</v>
      </c>
      <c r="K31" s="48">
        <f t="shared" si="2"/>
        <v>1985.33</v>
      </c>
      <c r="L31" s="48">
        <f t="shared" si="3"/>
        <v>557.01</v>
      </c>
      <c r="M31" s="48">
        <f t="shared" si="4"/>
        <v>17867.97</v>
      </c>
      <c r="N31" s="48">
        <f t="shared" si="5"/>
        <v>5013.09</v>
      </c>
      <c r="O31" s="50">
        <f t="shared" si="6"/>
        <v>22881.06</v>
      </c>
      <c r="P31" s="50">
        <v>0</v>
      </c>
      <c r="Q31" s="76"/>
      <c r="R31" s="140">
        <f>S9+S10</f>
        <v>9</v>
      </c>
      <c r="S31" s="79">
        <v>1621.08</v>
      </c>
      <c r="T31" s="80">
        <v>454.82</v>
      </c>
    </row>
    <row r="32" spans="2:20" ht="28">
      <c r="B32" s="5" t="s">
        <v>149</v>
      </c>
      <c r="C32" s="45" t="s">
        <v>97</v>
      </c>
      <c r="D32" s="45" t="s">
        <v>150</v>
      </c>
      <c r="E32" s="6" t="s">
        <v>151</v>
      </c>
      <c r="F32" s="45" t="s">
        <v>104</v>
      </c>
      <c r="G32" s="46">
        <f t="shared" si="0"/>
        <v>9</v>
      </c>
      <c r="H32" s="46">
        <f>TRUNC(S32*(1-LOTE_03!$K$10),2)</f>
        <v>7949.88</v>
      </c>
      <c r="I32" s="46">
        <f>TRUNC(T32*(1-LOTE_03!$K$10),2)</f>
        <v>1311.32</v>
      </c>
      <c r="J32" s="100">
        <f t="shared" si="1"/>
        <v>0.22470000000000001</v>
      </c>
      <c r="K32" s="48">
        <f t="shared" si="2"/>
        <v>9736.2099999999991</v>
      </c>
      <c r="L32" s="48">
        <f t="shared" si="3"/>
        <v>1605.97</v>
      </c>
      <c r="M32" s="48">
        <f t="shared" si="4"/>
        <v>87625.89</v>
      </c>
      <c r="N32" s="48">
        <f t="shared" si="5"/>
        <v>14453.73</v>
      </c>
      <c r="O32" s="50">
        <f t="shared" si="6"/>
        <v>102079.62</v>
      </c>
      <c r="P32" s="50">
        <v>0</v>
      </c>
      <c r="Q32" s="76"/>
      <c r="R32" s="140">
        <f>S9+S10</f>
        <v>9</v>
      </c>
      <c r="S32" s="79">
        <v>7949.88</v>
      </c>
      <c r="T32" s="80">
        <v>1311.32</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144120.19</v>
      </c>
      <c r="Q33" s="107"/>
      <c r="R33" s="154"/>
      <c r="S33" s="43" t="s">
        <v>22</v>
      </c>
      <c r="T33" s="44" t="s">
        <v>22</v>
      </c>
    </row>
    <row r="34" spans="2:20" ht="56">
      <c r="B34" s="5" t="s">
        <v>152</v>
      </c>
      <c r="C34" s="45" t="s">
        <v>135</v>
      </c>
      <c r="D34" s="45">
        <v>103689</v>
      </c>
      <c r="E34" s="6" t="s">
        <v>153</v>
      </c>
      <c r="F34" s="45" t="s">
        <v>121</v>
      </c>
      <c r="G34" s="46">
        <f t="shared" si="0"/>
        <v>13.5</v>
      </c>
      <c r="H34" s="46">
        <f>TRUNC(S34*(1-LOTE_03!$K$10),2)</f>
        <v>470.48</v>
      </c>
      <c r="I34" s="46">
        <f>TRUNC(T34*(1-LOTE_03!$K$10),2)</f>
        <v>31.15</v>
      </c>
      <c r="J34" s="100">
        <f t="shared" si="1"/>
        <v>0.22470000000000001</v>
      </c>
      <c r="K34" s="48">
        <f t="shared" si="2"/>
        <v>576.19000000000005</v>
      </c>
      <c r="L34" s="48">
        <f t="shared" si="3"/>
        <v>38.14</v>
      </c>
      <c r="M34" s="48">
        <f t="shared" si="4"/>
        <v>7778.56</v>
      </c>
      <c r="N34" s="48">
        <f t="shared" si="5"/>
        <v>514.89</v>
      </c>
      <c r="O34" s="50">
        <f t="shared" si="6"/>
        <v>8293.4500000000007</v>
      </c>
      <c r="P34" s="50">
        <v>0</v>
      </c>
      <c r="Q34" s="76"/>
      <c r="R34" s="140">
        <f>1.5*1*(S9+S10)</f>
        <v>13.5</v>
      </c>
      <c r="S34" s="79">
        <v>470.48</v>
      </c>
      <c r="T34" s="80">
        <v>31.15</v>
      </c>
    </row>
    <row r="35" spans="2:20" ht="112">
      <c r="B35" s="5" t="s">
        <v>154</v>
      </c>
      <c r="C35" s="45" t="s">
        <v>97</v>
      </c>
      <c r="D35" s="45" t="s">
        <v>155</v>
      </c>
      <c r="E35" s="6" t="s">
        <v>156</v>
      </c>
      <c r="F35" s="45" t="s">
        <v>157</v>
      </c>
      <c r="G35" s="46">
        <f t="shared" si="0"/>
        <v>270</v>
      </c>
      <c r="H35" s="46">
        <f>TRUNC(S35*(1-LOTE_03!$K$10),2)</f>
        <v>36</v>
      </c>
      <c r="I35" s="46">
        <f>TRUNC(T35*(1-LOTE_03!$K$10),2)</f>
        <v>0</v>
      </c>
      <c r="J35" s="100">
        <f t="shared" si="1"/>
        <v>0.22470000000000001</v>
      </c>
      <c r="K35" s="48">
        <f t="shared" si="2"/>
        <v>44.08</v>
      </c>
      <c r="L35" s="48">
        <f t="shared" si="3"/>
        <v>0</v>
      </c>
      <c r="M35" s="48">
        <f t="shared" si="4"/>
        <v>11901.6</v>
      </c>
      <c r="N35" s="48">
        <f t="shared" si="5"/>
        <v>0</v>
      </c>
      <c r="O35" s="50">
        <f t="shared" si="6"/>
        <v>11901.6</v>
      </c>
      <c r="P35" s="50">
        <v>0</v>
      </c>
      <c r="Q35" s="76"/>
      <c r="R35" s="140">
        <f>10*3*(S9+S10)</f>
        <v>270</v>
      </c>
      <c r="S35" s="79">
        <v>36</v>
      </c>
      <c r="T35" s="80">
        <v>0</v>
      </c>
    </row>
    <row r="36" spans="2:20" ht="70">
      <c r="B36" s="5" t="s">
        <v>158</v>
      </c>
      <c r="C36" s="45" t="s">
        <v>135</v>
      </c>
      <c r="D36" s="45">
        <v>97063</v>
      </c>
      <c r="E36" s="6" t="s">
        <v>159</v>
      </c>
      <c r="F36" s="45" t="s">
        <v>121</v>
      </c>
      <c r="G36" s="46">
        <f t="shared" si="0"/>
        <v>648</v>
      </c>
      <c r="H36" s="46">
        <f>TRUNC(S36*(1-LOTE_03!$K$10),2)</f>
        <v>4.72</v>
      </c>
      <c r="I36" s="46">
        <f>TRUNC(T36*(1-LOTE_03!$K$10),2)</f>
        <v>15.37</v>
      </c>
      <c r="J36" s="100">
        <f t="shared" si="1"/>
        <v>0.22470000000000001</v>
      </c>
      <c r="K36" s="48">
        <f t="shared" si="2"/>
        <v>5.78</v>
      </c>
      <c r="L36" s="48">
        <f t="shared" si="3"/>
        <v>18.82</v>
      </c>
      <c r="M36" s="48">
        <f t="shared" si="4"/>
        <v>3745.44</v>
      </c>
      <c r="N36" s="48">
        <f t="shared" si="5"/>
        <v>12195.36</v>
      </c>
      <c r="O36" s="50">
        <f t="shared" si="6"/>
        <v>15940.8</v>
      </c>
      <c r="P36" s="50">
        <v>0</v>
      </c>
      <c r="Q36" s="76"/>
      <c r="R36" s="140">
        <f>6*12*(S9+S10)</f>
        <v>648</v>
      </c>
      <c r="S36" s="79">
        <v>4.7200000000000006</v>
      </c>
      <c r="T36" s="80">
        <v>15.37</v>
      </c>
    </row>
    <row r="37" spans="2:20" ht="84">
      <c r="B37" s="5" t="s">
        <v>160</v>
      </c>
      <c r="C37" s="45" t="s">
        <v>135</v>
      </c>
      <c r="D37" s="45">
        <v>100981</v>
      </c>
      <c r="E37" s="6" t="s">
        <v>1768</v>
      </c>
      <c r="F37" s="45" t="s">
        <v>161</v>
      </c>
      <c r="G37" s="46">
        <f t="shared" si="0"/>
        <v>324</v>
      </c>
      <c r="H37" s="46">
        <f>TRUNC(S37*(1-LOTE_03!$K$10),2)</f>
        <v>8.31</v>
      </c>
      <c r="I37" s="46">
        <f>TRUNC(T37*(1-LOTE_03!$K$10),2)</f>
        <v>1.92</v>
      </c>
      <c r="J37" s="100">
        <f t="shared" si="1"/>
        <v>0.22470000000000001</v>
      </c>
      <c r="K37" s="48">
        <f t="shared" si="2"/>
        <v>10.17</v>
      </c>
      <c r="L37" s="48">
        <f t="shared" si="3"/>
        <v>2.35</v>
      </c>
      <c r="M37" s="48">
        <f t="shared" si="4"/>
        <v>3295.08</v>
      </c>
      <c r="N37" s="48">
        <f t="shared" si="5"/>
        <v>761.4</v>
      </c>
      <c r="O37" s="50">
        <f t="shared" si="6"/>
        <v>4056.48</v>
      </c>
      <c r="P37" s="50">
        <v>0</v>
      </c>
      <c r="Q37" s="76"/>
      <c r="R37" s="140">
        <f>6*6*(S9+S10)</f>
        <v>324</v>
      </c>
      <c r="S37" s="79">
        <v>8.31</v>
      </c>
      <c r="T37" s="80">
        <v>1.92</v>
      </c>
    </row>
    <row r="38" spans="2:20" ht="56">
      <c r="B38" s="5" t="s">
        <v>162</v>
      </c>
      <c r="C38" s="45" t="s">
        <v>135</v>
      </c>
      <c r="D38" s="45">
        <v>97914</v>
      </c>
      <c r="E38" s="6" t="s">
        <v>1769</v>
      </c>
      <c r="F38" s="45" t="s">
        <v>163</v>
      </c>
      <c r="G38" s="46">
        <f t="shared" si="0"/>
        <v>19440</v>
      </c>
      <c r="H38" s="46">
        <f>TRUNC(S38*(1-LOTE_03!$K$10),2)</f>
        <v>2.83</v>
      </c>
      <c r="I38" s="46">
        <f>TRUNC(T38*(1-LOTE_03!$K$10),2)</f>
        <v>0.63</v>
      </c>
      <c r="J38" s="100">
        <f t="shared" si="1"/>
        <v>0.22470000000000001</v>
      </c>
      <c r="K38" s="48">
        <f>TRUNC(H38*(1+J38),2)</f>
        <v>3.46</v>
      </c>
      <c r="L38" s="48">
        <f>TRUNC(I38*(1+J38),2)</f>
        <v>0.77</v>
      </c>
      <c r="M38" s="48">
        <f>TRUNC(K38*G38,2)</f>
        <v>67262.399999999994</v>
      </c>
      <c r="N38" s="48">
        <f>TRUNC(L38*G38,2)</f>
        <v>14968.8</v>
      </c>
      <c r="O38" s="50">
        <f>TRUNC(M38+N38,2)</f>
        <v>82231.199999999997</v>
      </c>
      <c r="P38" s="50">
        <v>0</v>
      </c>
      <c r="Q38" s="76"/>
      <c r="R38" s="140">
        <f>R37*60</f>
        <v>19440</v>
      </c>
      <c r="S38" s="79">
        <v>2.83</v>
      </c>
      <c r="T38" s="80">
        <v>0.63</v>
      </c>
    </row>
    <row r="39" spans="2:20" ht="28">
      <c r="B39" s="5" t="s">
        <v>164</v>
      </c>
      <c r="C39" s="45" t="s">
        <v>165</v>
      </c>
      <c r="D39" s="45" t="s">
        <v>166</v>
      </c>
      <c r="E39" s="6" t="s">
        <v>167</v>
      </c>
      <c r="F39" s="45" t="s">
        <v>168</v>
      </c>
      <c r="G39" s="46">
        <f t="shared" si="0"/>
        <v>27</v>
      </c>
      <c r="H39" s="46">
        <f>TRUNC(S39*(1-LOTE_03!$K$10),2)</f>
        <v>401.69</v>
      </c>
      <c r="I39" s="46">
        <f>TRUNC(T39*(1-LOTE_03!$K$10),2)</f>
        <v>254.47</v>
      </c>
      <c r="J39" s="100">
        <f t="shared" si="1"/>
        <v>0.22470000000000001</v>
      </c>
      <c r="K39" s="48">
        <f t="shared" si="2"/>
        <v>491.94</v>
      </c>
      <c r="L39" s="48">
        <f t="shared" si="3"/>
        <v>311.64</v>
      </c>
      <c r="M39" s="48">
        <f t="shared" si="4"/>
        <v>13282.38</v>
      </c>
      <c r="N39" s="48">
        <f t="shared" si="5"/>
        <v>8414.2800000000007</v>
      </c>
      <c r="O39" s="50">
        <f t="shared" si="6"/>
        <v>21696.66</v>
      </c>
      <c r="P39" s="50">
        <v>0</v>
      </c>
      <c r="Q39" s="76"/>
      <c r="R39" s="140">
        <f>IF((3*S9+3*S10)&gt;50,50,(3*S9+3*S10))</f>
        <v>27</v>
      </c>
      <c r="S39" s="79">
        <v>401.69</v>
      </c>
      <c r="T39" s="80">
        <v>254.47</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525483.65999999992</v>
      </c>
      <c r="Q40" s="107"/>
      <c r="R40" s="154"/>
      <c r="S40" s="43" t="s">
        <v>22</v>
      </c>
      <c r="T40" s="44" t="s">
        <v>22</v>
      </c>
    </row>
    <row r="41" spans="2:20" ht="42">
      <c r="B41" s="5" t="s">
        <v>169</v>
      </c>
      <c r="C41" s="45" t="s">
        <v>135</v>
      </c>
      <c r="D41" s="45">
        <v>97622</v>
      </c>
      <c r="E41" s="6" t="s">
        <v>170</v>
      </c>
      <c r="F41" s="45" t="s">
        <v>161</v>
      </c>
      <c r="G41" s="46">
        <f t="shared" si="0"/>
        <v>180</v>
      </c>
      <c r="H41" s="46">
        <f>TRUNC(S41*(1-LOTE_03!$K$10),2)</f>
        <v>18.260000000000002</v>
      </c>
      <c r="I41" s="46">
        <f>TRUNC(T41*(1-LOTE_03!$K$10),2)</f>
        <v>46.73</v>
      </c>
      <c r="J41" s="100">
        <f t="shared" si="1"/>
        <v>0.22470000000000001</v>
      </c>
      <c r="K41" s="48">
        <f t="shared" si="2"/>
        <v>22.36</v>
      </c>
      <c r="L41" s="48">
        <f t="shared" si="3"/>
        <v>57.23</v>
      </c>
      <c r="M41" s="48">
        <f t="shared" si="4"/>
        <v>4024.8</v>
      </c>
      <c r="N41" s="48">
        <f t="shared" si="5"/>
        <v>10301.4</v>
      </c>
      <c r="O41" s="50">
        <f t="shared" si="6"/>
        <v>14326.2</v>
      </c>
      <c r="P41" s="50">
        <v>0</v>
      </c>
      <c r="Q41" s="76"/>
      <c r="R41" s="140">
        <f>20*S9+20*S10</f>
        <v>180</v>
      </c>
      <c r="S41" s="79">
        <v>18.259999999999998</v>
      </c>
      <c r="T41" s="80">
        <v>46.73</v>
      </c>
    </row>
    <row r="42" spans="2:20" ht="42">
      <c r="B42" s="5" t="s">
        <v>171</v>
      </c>
      <c r="C42" s="45" t="s">
        <v>135</v>
      </c>
      <c r="D42" s="45">
        <v>97624</v>
      </c>
      <c r="E42" s="6" t="s">
        <v>172</v>
      </c>
      <c r="F42" s="45" t="s">
        <v>161</v>
      </c>
      <c r="G42" s="46">
        <f t="shared" si="0"/>
        <v>10</v>
      </c>
      <c r="H42" s="46">
        <f>TRUNC(S42*(1-LOTE_03!$K$10),2)</f>
        <v>34.340000000000003</v>
      </c>
      <c r="I42" s="46">
        <f>TRUNC(T42*(1-LOTE_03!$K$10),2)</f>
        <v>87.86</v>
      </c>
      <c r="J42" s="100">
        <f t="shared" si="1"/>
        <v>0.22470000000000001</v>
      </c>
      <c r="K42" s="48">
        <f t="shared" si="2"/>
        <v>42.05</v>
      </c>
      <c r="L42" s="48">
        <f t="shared" si="3"/>
        <v>107.6</v>
      </c>
      <c r="M42" s="48">
        <f t="shared" si="4"/>
        <v>420.5</v>
      </c>
      <c r="N42" s="48">
        <f t="shared" si="5"/>
        <v>1076</v>
      </c>
      <c r="O42" s="50">
        <f t="shared" si="6"/>
        <v>1496.5</v>
      </c>
      <c r="P42" s="50">
        <v>0</v>
      </c>
      <c r="Q42" s="76"/>
      <c r="R42" s="140">
        <f>IF((5*S9+5*S10)&gt;10,10,(5*S9+5*S10))</f>
        <v>10</v>
      </c>
      <c r="S42" s="79">
        <v>34.340000000000003</v>
      </c>
      <c r="T42" s="80">
        <v>87.86</v>
      </c>
    </row>
    <row r="43" spans="2:20" ht="56">
      <c r="B43" s="5" t="s">
        <v>173</v>
      </c>
      <c r="C43" s="45" t="s">
        <v>135</v>
      </c>
      <c r="D43" s="45">
        <v>97625</v>
      </c>
      <c r="E43" s="6" t="s">
        <v>174</v>
      </c>
      <c r="F43" s="45" t="s">
        <v>161</v>
      </c>
      <c r="G43" s="46">
        <f t="shared" si="0"/>
        <v>70</v>
      </c>
      <c r="H43" s="46">
        <f>TRUNC(S43*(1-LOTE_03!$K$10),2)</f>
        <v>45.73</v>
      </c>
      <c r="I43" s="46">
        <f>TRUNC(T43*(1-LOTE_03!$K$10),2)</f>
        <v>7.1</v>
      </c>
      <c r="J43" s="100">
        <f t="shared" si="1"/>
        <v>0.22470000000000001</v>
      </c>
      <c r="K43" s="48">
        <f t="shared" si="2"/>
        <v>56</v>
      </c>
      <c r="L43" s="48">
        <f t="shared" si="3"/>
        <v>8.69</v>
      </c>
      <c r="M43" s="48">
        <f t="shared" si="4"/>
        <v>3920</v>
      </c>
      <c r="N43" s="48">
        <f t="shared" si="5"/>
        <v>608.29999999999995</v>
      </c>
      <c r="O43" s="50">
        <f t="shared" si="6"/>
        <v>4528.3</v>
      </c>
      <c r="P43" s="50">
        <v>0</v>
      </c>
      <c r="Q43" s="76"/>
      <c r="R43" s="140">
        <f>IF((5*S9+10*S10)&gt;200,200,(5*S9+10*S10))</f>
        <v>70</v>
      </c>
      <c r="S43" s="79">
        <v>45.73</v>
      </c>
      <c r="T43" s="80">
        <v>7.1</v>
      </c>
    </row>
    <row r="44" spans="2:20" ht="56">
      <c r="B44" s="5" t="s">
        <v>175</v>
      </c>
      <c r="C44" s="45" t="s">
        <v>135</v>
      </c>
      <c r="D44" s="45">
        <v>97626</v>
      </c>
      <c r="E44" s="6" t="s">
        <v>176</v>
      </c>
      <c r="F44" s="45" t="s">
        <v>161</v>
      </c>
      <c r="G44" s="46">
        <f t="shared" si="0"/>
        <v>9</v>
      </c>
      <c r="H44" s="46">
        <f>TRUNC(S44*(1-LOTE_03!$K$10),2)</f>
        <v>183.55</v>
      </c>
      <c r="I44" s="46">
        <f>TRUNC(T44*(1-LOTE_03!$K$10),2)</f>
        <v>469.64</v>
      </c>
      <c r="J44" s="100">
        <f t="shared" si="1"/>
        <v>0.22470000000000001</v>
      </c>
      <c r="K44" s="48">
        <f t="shared" si="2"/>
        <v>224.79</v>
      </c>
      <c r="L44" s="48">
        <f t="shared" si="3"/>
        <v>575.16</v>
      </c>
      <c r="M44" s="48">
        <f t="shared" si="4"/>
        <v>2023.11</v>
      </c>
      <c r="N44" s="48">
        <f t="shared" si="5"/>
        <v>5176.4399999999996</v>
      </c>
      <c r="O44" s="50">
        <f t="shared" si="6"/>
        <v>7199.55</v>
      </c>
      <c r="P44" s="50">
        <v>0</v>
      </c>
      <c r="Q44" s="76"/>
      <c r="R44" s="140">
        <f>IF((S9+S10)&gt;10,10,(S9+S10))</f>
        <v>9</v>
      </c>
      <c r="S44" s="79">
        <v>183.55000000000007</v>
      </c>
      <c r="T44" s="80">
        <v>469.64</v>
      </c>
    </row>
    <row r="45" spans="2:20" ht="42">
      <c r="B45" s="5" t="s">
        <v>177</v>
      </c>
      <c r="C45" s="45" t="s">
        <v>135</v>
      </c>
      <c r="D45" s="45">
        <v>97628</v>
      </c>
      <c r="E45" s="6" t="s">
        <v>178</v>
      </c>
      <c r="F45" s="45" t="s">
        <v>161</v>
      </c>
      <c r="G45" s="46">
        <f t="shared" si="0"/>
        <v>5</v>
      </c>
      <c r="H45" s="46">
        <f>TRUNC(S45*(1-LOTE_03!$K$10),2)</f>
        <v>85.49</v>
      </c>
      <c r="I45" s="46">
        <f>TRUNC(T45*(1-LOTE_03!$K$10),2)</f>
        <v>218.72</v>
      </c>
      <c r="J45" s="100">
        <f t="shared" si="1"/>
        <v>0.22470000000000001</v>
      </c>
      <c r="K45" s="48">
        <f t="shared" si="2"/>
        <v>104.69</v>
      </c>
      <c r="L45" s="48">
        <f t="shared" si="3"/>
        <v>267.86</v>
      </c>
      <c r="M45" s="48">
        <f t="shared" si="4"/>
        <v>523.45000000000005</v>
      </c>
      <c r="N45" s="48">
        <f t="shared" si="5"/>
        <v>1339.3</v>
      </c>
      <c r="O45" s="50">
        <f t="shared" si="6"/>
        <v>1862.75</v>
      </c>
      <c r="P45" s="50">
        <v>0</v>
      </c>
      <c r="Q45" s="76"/>
      <c r="R45" s="140">
        <f>IF((S10+S9)&gt;5,5,(S10+S9))</f>
        <v>5</v>
      </c>
      <c r="S45" s="79">
        <v>85.489999999999981</v>
      </c>
      <c r="T45" s="80">
        <v>218.72</v>
      </c>
    </row>
    <row r="46" spans="2:20" ht="28">
      <c r="B46" s="5" t="s">
        <v>179</v>
      </c>
      <c r="C46" s="45" t="s">
        <v>165</v>
      </c>
      <c r="D46" s="45" t="s">
        <v>180</v>
      </c>
      <c r="E46" s="6" t="s">
        <v>181</v>
      </c>
      <c r="F46" s="45" t="s">
        <v>182</v>
      </c>
      <c r="G46" s="46">
        <f t="shared" si="0"/>
        <v>5</v>
      </c>
      <c r="H46" s="46">
        <f>TRUNC(S46*(1-LOTE_03!$K$10),2)</f>
        <v>0</v>
      </c>
      <c r="I46" s="46">
        <f>TRUNC(T46*(1-LOTE_03!$K$10),2)</f>
        <v>215</v>
      </c>
      <c r="J46" s="100">
        <f t="shared" si="1"/>
        <v>0.22470000000000001</v>
      </c>
      <c r="K46" s="48">
        <f t="shared" si="2"/>
        <v>0</v>
      </c>
      <c r="L46" s="48">
        <f t="shared" si="3"/>
        <v>263.31</v>
      </c>
      <c r="M46" s="48">
        <f t="shared" si="4"/>
        <v>0</v>
      </c>
      <c r="N46" s="48">
        <f t="shared" si="5"/>
        <v>1316.55</v>
      </c>
      <c r="O46" s="50">
        <f t="shared" si="6"/>
        <v>1316.55</v>
      </c>
      <c r="P46" s="50">
        <v>0</v>
      </c>
      <c r="Q46" s="76"/>
      <c r="R46" s="140">
        <f>IF((S10+S9)&gt;5,5,(S10+S9))</f>
        <v>5</v>
      </c>
      <c r="S46" s="79">
        <v>0</v>
      </c>
      <c r="T46" s="80">
        <v>215</v>
      </c>
    </row>
    <row r="47" spans="2:20" ht="42">
      <c r="B47" s="5" t="s">
        <v>183</v>
      </c>
      <c r="C47" s="45" t="s">
        <v>135</v>
      </c>
      <c r="D47" s="45">
        <v>97631</v>
      </c>
      <c r="E47" s="6" t="s">
        <v>184</v>
      </c>
      <c r="F47" s="45" t="s">
        <v>121</v>
      </c>
      <c r="G47" s="46">
        <f t="shared" si="0"/>
        <v>700</v>
      </c>
      <c r="H47" s="46">
        <f>TRUNC(S47*(1-LOTE_03!$K$10),2)</f>
        <v>3.6</v>
      </c>
      <c r="I47" s="46">
        <f>TRUNC(T47*(1-LOTE_03!$K$10),2)</f>
        <v>9.4600000000000009</v>
      </c>
      <c r="J47" s="100">
        <f t="shared" si="1"/>
        <v>0.22470000000000001</v>
      </c>
      <c r="K47" s="48">
        <f t="shared" si="2"/>
        <v>4.4000000000000004</v>
      </c>
      <c r="L47" s="48">
        <f t="shared" si="3"/>
        <v>11.58</v>
      </c>
      <c r="M47" s="48">
        <f t="shared" si="4"/>
        <v>3080</v>
      </c>
      <c r="N47" s="48">
        <f t="shared" si="5"/>
        <v>8106</v>
      </c>
      <c r="O47" s="50">
        <f t="shared" si="6"/>
        <v>11186</v>
      </c>
      <c r="P47" s="50">
        <v>0</v>
      </c>
      <c r="Q47" s="76"/>
      <c r="R47" s="140">
        <f>IF((50*S9+100*S10)&gt;1000,1000,(50*S9+100*S10))</f>
        <v>700</v>
      </c>
      <c r="S47" s="79">
        <v>3.5999999999999996</v>
      </c>
      <c r="T47" s="80">
        <v>9.4600000000000009</v>
      </c>
    </row>
    <row r="48" spans="2:20" ht="42">
      <c r="B48" s="5" t="s">
        <v>185</v>
      </c>
      <c r="C48" s="45" t="s">
        <v>135</v>
      </c>
      <c r="D48" s="45">
        <v>97632</v>
      </c>
      <c r="E48" s="6" t="s">
        <v>186</v>
      </c>
      <c r="F48" s="45" t="s">
        <v>187</v>
      </c>
      <c r="G48" s="46">
        <f t="shared" si="0"/>
        <v>900</v>
      </c>
      <c r="H48" s="46">
        <f>TRUNC(S48*(1-LOTE_03!$K$10),2)</f>
        <v>0.83</v>
      </c>
      <c r="I48" s="46">
        <f>TRUNC(T48*(1-LOTE_03!$K$10),2)</f>
        <v>2.16</v>
      </c>
      <c r="J48" s="100">
        <f t="shared" si="1"/>
        <v>0.22470000000000001</v>
      </c>
      <c r="K48" s="48">
        <f t="shared" si="2"/>
        <v>1.01</v>
      </c>
      <c r="L48" s="48">
        <f t="shared" si="3"/>
        <v>2.64</v>
      </c>
      <c r="M48" s="48">
        <f t="shared" si="4"/>
        <v>909</v>
      </c>
      <c r="N48" s="48">
        <f t="shared" si="5"/>
        <v>2376</v>
      </c>
      <c r="O48" s="50">
        <f t="shared" si="6"/>
        <v>3285</v>
      </c>
      <c r="P48" s="50">
        <v>0</v>
      </c>
      <c r="Q48" s="76"/>
      <c r="R48" s="140">
        <f>100*S9+100*S10</f>
        <v>900</v>
      </c>
      <c r="S48" s="79">
        <v>0.83000000000000007</v>
      </c>
      <c r="T48" s="80">
        <v>2.16</v>
      </c>
    </row>
    <row r="49" spans="2:20" ht="42">
      <c r="B49" s="5" t="s">
        <v>188</v>
      </c>
      <c r="C49" s="45" t="s">
        <v>135</v>
      </c>
      <c r="D49" s="45">
        <v>97633</v>
      </c>
      <c r="E49" s="6" t="s">
        <v>189</v>
      </c>
      <c r="F49" s="45" t="s">
        <v>121</v>
      </c>
      <c r="G49" s="46">
        <f t="shared" si="0"/>
        <v>2200</v>
      </c>
      <c r="H49" s="46">
        <f>TRUNC(S49*(1-LOTE_03!$K$10),2)</f>
        <v>7.2</v>
      </c>
      <c r="I49" s="46">
        <f>TRUNC(T49*(1-LOTE_03!$K$10),2)</f>
        <v>18.89</v>
      </c>
      <c r="J49" s="100">
        <f t="shared" si="1"/>
        <v>0.22470000000000001</v>
      </c>
      <c r="K49" s="48">
        <f t="shared" si="2"/>
        <v>8.81</v>
      </c>
      <c r="L49" s="48">
        <f t="shared" si="3"/>
        <v>23.13</v>
      </c>
      <c r="M49" s="48">
        <f t="shared" si="4"/>
        <v>19382</v>
      </c>
      <c r="N49" s="48">
        <f t="shared" si="5"/>
        <v>50886</v>
      </c>
      <c r="O49" s="50">
        <f t="shared" si="6"/>
        <v>70268</v>
      </c>
      <c r="P49" s="50">
        <v>0</v>
      </c>
      <c r="Q49" s="76"/>
      <c r="R49" s="140">
        <f>400*S10+50*S9</f>
        <v>2200</v>
      </c>
      <c r="S49" s="79">
        <v>7.1999999999999993</v>
      </c>
      <c r="T49" s="80">
        <v>18.89</v>
      </c>
    </row>
    <row r="50" spans="2:20" ht="28">
      <c r="B50" s="5" t="s">
        <v>190</v>
      </c>
      <c r="C50" s="45" t="s">
        <v>165</v>
      </c>
      <c r="D50" s="45" t="s">
        <v>191</v>
      </c>
      <c r="E50" s="6" t="s">
        <v>192</v>
      </c>
      <c r="F50" s="45" t="s">
        <v>168</v>
      </c>
      <c r="G50" s="46">
        <f t="shared" si="0"/>
        <v>2080</v>
      </c>
      <c r="H50" s="46">
        <f>TRUNC(S50*(1-LOTE_03!$K$10),2)</f>
        <v>0</v>
      </c>
      <c r="I50" s="46">
        <f>TRUNC(T50*(1-LOTE_03!$K$10),2)</f>
        <v>4.13</v>
      </c>
      <c r="J50" s="100">
        <f t="shared" si="1"/>
        <v>0.22470000000000001</v>
      </c>
      <c r="K50" s="48">
        <f t="shared" si="2"/>
        <v>0</v>
      </c>
      <c r="L50" s="48">
        <f t="shared" si="3"/>
        <v>5.05</v>
      </c>
      <c r="M50" s="48">
        <f t="shared" si="4"/>
        <v>0</v>
      </c>
      <c r="N50" s="48">
        <f t="shared" si="5"/>
        <v>10504</v>
      </c>
      <c r="O50" s="50">
        <f t="shared" si="6"/>
        <v>10504</v>
      </c>
      <c r="P50" s="50">
        <v>0</v>
      </c>
      <c r="Q50" s="76"/>
      <c r="R50" s="140">
        <f>400*S10+20*S9</f>
        <v>2080</v>
      </c>
      <c r="S50" s="79">
        <v>0</v>
      </c>
      <c r="T50" s="80">
        <v>4.13</v>
      </c>
    </row>
    <row r="51" spans="2:20" ht="56">
      <c r="B51" s="5" t="s">
        <v>193</v>
      </c>
      <c r="C51" s="45" t="s">
        <v>135</v>
      </c>
      <c r="D51" s="45">
        <v>97627</v>
      </c>
      <c r="E51" s="6" t="s">
        <v>194</v>
      </c>
      <c r="F51" s="45" t="s">
        <v>161</v>
      </c>
      <c r="G51" s="46">
        <f t="shared" si="0"/>
        <v>9</v>
      </c>
      <c r="H51" s="46">
        <f>TRUNC(S51*(1-LOTE_03!$K$10),2)</f>
        <v>60.68</v>
      </c>
      <c r="I51" s="46">
        <f>TRUNC(T51*(1-LOTE_03!$K$10),2)</f>
        <v>124.81</v>
      </c>
      <c r="J51" s="100">
        <f t="shared" si="1"/>
        <v>0.22470000000000001</v>
      </c>
      <c r="K51" s="48">
        <f t="shared" si="2"/>
        <v>74.31</v>
      </c>
      <c r="L51" s="48">
        <f t="shared" si="3"/>
        <v>152.85</v>
      </c>
      <c r="M51" s="48">
        <f t="shared" si="4"/>
        <v>668.79</v>
      </c>
      <c r="N51" s="48">
        <f t="shared" si="5"/>
        <v>1375.65</v>
      </c>
      <c r="O51" s="50">
        <f t="shared" si="6"/>
        <v>2044.44</v>
      </c>
      <c r="P51" s="50">
        <v>0</v>
      </c>
      <c r="Q51" s="76"/>
      <c r="R51" s="140">
        <f>IF((S9+S10)&gt;10,10,(S9+S10))</f>
        <v>9</v>
      </c>
      <c r="S51" s="79">
        <v>60.680000000000007</v>
      </c>
      <c r="T51" s="80">
        <v>124.81</v>
      </c>
    </row>
    <row r="52" spans="2:20" ht="28">
      <c r="B52" s="5" t="s">
        <v>195</v>
      </c>
      <c r="C52" s="45" t="s">
        <v>165</v>
      </c>
      <c r="D52" s="45" t="s">
        <v>196</v>
      </c>
      <c r="E52" s="6" t="s">
        <v>197</v>
      </c>
      <c r="F52" s="45" t="s">
        <v>168</v>
      </c>
      <c r="G52" s="46">
        <f t="shared" si="0"/>
        <v>700</v>
      </c>
      <c r="H52" s="46">
        <f>TRUNC(S52*(1-LOTE_03!$K$10),2)</f>
        <v>0</v>
      </c>
      <c r="I52" s="46">
        <f>TRUNC(T52*(1-LOTE_03!$K$10),2)</f>
        <v>21.5</v>
      </c>
      <c r="J52" s="100">
        <f t="shared" si="1"/>
        <v>0.22470000000000001</v>
      </c>
      <c r="K52" s="48">
        <f t="shared" si="2"/>
        <v>0</v>
      </c>
      <c r="L52" s="48">
        <f t="shared" si="3"/>
        <v>26.33</v>
      </c>
      <c r="M52" s="48">
        <f t="shared" si="4"/>
        <v>0</v>
      </c>
      <c r="N52" s="48">
        <f t="shared" si="5"/>
        <v>18431</v>
      </c>
      <c r="O52" s="50">
        <f t="shared" si="6"/>
        <v>18431</v>
      </c>
      <c r="P52" s="50">
        <v>0</v>
      </c>
      <c r="Q52" s="76"/>
      <c r="R52" s="140">
        <f>IF((50*S9+100*S10)&gt;1000,1000,(50*S9+100*S10))</f>
        <v>700</v>
      </c>
      <c r="S52" s="79">
        <v>0</v>
      </c>
      <c r="T52" s="80">
        <v>21.5</v>
      </c>
    </row>
    <row r="53" spans="2:20" ht="28">
      <c r="B53" s="5" t="s">
        <v>198</v>
      </c>
      <c r="C53" s="45" t="s">
        <v>165</v>
      </c>
      <c r="D53" s="45" t="s">
        <v>199</v>
      </c>
      <c r="E53" s="6" t="s">
        <v>200</v>
      </c>
      <c r="F53" s="45" t="s">
        <v>168</v>
      </c>
      <c r="G53" s="46">
        <f t="shared" si="0"/>
        <v>200</v>
      </c>
      <c r="H53" s="46">
        <f>TRUNC(S53*(1-LOTE_03!$K$10),2)</f>
        <v>0</v>
      </c>
      <c r="I53" s="46">
        <f>TRUNC(T53*(1-LOTE_03!$K$10),2)</f>
        <v>11.58</v>
      </c>
      <c r="J53" s="100">
        <f t="shared" si="1"/>
        <v>0.22470000000000001</v>
      </c>
      <c r="K53" s="48">
        <f t="shared" si="2"/>
        <v>0</v>
      </c>
      <c r="L53" s="48">
        <f t="shared" si="3"/>
        <v>14.18</v>
      </c>
      <c r="M53" s="48">
        <f t="shared" si="4"/>
        <v>0</v>
      </c>
      <c r="N53" s="48">
        <f t="shared" si="5"/>
        <v>2836</v>
      </c>
      <c r="O53" s="50">
        <f t="shared" si="6"/>
        <v>2836</v>
      </c>
      <c r="P53" s="50">
        <v>0</v>
      </c>
      <c r="Q53" s="76"/>
      <c r="R53" s="140">
        <f>IF(50*(S10+S9)&gt;200,200,50*(S10+S9))</f>
        <v>200</v>
      </c>
      <c r="S53" s="79">
        <v>0</v>
      </c>
      <c r="T53" s="80">
        <v>11.58</v>
      </c>
    </row>
    <row r="54" spans="2:20" ht="28">
      <c r="B54" s="5" t="s">
        <v>201</v>
      </c>
      <c r="C54" s="45" t="s">
        <v>165</v>
      </c>
      <c r="D54" s="45" t="s">
        <v>202</v>
      </c>
      <c r="E54" s="6" t="s">
        <v>203</v>
      </c>
      <c r="F54" s="45" t="s">
        <v>168</v>
      </c>
      <c r="G54" s="46">
        <f t="shared" si="0"/>
        <v>180</v>
      </c>
      <c r="H54" s="46">
        <f>TRUNC(S54*(1-LOTE_03!$K$10),2)</f>
        <v>0</v>
      </c>
      <c r="I54" s="46">
        <f>TRUNC(T54*(1-LOTE_03!$K$10),2)</f>
        <v>21.27</v>
      </c>
      <c r="J54" s="100">
        <f t="shared" si="1"/>
        <v>0.22470000000000001</v>
      </c>
      <c r="K54" s="48">
        <f t="shared" si="2"/>
        <v>0</v>
      </c>
      <c r="L54" s="48">
        <f t="shared" si="3"/>
        <v>26.04</v>
      </c>
      <c r="M54" s="48">
        <f t="shared" si="4"/>
        <v>0</v>
      </c>
      <c r="N54" s="48">
        <f t="shared" si="5"/>
        <v>4687.2</v>
      </c>
      <c r="O54" s="50">
        <f t="shared" si="6"/>
        <v>4687.2</v>
      </c>
      <c r="P54" s="50">
        <v>0</v>
      </c>
      <c r="Q54" s="76"/>
      <c r="R54" s="140">
        <f>IF(20*(S10+S9)&gt;200,200,20*(S10+S9))</f>
        <v>180</v>
      </c>
      <c r="S54" s="79">
        <v>0</v>
      </c>
      <c r="T54" s="80">
        <v>21.27</v>
      </c>
    </row>
    <row r="55" spans="2:20" ht="42">
      <c r="B55" s="5" t="s">
        <v>204</v>
      </c>
      <c r="C55" s="45" t="s">
        <v>165</v>
      </c>
      <c r="D55" s="45" t="s">
        <v>205</v>
      </c>
      <c r="E55" s="6" t="s">
        <v>206</v>
      </c>
      <c r="F55" s="45" t="s">
        <v>168</v>
      </c>
      <c r="G55" s="46">
        <f t="shared" si="0"/>
        <v>3600</v>
      </c>
      <c r="H55" s="46">
        <f>TRUNC(S55*(1-LOTE_03!$K$10),2)</f>
        <v>0</v>
      </c>
      <c r="I55" s="46">
        <f>TRUNC(T55*(1-LOTE_03!$K$10),2)</f>
        <v>23.15</v>
      </c>
      <c r="J55" s="100">
        <f t="shared" si="1"/>
        <v>0.22470000000000001</v>
      </c>
      <c r="K55" s="48">
        <f t="shared" si="2"/>
        <v>0</v>
      </c>
      <c r="L55" s="48">
        <f t="shared" si="3"/>
        <v>28.35</v>
      </c>
      <c r="M55" s="48">
        <f t="shared" si="4"/>
        <v>0</v>
      </c>
      <c r="N55" s="48">
        <f t="shared" si="5"/>
        <v>102060</v>
      </c>
      <c r="O55" s="50">
        <f t="shared" si="6"/>
        <v>102060</v>
      </c>
      <c r="P55" s="50">
        <v>0</v>
      </c>
      <c r="Q55" s="76"/>
      <c r="R55" s="140">
        <f>400*(S10+S9)</f>
        <v>3600</v>
      </c>
      <c r="S55" s="79">
        <v>0</v>
      </c>
      <c r="T55" s="80">
        <v>23.15</v>
      </c>
    </row>
    <row r="56" spans="2:20" ht="28">
      <c r="B56" s="5" t="s">
        <v>207</v>
      </c>
      <c r="C56" s="45" t="s">
        <v>165</v>
      </c>
      <c r="D56" s="45" t="s">
        <v>196</v>
      </c>
      <c r="E56" s="6" t="s">
        <v>197</v>
      </c>
      <c r="F56" s="45" t="s">
        <v>168</v>
      </c>
      <c r="G56" s="46">
        <f t="shared" si="0"/>
        <v>700</v>
      </c>
      <c r="H56" s="46">
        <f>TRUNC(S56*(1-LOTE_03!$K$10),2)</f>
        <v>0</v>
      </c>
      <c r="I56" s="46">
        <f>TRUNC(T56*(1-LOTE_03!$K$10),2)</f>
        <v>21.5</v>
      </c>
      <c r="J56" s="100">
        <f t="shared" si="1"/>
        <v>0.22470000000000001</v>
      </c>
      <c r="K56" s="48">
        <f t="shared" si="2"/>
        <v>0</v>
      </c>
      <c r="L56" s="48">
        <f t="shared" si="3"/>
        <v>26.33</v>
      </c>
      <c r="M56" s="48">
        <f t="shared" si="4"/>
        <v>0</v>
      </c>
      <c r="N56" s="48">
        <f t="shared" si="5"/>
        <v>18431</v>
      </c>
      <c r="O56" s="50">
        <f t="shared" si="6"/>
        <v>18431</v>
      </c>
      <c r="P56" s="50">
        <v>0</v>
      </c>
      <c r="Q56" s="76"/>
      <c r="R56" s="140">
        <f>IF((50*S9+100*S10)&gt;1000,1000,(50*S9+100*S10))</f>
        <v>700</v>
      </c>
      <c r="S56" s="79">
        <v>0</v>
      </c>
      <c r="T56" s="80">
        <v>21.5</v>
      </c>
    </row>
    <row r="57" spans="2:20" ht="42">
      <c r="B57" s="5" t="s">
        <v>208</v>
      </c>
      <c r="C57" s="45" t="s">
        <v>135</v>
      </c>
      <c r="D57" s="45">
        <v>97666</v>
      </c>
      <c r="E57" s="6" t="s">
        <v>209</v>
      </c>
      <c r="F57" s="45" t="s">
        <v>210</v>
      </c>
      <c r="G57" s="46">
        <f t="shared" si="0"/>
        <v>30</v>
      </c>
      <c r="H57" s="46">
        <f>TRUNC(S57*(1-LOTE_03!$K$10),2)</f>
        <v>2.83</v>
      </c>
      <c r="I57" s="46">
        <f>TRUNC(T57*(1-LOTE_03!$K$10),2)</f>
        <v>7.76</v>
      </c>
      <c r="J57" s="100">
        <f t="shared" si="1"/>
        <v>0.22470000000000001</v>
      </c>
      <c r="K57" s="48">
        <f t="shared" si="2"/>
        <v>3.46</v>
      </c>
      <c r="L57" s="48">
        <f t="shared" si="3"/>
        <v>9.5</v>
      </c>
      <c r="M57" s="48">
        <f t="shared" si="4"/>
        <v>103.8</v>
      </c>
      <c r="N57" s="48">
        <f t="shared" si="5"/>
        <v>285</v>
      </c>
      <c r="O57" s="50">
        <f t="shared" si="6"/>
        <v>388.8</v>
      </c>
      <c r="P57" s="50">
        <v>0</v>
      </c>
      <c r="Q57" s="76"/>
      <c r="R57" s="140">
        <f>IF((2*S9+8*S10)&gt;30,30,(2*S9+8*S10))</f>
        <v>30</v>
      </c>
      <c r="S57" s="79">
        <v>2.83</v>
      </c>
      <c r="T57" s="80">
        <v>7.76</v>
      </c>
    </row>
    <row r="58" spans="2:20" ht="56">
      <c r="B58" s="5" t="s">
        <v>211</v>
      </c>
      <c r="C58" s="45" t="s">
        <v>135</v>
      </c>
      <c r="D58" s="45">
        <v>97635</v>
      </c>
      <c r="E58" s="6" t="s">
        <v>212</v>
      </c>
      <c r="F58" s="45" t="s">
        <v>121</v>
      </c>
      <c r="G58" s="46">
        <f t="shared" si="0"/>
        <v>300</v>
      </c>
      <c r="H58" s="46">
        <f>TRUNC(S58*(1-LOTE_03!$K$10),2)</f>
        <v>5</v>
      </c>
      <c r="I58" s="46">
        <f>TRUNC(T58*(1-LOTE_03!$K$10),2)</f>
        <v>13.78</v>
      </c>
      <c r="J58" s="100">
        <f t="shared" si="1"/>
        <v>0.22470000000000001</v>
      </c>
      <c r="K58" s="48">
        <f t="shared" si="2"/>
        <v>6.12</v>
      </c>
      <c r="L58" s="48">
        <f t="shared" si="3"/>
        <v>16.87</v>
      </c>
      <c r="M58" s="48">
        <f t="shared" si="4"/>
        <v>1836</v>
      </c>
      <c r="N58" s="48">
        <f t="shared" si="5"/>
        <v>5061</v>
      </c>
      <c r="O58" s="50">
        <f t="shared" si="6"/>
        <v>6897</v>
      </c>
      <c r="P58" s="50">
        <v>0</v>
      </c>
      <c r="Q58" s="76"/>
      <c r="R58" s="140">
        <f>IF((50*S9+100*S10)&gt;300,300,(50*S9+100*S10))</f>
        <v>300</v>
      </c>
      <c r="S58" s="79">
        <v>5.0000000000000018</v>
      </c>
      <c r="T58" s="80">
        <v>13.78</v>
      </c>
    </row>
    <row r="59" spans="2:20" ht="56">
      <c r="B59" s="5" t="s">
        <v>213</v>
      </c>
      <c r="C59" s="45" t="s">
        <v>135</v>
      </c>
      <c r="D59" s="45">
        <v>97643</v>
      </c>
      <c r="E59" s="6" t="s">
        <v>214</v>
      </c>
      <c r="F59" s="45" t="s">
        <v>121</v>
      </c>
      <c r="G59" s="46">
        <f t="shared" si="0"/>
        <v>200</v>
      </c>
      <c r="H59" s="46">
        <f>TRUNC(S59*(1-LOTE_03!$K$10),2)</f>
        <v>7.85</v>
      </c>
      <c r="I59" s="46">
        <f>TRUNC(T59*(1-LOTE_03!$K$10),2)</f>
        <v>20.93</v>
      </c>
      <c r="J59" s="100">
        <f t="shared" si="1"/>
        <v>0.22470000000000001</v>
      </c>
      <c r="K59" s="48">
        <f t="shared" si="2"/>
        <v>9.61</v>
      </c>
      <c r="L59" s="48">
        <f t="shared" si="3"/>
        <v>25.63</v>
      </c>
      <c r="M59" s="48">
        <f t="shared" si="4"/>
        <v>1922</v>
      </c>
      <c r="N59" s="48">
        <f t="shared" si="5"/>
        <v>5126</v>
      </c>
      <c r="O59" s="50">
        <f t="shared" si="6"/>
        <v>7048</v>
      </c>
      <c r="P59" s="50">
        <v>0</v>
      </c>
      <c r="Q59" s="76"/>
      <c r="R59" s="140">
        <f>IF((50*S9+50*S10)&gt;200,200,(50*S9+50*S10))</f>
        <v>200</v>
      </c>
      <c r="S59" s="79">
        <v>7.8500000000000014</v>
      </c>
      <c r="T59" s="80">
        <v>20.93</v>
      </c>
    </row>
    <row r="60" spans="2:20" ht="28">
      <c r="B60" s="5" t="s">
        <v>215</v>
      </c>
      <c r="C60" s="45" t="s">
        <v>165</v>
      </c>
      <c r="D60" s="45" t="s">
        <v>216</v>
      </c>
      <c r="E60" s="6" t="s">
        <v>217</v>
      </c>
      <c r="F60" s="45" t="s">
        <v>168</v>
      </c>
      <c r="G60" s="46">
        <f t="shared" si="0"/>
        <v>50</v>
      </c>
      <c r="H60" s="46">
        <f>TRUNC(S60*(1-LOTE_03!$K$10),2)</f>
        <v>0</v>
      </c>
      <c r="I60" s="46">
        <f>TRUNC(T60*(1-LOTE_03!$K$10),2)</f>
        <v>1.65</v>
      </c>
      <c r="J60" s="100">
        <f t="shared" si="1"/>
        <v>0.22470000000000001</v>
      </c>
      <c r="K60" s="48">
        <f t="shared" si="2"/>
        <v>0</v>
      </c>
      <c r="L60" s="48">
        <f t="shared" si="3"/>
        <v>2.02</v>
      </c>
      <c r="M60" s="48">
        <f t="shared" si="4"/>
        <v>0</v>
      </c>
      <c r="N60" s="48">
        <f t="shared" si="5"/>
        <v>101</v>
      </c>
      <c r="O60" s="50">
        <f t="shared" si="6"/>
        <v>101</v>
      </c>
      <c r="P60" s="50">
        <v>0</v>
      </c>
      <c r="Q60" s="76"/>
      <c r="R60" s="140">
        <f>IF((50*S9+50*S10)&gt;50,50,(50*S9+50*S10))</f>
        <v>50</v>
      </c>
      <c r="S60" s="79">
        <v>0</v>
      </c>
      <c r="T60" s="80">
        <v>1.65</v>
      </c>
    </row>
    <row r="61" spans="2:20" ht="28">
      <c r="B61" s="5" t="s">
        <v>218</v>
      </c>
      <c r="C61" s="45" t="s">
        <v>165</v>
      </c>
      <c r="D61" s="45" t="s">
        <v>219</v>
      </c>
      <c r="E61" s="6" t="s">
        <v>220</v>
      </c>
      <c r="F61" s="45" t="s">
        <v>168</v>
      </c>
      <c r="G61" s="46">
        <f t="shared" si="0"/>
        <v>500</v>
      </c>
      <c r="H61" s="46">
        <f>TRUNC(S61*(1-LOTE_03!$K$10),2)</f>
        <v>0</v>
      </c>
      <c r="I61" s="46">
        <f>TRUNC(T61*(1-LOTE_03!$K$10),2)</f>
        <v>14.88</v>
      </c>
      <c r="J61" s="100">
        <f t="shared" si="1"/>
        <v>0.22470000000000001</v>
      </c>
      <c r="K61" s="48">
        <f t="shared" si="2"/>
        <v>0</v>
      </c>
      <c r="L61" s="48">
        <f t="shared" si="3"/>
        <v>18.22</v>
      </c>
      <c r="M61" s="48">
        <f t="shared" si="4"/>
        <v>0</v>
      </c>
      <c r="N61" s="48">
        <f t="shared" si="5"/>
        <v>9110</v>
      </c>
      <c r="O61" s="50">
        <f t="shared" si="6"/>
        <v>9110</v>
      </c>
      <c r="P61" s="50">
        <v>0</v>
      </c>
      <c r="Q61" s="76"/>
      <c r="R61" s="140">
        <f>IF((20*S9+200*S10)&gt;500,500,((20*S9+200*S10)))</f>
        <v>500</v>
      </c>
      <c r="S61" s="79">
        <v>0</v>
      </c>
      <c r="T61" s="80">
        <v>14.88</v>
      </c>
    </row>
    <row r="62" spans="2:20" ht="42">
      <c r="B62" s="5" t="s">
        <v>221</v>
      </c>
      <c r="C62" s="45" t="s">
        <v>135</v>
      </c>
      <c r="D62" s="45">
        <v>97641</v>
      </c>
      <c r="E62" s="6" t="s">
        <v>222</v>
      </c>
      <c r="F62" s="45" t="s">
        <v>121</v>
      </c>
      <c r="G62" s="46">
        <f t="shared" si="0"/>
        <v>120</v>
      </c>
      <c r="H62" s="46">
        <f>TRUNC(S62*(1-LOTE_03!$K$10),2)</f>
        <v>0.93</v>
      </c>
      <c r="I62" s="46">
        <f>TRUNC(T62*(1-LOTE_03!$K$10),2)</f>
        <v>2.39</v>
      </c>
      <c r="J62" s="100">
        <f t="shared" si="1"/>
        <v>0.22470000000000001</v>
      </c>
      <c r="K62" s="48">
        <f t="shared" si="2"/>
        <v>1.1299999999999999</v>
      </c>
      <c r="L62" s="48">
        <f t="shared" si="3"/>
        <v>2.92</v>
      </c>
      <c r="M62" s="48">
        <f t="shared" si="4"/>
        <v>135.6</v>
      </c>
      <c r="N62" s="48">
        <f t="shared" si="5"/>
        <v>350.4</v>
      </c>
      <c r="O62" s="50">
        <f t="shared" si="6"/>
        <v>486</v>
      </c>
      <c r="P62" s="50">
        <v>0</v>
      </c>
      <c r="Q62" s="76"/>
      <c r="R62" s="140">
        <f>IF((5*S9+20*S10)&gt;500,500,(5*S9+20*S10))</f>
        <v>120</v>
      </c>
      <c r="S62" s="79">
        <v>0.92999999999999972</v>
      </c>
      <c r="T62" s="80">
        <v>2.39</v>
      </c>
    </row>
    <row r="63" spans="2:20" ht="56">
      <c r="B63" s="5" t="s">
        <v>223</v>
      </c>
      <c r="C63" s="45" t="s">
        <v>135</v>
      </c>
      <c r="D63" s="45">
        <v>97640</v>
      </c>
      <c r="E63" s="6" t="s">
        <v>224</v>
      </c>
      <c r="F63" s="45" t="s">
        <v>121</v>
      </c>
      <c r="G63" s="46">
        <f t="shared" si="0"/>
        <v>1080</v>
      </c>
      <c r="H63" s="46">
        <f>TRUNC(S63*(1-LOTE_03!$K$10),2)</f>
        <v>0.6</v>
      </c>
      <c r="I63" s="46">
        <f>TRUNC(T63*(1-LOTE_03!$K$10),2)</f>
        <v>1.6</v>
      </c>
      <c r="J63" s="100">
        <f t="shared" si="1"/>
        <v>0.22470000000000001</v>
      </c>
      <c r="K63" s="48">
        <f t="shared" si="2"/>
        <v>0.73</v>
      </c>
      <c r="L63" s="48">
        <f t="shared" si="3"/>
        <v>1.95</v>
      </c>
      <c r="M63" s="48">
        <f t="shared" si="4"/>
        <v>788.4</v>
      </c>
      <c r="N63" s="48">
        <f t="shared" si="5"/>
        <v>2106</v>
      </c>
      <c r="O63" s="50">
        <f t="shared" si="6"/>
        <v>2894.4</v>
      </c>
      <c r="P63" s="50">
        <v>0</v>
      </c>
      <c r="Q63" s="76"/>
      <c r="R63" s="140">
        <f>IF((200*S9+200*S10)&gt;2000,2000,((20*S9+200*S10)))</f>
        <v>1080</v>
      </c>
      <c r="S63" s="79">
        <v>0.60000000000000009</v>
      </c>
      <c r="T63" s="80">
        <v>1.6</v>
      </c>
    </row>
    <row r="64" spans="2:20" ht="42">
      <c r="B64" s="5" t="s">
        <v>225</v>
      </c>
      <c r="C64" s="45" t="s">
        <v>135</v>
      </c>
      <c r="D64" s="45">
        <v>97663</v>
      </c>
      <c r="E64" s="6" t="s">
        <v>226</v>
      </c>
      <c r="F64" s="45" t="s">
        <v>210</v>
      </c>
      <c r="G64" s="46">
        <f t="shared" si="0"/>
        <v>450</v>
      </c>
      <c r="H64" s="46">
        <f>TRUNC(S64*(1-LOTE_03!$K$10),2)</f>
        <v>3.88</v>
      </c>
      <c r="I64" s="46">
        <f>TRUNC(T64*(1-LOTE_03!$K$10),2)</f>
        <v>10.65</v>
      </c>
      <c r="J64" s="100">
        <f t="shared" si="1"/>
        <v>0.22470000000000001</v>
      </c>
      <c r="K64" s="48">
        <f t="shared" si="2"/>
        <v>4.75</v>
      </c>
      <c r="L64" s="48">
        <f t="shared" si="3"/>
        <v>13.04</v>
      </c>
      <c r="M64" s="48">
        <f t="shared" si="4"/>
        <v>2137.5</v>
      </c>
      <c r="N64" s="48">
        <f t="shared" si="5"/>
        <v>5868</v>
      </c>
      <c r="O64" s="50">
        <f t="shared" si="6"/>
        <v>8005.5</v>
      </c>
      <c r="P64" s="50">
        <v>0</v>
      </c>
      <c r="Q64" s="76"/>
      <c r="R64" s="140">
        <f>50*(S9+S10)</f>
        <v>450</v>
      </c>
      <c r="S64" s="79">
        <v>3.879999999999999</v>
      </c>
      <c r="T64" s="80">
        <v>10.65</v>
      </c>
    </row>
    <row r="65" spans="2:20" ht="42">
      <c r="B65" s="5" t="s">
        <v>227</v>
      </c>
      <c r="C65" s="45" t="s">
        <v>135</v>
      </c>
      <c r="D65" s="45">
        <v>97638</v>
      </c>
      <c r="E65" s="6" t="s">
        <v>228</v>
      </c>
      <c r="F65" s="45" t="s">
        <v>121</v>
      </c>
      <c r="G65" s="46">
        <f t="shared" si="0"/>
        <v>500</v>
      </c>
      <c r="H65" s="46">
        <f>TRUNC(S65*(1-LOTE_03!$K$10),2)</f>
        <v>2.5499999999999998</v>
      </c>
      <c r="I65" s="46">
        <f>TRUNC(T65*(1-LOTE_03!$K$10),2)</f>
        <v>6.9</v>
      </c>
      <c r="J65" s="100">
        <f t="shared" si="1"/>
        <v>0.22470000000000001</v>
      </c>
      <c r="K65" s="48">
        <f t="shared" si="2"/>
        <v>3.12</v>
      </c>
      <c r="L65" s="48">
        <f t="shared" si="3"/>
        <v>8.4499999999999993</v>
      </c>
      <c r="M65" s="48">
        <f t="shared" si="4"/>
        <v>1560</v>
      </c>
      <c r="N65" s="48">
        <f t="shared" si="5"/>
        <v>4225</v>
      </c>
      <c r="O65" s="50">
        <f t="shared" si="6"/>
        <v>5785</v>
      </c>
      <c r="P65" s="50">
        <v>0</v>
      </c>
      <c r="Q65" s="76"/>
      <c r="R65" s="140">
        <f>IF((20*S9+100*S10)&gt;500,500,(20*S9+100*S10))</f>
        <v>500</v>
      </c>
      <c r="S65" s="79">
        <v>2.5499999999999989</v>
      </c>
      <c r="T65" s="80">
        <v>6.9</v>
      </c>
    </row>
    <row r="66" spans="2:20" ht="56">
      <c r="B66" s="5" t="s">
        <v>229</v>
      </c>
      <c r="C66" s="45" t="s">
        <v>135</v>
      </c>
      <c r="D66" s="45">
        <v>97642</v>
      </c>
      <c r="E66" s="6" t="s">
        <v>230</v>
      </c>
      <c r="F66" s="45" t="s">
        <v>121</v>
      </c>
      <c r="G66" s="46">
        <f t="shared" si="0"/>
        <v>1040</v>
      </c>
      <c r="H66" s="46">
        <f>TRUNC(S66*(1-LOTE_03!$K$10),2)</f>
        <v>0.86</v>
      </c>
      <c r="I66" s="46">
        <f>TRUNC(T66*(1-LOTE_03!$K$10),2)</f>
        <v>2.2999999999999998</v>
      </c>
      <c r="J66" s="100">
        <f t="shared" si="1"/>
        <v>0.22470000000000001</v>
      </c>
      <c r="K66" s="48">
        <f t="shared" si="2"/>
        <v>1.05</v>
      </c>
      <c r="L66" s="48">
        <f t="shared" si="3"/>
        <v>2.81</v>
      </c>
      <c r="M66" s="48">
        <f t="shared" si="4"/>
        <v>1092</v>
      </c>
      <c r="N66" s="48">
        <f t="shared" si="5"/>
        <v>2922.4</v>
      </c>
      <c r="O66" s="50">
        <f t="shared" si="6"/>
        <v>4014.4</v>
      </c>
      <c r="P66" s="50">
        <v>0</v>
      </c>
      <c r="Q66" s="76"/>
      <c r="R66" s="140">
        <f>IF((10*S9+200*S10)&gt;2000,2000,((10*S9+200*S10)))</f>
        <v>1040</v>
      </c>
      <c r="S66" s="79">
        <v>0.86000000000000032</v>
      </c>
      <c r="T66" s="80">
        <v>2.2999999999999998</v>
      </c>
    </row>
    <row r="67" spans="2:20" ht="42">
      <c r="B67" s="5" t="s">
        <v>231</v>
      </c>
      <c r="C67" s="45" t="s">
        <v>135</v>
      </c>
      <c r="D67" s="45">
        <v>97650</v>
      </c>
      <c r="E67" s="6" t="s">
        <v>232</v>
      </c>
      <c r="F67" s="45" t="s">
        <v>121</v>
      </c>
      <c r="G67" s="46">
        <f t="shared" si="0"/>
        <v>1000</v>
      </c>
      <c r="H67" s="46">
        <f>TRUNC(S67*(1-LOTE_03!$K$10),2)</f>
        <v>2.4</v>
      </c>
      <c r="I67" s="46">
        <f>TRUNC(T67*(1-LOTE_03!$K$10),2)</f>
        <v>6.33</v>
      </c>
      <c r="J67" s="100">
        <f t="shared" si="1"/>
        <v>0.22470000000000001</v>
      </c>
      <c r="K67" s="48">
        <f t="shared" si="2"/>
        <v>2.93</v>
      </c>
      <c r="L67" s="48">
        <f t="shared" si="3"/>
        <v>7.75</v>
      </c>
      <c r="M67" s="48">
        <f t="shared" si="4"/>
        <v>2930</v>
      </c>
      <c r="N67" s="48">
        <f t="shared" si="5"/>
        <v>7750</v>
      </c>
      <c r="O67" s="50">
        <f t="shared" si="6"/>
        <v>10680</v>
      </c>
      <c r="P67" s="50">
        <v>0</v>
      </c>
      <c r="Q67" s="76"/>
      <c r="R67" s="140">
        <f>IF((20*S9+300*S10)&gt;1000,1000,(20*S9+100*S10))</f>
        <v>1000</v>
      </c>
      <c r="S67" s="79">
        <v>2.4000000000000004</v>
      </c>
      <c r="T67" s="80">
        <v>6.33</v>
      </c>
    </row>
    <row r="68" spans="2:20" ht="56">
      <c r="B68" s="5" t="s">
        <v>233</v>
      </c>
      <c r="C68" s="45" t="s">
        <v>135</v>
      </c>
      <c r="D68" s="45">
        <v>97637</v>
      </c>
      <c r="E68" s="6" t="s">
        <v>234</v>
      </c>
      <c r="F68" s="45" t="s">
        <v>121</v>
      </c>
      <c r="G68" s="46">
        <f t="shared" si="0"/>
        <v>100</v>
      </c>
      <c r="H68" s="46">
        <f>TRUNC(S68*(1-LOTE_03!$K$10),2)</f>
        <v>0.88</v>
      </c>
      <c r="I68" s="46">
        <f>TRUNC(T68*(1-LOTE_03!$K$10),2)</f>
        <v>2.36</v>
      </c>
      <c r="J68" s="100">
        <f t="shared" si="1"/>
        <v>0.22470000000000001</v>
      </c>
      <c r="K68" s="48">
        <f t="shared" si="2"/>
        <v>1.07</v>
      </c>
      <c r="L68" s="48">
        <f t="shared" si="3"/>
        <v>2.89</v>
      </c>
      <c r="M68" s="48">
        <f t="shared" si="4"/>
        <v>107</v>
      </c>
      <c r="N68" s="48">
        <f t="shared" si="5"/>
        <v>289</v>
      </c>
      <c r="O68" s="50">
        <f t="shared" si="6"/>
        <v>396</v>
      </c>
      <c r="P68" s="50">
        <v>0</v>
      </c>
      <c r="Q68" s="76"/>
      <c r="R68" s="140">
        <f>IF((10*S9+30*3*S10)&gt;100,100,(10*S9+15*3*S10))</f>
        <v>100</v>
      </c>
      <c r="S68" s="79">
        <v>0.88000000000000034</v>
      </c>
      <c r="T68" s="80">
        <v>2.36</v>
      </c>
    </row>
    <row r="69" spans="2:20" ht="42">
      <c r="B69" s="5" t="s">
        <v>235</v>
      </c>
      <c r="C69" s="45" t="s">
        <v>135</v>
      </c>
      <c r="D69" s="45">
        <v>97644</v>
      </c>
      <c r="E69" s="6" t="s">
        <v>236</v>
      </c>
      <c r="F69" s="45" t="s">
        <v>121</v>
      </c>
      <c r="G69" s="46">
        <f t="shared" si="0"/>
        <v>51.03</v>
      </c>
      <c r="H69" s="46">
        <f>TRUNC(S69*(1-LOTE_03!$K$10),2)</f>
        <v>2.97</v>
      </c>
      <c r="I69" s="46">
        <f>TRUNC(T69*(1-LOTE_03!$K$10),2)</f>
        <v>7.92</v>
      </c>
      <c r="J69" s="100">
        <f t="shared" si="1"/>
        <v>0.22470000000000001</v>
      </c>
      <c r="K69" s="48">
        <f t="shared" si="2"/>
        <v>3.63</v>
      </c>
      <c r="L69" s="48">
        <f t="shared" si="3"/>
        <v>9.69</v>
      </c>
      <c r="M69" s="48">
        <f t="shared" si="4"/>
        <v>185.23</v>
      </c>
      <c r="N69" s="48">
        <f t="shared" si="5"/>
        <v>494.48</v>
      </c>
      <c r="O69" s="50">
        <f t="shared" si="6"/>
        <v>679.71</v>
      </c>
      <c r="P69" s="50">
        <v>0</v>
      </c>
      <c r="Q69" s="76"/>
      <c r="R69" s="140">
        <f>IF((0.9*2.1*3*S9+0.9*2.1*3*S10)&gt;100,100,(0.9*2.1*3*S9+0.9*2.1*3*S10))</f>
        <v>51.03</v>
      </c>
      <c r="S69" s="79">
        <v>2.9700000000000006</v>
      </c>
      <c r="T69" s="80">
        <v>7.92</v>
      </c>
    </row>
    <row r="70" spans="2:20" ht="42">
      <c r="B70" s="5" t="s">
        <v>237</v>
      </c>
      <c r="C70" s="45" t="s">
        <v>135</v>
      </c>
      <c r="D70" s="45">
        <v>97645</v>
      </c>
      <c r="E70" s="6" t="s">
        <v>238</v>
      </c>
      <c r="F70" s="45" t="s">
        <v>121</v>
      </c>
      <c r="G70" s="46">
        <f t="shared" si="0"/>
        <v>93.75</v>
      </c>
      <c r="H70" s="46">
        <f>TRUNC(S70*(1-LOTE_03!$K$10),2)</f>
        <v>7.72</v>
      </c>
      <c r="I70" s="46">
        <f>TRUNC(T70*(1-LOTE_03!$K$10),2)</f>
        <v>20.43</v>
      </c>
      <c r="J70" s="100">
        <f t="shared" si="1"/>
        <v>0.22470000000000001</v>
      </c>
      <c r="K70" s="48">
        <f t="shared" si="2"/>
        <v>9.4499999999999993</v>
      </c>
      <c r="L70" s="48">
        <f t="shared" si="3"/>
        <v>25.02</v>
      </c>
      <c r="M70" s="48">
        <f t="shared" si="4"/>
        <v>885.93</v>
      </c>
      <c r="N70" s="48">
        <f t="shared" si="5"/>
        <v>2345.62</v>
      </c>
      <c r="O70" s="50">
        <f t="shared" si="6"/>
        <v>3231.55</v>
      </c>
      <c r="P70" s="50">
        <v>0</v>
      </c>
      <c r="Q70" s="76"/>
      <c r="R70" s="140">
        <f>IF((1.5*1*5*2*S9+1.5*1.5*3*(S10))&gt;100,100,(1.5*1*5*2*S9+1.5*1.5*3*(S10)))</f>
        <v>93.75</v>
      </c>
      <c r="S70" s="79">
        <v>7.7199999999999989</v>
      </c>
      <c r="T70" s="80">
        <v>20.43</v>
      </c>
    </row>
    <row r="71" spans="2:20" ht="56">
      <c r="B71" s="5" t="s">
        <v>239</v>
      </c>
      <c r="C71" s="45" t="s">
        <v>135</v>
      </c>
      <c r="D71" s="45">
        <v>97647</v>
      </c>
      <c r="E71" s="6" t="s">
        <v>240</v>
      </c>
      <c r="F71" s="45" t="s">
        <v>121</v>
      </c>
      <c r="G71" s="46">
        <f t="shared" si="0"/>
        <v>1080</v>
      </c>
      <c r="H71" s="46">
        <f>TRUNC(S71*(1-LOTE_03!$K$10),2)</f>
        <v>1.1200000000000001</v>
      </c>
      <c r="I71" s="46">
        <f>TRUNC(T71*(1-LOTE_03!$K$10),2)</f>
        <v>2.92</v>
      </c>
      <c r="J71" s="100">
        <f t="shared" si="1"/>
        <v>0.22470000000000001</v>
      </c>
      <c r="K71" s="48">
        <f t="shared" si="2"/>
        <v>1.37</v>
      </c>
      <c r="L71" s="48">
        <f t="shared" si="3"/>
        <v>3.57</v>
      </c>
      <c r="M71" s="48">
        <f t="shared" si="4"/>
        <v>1479.6</v>
      </c>
      <c r="N71" s="48">
        <f t="shared" si="5"/>
        <v>3855.6</v>
      </c>
      <c r="O71" s="50">
        <f t="shared" si="6"/>
        <v>5335.2</v>
      </c>
      <c r="P71" s="50">
        <v>0</v>
      </c>
      <c r="Q71" s="76"/>
      <c r="R71" s="140">
        <f>IF((200*S9+300*S10)&gt;3000,3000,(20*S9+200*S10))</f>
        <v>1080</v>
      </c>
      <c r="S71" s="79">
        <v>1.1200000000000001</v>
      </c>
      <c r="T71" s="80">
        <v>2.92</v>
      </c>
    </row>
    <row r="72" spans="2:20" ht="42">
      <c r="B72" s="5" t="s">
        <v>241</v>
      </c>
      <c r="C72" s="45" t="s">
        <v>97</v>
      </c>
      <c r="D72" s="45" t="s">
        <v>242</v>
      </c>
      <c r="E72" s="6" t="s">
        <v>243</v>
      </c>
      <c r="F72" s="45" t="s">
        <v>121</v>
      </c>
      <c r="G72" s="46">
        <f t="shared" si="0"/>
        <v>1040</v>
      </c>
      <c r="H72" s="46">
        <f>TRUNC(S72*(1-LOTE_03!$K$10),2)</f>
        <v>5.0199999999999996</v>
      </c>
      <c r="I72" s="46">
        <f>TRUNC(T72*(1-LOTE_03!$K$10),2)</f>
        <v>13.42</v>
      </c>
      <c r="J72" s="100">
        <f t="shared" si="1"/>
        <v>0.22470000000000001</v>
      </c>
      <c r="K72" s="48">
        <f t="shared" si="2"/>
        <v>6.14</v>
      </c>
      <c r="L72" s="48">
        <f t="shared" si="3"/>
        <v>16.43</v>
      </c>
      <c r="M72" s="48">
        <f t="shared" si="4"/>
        <v>6385.6</v>
      </c>
      <c r="N72" s="48">
        <f t="shared" si="5"/>
        <v>17087.2</v>
      </c>
      <c r="O72" s="50">
        <f t="shared" si="6"/>
        <v>23472.799999999999</v>
      </c>
      <c r="P72" s="50">
        <v>0</v>
      </c>
      <c r="Q72" s="76"/>
      <c r="R72" s="140">
        <f>10*S9+200*S10</f>
        <v>1040</v>
      </c>
      <c r="S72" s="79">
        <v>5.0199999999999996</v>
      </c>
      <c r="T72" s="80">
        <v>13.42</v>
      </c>
    </row>
    <row r="73" spans="2:20" ht="42">
      <c r="B73" s="5" t="s">
        <v>244</v>
      </c>
      <c r="C73" s="45" t="s">
        <v>135</v>
      </c>
      <c r="D73" s="45">
        <v>97655</v>
      </c>
      <c r="E73" s="6" t="s">
        <v>245</v>
      </c>
      <c r="F73" s="45" t="s">
        <v>121</v>
      </c>
      <c r="G73" s="46">
        <f t="shared" si="0"/>
        <v>500</v>
      </c>
      <c r="H73" s="46">
        <f>TRUNC(S73*(1-LOTE_03!$K$10),2)</f>
        <v>30.53</v>
      </c>
      <c r="I73" s="46">
        <f>TRUNC(T73*(1-LOTE_03!$K$10),2)</f>
        <v>12.66</v>
      </c>
      <c r="J73" s="100">
        <f t="shared" si="1"/>
        <v>0.22470000000000001</v>
      </c>
      <c r="K73" s="48">
        <f t="shared" si="2"/>
        <v>37.39</v>
      </c>
      <c r="L73" s="48">
        <f t="shared" si="3"/>
        <v>15.5</v>
      </c>
      <c r="M73" s="48">
        <f t="shared" si="4"/>
        <v>18695</v>
      </c>
      <c r="N73" s="48">
        <f t="shared" si="5"/>
        <v>7750</v>
      </c>
      <c r="O73" s="50">
        <f t="shared" si="6"/>
        <v>26445</v>
      </c>
      <c r="P73" s="50">
        <v>0</v>
      </c>
      <c r="Q73" s="76"/>
      <c r="R73" s="140">
        <f>IF((20*S9+100*S10)&gt;500,500,(20*S9+100*S10))</f>
        <v>500</v>
      </c>
      <c r="S73" s="79">
        <v>30.529999999999998</v>
      </c>
      <c r="T73" s="80">
        <v>12.66</v>
      </c>
    </row>
    <row r="74" spans="2:20" ht="42">
      <c r="B74" s="5" t="s">
        <v>246</v>
      </c>
      <c r="C74" s="45" t="s">
        <v>97</v>
      </c>
      <c r="D74" s="45" t="s">
        <v>247</v>
      </c>
      <c r="E74" s="6" t="s">
        <v>248</v>
      </c>
      <c r="F74" s="45" t="s">
        <v>104</v>
      </c>
      <c r="G74" s="46">
        <f t="shared" si="0"/>
        <v>9</v>
      </c>
      <c r="H74" s="46">
        <f>TRUNC(S74*(1-LOTE_03!$K$10),2)</f>
        <v>0</v>
      </c>
      <c r="I74" s="46">
        <f>TRUNC(T74*(1-LOTE_03!$K$10),2)</f>
        <v>62.07</v>
      </c>
      <c r="J74" s="100">
        <f t="shared" si="1"/>
        <v>0.22470000000000001</v>
      </c>
      <c r="K74" s="48">
        <f t="shared" si="2"/>
        <v>0</v>
      </c>
      <c r="L74" s="48">
        <f t="shared" si="3"/>
        <v>76.010000000000005</v>
      </c>
      <c r="M74" s="48">
        <f t="shared" si="4"/>
        <v>0</v>
      </c>
      <c r="N74" s="48">
        <f t="shared" si="5"/>
        <v>684.09</v>
      </c>
      <c r="O74" s="50">
        <f t="shared" si="6"/>
        <v>684.09</v>
      </c>
      <c r="P74" s="50">
        <v>0</v>
      </c>
      <c r="Q74" s="76"/>
      <c r="R74" s="140">
        <f>IF((1*S9+2*S10)&gt;20,20,(1*S9+1*S10))</f>
        <v>9</v>
      </c>
      <c r="S74" s="79">
        <v>0</v>
      </c>
      <c r="T74" s="80">
        <v>62.07</v>
      </c>
    </row>
    <row r="75" spans="2:20" ht="42">
      <c r="B75" s="5" t="s">
        <v>249</v>
      </c>
      <c r="C75" s="45" t="s">
        <v>135</v>
      </c>
      <c r="D75" s="45">
        <v>102190</v>
      </c>
      <c r="E75" s="6" t="s">
        <v>1770</v>
      </c>
      <c r="F75" s="45" t="s">
        <v>121</v>
      </c>
      <c r="G75" s="46">
        <f t="shared" si="0"/>
        <v>45</v>
      </c>
      <c r="H75" s="46">
        <f>TRUNC(S75*(1-LOTE_03!$K$10),2)</f>
        <v>5.27</v>
      </c>
      <c r="I75" s="46">
        <f>TRUNC(T75*(1-LOTE_03!$K$10),2)</f>
        <v>13.75</v>
      </c>
      <c r="J75" s="100">
        <f t="shared" si="1"/>
        <v>0.22470000000000001</v>
      </c>
      <c r="K75" s="48">
        <f t="shared" si="2"/>
        <v>6.45</v>
      </c>
      <c r="L75" s="48">
        <f t="shared" si="3"/>
        <v>16.829999999999998</v>
      </c>
      <c r="M75" s="48">
        <f t="shared" si="4"/>
        <v>290.25</v>
      </c>
      <c r="N75" s="48">
        <f t="shared" si="5"/>
        <v>757.35</v>
      </c>
      <c r="O75" s="50">
        <f t="shared" si="6"/>
        <v>1047.5999999999999</v>
      </c>
      <c r="P75" s="50">
        <v>0</v>
      </c>
      <c r="Q75" s="76"/>
      <c r="R75" s="140">
        <f>IF((5*S9+5*S10)&gt;100,100,(5*S9+5*S10))</f>
        <v>45</v>
      </c>
      <c r="S75" s="79">
        <v>5.27</v>
      </c>
      <c r="T75" s="80">
        <v>13.75</v>
      </c>
    </row>
    <row r="76" spans="2:20" ht="56">
      <c r="B76" s="5" t="s">
        <v>250</v>
      </c>
      <c r="C76" s="45" t="s">
        <v>135</v>
      </c>
      <c r="D76" s="45">
        <v>97662</v>
      </c>
      <c r="E76" s="6" t="s">
        <v>251</v>
      </c>
      <c r="F76" s="45" t="s">
        <v>187</v>
      </c>
      <c r="G76" s="46">
        <f t="shared" si="0"/>
        <v>500</v>
      </c>
      <c r="H76" s="46">
        <f>TRUNC(S76*(1-LOTE_03!$K$10),2)</f>
        <v>0.17</v>
      </c>
      <c r="I76" s="46">
        <f>TRUNC(T76*(1-LOTE_03!$K$10),2)</f>
        <v>0.41</v>
      </c>
      <c r="J76" s="100">
        <f t="shared" si="1"/>
        <v>0.22470000000000001</v>
      </c>
      <c r="K76" s="48">
        <f t="shared" si="2"/>
        <v>0.2</v>
      </c>
      <c r="L76" s="48">
        <f t="shared" si="3"/>
        <v>0.5</v>
      </c>
      <c r="M76" s="48">
        <f t="shared" si="4"/>
        <v>100</v>
      </c>
      <c r="N76" s="48">
        <f t="shared" si="5"/>
        <v>250</v>
      </c>
      <c r="O76" s="50">
        <f t="shared" si="6"/>
        <v>350</v>
      </c>
      <c r="P76" s="50">
        <v>0</v>
      </c>
      <c r="Q76" s="76"/>
      <c r="R76" s="140">
        <f>IF((5*S9+100*S10)&gt;500,500,(5*S9+100*S10))</f>
        <v>500</v>
      </c>
      <c r="S76" s="79">
        <v>0.16999999999999998</v>
      </c>
      <c r="T76" s="80">
        <v>0.41</v>
      </c>
    </row>
    <row r="77" spans="2:20" ht="42">
      <c r="B77" s="5" t="s">
        <v>252</v>
      </c>
      <c r="C77" s="45" t="s">
        <v>135</v>
      </c>
      <c r="D77" s="45">
        <v>97664</v>
      </c>
      <c r="E77" s="6" t="s">
        <v>253</v>
      </c>
      <c r="F77" s="45" t="s">
        <v>210</v>
      </c>
      <c r="G77" s="46">
        <f t="shared" si="0"/>
        <v>30</v>
      </c>
      <c r="H77" s="46">
        <f>TRUNC(S77*(1-LOTE_03!$K$10),2)</f>
        <v>0.5</v>
      </c>
      <c r="I77" s="46">
        <f>TRUNC(T77*(1-LOTE_03!$K$10),2)</f>
        <v>1.31</v>
      </c>
      <c r="J77" s="100">
        <f t="shared" si="1"/>
        <v>0.22470000000000001</v>
      </c>
      <c r="K77" s="48">
        <f t="shared" si="2"/>
        <v>0.61</v>
      </c>
      <c r="L77" s="48">
        <f t="shared" si="3"/>
        <v>1.6</v>
      </c>
      <c r="M77" s="48">
        <f t="shared" si="4"/>
        <v>18.3</v>
      </c>
      <c r="N77" s="48">
        <f t="shared" si="5"/>
        <v>48</v>
      </c>
      <c r="O77" s="50">
        <f t="shared" si="6"/>
        <v>66.3</v>
      </c>
      <c r="P77" s="50">
        <v>0</v>
      </c>
      <c r="Q77" s="76"/>
      <c r="R77" s="140">
        <f>IF((2*S9+8*S10)&gt;30,30,(2*S9+8*S10))</f>
        <v>30</v>
      </c>
      <c r="S77" s="79">
        <v>0.5</v>
      </c>
      <c r="T77" s="80">
        <v>1.31</v>
      </c>
    </row>
    <row r="78" spans="2:20" ht="28">
      <c r="B78" s="5" t="s">
        <v>254</v>
      </c>
      <c r="C78" s="45" t="s">
        <v>97</v>
      </c>
      <c r="D78" s="45" t="s">
        <v>255</v>
      </c>
      <c r="E78" s="6" t="s">
        <v>256</v>
      </c>
      <c r="F78" s="45" t="s">
        <v>121</v>
      </c>
      <c r="G78" s="46">
        <f t="shared" si="0"/>
        <v>420</v>
      </c>
      <c r="H78" s="46">
        <f>TRUNC(S78*(1-LOTE_03!$K$10),2)</f>
        <v>2.14</v>
      </c>
      <c r="I78" s="46">
        <f>TRUNC(T78*(1-LOTE_03!$K$10),2)</f>
        <v>5.25</v>
      </c>
      <c r="J78" s="100">
        <f t="shared" si="1"/>
        <v>0.22470000000000001</v>
      </c>
      <c r="K78" s="48">
        <f t="shared" si="2"/>
        <v>2.62</v>
      </c>
      <c r="L78" s="48">
        <f t="shared" si="3"/>
        <v>6.42</v>
      </c>
      <c r="M78" s="48">
        <f t="shared" si="4"/>
        <v>1100.4000000000001</v>
      </c>
      <c r="N78" s="48">
        <f t="shared" si="5"/>
        <v>2696.4</v>
      </c>
      <c r="O78" s="50">
        <f t="shared" si="6"/>
        <v>3796.8</v>
      </c>
      <c r="P78" s="50">
        <v>0</v>
      </c>
      <c r="Q78" s="76"/>
      <c r="R78" s="140">
        <f>IF((30*S9+3*20*S10)&gt;500,500,(30*S9+3*20*S10))</f>
        <v>420</v>
      </c>
      <c r="S78" s="79">
        <v>2.14</v>
      </c>
      <c r="T78" s="80">
        <v>5.25</v>
      </c>
    </row>
    <row r="79" spans="2:20" ht="28">
      <c r="B79" s="5" t="s">
        <v>257</v>
      </c>
      <c r="C79" s="45" t="s">
        <v>97</v>
      </c>
      <c r="D79" s="45" t="s">
        <v>258</v>
      </c>
      <c r="E79" s="6" t="s">
        <v>259</v>
      </c>
      <c r="F79" s="45" t="s">
        <v>121</v>
      </c>
      <c r="G79" s="46">
        <f t="shared" si="0"/>
        <v>9</v>
      </c>
      <c r="H79" s="46">
        <f>TRUNC(S79*(1-LOTE_03!$K$10),2)</f>
        <v>8.24</v>
      </c>
      <c r="I79" s="46">
        <f>TRUNC(T79*(1-LOTE_03!$K$10),2)</f>
        <v>21.01</v>
      </c>
      <c r="J79" s="100">
        <f t="shared" si="1"/>
        <v>0.22470000000000001</v>
      </c>
      <c r="K79" s="48">
        <f t="shared" si="2"/>
        <v>10.09</v>
      </c>
      <c r="L79" s="48">
        <f t="shared" si="3"/>
        <v>25.73</v>
      </c>
      <c r="M79" s="48">
        <f t="shared" si="4"/>
        <v>90.81</v>
      </c>
      <c r="N79" s="48">
        <f t="shared" si="5"/>
        <v>231.57</v>
      </c>
      <c r="O79" s="50">
        <f t="shared" si="6"/>
        <v>322.38</v>
      </c>
      <c r="P79" s="50">
        <v>0</v>
      </c>
      <c r="Q79" s="76"/>
      <c r="R79" s="140">
        <f>IF((S9+S10)&gt;20,20,(S9+S10))</f>
        <v>9</v>
      </c>
      <c r="S79" s="79">
        <v>8.24</v>
      </c>
      <c r="T79" s="80">
        <v>21.01</v>
      </c>
    </row>
    <row r="80" spans="2:20" ht="28">
      <c r="B80" s="5" t="s">
        <v>260</v>
      </c>
      <c r="C80" s="45" t="s">
        <v>97</v>
      </c>
      <c r="D80" s="45" t="s">
        <v>261</v>
      </c>
      <c r="E80" s="6" t="s">
        <v>262</v>
      </c>
      <c r="F80" s="45" t="s">
        <v>121</v>
      </c>
      <c r="G80" s="46">
        <f t="shared" si="0"/>
        <v>33</v>
      </c>
      <c r="H80" s="46">
        <f>TRUNC(S80*(1-LOTE_03!$K$10),2)</f>
        <v>6.6</v>
      </c>
      <c r="I80" s="46">
        <f>TRUNC(T80*(1-LOTE_03!$K$10),2)</f>
        <v>17.97</v>
      </c>
      <c r="J80" s="100">
        <f t="shared" si="1"/>
        <v>0.22470000000000001</v>
      </c>
      <c r="K80" s="48">
        <f t="shared" si="2"/>
        <v>8.08</v>
      </c>
      <c r="L80" s="48">
        <f t="shared" si="3"/>
        <v>22</v>
      </c>
      <c r="M80" s="48">
        <f t="shared" si="4"/>
        <v>266.64</v>
      </c>
      <c r="N80" s="48">
        <f t="shared" si="5"/>
        <v>726</v>
      </c>
      <c r="O80" s="50">
        <f t="shared" si="6"/>
        <v>992.64</v>
      </c>
      <c r="P80" s="50">
        <v>0</v>
      </c>
      <c r="Q80" s="76"/>
      <c r="R80" s="140">
        <f>IF((5*S10)&gt;50,50,(2*S9+5*S10))</f>
        <v>33</v>
      </c>
      <c r="S80" s="79">
        <v>6.6</v>
      </c>
      <c r="T80" s="80">
        <v>17.97</v>
      </c>
    </row>
    <row r="81" spans="2:20" ht="28">
      <c r="B81" s="5" t="s">
        <v>263</v>
      </c>
      <c r="C81" s="45" t="s">
        <v>97</v>
      </c>
      <c r="D81" s="45" t="s">
        <v>264</v>
      </c>
      <c r="E81" s="6" t="s">
        <v>265</v>
      </c>
      <c r="F81" s="45" t="s">
        <v>104</v>
      </c>
      <c r="G81" s="46">
        <f t="shared" ref="G81:G134" si="7">TRUNC(R81,2)</f>
        <v>9</v>
      </c>
      <c r="H81" s="46">
        <f>TRUNC(S81*(1-LOTE_03!$K$10),2)</f>
        <v>7.16</v>
      </c>
      <c r="I81" s="46">
        <f>TRUNC(T81*(1-LOTE_03!$K$10),2)</f>
        <v>17.52</v>
      </c>
      <c r="J81" s="100">
        <f t="shared" ref="J81:J144" si="8">$J$4</f>
        <v>0.22470000000000001</v>
      </c>
      <c r="K81" s="48">
        <f t="shared" ref="K81:K144" si="9">TRUNC(H81*(1+J81),2)</f>
        <v>8.76</v>
      </c>
      <c r="L81" s="48">
        <f t="shared" ref="L81:L144" si="10">TRUNC(I81*(1+J81),2)</f>
        <v>21.45</v>
      </c>
      <c r="M81" s="48">
        <f t="shared" ref="M81:M144" si="11">TRUNC(K81*G81,2)</f>
        <v>78.84</v>
      </c>
      <c r="N81" s="48">
        <f t="shared" ref="N81:N144" si="12">TRUNC(L81*G81,2)</f>
        <v>193.05</v>
      </c>
      <c r="O81" s="50">
        <f t="shared" ref="O81:O144" si="13">TRUNC(M81+N81,2)</f>
        <v>271.89</v>
      </c>
      <c r="P81" s="50">
        <v>0</v>
      </c>
      <c r="Q81" s="76"/>
      <c r="R81" s="140">
        <f>1*S9+1*S10</f>
        <v>9</v>
      </c>
      <c r="S81" s="79">
        <v>7.16</v>
      </c>
      <c r="T81" s="80">
        <v>17.52</v>
      </c>
    </row>
    <row r="82" spans="2:20" ht="28">
      <c r="B82" s="5" t="s">
        <v>266</v>
      </c>
      <c r="C82" s="45" t="s">
        <v>97</v>
      </c>
      <c r="D82" s="45" t="s">
        <v>267</v>
      </c>
      <c r="E82" s="6" t="s">
        <v>268</v>
      </c>
      <c r="F82" s="45" t="s">
        <v>104</v>
      </c>
      <c r="G82" s="46">
        <f t="shared" si="7"/>
        <v>18</v>
      </c>
      <c r="H82" s="46">
        <f>TRUNC(S82*(1-LOTE_03!$K$10),2)</f>
        <v>2.86</v>
      </c>
      <c r="I82" s="46">
        <f>TRUNC(T82*(1-LOTE_03!$K$10),2)</f>
        <v>7</v>
      </c>
      <c r="J82" s="100">
        <f t="shared" si="8"/>
        <v>0.22470000000000001</v>
      </c>
      <c r="K82" s="48">
        <f t="shared" si="9"/>
        <v>3.5</v>
      </c>
      <c r="L82" s="48">
        <f t="shared" si="10"/>
        <v>8.57</v>
      </c>
      <c r="M82" s="48">
        <f t="shared" si="11"/>
        <v>63</v>
      </c>
      <c r="N82" s="48">
        <f t="shared" si="12"/>
        <v>154.26</v>
      </c>
      <c r="O82" s="50">
        <f t="shared" si="13"/>
        <v>217.26</v>
      </c>
      <c r="P82" s="50">
        <v>0</v>
      </c>
      <c r="Q82" s="76"/>
      <c r="R82" s="140">
        <f>2*S9+2*(S10)</f>
        <v>18</v>
      </c>
      <c r="S82" s="79">
        <v>2.86</v>
      </c>
      <c r="T82" s="80">
        <v>7</v>
      </c>
    </row>
    <row r="83" spans="2:20" ht="28">
      <c r="B83" s="5" t="s">
        <v>269</v>
      </c>
      <c r="C83" s="45" t="s">
        <v>97</v>
      </c>
      <c r="D83" s="45" t="s">
        <v>270</v>
      </c>
      <c r="E83" s="6" t="s">
        <v>271</v>
      </c>
      <c r="F83" s="45" t="s">
        <v>104</v>
      </c>
      <c r="G83" s="46">
        <f t="shared" si="7"/>
        <v>18</v>
      </c>
      <c r="H83" s="46">
        <f>TRUNC(S83*(1-LOTE_03!$K$10),2)</f>
        <v>3.58</v>
      </c>
      <c r="I83" s="46">
        <f>TRUNC(T83*(1-LOTE_03!$K$10),2)</f>
        <v>8.76</v>
      </c>
      <c r="J83" s="100">
        <f t="shared" si="8"/>
        <v>0.22470000000000001</v>
      </c>
      <c r="K83" s="48">
        <f t="shared" si="9"/>
        <v>4.38</v>
      </c>
      <c r="L83" s="48">
        <f t="shared" si="10"/>
        <v>10.72</v>
      </c>
      <c r="M83" s="48">
        <f t="shared" si="11"/>
        <v>78.84</v>
      </c>
      <c r="N83" s="48">
        <f t="shared" si="12"/>
        <v>192.96</v>
      </c>
      <c r="O83" s="50">
        <f t="shared" si="13"/>
        <v>271.8</v>
      </c>
      <c r="P83" s="50">
        <v>0</v>
      </c>
      <c r="Q83" s="76"/>
      <c r="R83" s="140">
        <f>2*S9+2*(S10)</f>
        <v>18</v>
      </c>
      <c r="S83" s="79">
        <v>3.58</v>
      </c>
      <c r="T83" s="80">
        <v>8.76</v>
      </c>
    </row>
    <row r="84" spans="2:20">
      <c r="B84" s="5" t="s">
        <v>272</v>
      </c>
      <c r="C84" s="45" t="s">
        <v>97</v>
      </c>
      <c r="D84" s="45" t="s">
        <v>273</v>
      </c>
      <c r="E84" s="6" t="s">
        <v>274</v>
      </c>
      <c r="F84" s="45" t="s">
        <v>104</v>
      </c>
      <c r="G84" s="46">
        <f t="shared" si="7"/>
        <v>90</v>
      </c>
      <c r="H84" s="46">
        <f>TRUNC(S84*(1-LOTE_03!$K$10),2)</f>
        <v>1.43</v>
      </c>
      <c r="I84" s="46">
        <f>TRUNC(T84*(1-LOTE_03!$K$10),2)</f>
        <v>3.5</v>
      </c>
      <c r="J84" s="100">
        <f t="shared" si="8"/>
        <v>0.22470000000000001</v>
      </c>
      <c r="K84" s="48">
        <f t="shared" si="9"/>
        <v>1.75</v>
      </c>
      <c r="L84" s="48">
        <f t="shared" si="10"/>
        <v>4.28</v>
      </c>
      <c r="M84" s="48">
        <f t="shared" si="11"/>
        <v>157.5</v>
      </c>
      <c r="N84" s="48">
        <f t="shared" si="12"/>
        <v>385.2</v>
      </c>
      <c r="O84" s="50">
        <f t="shared" si="13"/>
        <v>542.70000000000005</v>
      </c>
      <c r="P84" s="50">
        <v>0</v>
      </c>
      <c r="Q84" s="76"/>
      <c r="R84" s="140">
        <f>10*S9+10*S10</f>
        <v>90</v>
      </c>
      <c r="S84" s="79">
        <v>1.43</v>
      </c>
      <c r="T84" s="80">
        <v>3.5</v>
      </c>
    </row>
    <row r="85" spans="2:20" ht="28">
      <c r="B85" s="5" t="s">
        <v>275</v>
      </c>
      <c r="C85" s="45" t="s">
        <v>97</v>
      </c>
      <c r="D85" s="45" t="s">
        <v>276</v>
      </c>
      <c r="E85" s="6" t="s">
        <v>277</v>
      </c>
      <c r="F85" s="45" t="s">
        <v>104</v>
      </c>
      <c r="G85" s="46">
        <f t="shared" si="7"/>
        <v>45</v>
      </c>
      <c r="H85" s="46">
        <f>TRUNC(S85*(1-LOTE_03!$K$10),2)</f>
        <v>2.86</v>
      </c>
      <c r="I85" s="46">
        <f>TRUNC(T85*(1-LOTE_03!$K$10),2)</f>
        <v>7</v>
      </c>
      <c r="J85" s="100">
        <f t="shared" si="8"/>
        <v>0.22470000000000001</v>
      </c>
      <c r="K85" s="48">
        <f t="shared" si="9"/>
        <v>3.5</v>
      </c>
      <c r="L85" s="48">
        <f t="shared" si="10"/>
        <v>8.57</v>
      </c>
      <c r="M85" s="48">
        <f t="shared" si="11"/>
        <v>157.5</v>
      </c>
      <c r="N85" s="48">
        <f t="shared" si="12"/>
        <v>385.65</v>
      </c>
      <c r="O85" s="50">
        <f t="shared" si="13"/>
        <v>543.15</v>
      </c>
      <c r="P85" s="50">
        <v>0</v>
      </c>
      <c r="Q85" s="76"/>
      <c r="R85" s="140">
        <f>5*S9+5*(S10)</f>
        <v>45</v>
      </c>
      <c r="S85" s="79">
        <v>2.86</v>
      </c>
      <c r="T85" s="80">
        <v>7</v>
      </c>
    </row>
    <row r="86" spans="2:20" ht="28">
      <c r="B86" s="5" t="s">
        <v>278</v>
      </c>
      <c r="C86" s="45" t="s">
        <v>97</v>
      </c>
      <c r="D86" s="45" t="s">
        <v>279</v>
      </c>
      <c r="E86" s="6" t="s">
        <v>280</v>
      </c>
      <c r="F86" s="45" t="s">
        <v>104</v>
      </c>
      <c r="G86" s="46">
        <f t="shared" si="7"/>
        <v>9</v>
      </c>
      <c r="H86" s="46">
        <f>TRUNC(S86*(1-LOTE_03!$K$10),2)</f>
        <v>642.67999999999995</v>
      </c>
      <c r="I86" s="46">
        <f>TRUNC(T86*(1-LOTE_03!$K$10),2)</f>
        <v>173.76</v>
      </c>
      <c r="J86" s="100">
        <f t="shared" si="8"/>
        <v>0.22470000000000001</v>
      </c>
      <c r="K86" s="48">
        <f t="shared" si="9"/>
        <v>787.09</v>
      </c>
      <c r="L86" s="48">
        <f t="shared" si="10"/>
        <v>212.8</v>
      </c>
      <c r="M86" s="48">
        <f t="shared" si="11"/>
        <v>7083.81</v>
      </c>
      <c r="N86" s="48">
        <f t="shared" si="12"/>
        <v>1915.2</v>
      </c>
      <c r="O86" s="50">
        <f t="shared" si="13"/>
        <v>8999.01</v>
      </c>
      <c r="P86" s="50">
        <v>0</v>
      </c>
      <c r="Q86" s="76"/>
      <c r="R86" s="140">
        <f>IF((1*S9+1*S10)&gt;10,10,(1*S9+1*S10))</f>
        <v>9</v>
      </c>
      <c r="S86" s="79">
        <v>642.67999999999995</v>
      </c>
      <c r="T86" s="80">
        <v>173.76</v>
      </c>
    </row>
    <row r="87" spans="2:20" ht="42">
      <c r="B87" s="5" t="s">
        <v>281</v>
      </c>
      <c r="C87" s="45" t="s">
        <v>97</v>
      </c>
      <c r="D87" s="45" t="s">
        <v>282</v>
      </c>
      <c r="E87" s="6" t="s">
        <v>283</v>
      </c>
      <c r="F87" s="45" t="s">
        <v>104</v>
      </c>
      <c r="G87" s="46">
        <f t="shared" si="7"/>
        <v>9</v>
      </c>
      <c r="H87" s="46">
        <f>TRUNC(S87*(1-LOTE_03!$K$10),2)</f>
        <v>324.94</v>
      </c>
      <c r="I87" s="46">
        <f>TRUNC(T87*(1-LOTE_03!$K$10),2)</f>
        <v>77.459999999999994</v>
      </c>
      <c r="J87" s="100">
        <f t="shared" si="8"/>
        <v>0.22470000000000001</v>
      </c>
      <c r="K87" s="48">
        <f t="shared" si="9"/>
        <v>397.95</v>
      </c>
      <c r="L87" s="48">
        <f t="shared" si="10"/>
        <v>94.86</v>
      </c>
      <c r="M87" s="48">
        <f t="shared" si="11"/>
        <v>3581.55</v>
      </c>
      <c r="N87" s="48">
        <f t="shared" si="12"/>
        <v>853.74</v>
      </c>
      <c r="O87" s="50">
        <f t="shared" si="13"/>
        <v>4435.29</v>
      </c>
      <c r="P87" s="50">
        <v>0</v>
      </c>
      <c r="Q87" s="76"/>
      <c r="R87" s="140">
        <f>1*S9+1*S10</f>
        <v>9</v>
      </c>
      <c r="S87" s="79">
        <v>324.94</v>
      </c>
      <c r="T87" s="80">
        <v>77.459999999999994</v>
      </c>
    </row>
    <row r="88" spans="2:20" ht="42">
      <c r="B88" s="5" t="s">
        <v>284</v>
      </c>
      <c r="C88" s="45" t="s">
        <v>97</v>
      </c>
      <c r="D88" s="45" t="s">
        <v>285</v>
      </c>
      <c r="E88" s="6" t="s">
        <v>286</v>
      </c>
      <c r="F88" s="45" t="s">
        <v>104</v>
      </c>
      <c r="G88" s="46">
        <f t="shared" si="7"/>
        <v>29</v>
      </c>
      <c r="H88" s="46">
        <f>TRUNC(S88*(1-LOTE_03!$K$10),2)</f>
        <v>14.07</v>
      </c>
      <c r="I88" s="46">
        <f>TRUNC(T88*(1-LOTE_03!$K$10),2)</f>
        <v>40.46</v>
      </c>
      <c r="J88" s="100">
        <f t="shared" si="8"/>
        <v>0.22470000000000001</v>
      </c>
      <c r="K88" s="48">
        <f t="shared" si="9"/>
        <v>17.23</v>
      </c>
      <c r="L88" s="48">
        <f t="shared" si="10"/>
        <v>49.55</v>
      </c>
      <c r="M88" s="48">
        <f t="shared" si="11"/>
        <v>499.67</v>
      </c>
      <c r="N88" s="48">
        <f t="shared" si="12"/>
        <v>1436.95</v>
      </c>
      <c r="O88" s="50">
        <f t="shared" si="13"/>
        <v>1936.62</v>
      </c>
      <c r="P88" s="50">
        <v>0</v>
      </c>
      <c r="Q88" s="76"/>
      <c r="R88" s="140">
        <f>IF((1*S9+5*S10)&gt;30,30,(1*S9+5*S10))</f>
        <v>29</v>
      </c>
      <c r="S88" s="79">
        <v>14.07</v>
      </c>
      <c r="T88" s="80">
        <v>40.46</v>
      </c>
    </row>
    <row r="89" spans="2:20" ht="28">
      <c r="B89" s="5" t="s">
        <v>287</v>
      </c>
      <c r="C89" s="45" t="s">
        <v>97</v>
      </c>
      <c r="D89" s="45" t="s">
        <v>288</v>
      </c>
      <c r="E89" s="6" t="s">
        <v>289</v>
      </c>
      <c r="F89" s="45" t="s">
        <v>104</v>
      </c>
      <c r="G89" s="46">
        <f t="shared" si="7"/>
        <v>29</v>
      </c>
      <c r="H89" s="46">
        <f>TRUNC(S89*(1-LOTE_03!$K$10),2)</f>
        <v>7.18</v>
      </c>
      <c r="I89" s="46">
        <f>TRUNC(T89*(1-LOTE_03!$K$10),2)</f>
        <v>20.420000000000002</v>
      </c>
      <c r="J89" s="100">
        <f t="shared" si="8"/>
        <v>0.22470000000000001</v>
      </c>
      <c r="K89" s="48">
        <f t="shared" si="9"/>
        <v>8.7899999999999991</v>
      </c>
      <c r="L89" s="48">
        <f t="shared" si="10"/>
        <v>25</v>
      </c>
      <c r="M89" s="48">
        <f t="shared" si="11"/>
        <v>254.91</v>
      </c>
      <c r="N89" s="48">
        <f t="shared" si="12"/>
        <v>725</v>
      </c>
      <c r="O89" s="50">
        <f t="shared" si="13"/>
        <v>979.91</v>
      </c>
      <c r="P89" s="50">
        <v>0</v>
      </c>
      <c r="Q89" s="76"/>
      <c r="R89" s="140">
        <f>IF((1*S9+5*S10)&gt;30,30,(1*S9+5*S10))</f>
        <v>29</v>
      </c>
      <c r="S89" s="79">
        <v>7.18</v>
      </c>
      <c r="T89" s="80">
        <v>20.420000000000002</v>
      </c>
    </row>
    <row r="90" spans="2:20" ht="28">
      <c r="B90" s="5" t="s">
        <v>290</v>
      </c>
      <c r="C90" s="45" t="s">
        <v>135</v>
      </c>
      <c r="D90" s="45">
        <v>102192</v>
      </c>
      <c r="E90" s="6" t="s">
        <v>1771</v>
      </c>
      <c r="F90" s="45" t="s">
        <v>121</v>
      </c>
      <c r="G90" s="46">
        <f t="shared" si="7"/>
        <v>330</v>
      </c>
      <c r="H90" s="46">
        <f>TRUNC(S90*(1-LOTE_03!$K$10),2)</f>
        <v>5.04</v>
      </c>
      <c r="I90" s="46">
        <f>TRUNC(T90*(1-LOTE_03!$K$10),2)</f>
        <v>13.16</v>
      </c>
      <c r="J90" s="100">
        <f t="shared" si="8"/>
        <v>0.22470000000000001</v>
      </c>
      <c r="K90" s="48">
        <f t="shared" si="9"/>
        <v>6.17</v>
      </c>
      <c r="L90" s="48">
        <f t="shared" si="10"/>
        <v>16.11</v>
      </c>
      <c r="M90" s="48">
        <f t="shared" si="11"/>
        <v>2036.1</v>
      </c>
      <c r="N90" s="48">
        <f t="shared" si="12"/>
        <v>5316.3</v>
      </c>
      <c r="O90" s="50">
        <f t="shared" si="13"/>
        <v>7352.4</v>
      </c>
      <c r="P90" s="50">
        <v>0</v>
      </c>
      <c r="Q90" s="76"/>
      <c r="R90" s="140">
        <f>IF((20*S9+50*S10)&gt;500,500,50*S10+20*S9)</f>
        <v>330</v>
      </c>
      <c r="S90" s="79">
        <v>5.0399999999999991</v>
      </c>
      <c r="T90" s="80">
        <v>13.16</v>
      </c>
    </row>
    <row r="91" spans="2:20" ht="42">
      <c r="B91" s="5" t="s">
        <v>291</v>
      </c>
      <c r="C91" s="45" t="s">
        <v>97</v>
      </c>
      <c r="D91" s="45" t="s">
        <v>292</v>
      </c>
      <c r="E91" s="6" t="s">
        <v>293</v>
      </c>
      <c r="F91" s="45" t="s">
        <v>104</v>
      </c>
      <c r="G91" s="46">
        <f t="shared" si="7"/>
        <v>9</v>
      </c>
      <c r="H91" s="46">
        <f>TRUNC(S91*(1-LOTE_03!$K$10),2)</f>
        <v>324.95</v>
      </c>
      <c r="I91" s="46">
        <f>TRUNC(T91*(1-LOTE_03!$K$10),2)</f>
        <v>76.430000000000007</v>
      </c>
      <c r="J91" s="100">
        <f t="shared" si="8"/>
        <v>0.22470000000000001</v>
      </c>
      <c r="K91" s="48">
        <f t="shared" si="9"/>
        <v>397.96</v>
      </c>
      <c r="L91" s="48">
        <f t="shared" si="10"/>
        <v>93.6</v>
      </c>
      <c r="M91" s="48">
        <f t="shared" si="11"/>
        <v>3581.64</v>
      </c>
      <c r="N91" s="48">
        <f t="shared" si="12"/>
        <v>842.4</v>
      </c>
      <c r="O91" s="50">
        <f t="shared" si="13"/>
        <v>4424.04</v>
      </c>
      <c r="P91" s="50">
        <v>0</v>
      </c>
      <c r="Q91" s="76"/>
      <c r="R91" s="140">
        <f>1*S9+1*S10</f>
        <v>9</v>
      </c>
      <c r="S91" s="79">
        <v>324.95</v>
      </c>
      <c r="T91" s="80">
        <v>76.430000000000007</v>
      </c>
    </row>
    <row r="92" spans="2:20" ht="28">
      <c r="B92" s="5" t="s">
        <v>294</v>
      </c>
      <c r="C92" s="45" t="s">
        <v>97</v>
      </c>
      <c r="D92" s="45" t="s">
        <v>295</v>
      </c>
      <c r="E92" s="6" t="s">
        <v>296</v>
      </c>
      <c r="F92" s="45" t="s">
        <v>121</v>
      </c>
      <c r="G92" s="46">
        <f t="shared" si="7"/>
        <v>9</v>
      </c>
      <c r="H92" s="46">
        <f>TRUNC(S92*(1-LOTE_03!$K$10),2)</f>
        <v>7.21</v>
      </c>
      <c r="I92" s="46">
        <f>TRUNC(T92*(1-LOTE_03!$K$10),2)</f>
        <v>23.11</v>
      </c>
      <c r="J92" s="100">
        <f t="shared" si="8"/>
        <v>0.22470000000000001</v>
      </c>
      <c r="K92" s="48">
        <f t="shared" si="9"/>
        <v>8.83</v>
      </c>
      <c r="L92" s="48">
        <f t="shared" si="10"/>
        <v>28.3</v>
      </c>
      <c r="M92" s="48">
        <f t="shared" si="11"/>
        <v>79.47</v>
      </c>
      <c r="N92" s="48">
        <f t="shared" si="12"/>
        <v>254.7</v>
      </c>
      <c r="O92" s="50">
        <f t="shared" si="13"/>
        <v>334.17</v>
      </c>
      <c r="P92" s="50">
        <v>0</v>
      </c>
      <c r="Q92" s="76"/>
      <c r="R92" s="140">
        <f>IF((1*S9+1*S10)&gt;10,10,(1*S9+1*S10))</f>
        <v>9</v>
      </c>
      <c r="S92" s="79">
        <v>7.21</v>
      </c>
      <c r="T92" s="80">
        <v>23.11</v>
      </c>
    </row>
    <row r="93" spans="2:20" ht="70">
      <c r="B93" s="5" t="s">
        <v>297</v>
      </c>
      <c r="C93" s="45" t="s">
        <v>97</v>
      </c>
      <c r="D93" s="45" t="s">
        <v>298</v>
      </c>
      <c r="E93" s="6" t="s">
        <v>299</v>
      </c>
      <c r="F93" s="45" t="s">
        <v>121</v>
      </c>
      <c r="G93" s="46">
        <f t="shared" si="7"/>
        <v>180</v>
      </c>
      <c r="H93" s="46">
        <f>TRUNC(S93*(1-LOTE_03!$K$10),2)</f>
        <v>0</v>
      </c>
      <c r="I93" s="46">
        <f>TRUNC(T93*(1-LOTE_03!$K$10),2)</f>
        <v>47.78</v>
      </c>
      <c r="J93" s="100">
        <f t="shared" si="8"/>
        <v>0.22470000000000001</v>
      </c>
      <c r="K93" s="48">
        <f t="shared" si="9"/>
        <v>0</v>
      </c>
      <c r="L93" s="48">
        <f t="shared" si="10"/>
        <v>58.51</v>
      </c>
      <c r="M93" s="48">
        <f t="shared" si="11"/>
        <v>0</v>
      </c>
      <c r="N93" s="48">
        <f t="shared" si="12"/>
        <v>10531.8</v>
      </c>
      <c r="O93" s="50">
        <f t="shared" si="13"/>
        <v>10531.8</v>
      </c>
      <c r="P93" s="50">
        <v>0</v>
      </c>
      <c r="Q93" s="76"/>
      <c r="R93" s="140">
        <f>20*S9+20*S10</f>
        <v>180</v>
      </c>
      <c r="S93" s="79">
        <v>0</v>
      </c>
      <c r="T93" s="80">
        <v>47.78</v>
      </c>
    </row>
    <row r="94" spans="2:20" ht="28">
      <c r="B94" s="5" t="s">
        <v>300</v>
      </c>
      <c r="C94" s="45" t="s">
        <v>97</v>
      </c>
      <c r="D94" s="45" t="s">
        <v>301</v>
      </c>
      <c r="E94" s="6" t="s">
        <v>302</v>
      </c>
      <c r="F94" s="45" t="s">
        <v>104</v>
      </c>
      <c r="G94" s="46">
        <f t="shared" si="7"/>
        <v>27</v>
      </c>
      <c r="H94" s="46">
        <f>TRUNC(S94*(1-LOTE_03!$K$10),2)</f>
        <v>1.43</v>
      </c>
      <c r="I94" s="46">
        <f>TRUNC(T94*(1-LOTE_03!$K$10),2)</f>
        <v>3.5</v>
      </c>
      <c r="J94" s="100">
        <f t="shared" si="8"/>
        <v>0.22470000000000001</v>
      </c>
      <c r="K94" s="48">
        <f t="shared" si="9"/>
        <v>1.75</v>
      </c>
      <c r="L94" s="48">
        <f t="shared" si="10"/>
        <v>4.28</v>
      </c>
      <c r="M94" s="48">
        <f t="shared" si="11"/>
        <v>47.25</v>
      </c>
      <c r="N94" s="48">
        <f t="shared" si="12"/>
        <v>115.56</v>
      </c>
      <c r="O94" s="50">
        <f t="shared" si="13"/>
        <v>162.81</v>
      </c>
      <c r="P94" s="50">
        <v>0</v>
      </c>
      <c r="Q94" s="76"/>
      <c r="R94" s="140">
        <f>3*S9+3*S10</f>
        <v>27</v>
      </c>
      <c r="S94" s="79">
        <v>1.43</v>
      </c>
      <c r="T94" s="80">
        <v>3.5</v>
      </c>
    </row>
    <row r="95" spans="2:20" ht="28">
      <c r="B95" s="5" t="s">
        <v>303</v>
      </c>
      <c r="C95" s="45" t="s">
        <v>97</v>
      </c>
      <c r="D95" s="45" t="s">
        <v>304</v>
      </c>
      <c r="E95" s="6" t="s">
        <v>305</v>
      </c>
      <c r="F95" s="45" t="s">
        <v>121</v>
      </c>
      <c r="G95" s="46">
        <f t="shared" si="7"/>
        <v>50</v>
      </c>
      <c r="H95" s="46">
        <f>TRUNC(S95*(1-LOTE_03!$K$10),2)</f>
        <v>5.51</v>
      </c>
      <c r="I95" s="46">
        <f>TRUNC(T95*(1-LOTE_03!$K$10),2)</f>
        <v>13.89</v>
      </c>
      <c r="J95" s="100">
        <f t="shared" si="8"/>
        <v>0.22470000000000001</v>
      </c>
      <c r="K95" s="48">
        <f t="shared" si="9"/>
        <v>6.74</v>
      </c>
      <c r="L95" s="48">
        <f t="shared" si="10"/>
        <v>17.010000000000002</v>
      </c>
      <c r="M95" s="48">
        <f t="shared" si="11"/>
        <v>337</v>
      </c>
      <c r="N95" s="48">
        <f t="shared" si="12"/>
        <v>850.5</v>
      </c>
      <c r="O95" s="50">
        <f t="shared" si="13"/>
        <v>1187.5</v>
      </c>
      <c r="P95" s="50">
        <v>0</v>
      </c>
      <c r="Q95" s="76"/>
      <c r="R95" s="140">
        <f>IF((10*S10+1*S9)&gt;50,50,(10*S10+1*S9))</f>
        <v>50</v>
      </c>
      <c r="S95" s="79">
        <v>5.51</v>
      </c>
      <c r="T95" s="80">
        <v>13.89</v>
      </c>
    </row>
    <row r="96" spans="2:20" ht="28">
      <c r="B96" s="5" t="s">
        <v>306</v>
      </c>
      <c r="C96" s="45" t="s">
        <v>97</v>
      </c>
      <c r="D96" s="45" t="s">
        <v>307</v>
      </c>
      <c r="E96" s="6" t="s">
        <v>308</v>
      </c>
      <c r="F96" s="45" t="s">
        <v>104</v>
      </c>
      <c r="G96" s="46">
        <f t="shared" si="7"/>
        <v>10</v>
      </c>
      <c r="H96" s="46">
        <f>TRUNC(S96*(1-LOTE_03!$K$10),2)</f>
        <v>9.39</v>
      </c>
      <c r="I96" s="46">
        <f>TRUNC(T96*(1-LOTE_03!$K$10),2)</f>
        <v>24.69</v>
      </c>
      <c r="J96" s="100">
        <f t="shared" si="8"/>
        <v>0.22470000000000001</v>
      </c>
      <c r="K96" s="48">
        <f t="shared" si="9"/>
        <v>11.49</v>
      </c>
      <c r="L96" s="48">
        <f t="shared" si="10"/>
        <v>30.23</v>
      </c>
      <c r="M96" s="48">
        <f t="shared" si="11"/>
        <v>114.9</v>
      </c>
      <c r="N96" s="48">
        <f t="shared" si="12"/>
        <v>302.3</v>
      </c>
      <c r="O96" s="50">
        <f t="shared" si="13"/>
        <v>417.2</v>
      </c>
      <c r="P96" s="50">
        <v>0</v>
      </c>
      <c r="Q96" s="76"/>
      <c r="R96" s="140">
        <f>IF((1*S9+2*S10)&gt;10,10,(1*S9+2*S10))</f>
        <v>10</v>
      </c>
      <c r="S96" s="79">
        <v>9.39</v>
      </c>
      <c r="T96" s="80">
        <v>24.69</v>
      </c>
    </row>
    <row r="97" spans="2:20">
      <c r="B97" s="5" t="s">
        <v>309</v>
      </c>
      <c r="C97" s="45" t="s">
        <v>97</v>
      </c>
      <c r="D97" s="45" t="s">
        <v>310</v>
      </c>
      <c r="E97" s="6" t="s">
        <v>311</v>
      </c>
      <c r="F97" s="45" t="s">
        <v>104</v>
      </c>
      <c r="G97" s="46">
        <f t="shared" si="7"/>
        <v>180</v>
      </c>
      <c r="H97" s="46">
        <f>TRUNC(S97*(1-LOTE_03!$K$10),2)</f>
        <v>0.71</v>
      </c>
      <c r="I97" s="46">
        <f>TRUNC(T97*(1-LOTE_03!$K$10),2)</f>
        <v>1.75</v>
      </c>
      <c r="J97" s="100">
        <f t="shared" si="8"/>
        <v>0.22470000000000001</v>
      </c>
      <c r="K97" s="48">
        <f t="shared" si="9"/>
        <v>0.86</v>
      </c>
      <c r="L97" s="48">
        <f t="shared" si="10"/>
        <v>2.14</v>
      </c>
      <c r="M97" s="48">
        <f t="shared" si="11"/>
        <v>154.80000000000001</v>
      </c>
      <c r="N97" s="48">
        <f t="shared" si="12"/>
        <v>385.2</v>
      </c>
      <c r="O97" s="50">
        <f t="shared" si="13"/>
        <v>540</v>
      </c>
      <c r="P97" s="50">
        <v>0</v>
      </c>
      <c r="Q97" s="76"/>
      <c r="R97" s="140">
        <f>20*S9+20*S10</f>
        <v>180</v>
      </c>
      <c r="S97" s="79">
        <v>0.71</v>
      </c>
      <c r="T97" s="80">
        <v>1.75</v>
      </c>
    </row>
    <row r="98" spans="2:20" ht="42">
      <c r="B98" s="5" t="s">
        <v>312</v>
      </c>
      <c r="C98" s="45" t="s">
        <v>97</v>
      </c>
      <c r="D98" s="45" t="s">
        <v>313</v>
      </c>
      <c r="E98" s="6" t="s">
        <v>314</v>
      </c>
      <c r="F98" s="45" t="s">
        <v>104</v>
      </c>
      <c r="G98" s="46">
        <f t="shared" si="7"/>
        <v>5</v>
      </c>
      <c r="H98" s="46">
        <f>TRUNC(S98*(1-LOTE_03!$K$10),2)</f>
        <v>14.37</v>
      </c>
      <c r="I98" s="46">
        <f>TRUNC(T98*(1-LOTE_03!$K$10),2)</f>
        <v>40.85</v>
      </c>
      <c r="J98" s="100">
        <f t="shared" si="8"/>
        <v>0.22470000000000001</v>
      </c>
      <c r="K98" s="48">
        <f t="shared" si="9"/>
        <v>17.59</v>
      </c>
      <c r="L98" s="48">
        <f t="shared" si="10"/>
        <v>50.02</v>
      </c>
      <c r="M98" s="48">
        <f t="shared" si="11"/>
        <v>87.95</v>
      </c>
      <c r="N98" s="48">
        <f t="shared" si="12"/>
        <v>250.1</v>
      </c>
      <c r="O98" s="50">
        <f t="shared" si="13"/>
        <v>338.05</v>
      </c>
      <c r="P98" s="50">
        <v>0</v>
      </c>
      <c r="Q98" s="76"/>
      <c r="R98" s="140">
        <f>IF((1*S9+1*S10)&gt;5,5,(1*S9+1*S10))</f>
        <v>5</v>
      </c>
      <c r="S98" s="79">
        <v>14.37</v>
      </c>
      <c r="T98" s="80">
        <v>40.85</v>
      </c>
    </row>
    <row r="99" spans="2:20" ht="28">
      <c r="B99" s="5" t="s">
        <v>315</v>
      </c>
      <c r="C99" s="45" t="s">
        <v>97</v>
      </c>
      <c r="D99" s="45" t="s">
        <v>316</v>
      </c>
      <c r="E99" s="6" t="s">
        <v>317</v>
      </c>
      <c r="F99" s="45" t="s">
        <v>104</v>
      </c>
      <c r="G99" s="46">
        <f t="shared" si="7"/>
        <v>18</v>
      </c>
      <c r="H99" s="46">
        <f>TRUNC(S99*(1-LOTE_03!$K$10),2)</f>
        <v>1.72</v>
      </c>
      <c r="I99" s="46">
        <f>TRUNC(T99*(1-LOTE_03!$K$10),2)</f>
        <v>5.42</v>
      </c>
      <c r="J99" s="100">
        <f t="shared" si="8"/>
        <v>0.22470000000000001</v>
      </c>
      <c r="K99" s="48">
        <f t="shared" si="9"/>
        <v>2.1</v>
      </c>
      <c r="L99" s="48">
        <f t="shared" si="10"/>
        <v>6.63</v>
      </c>
      <c r="M99" s="48">
        <f t="shared" si="11"/>
        <v>37.799999999999997</v>
      </c>
      <c r="N99" s="48">
        <f t="shared" si="12"/>
        <v>119.34</v>
      </c>
      <c r="O99" s="50">
        <f t="shared" si="13"/>
        <v>157.13999999999999</v>
      </c>
      <c r="P99" s="50">
        <v>0</v>
      </c>
      <c r="Q99" s="76"/>
      <c r="R99" s="140">
        <f>IF((2*S9+2*S10)&gt;50,50,(2*S9+2*S10))</f>
        <v>18</v>
      </c>
      <c r="S99" s="79">
        <v>1.72</v>
      </c>
      <c r="T99" s="80">
        <v>5.42</v>
      </c>
    </row>
    <row r="100" spans="2:20" ht="28">
      <c r="B100" s="5" t="s">
        <v>318</v>
      </c>
      <c r="C100" s="45" t="s">
        <v>97</v>
      </c>
      <c r="D100" s="45" t="s">
        <v>319</v>
      </c>
      <c r="E100" s="6" t="s">
        <v>320</v>
      </c>
      <c r="F100" s="45" t="s">
        <v>187</v>
      </c>
      <c r="G100" s="46">
        <f t="shared" si="7"/>
        <v>100</v>
      </c>
      <c r="H100" s="46">
        <f>TRUNC(S100*(1-LOTE_03!$K$10),2)</f>
        <v>1.99</v>
      </c>
      <c r="I100" s="46">
        <f>TRUNC(T100*(1-LOTE_03!$K$10),2)</f>
        <v>4.8600000000000003</v>
      </c>
      <c r="J100" s="100">
        <f t="shared" si="8"/>
        <v>0.22470000000000001</v>
      </c>
      <c r="K100" s="48">
        <f t="shared" si="9"/>
        <v>2.4300000000000002</v>
      </c>
      <c r="L100" s="48">
        <f t="shared" si="10"/>
        <v>5.95</v>
      </c>
      <c r="M100" s="48">
        <f t="shared" si="11"/>
        <v>243</v>
      </c>
      <c r="N100" s="48">
        <f t="shared" si="12"/>
        <v>595</v>
      </c>
      <c r="O100" s="50">
        <f t="shared" si="13"/>
        <v>838</v>
      </c>
      <c r="P100" s="50">
        <v>0</v>
      </c>
      <c r="Q100" s="76"/>
      <c r="R100" s="140">
        <f>IF((10*S9+30*S10)&gt;100,100,(10*S9+30*S10))</f>
        <v>100</v>
      </c>
      <c r="S100" s="79">
        <v>1.99</v>
      </c>
      <c r="T100" s="80">
        <v>4.8600000000000003</v>
      </c>
    </row>
    <row r="101" spans="2:20" ht="28">
      <c r="B101" s="5" t="s">
        <v>321</v>
      </c>
      <c r="C101" s="45" t="s">
        <v>97</v>
      </c>
      <c r="D101" s="45" t="s">
        <v>322</v>
      </c>
      <c r="E101" s="6" t="s">
        <v>323</v>
      </c>
      <c r="F101" s="45" t="s">
        <v>121</v>
      </c>
      <c r="G101" s="46">
        <f t="shared" si="7"/>
        <v>90</v>
      </c>
      <c r="H101" s="46">
        <f>TRUNC(S101*(1-LOTE_03!$K$10),2)</f>
        <v>8.61</v>
      </c>
      <c r="I101" s="46">
        <f>TRUNC(T101*(1-LOTE_03!$K$10),2)</f>
        <v>23.34</v>
      </c>
      <c r="J101" s="100">
        <f t="shared" si="8"/>
        <v>0.22470000000000001</v>
      </c>
      <c r="K101" s="48">
        <f t="shared" si="9"/>
        <v>10.54</v>
      </c>
      <c r="L101" s="48">
        <f t="shared" si="10"/>
        <v>28.58</v>
      </c>
      <c r="M101" s="48">
        <f t="shared" si="11"/>
        <v>948.6</v>
      </c>
      <c r="N101" s="48">
        <f t="shared" si="12"/>
        <v>2572.1999999999998</v>
      </c>
      <c r="O101" s="50">
        <f t="shared" si="13"/>
        <v>3520.8</v>
      </c>
      <c r="P101" s="50">
        <v>0</v>
      </c>
      <c r="Q101" s="76"/>
      <c r="R101" s="140">
        <f>10*S9+10*S10</f>
        <v>90</v>
      </c>
      <c r="S101" s="79">
        <v>8.61</v>
      </c>
      <c r="T101" s="80">
        <v>23.34</v>
      </c>
    </row>
    <row r="102" spans="2:20" ht="28">
      <c r="B102" s="5" t="s">
        <v>324</v>
      </c>
      <c r="C102" s="45" t="s">
        <v>97</v>
      </c>
      <c r="D102" s="45" t="s">
        <v>325</v>
      </c>
      <c r="E102" s="6" t="s">
        <v>326</v>
      </c>
      <c r="F102" s="45" t="s">
        <v>104</v>
      </c>
      <c r="G102" s="46">
        <f t="shared" si="7"/>
        <v>23</v>
      </c>
      <c r="H102" s="46">
        <f>TRUNC(S102*(1-LOTE_03!$K$10),2)</f>
        <v>3.45</v>
      </c>
      <c r="I102" s="46">
        <f>TRUNC(T102*(1-LOTE_03!$K$10),2)</f>
        <v>10.84</v>
      </c>
      <c r="J102" s="100">
        <f t="shared" si="8"/>
        <v>0.22470000000000001</v>
      </c>
      <c r="K102" s="48">
        <f t="shared" si="9"/>
        <v>4.22</v>
      </c>
      <c r="L102" s="48">
        <f t="shared" si="10"/>
        <v>13.27</v>
      </c>
      <c r="M102" s="48">
        <f t="shared" si="11"/>
        <v>97.06</v>
      </c>
      <c r="N102" s="48">
        <f t="shared" si="12"/>
        <v>305.20999999999998</v>
      </c>
      <c r="O102" s="50">
        <f t="shared" si="13"/>
        <v>402.27</v>
      </c>
      <c r="P102" s="50">
        <v>0</v>
      </c>
      <c r="Q102" s="76"/>
      <c r="R102" s="140">
        <f>2*S9+3*S10</f>
        <v>23</v>
      </c>
      <c r="S102" s="79">
        <v>3.45</v>
      </c>
      <c r="T102" s="80">
        <v>10.84</v>
      </c>
    </row>
    <row r="103" spans="2:20" ht="28">
      <c r="B103" s="5" t="s">
        <v>327</v>
      </c>
      <c r="C103" s="45" t="s">
        <v>97</v>
      </c>
      <c r="D103" s="45" t="s">
        <v>328</v>
      </c>
      <c r="E103" s="6" t="s">
        <v>329</v>
      </c>
      <c r="F103" s="45" t="s">
        <v>104</v>
      </c>
      <c r="G103" s="46">
        <f t="shared" si="7"/>
        <v>9</v>
      </c>
      <c r="H103" s="46">
        <f>TRUNC(S103*(1-LOTE_03!$K$10),2)</f>
        <v>25.79</v>
      </c>
      <c r="I103" s="46">
        <f>TRUNC(T103*(1-LOTE_03!$K$10),2)</f>
        <v>67.39</v>
      </c>
      <c r="J103" s="100">
        <f t="shared" si="8"/>
        <v>0.22470000000000001</v>
      </c>
      <c r="K103" s="48">
        <f t="shared" si="9"/>
        <v>31.58</v>
      </c>
      <c r="L103" s="48">
        <f t="shared" si="10"/>
        <v>82.53</v>
      </c>
      <c r="M103" s="48">
        <f t="shared" si="11"/>
        <v>284.22000000000003</v>
      </c>
      <c r="N103" s="48">
        <f t="shared" si="12"/>
        <v>742.77</v>
      </c>
      <c r="O103" s="50">
        <f t="shared" si="13"/>
        <v>1026.99</v>
      </c>
      <c r="P103" s="50">
        <v>0</v>
      </c>
      <c r="Q103" s="76"/>
      <c r="R103" s="140">
        <f>IF((1*S9+1*S10)&gt;10,10,(1*S9+1*S10))</f>
        <v>9</v>
      </c>
      <c r="S103" s="79">
        <v>25.79</v>
      </c>
      <c r="T103" s="80">
        <v>67.39</v>
      </c>
    </row>
    <row r="104" spans="2:20" ht="28">
      <c r="B104" s="5" t="s">
        <v>330</v>
      </c>
      <c r="C104" s="45" t="s">
        <v>97</v>
      </c>
      <c r="D104" s="45" t="s">
        <v>331</v>
      </c>
      <c r="E104" s="6" t="s">
        <v>332</v>
      </c>
      <c r="F104" s="45" t="s">
        <v>104</v>
      </c>
      <c r="G104" s="46">
        <f t="shared" si="7"/>
        <v>9</v>
      </c>
      <c r="H104" s="46">
        <f>TRUNC(S104*(1-LOTE_03!$K$10),2)</f>
        <v>6163.76</v>
      </c>
      <c r="I104" s="46">
        <f>TRUNC(T104*(1-LOTE_03!$K$10),2)</f>
        <v>611.87</v>
      </c>
      <c r="J104" s="100">
        <f t="shared" si="8"/>
        <v>0.22470000000000001</v>
      </c>
      <c r="K104" s="48">
        <f t="shared" si="9"/>
        <v>7548.75</v>
      </c>
      <c r="L104" s="48">
        <f t="shared" si="10"/>
        <v>749.35</v>
      </c>
      <c r="M104" s="48">
        <f t="shared" si="11"/>
        <v>67938.75</v>
      </c>
      <c r="N104" s="48">
        <f t="shared" si="12"/>
        <v>6744.15</v>
      </c>
      <c r="O104" s="50">
        <f t="shared" si="13"/>
        <v>74682.899999999994</v>
      </c>
      <c r="P104" s="50">
        <v>0</v>
      </c>
      <c r="Q104" s="76"/>
      <c r="R104" s="140">
        <f>IF((1*S9+1*S10)&gt;10,10,(1*S9+1*S10))</f>
        <v>9</v>
      </c>
      <c r="S104" s="79">
        <v>6163.76</v>
      </c>
      <c r="T104" s="80">
        <v>611.87</v>
      </c>
    </row>
    <row r="105" spans="2:20" ht="28">
      <c r="B105" s="5" t="s">
        <v>333</v>
      </c>
      <c r="C105" s="45" t="s">
        <v>97</v>
      </c>
      <c r="D105" s="45" t="s">
        <v>334</v>
      </c>
      <c r="E105" s="6" t="s">
        <v>335</v>
      </c>
      <c r="F105" s="45" t="s">
        <v>104</v>
      </c>
      <c r="G105" s="46">
        <f t="shared" si="7"/>
        <v>28</v>
      </c>
      <c r="H105" s="46">
        <f>TRUNC(S105*(1-LOTE_03!$K$10),2)</f>
        <v>2.14</v>
      </c>
      <c r="I105" s="46">
        <f>TRUNC(T105*(1-LOTE_03!$K$10),2)</f>
        <v>5.25</v>
      </c>
      <c r="J105" s="100">
        <f t="shared" si="8"/>
        <v>0.22470000000000001</v>
      </c>
      <c r="K105" s="48">
        <f t="shared" si="9"/>
        <v>2.62</v>
      </c>
      <c r="L105" s="48">
        <f t="shared" si="10"/>
        <v>6.42</v>
      </c>
      <c r="M105" s="48">
        <f t="shared" si="11"/>
        <v>73.36</v>
      </c>
      <c r="N105" s="48">
        <f t="shared" si="12"/>
        <v>179.76</v>
      </c>
      <c r="O105" s="50">
        <f t="shared" si="13"/>
        <v>253.12</v>
      </c>
      <c r="P105" s="50">
        <v>0</v>
      </c>
      <c r="Q105" s="76"/>
      <c r="R105" s="140">
        <f>2*S9+4*S10</f>
        <v>28</v>
      </c>
      <c r="S105" s="79">
        <v>2.14</v>
      </c>
      <c r="T105" s="80">
        <v>5.25</v>
      </c>
    </row>
    <row r="106" spans="2:20">
      <c r="B106" s="5" t="s">
        <v>336</v>
      </c>
      <c r="C106" s="45" t="s">
        <v>97</v>
      </c>
      <c r="D106" s="45" t="s">
        <v>337</v>
      </c>
      <c r="E106" s="6" t="s">
        <v>338</v>
      </c>
      <c r="F106" s="45" t="s">
        <v>104</v>
      </c>
      <c r="G106" s="46">
        <f t="shared" si="7"/>
        <v>230</v>
      </c>
      <c r="H106" s="46">
        <f>TRUNC(S106*(1-LOTE_03!$K$10),2)</f>
        <v>0.71</v>
      </c>
      <c r="I106" s="46">
        <f>TRUNC(T106*(1-LOTE_03!$K$10),2)</f>
        <v>1.75</v>
      </c>
      <c r="J106" s="100">
        <f t="shared" si="8"/>
        <v>0.22470000000000001</v>
      </c>
      <c r="K106" s="48">
        <f t="shared" si="9"/>
        <v>0.86</v>
      </c>
      <c r="L106" s="48">
        <f t="shared" si="10"/>
        <v>2.14</v>
      </c>
      <c r="M106" s="48">
        <f t="shared" si="11"/>
        <v>197.8</v>
      </c>
      <c r="N106" s="48">
        <f t="shared" si="12"/>
        <v>492.2</v>
      </c>
      <c r="O106" s="50">
        <f t="shared" si="13"/>
        <v>690</v>
      </c>
      <c r="P106" s="50">
        <v>0</v>
      </c>
      <c r="Q106" s="76"/>
      <c r="R106" s="140">
        <f>20*S9+30*S10</f>
        <v>230</v>
      </c>
      <c r="S106" s="79">
        <v>0.71</v>
      </c>
      <c r="T106" s="80">
        <v>1.75</v>
      </c>
    </row>
    <row r="107" spans="2:20" ht="28">
      <c r="B107" s="5" t="s">
        <v>339</v>
      </c>
      <c r="C107" s="45" t="s">
        <v>97</v>
      </c>
      <c r="D107" s="45" t="s">
        <v>301</v>
      </c>
      <c r="E107" s="6" t="s">
        <v>302</v>
      </c>
      <c r="F107" s="45" t="s">
        <v>104</v>
      </c>
      <c r="G107" s="46">
        <f t="shared" si="7"/>
        <v>18</v>
      </c>
      <c r="H107" s="46">
        <f>TRUNC(S107*(1-LOTE_03!$K$10),2)</f>
        <v>1.43</v>
      </c>
      <c r="I107" s="46">
        <f>TRUNC(T107*(1-LOTE_03!$K$10),2)</f>
        <v>3.5</v>
      </c>
      <c r="J107" s="100">
        <f t="shared" si="8"/>
        <v>0.22470000000000001</v>
      </c>
      <c r="K107" s="48">
        <f t="shared" si="9"/>
        <v>1.75</v>
      </c>
      <c r="L107" s="48">
        <f t="shared" si="10"/>
        <v>4.28</v>
      </c>
      <c r="M107" s="48">
        <f t="shared" si="11"/>
        <v>31.5</v>
      </c>
      <c r="N107" s="48">
        <f t="shared" si="12"/>
        <v>77.040000000000006</v>
      </c>
      <c r="O107" s="50">
        <f t="shared" si="13"/>
        <v>108.54</v>
      </c>
      <c r="P107" s="50">
        <v>0</v>
      </c>
      <c r="Q107" s="76"/>
      <c r="R107" s="140">
        <f>2*S9+2*S10</f>
        <v>18</v>
      </c>
      <c r="S107" s="79">
        <v>1.43</v>
      </c>
      <c r="T107" s="80">
        <v>3.5</v>
      </c>
    </row>
    <row r="108" spans="2:20" ht="42">
      <c r="B108" s="5" t="s">
        <v>340</v>
      </c>
      <c r="C108" s="45" t="s">
        <v>135</v>
      </c>
      <c r="D108" s="45">
        <v>90436</v>
      </c>
      <c r="E108" s="6" t="s">
        <v>341</v>
      </c>
      <c r="F108" s="45" t="s">
        <v>210</v>
      </c>
      <c r="G108" s="46">
        <f t="shared" si="7"/>
        <v>18</v>
      </c>
      <c r="H108" s="46">
        <f>TRUNC(S108*(1-LOTE_03!$K$10),2)</f>
        <v>3.63</v>
      </c>
      <c r="I108" s="46">
        <f>TRUNC(T108*(1-LOTE_03!$K$10),2)</f>
        <v>12.89</v>
      </c>
      <c r="J108" s="100">
        <f t="shared" si="8"/>
        <v>0.22470000000000001</v>
      </c>
      <c r="K108" s="48">
        <f t="shared" si="9"/>
        <v>4.4400000000000004</v>
      </c>
      <c r="L108" s="48">
        <f t="shared" si="10"/>
        <v>15.78</v>
      </c>
      <c r="M108" s="48">
        <f t="shared" si="11"/>
        <v>79.92</v>
      </c>
      <c r="N108" s="48">
        <f t="shared" si="12"/>
        <v>284.04000000000002</v>
      </c>
      <c r="O108" s="50">
        <f t="shared" si="13"/>
        <v>363.96</v>
      </c>
      <c r="P108" s="50">
        <v>0</v>
      </c>
      <c r="Q108" s="76"/>
      <c r="R108" s="140">
        <f>IF((2*S9+2*S10)&gt;20,20,(2*S9+2*S10))</f>
        <v>18</v>
      </c>
      <c r="S108" s="79">
        <v>3.629999999999999</v>
      </c>
      <c r="T108" s="80">
        <v>12.89</v>
      </c>
    </row>
    <row r="109" spans="2:20" ht="56">
      <c r="B109" s="5" t="s">
        <v>342</v>
      </c>
      <c r="C109" s="45" t="s">
        <v>135</v>
      </c>
      <c r="D109" s="45">
        <v>90437</v>
      </c>
      <c r="E109" s="6" t="s">
        <v>343</v>
      </c>
      <c r="F109" s="45" t="s">
        <v>210</v>
      </c>
      <c r="G109" s="46">
        <f t="shared" si="7"/>
        <v>18</v>
      </c>
      <c r="H109" s="46">
        <f>TRUNC(S109*(1-LOTE_03!$K$10),2)</f>
        <v>9.69</v>
      </c>
      <c r="I109" s="46">
        <f>TRUNC(T109*(1-LOTE_03!$K$10),2)</f>
        <v>34.340000000000003</v>
      </c>
      <c r="J109" s="100">
        <f t="shared" si="8"/>
        <v>0.22470000000000001</v>
      </c>
      <c r="K109" s="48">
        <f t="shared" si="9"/>
        <v>11.86</v>
      </c>
      <c r="L109" s="48">
        <f t="shared" si="10"/>
        <v>42.05</v>
      </c>
      <c r="M109" s="48">
        <f t="shared" si="11"/>
        <v>213.48</v>
      </c>
      <c r="N109" s="48">
        <f t="shared" si="12"/>
        <v>756.9</v>
      </c>
      <c r="O109" s="50">
        <f t="shared" si="13"/>
        <v>970.38</v>
      </c>
      <c r="P109" s="50">
        <v>0</v>
      </c>
      <c r="Q109" s="76"/>
      <c r="R109" s="140">
        <f>IF((2*S9+2*S10)&gt;20,20,(2*S9+2*S10))</f>
        <v>18</v>
      </c>
      <c r="S109" s="79">
        <v>9.6899999999999977</v>
      </c>
      <c r="T109" s="80">
        <v>34.340000000000003</v>
      </c>
    </row>
    <row r="110" spans="2:20" ht="56">
      <c r="B110" s="5" t="s">
        <v>344</v>
      </c>
      <c r="C110" s="45" t="s">
        <v>135</v>
      </c>
      <c r="D110" s="45">
        <v>90438</v>
      </c>
      <c r="E110" s="6" t="s">
        <v>345</v>
      </c>
      <c r="F110" s="45" t="s">
        <v>210</v>
      </c>
      <c r="G110" s="46">
        <f t="shared" si="7"/>
        <v>18</v>
      </c>
      <c r="H110" s="46">
        <f>TRUNC(S110*(1-LOTE_03!$K$10),2)</f>
        <v>14.15</v>
      </c>
      <c r="I110" s="46">
        <f>TRUNC(T110*(1-LOTE_03!$K$10),2)</f>
        <v>50.16</v>
      </c>
      <c r="J110" s="100">
        <f t="shared" si="8"/>
        <v>0.22470000000000001</v>
      </c>
      <c r="K110" s="48">
        <f t="shared" si="9"/>
        <v>17.32</v>
      </c>
      <c r="L110" s="48">
        <f t="shared" si="10"/>
        <v>61.43</v>
      </c>
      <c r="M110" s="48">
        <f t="shared" si="11"/>
        <v>311.76</v>
      </c>
      <c r="N110" s="48">
        <f t="shared" si="12"/>
        <v>1105.74</v>
      </c>
      <c r="O110" s="50">
        <f t="shared" si="13"/>
        <v>1417.5</v>
      </c>
      <c r="P110" s="50">
        <v>0</v>
      </c>
      <c r="Q110" s="76"/>
      <c r="R110" s="140">
        <f>IF((2*S9+2*S10)&gt;20,20,(2*S9+2*S10))</f>
        <v>18</v>
      </c>
      <c r="S110" s="79">
        <v>14.150000000000006</v>
      </c>
      <c r="T110" s="80">
        <v>50.16</v>
      </c>
    </row>
    <row r="111" spans="2:20" ht="56">
      <c r="B111" s="5" t="s">
        <v>346</v>
      </c>
      <c r="C111" s="45" t="s">
        <v>135</v>
      </c>
      <c r="D111" s="45">
        <v>90439</v>
      </c>
      <c r="E111" s="6" t="s">
        <v>347</v>
      </c>
      <c r="F111" s="45" t="s">
        <v>210</v>
      </c>
      <c r="G111" s="46">
        <f t="shared" si="7"/>
        <v>10</v>
      </c>
      <c r="H111" s="46">
        <f>TRUNC(S111*(1-LOTE_03!$K$10),2)</f>
        <v>2.86</v>
      </c>
      <c r="I111" s="46">
        <f>TRUNC(T111*(1-LOTE_03!$K$10),2)</f>
        <v>6.57</v>
      </c>
      <c r="J111" s="100">
        <f t="shared" si="8"/>
        <v>0.22470000000000001</v>
      </c>
      <c r="K111" s="48">
        <f t="shared" si="9"/>
        <v>3.5</v>
      </c>
      <c r="L111" s="48">
        <f t="shared" si="10"/>
        <v>8.0399999999999991</v>
      </c>
      <c r="M111" s="48">
        <f t="shared" si="11"/>
        <v>35</v>
      </c>
      <c r="N111" s="48">
        <f t="shared" si="12"/>
        <v>80.400000000000006</v>
      </c>
      <c r="O111" s="50">
        <f t="shared" si="13"/>
        <v>115.4</v>
      </c>
      <c r="P111" s="50">
        <v>0</v>
      </c>
      <c r="Q111" s="76"/>
      <c r="R111" s="140">
        <f>IF((2*S9+2*S10)&gt;10,10,(2*S9+2*S10))</f>
        <v>10</v>
      </c>
      <c r="S111" s="79">
        <v>2.8599999999999994</v>
      </c>
      <c r="T111" s="80">
        <v>6.57</v>
      </c>
    </row>
    <row r="112" spans="2:20" ht="70">
      <c r="B112" s="5" t="s">
        <v>348</v>
      </c>
      <c r="C112" s="45" t="s">
        <v>135</v>
      </c>
      <c r="D112" s="45">
        <v>90440</v>
      </c>
      <c r="E112" s="6" t="s">
        <v>349</v>
      </c>
      <c r="F112" s="45" t="s">
        <v>210</v>
      </c>
      <c r="G112" s="46">
        <f t="shared" si="7"/>
        <v>10</v>
      </c>
      <c r="H112" s="46">
        <f>TRUNC(S112*(1-LOTE_03!$K$10),2)</f>
        <v>7.62</v>
      </c>
      <c r="I112" s="46">
        <f>TRUNC(T112*(1-LOTE_03!$K$10),2)</f>
        <v>17.55</v>
      </c>
      <c r="J112" s="100">
        <f t="shared" si="8"/>
        <v>0.22470000000000001</v>
      </c>
      <c r="K112" s="48">
        <f t="shared" si="9"/>
        <v>9.33</v>
      </c>
      <c r="L112" s="48">
        <f t="shared" si="10"/>
        <v>21.49</v>
      </c>
      <c r="M112" s="48">
        <f t="shared" si="11"/>
        <v>93.3</v>
      </c>
      <c r="N112" s="48">
        <f t="shared" si="12"/>
        <v>214.9</v>
      </c>
      <c r="O112" s="50">
        <f t="shared" si="13"/>
        <v>308.2</v>
      </c>
      <c r="P112" s="50">
        <v>0</v>
      </c>
      <c r="Q112" s="76"/>
      <c r="R112" s="140">
        <f>IF((2*S9+2*S10)&gt;10,10,(2*S9+2*S10))</f>
        <v>10</v>
      </c>
      <c r="S112" s="79">
        <v>7.620000000000001</v>
      </c>
      <c r="T112" s="80">
        <v>17.55</v>
      </c>
    </row>
    <row r="113" spans="2:20" ht="70">
      <c r="B113" s="5" t="s">
        <v>350</v>
      </c>
      <c r="C113" s="45" t="s">
        <v>135</v>
      </c>
      <c r="D113" s="45">
        <v>90441</v>
      </c>
      <c r="E113" s="6" t="s">
        <v>351</v>
      </c>
      <c r="F113" s="45" t="s">
        <v>210</v>
      </c>
      <c r="G113" s="46">
        <f t="shared" si="7"/>
        <v>10</v>
      </c>
      <c r="H113" s="46">
        <f>TRUNC(S113*(1-LOTE_03!$K$10),2)</f>
        <v>11.12</v>
      </c>
      <c r="I113" s="46">
        <f>TRUNC(T113*(1-LOTE_03!$K$10),2)</f>
        <v>25.65</v>
      </c>
      <c r="J113" s="100">
        <f t="shared" si="8"/>
        <v>0.22470000000000001</v>
      </c>
      <c r="K113" s="48">
        <f t="shared" si="9"/>
        <v>13.61</v>
      </c>
      <c r="L113" s="48">
        <f t="shared" si="10"/>
        <v>31.41</v>
      </c>
      <c r="M113" s="48">
        <f t="shared" si="11"/>
        <v>136.1</v>
      </c>
      <c r="N113" s="48">
        <f t="shared" si="12"/>
        <v>314.10000000000002</v>
      </c>
      <c r="O113" s="50">
        <f t="shared" si="13"/>
        <v>450.2</v>
      </c>
      <c r="P113" s="50">
        <v>0</v>
      </c>
      <c r="Q113" s="76"/>
      <c r="R113" s="140">
        <f>IF((2*S9+2*S10)&gt;10,10,(2*S9+2*S10))</f>
        <v>10</v>
      </c>
      <c r="S113" s="79">
        <v>11.120000000000005</v>
      </c>
      <c r="T113" s="80">
        <v>25.65</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627.41999999999996</v>
      </c>
      <c r="Q114" s="76"/>
      <c r="R114" s="154"/>
      <c r="S114" s="79" t="s">
        <v>22</v>
      </c>
      <c r="T114" s="80" t="s">
        <v>22</v>
      </c>
    </row>
    <row r="115" spans="2:20" ht="28">
      <c r="B115" s="5" t="s">
        <v>352</v>
      </c>
      <c r="C115" s="45" t="s">
        <v>135</v>
      </c>
      <c r="D115" s="45">
        <v>94319</v>
      </c>
      <c r="E115" s="6" t="s">
        <v>353</v>
      </c>
      <c r="F115" s="45" t="s">
        <v>161</v>
      </c>
      <c r="G115" s="46">
        <f>IF($S$11=0,0,TRUNC(R115,2))</f>
        <v>1</v>
      </c>
      <c r="H115" s="46">
        <f>TRUNC(S115*(1-LOTE_03!$K$10),2)</f>
        <v>65.989999999999995</v>
      </c>
      <c r="I115" s="46">
        <f>TRUNC(T115*(1-LOTE_03!$K$10),2)</f>
        <v>16.149999999999999</v>
      </c>
      <c r="J115" s="100">
        <f t="shared" si="8"/>
        <v>0.22470000000000001</v>
      </c>
      <c r="K115" s="48">
        <f t="shared" si="9"/>
        <v>80.81</v>
      </c>
      <c r="L115" s="48">
        <f t="shared" si="10"/>
        <v>19.77</v>
      </c>
      <c r="M115" s="48">
        <f t="shared" si="11"/>
        <v>80.81</v>
      </c>
      <c r="N115" s="48">
        <f t="shared" si="12"/>
        <v>19.77</v>
      </c>
      <c r="O115" s="50">
        <f t="shared" si="13"/>
        <v>100.58</v>
      </c>
      <c r="P115" s="50">
        <v>0</v>
      </c>
      <c r="Q115" s="76"/>
      <c r="R115" s="140">
        <f>IF((1*S10)&gt;5,5,1)</f>
        <v>1</v>
      </c>
      <c r="S115" s="79">
        <v>65.990000000000009</v>
      </c>
      <c r="T115" s="80">
        <v>16.149999999999999</v>
      </c>
    </row>
    <row r="116" spans="2:20" ht="28">
      <c r="B116" s="5" t="s">
        <v>354</v>
      </c>
      <c r="C116" s="45" t="s">
        <v>135</v>
      </c>
      <c r="D116" s="45">
        <v>94342</v>
      </c>
      <c r="E116" s="6" t="s">
        <v>355</v>
      </c>
      <c r="F116" s="45" t="s">
        <v>161</v>
      </c>
      <c r="G116" s="46">
        <f t="shared" ref="G116:G123" si="14">IF($S$11=0,0,TRUNC(R116,2))</f>
        <v>1</v>
      </c>
      <c r="H116" s="46">
        <f>TRUNC(S116*(1-LOTE_03!$K$10),2)</f>
        <v>102.67</v>
      </c>
      <c r="I116" s="46">
        <f>TRUNC(T116*(1-LOTE_03!$K$10),2)</f>
        <v>15.91</v>
      </c>
      <c r="J116" s="100">
        <f t="shared" si="8"/>
        <v>0.22470000000000001</v>
      </c>
      <c r="K116" s="48">
        <f t="shared" si="9"/>
        <v>125.73</v>
      </c>
      <c r="L116" s="48">
        <f t="shared" si="10"/>
        <v>19.48</v>
      </c>
      <c r="M116" s="48">
        <f t="shared" si="11"/>
        <v>125.73</v>
      </c>
      <c r="N116" s="48">
        <f t="shared" si="12"/>
        <v>19.48</v>
      </c>
      <c r="O116" s="50">
        <f t="shared" si="13"/>
        <v>145.21</v>
      </c>
      <c r="P116" s="50">
        <v>0</v>
      </c>
      <c r="Q116" s="76"/>
      <c r="R116" s="140">
        <f>IF((1*S10)&gt;5,5,1)</f>
        <v>1</v>
      </c>
      <c r="S116" s="79">
        <v>102.67</v>
      </c>
      <c r="T116" s="80">
        <v>15.91</v>
      </c>
    </row>
    <row r="117" spans="2:20" ht="28">
      <c r="B117" s="5" t="s">
        <v>356</v>
      </c>
      <c r="C117" s="45" t="s">
        <v>165</v>
      </c>
      <c r="D117" s="45" t="s">
        <v>357</v>
      </c>
      <c r="E117" s="6" t="s">
        <v>358</v>
      </c>
      <c r="F117" s="45" t="s">
        <v>182</v>
      </c>
      <c r="G117" s="46">
        <f t="shared" si="14"/>
        <v>1</v>
      </c>
      <c r="H117" s="46">
        <f>TRUNC(S117*(1-LOTE_03!$K$10),2)</f>
        <v>15.01</v>
      </c>
      <c r="I117" s="46">
        <f>TRUNC(T117*(1-LOTE_03!$K$10),2)</f>
        <v>0.75</v>
      </c>
      <c r="J117" s="100">
        <f t="shared" si="8"/>
        <v>0.22470000000000001</v>
      </c>
      <c r="K117" s="48">
        <f t="shared" si="9"/>
        <v>18.38</v>
      </c>
      <c r="L117" s="48">
        <f t="shared" si="10"/>
        <v>0.91</v>
      </c>
      <c r="M117" s="48">
        <f t="shared" si="11"/>
        <v>18.38</v>
      </c>
      <c r="N117" s="48">
        <f t="shared" si="12"/>
        <v>0.91</v>
      </c>
      <c r="O117" s="50">
        <f t="shared" si="13"/>
        <v>19.29</v>
      </c>
      <c r="P117" s="50">
        <v>0</v>
      </c>
      <c r="Q117" s="76"/>
      <c r="R117" s="140">
        <f>IF((1*S10)&gt;5,5,1)</f>
        <v>1</v>
      </c>
      <c r="S117" s="79">
        <v>15.01</v>
      </c>
      <c r="T117" s="80">
        <v>0.75</v>
      </c>
    </row>
    <row r="118" spans="2:20" ht="28">
      <c r="B118" s="5" t="s">
        <v>359</v>
      </c>
      <c r="C118" s="45" t="s">
        <v>165</v>
      </c>
      <c r="D118" s="45" t="s">
        <v>360</v>
      </c>
      <c r="E118" s="6" t="s">
        <v>361</v>
      </c>
      <c r="F118" s="45" t="s">
        <v>182</v>
      </c>
      <c r="G118" s="46">
        <f t="shared" si="14"/>
        <v>1</v>
      </c>
      <c r="H118" s="46">
        <f>TRUNC(S118*(1-LOTE_03!$K$10),2)</f>
        <v>22.47</v>
      </c>
      <c r="I118" s="46">
        <f>TRUNC(T118*(1-LOTE_03!$K$10),2)</f>
        <v>31.15</v>
      </c>
      <c r="J118" s="100">
        <f t="shared" si="8"/>
        <v>0.22470000000000001</v>
      </c>
      <c r="K118" s="48">
        <f t="shared" si="9"/>
        <v>27.51</v>
      </c>
      <c r="L118" s="48">
        <f t="shared" si="10"/>
        <v>38.14</v>
      </c>
      <c r="M118" s="48">
        <f t="shared" si="11"/>
        <v>27.51</v>
      </c>
      <c r="N118" s="48">
        <f t="shared" si="12"/>
        <v>38.14</v>
      </c>
      <c r="O118" s="50">
        <f t="shared" si="13"/>
        <v>65.650000000000006</v>
      </c>
      <c r="P118" s="50">
        <v>0</v>
      </c>
      <c r="Q118" s="76"/>
      <c r="R118" s="140">
        <f>IF((1*S10)&gt;5,5,1)</f>
        <v>1</v>
      </c>
      <c r="S118" s="79">
        <v>22.47</v>
      </c>
      <c r="T118" s="80">
        <v>31.15</v>
      </c>
    </row>
    <row r="119" spans="2:20" ht="28">
      <c r="B119" s="5" t="s">
        <v>362</v>
      </c>
      <c r="C119" s="45" t="s">
        <v>135</v>
      </c>
      <c r="D119" s="45">
        <v>93358</v>
      </c>
      <c r="E119" s="6" t="s">
        <v>363</v>
      </c>
      <c r="F119" s="45" t="s">
        <v>161</v>
      </c>
      <c r="G119" s="46">
        <f t="shared" si="14"/>
        <v>1</v>
      </c>
      <c r="H119" s="46">
        <f>TRUNC(S119*(1-LOTE_03!$K$10),2)</f>
        <v>28.32</v>
      </c>
      <c r="I119" s="46">
        <f>TRUNC(T119*(1-LOTE_03!$K$10),2)</f>
        <v>69.3</v>
      </c>
      <c r="J119" s="100">
        <f t="shared" si="8"/>
        <v>0.22470000000000001</v>
      </c>
      <c r="K119" s="48">
        <f t="shared" si="9"/>
        <v>34.68</v>
      </c>
      <c r="L119" s="48">
        <f t="shared" si="10"/>
        <v>84.87</v>
      </c>
      <c r="M119" s="48">
        <f t="shared" si="11"/>
        <v>34.68</v>
      </c>
      <c r="N119" s="48">
        <f t="shared" si="12"/>
        <v>84.87</v>
      </c>
      <c r="O119" s="50">
        <f t="shared" si="13"/>
        <v>119.55</v>
      </c>
      <c r="P119" s="50">
        <v>0</v>
      </c>
      <c r="Q119" s="76"/>
      <c r="R119" s="140">
        <f>IF((1*S10)&gt;5,5,1)</f>
        <v>1</v>
      </c>
      <c r="S119" s="79">
        <v>28.320000000000007</v>
      </c>
      <c r="T119" s="80">
        <v>69.3</v>
      </c>
    </row>
    <row r="120" spans="2:20" ht="28">
      <c r="B120" s="5" t="s">
        <v>364</v>
      </c>
      <c r="C120" s="45" t="s">
        <v>165</v>
      </c>
      <c r="D120" s="45" t="s">
        <v>365</v>
      </c>
      <c r="E120" s="6" t="s">
        <v>366</v>
      </c>
      <c r="F120" s="45" t="s">
        <v>182</v>
      </c>
      <c r="G120" s="46">
        <f t="shared" si="14"/>
        <v>1</v>
      </c>
      <c r="H120" s="46">
        <f>TRUNC(S120*(1-LOTE_03!$K$10),2)</f>
        <v>0</v>
      </c>
      <c r="I120" s="46">
        <f>TRUNC(T120*(1-LOTE_03!$K$10),2)</f>
        <v>58.34</v>
      </c>
      <c r="J120" s="100">
        <f t="shared" si="8"/>
        <v>0.22470000000000001</v>
      </c>
      <c r="K120" s="48">
        <f t="shared" si="9"/>
        <v>0</v>
      </c>
      <c r="L120" s="48">
        <f t="shared" si="10"/>
        <v>71.44</v>
      </c>
      <c r="M120" s="48">
        <f t="shared" si="11"/>
        <v>0</v>
      </c>
      <c r="N120" s="48">
        <f t="shared" si="12"/>
        <v>71.44</v>
      </c>
      <c r="O120" s="50">
        <f t="shared" si="13"/>
        <v>71.44</v>
      </c>
      <c r="P120" s="50">
        <v>0</v>
      </c>
      <c r="Q120" s="76"/>
      <c r="R120" s="140">
        <f>IF((1*S10)&gt;5,5,1)</f>
        <v>1</v>
      </c>
      <c r="S120" s="79">
        <v>0</v>
      </c>
      <c r="T120" s="80">
        <v>58.34</v>
      </c>
    </row>
    <row r="121" spans="2:20" ht="28">
      <c r="B121" s="5" t="s">
        <v>367</v>
      </c>
      <c r="C121" s="45" t="s">
        <v>165</v>
      </c>
      <c r="D121" s="45" t="s">
        <v>368</v>
      </c>
      <c r="E121" s="6" t="s">
        <v>369</v>
      </c>
      <c r="F121" s="45" t="s">
        <v>182</v>
      </c>
      <c r="G121" s="46">
        <f t="shared" si="14"/>
        <v>1</v>
      </c>
      <c r="H121" s="46">
        <f>TRUNC(S121*(1-LOTE_03!$K$10),2)</f>
        <v>0</v>
      </c>
      <c r="I121" s="46">
        <f>TRUNC(T121*(1-LOTE_03!$K$10),2)</f>
        <v>6.56</v>
      </c>
      <c r="J121" s="100">
        <f t="shared" si="8"/>
        <v>0.22470000000000001</v>
      </c>
      <c r="K121" s="48">
        <f t="shared" si="9"/>
        <v>0</v>
      </c>
      <c r="L121" s="48">
        <f t="shared" si="10"/>
        <v>8.0299999999999994</v>
      </c>
      <c r="M121" s="48">
        <f t="shared" si="11"/>
        <v>0</v>
      </c>
      <c r="N121" s="48">
        <f t="shared" si="12"/>
        <v>8.0299999999999994</v>
      </c>
      <c r="O121" s="50">
        <f t="shared" si="13"/>
        <v>8.0299999999999994</v>
      </c>
      <c r="P121" s="50">
        <v>0</v>
      </c>
      <c r="Q121" s="76"/>
      <c r="R121" s="140">
        <f>IF((1*S10)&gt;5,5,1)</f>
        <v>1</v>
      </c>
      <c r="S121" s="79">
        <v>0</v>
      </c>
      <c r="T121" s="80">
        <v>6.56</v>
      </c>
    </row>
    <row r="122" spans="2:20" ht="28">
      <c r="B122" s="5" t="s">
        <v>370</v>
      </c>
      <c r="C122" s="45" t="s">
        <v>165</v>
      </c>
      <c r="D122" s="45" t="s">
        <v>371</v>
      </c>
      <c r="E122" s="6" t="s">
        <v>372</v>
      </c>
      <c r="F122" s="45" t="s">
        <v>182</v>
      </c>
      <c r="G122" s="46">
        <f t="shared" si="14"/>
        <v>1</v>
      </c>
      <c r="H122" s="46">
        <f>TRUNC(S122*(1-LOTE_03!$K$10),2)</f>
        <v>0</v>
      </c>
      <c r="I122" s="46">
        <f>TRUNC(T122*(1-LOTE_03!$K$10),2)</f>
        <v>57.88</v>
      </c>
      <c r="J122" s="100">
        <f t="shared" si="8"/>
        <v>0.22470000000000001</v>
      </c>
      <c r="K122" s="48">
        <f t="shared" si="9"/>
        <v>0</v>
      </c>
      <c r="L122" s="48">
        <f t="shared" si="10"/>
        <v>70.88</v>
      </c>
      <c r="M122" s="48">
        <f t="shared" si="11"/>
        <v>0</v>
      </c>
      <c r="N122" s="48">
        <f t="shared" si="12"/>
        <v>70.88</v>
      </c>
      <c r="O122" s="50">
        <f t="shared" si="13"/>
        <v>70.88</v>
      </c>
      <c r="P122" s="50">
        <v>0</v>
      </c>
      <c r="Q122" s="76"/>
      <c r="R122" s="140">
        <f>IF((1*S10)&gt;5,5,1)</f>
        <v>1</v>
      </c>
      <c r="S122" s="79">
        <v>0</v>
      </c>
      <c r="T122" s="80">
        <v>57.88</v>
      </c>
    </row>
    <row r="123" spans="2:20" ht="28">
      <c r="B123" s="5" t="s">
        <v>373</v>
      </c>
      <c r="C123" s="45" t="s">
        <v>165</v>
      </c>
      <c r="D123" s="45" t="s">
        <v>374</v>
      </c>
      <c r="E123" s="6" t="s">
        <v>375</v>
      </c>
      <c r="F123" s="45" t="s">
        <v>168</v>
      </c>
      <c r="G123" s="46">
        <f t="shared" si="14"/>
        <v>1</v>
      </c>
      <c r="H123" s="46">
        <f>TRUNC(S123*(1-LOTE_03!$K$10),2)</f>
        <v>0</v>
      </c>
      <c r="I123" s="46">
        <f>TRUNC(T123*(1-LOTE_03!$K$10),2)</f>
        <v>21.88</v>
      </c>
      <c r="J123" s="100">
        <f t="shared" si="8"/>
        <v>0.22470000000000001</v>
      </c>
      <c r="K123" s="48">
        <f t="shared" si="9"/>
        <v>0</v>
      </c>
      <c r="L123" s="48">
        <f t="shared" si="10"/>
        <v>26.79</v>
      </c>
      <c r="M123" s="48">
        <f t="shared" si="11"/>
        <v>0</v>
      </c>
      <c r="N123" s="48">
        <f t="shared" si="12"/>
        <v>26.79</v>
      </c>
      <c r="O123" s="50">
        <f t="shared" si="13"/>
        <v>26.79</v>
      </c>
      <c r="P123" s="50">
        <v>0</v>
      </c>
      <c r="Q123" s="76"/>
      <c r="R123" s="140">
        <f>IF((1*S10)&gt;5,5,1)</f>
        <v>1</v>
      </c>
      <c r="S123" s="79">
        <v>0</v>
      </c>
      <c r="T123" s="80">
        <v>21.88</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10428.31</v>
      </c>
      <c r="Q124" s="76"/>
      <c r="R124" s="154"/>
      <c r="S124" s="79" t="s">
        <v>22</v>
      </c>
      <c r="T124" s="80" t="s">
        <v>22</v>
      </c>
    </row>
    <row r="125" spans="2:20" ht="70">
      <c r="B125" s="5" t="s">
        <v>376</v>
      </c>
      <c r="C125" s="45" t="s">
        <v>135</v>
      </c>
      <c r="D125" s="45">
        <v>94962</v>
      </c>
      <c r="E125" s="6" t="s">
        <v>377</v>
      </c>
      <c r="F125" s="45" t="s">
        <v>161</v>
      </c>
      <c r="G125" s="46">
        <f t="shared" ref="G125:G131" si="15">IF($S$11=0,0,TRUNC(R125,2))</f>
        <v>1</v>
      </c>
      <c r="H125" s="46">
        <f>TRUNC(S125*(1-LOTE_03!$K$10),2)</f>
        <v>466.4</v>
      </c>
      <c r="I125" s="46">
        <f>TRUNC(T125*(1-LOTE_03!$K$10),2)</f>
        <v>64.98</v>
      </c>
      <c r="J125" s="100">
        <f t="shared" si="8"/>
        <v>0.22470000000000001</v>
      </c>
      <c r="K125" s="48">
        <f t="shared" si="9"/>
        <v>571.20000000000005</v>
      </c>
      <c r="L125" s="48">
        <f t="shared" si="10"/>
        <v>79.58</v>
      </c>
      <c r="M125" s="48">
        <f t="shared" si="11"/>
        <v>571.20000000000005</v>
      </c>
      <c r="N125" s="48">
        <f t="shared" si="12"/>
        <v>79.58</v>
      </c>
      <c r="O125" s="50">
        <f t="shared" si="13"/>
        <v>650.78</v>
      </c>
      <c r="P125" s="50">
        <v>0</v>
      </c>
      <c r="Q125" s="76"/>
      <c r="R125" s="140">
        <f>IF((1*S10)&gt;5,5,1)</f>
        <v>1</v>
      </c>
      <c r="S125" s="79">
        <v>466.4</v>
      </c>
      <c r="T125" s="80">
        <v>64.98</v>
      </c>
    </row>
    <row r="126" spans="2:20" ht="56">
      <c r="B126" s="5" t="s">
        <v>378</v>
      </c>
      <c r="C126" s="45" t="s">
        <v>135</v>
      </c>
      <c r="D126" s="45">
        <v>94963</v>
      </c>
      <c r="E126" s="6" t="s">
        <v>379</v>
      </c>
      <c r="F126" s="45" t="s">
        <v>161</v>
      </c>
      <c r="G126" s="46">
        <f t="shared" si="15"/>
        <v>1</v>
      </c>
      <c r="H126" s="46">
        <f>TRUNC(S126*(1-LOTE_03!$K$10),2)</f>
        <v>528.20000000000005</v>
      </c>
      <c r="I126" s="46">
        <f>TRUNC(T126*(1-LOTE_03!$K$10),2)</f>
        <v>65.08</v>
      </c>
      <c r="J126" s="100">
        <f t="shared" si="8"/>
        <v>0.22470000000000001</v>
      </c>
      <c r="K126" s="48">
        <f t="shared" si="9"/>
        <v>646.88</v>
      </c>
      <c r="L126" s="48">
        <f t="shared" si="10"/>
        <v>79.7</v>
      </c>
      <c r="M126" s="48">
        <f t="shared" si="11"/>
        <v>646.88</v>
      </c>
      <c r="N126" s="48">
        <f t="shared" si="12"/>
        <v>79.7</v>
      </c>
      <c r="O126" s="50">
        <f t="shared" si="13"/>
        <v>726.58</v>
      </c>
      <c r="P126" s="50">
        <v>0</v>
      </c>
      <c r="Q126" s="76"/>
      <c r="R126" s="140">
        <f>IF((1*S10)&gt;5,5,1)</f>
        <v>1</v>
      </c>
      <c r="S126" s="79">
        <v>528.19999999999993</v>
      </c>
      <c r="T126" s="80">
        <v>65.08</v>
      </c>
    </row>
    <row r="127" spans="2:20" ht="56">
      <c r="B127" s="5" t="s">
        <v>380</v>
      </c>
      <c r="C127" s="45" t="s">
        <v>135</v>
      </c>
      <c r="D127" s="45">
        <v>94964</v>
      </c>
      <c r="E127" s="6" t="s">
        <v>381</v>
      </c>
      <c r="F127" s="45" t="s">
        <v>161</v>
      </c>
      <c r="G127" s="46">
        <f t="shared" si="15"/>
        <v>1</v>
      </c>
      <c r="H127" s="46">
        <f>TRUNC(S127*(1-LOTE_03!$K$10),2)</f>
        <v>578.84</v>
      </c>
      <c r="I127" s="46">
        <f>TRUNC(T127*(1-LOTE_03!$K$10),2)</f>
        <v>71.39</v>
      </c>
      <c r="J127" s="100">
        <f t="shared" si="8"/>
        <v>0.22470000000000001</v>
      </c>
      <c r="K127" s="48">
        <f t="shared" si="9"/>
        <v>708.9</v>
      </c>
      <c r="L127" s="48">
        <f t="shared" si="10"/>
        <v>87.43</v>
      </c>
      <c r="M127" s="48">
        <f t="shared" si="11"/>
        <v>708.9</v>
      </c>
      <c r="N127" s="48">
        <f t="shared" si="12"/>
        <v>87.43</v>
      </c>
      <c r="O127" s="50">
        <f t="shared" si="13"/>
        <v>796.33</v>
      </c>
      <c r="P127" s="50">
        <v>0</v>
      </c>
      <c r="Q127" s="76"/>
      <c r="R127" s="140">
        <f>IF((1*S10)&gt;5,5,1)</f>
        <v>1</v>
      </c>
      <c r="S127" s="79">
        <v>578.84</v>
      </c>
      <c r="T127" s="80">
        <v>71.39</v>
      </c>
    </row>
    <row r="128" spans="2:20" ht="56">
      <c r="B128" s="5" t="s">
        <v>382</v>
      </c>
      <c r="C128" s="45" t="s">
        <v>135</v>
      </c>
      <c r="D128" s="45">
        <v>94965</v>
      </c>
      <c r="E128" s="6" t="s">
        <v>383</v>
      </c>
      <c r="F128" s="45" t="s">
        <v>161</v>
      </c>
      <c r="G128" s="46">
        <f t="shared" si="15"/>
        <v>1</v>
      </c>
      <c r="H128" s="46">
        <f>TRUNC(S128*(1-LOTE_03!$K$10),2)</f>
        <v>615.12</v>
      </c>
      <c r="I128" s="46">
        <f>TRUNC(T128*(1-LOTE_03!$K$10),2)</f>
        <v>65.39</v>
      </c>
      <c r="J128" s="100">
        <f t="shared" si="8"/>
        <v>0.22470000000000001</v>
      </c>
      <c r="K128" s="48">
        <f t="shared" si="9"/>
        <v>753.33</v>
      </c>
      <c r="L128" s="48">
        <f t="shared" si="10"/>
        <v>80.08</v>
      </c>
      <c r="M128" s="48">
        <f t="shared" si="11"/>
        <v>753.33</v>
      </c>
      <c r="N128" s="48">
        <f t="shared" si="12"/>
        <v>80.08</v>
      </c>
      <c r="O128" s="50">
        <f t="shared" si="13"/>
        <v>833.41</v>
      </c>
      <c r="P128" s="50">
        <v>0</v>
      </c>
      <c r="Q128" s="76"/>
      <c r="R128" s="140">
        <f>IF((1*S10)&gt;5,5,1)</f>
        <v>1</v>
      </c>
      <c r="S128" s="79">
        <v>615.12</v>
      </c>
      <c r="T128" s="80">
        <v>65.39</v>
      </c>
    </row>
    <row r="129" spans="2:20" ht="42">
      <c r="B129" s="5" t="s">
        <v>384</v>
      </c>
      <c r="C129" s="45" t="s">
        <v>135</v>
      </c>
      <c r="D129" s="45">
        <v>102487</v>
      </c>
      <c r="E129" s="6" t="s">
        <v>385</v>
      </c>
      <c r="F129" s="45" t="s">
        <v>161</v>
      </c>
      <c r="G129" s="46">
        <f t="shared" si="15"/>
        <v>1</v>
      </c>
      <c r="H129" s="46">
        <f>TRUNC(S129*(1-LOTE_03!$K$10),2)</f>
        <v>563.75</v>
      </c>
      <c r="I129" s="46">
        <f>TRUNC(T129*(1-LOTE_03!$K$10),2)</f>
        <v>200.55</v>
      </c>
      <c r="J129" s="100">
        <f t="shared" si="8"/>
        <v>0.22470000000000001</v>
      </c>
      <c r="K129" s="48">
        <f t="shared" si="9"/>
        <v>690.42</v>
      </c>
      <c r="L129" s="48">
        <f t="shared" si="10"/>
        <v>245.61</v>
      </c>
      <c r="M129" s="48">
        <f t="shared" si="11"/>
        <v>690.42</v>
      </c>
      <c r="N129" s="48">
        <f t="shared" si="12"/>
        <v>245.61</v>
      </c>
      <c r="O129" s="50">
        <f t="shared" si="13"/>
        <v>936.03</v>
      </c>
      <c r="P129" s="50">
        <v>0</v>
      </c>
      <c r="Q129" s="76"/>
      <c r="R129" s="140">
        <f>IF((1*S10)&gt;5,5,1)</f>
        <v>1</v>
      </c>
      <c r="S129" s="79">
        <v>563.75</v>
      </c>
      <c r="T129" s="80">
        <v>200.55</v>
      </c>
    </row>
    <row r="130" spans="2:20" ht="28">
      <c r="B130" s="5" t="s">
        <v>386</v>
      </c>
      <c r="C130" s="45" t="s">
        <v>165</v>
      </c>
      <c r="D130" s="45" t="s">
        <v>387</v>
      </c>
      <c r="E130" s="6" t="s">
        <v>388</v>
      </c>
      <c r="F130" s="45" t="s">
        <v>168</v>
      </c>
      <c r="G130" s="46">
        <f t="shared" si="15"/>
        <v>20</v>
      </c>
      <c r="H130" s="46">
        <f>TRUNC(S130*(1-LOTE_03!$K$10),2)</f>
        <v>87.2</v>
      </c>
      <c r="I130" s="46">
        <f>TRUNC(T130*(1-LOTE_03!$K$10),2)</f>
        <v>75.13</v>
      </c>
      <c r="J130" s="100">
        <f t="shared" si="8"/>
        <v>0.22470000000000001</v>
      </c>
      <c r="K130" s="48">
        <f t="shared" si="9"/>
        <v>106.79</v>
      </c>
      <c r="L130" s="48">
        <f t="shared" si="10"/>
        <v>92.01</v>
      </c>
      <c r="M130" s="48">
        <f t="shared" si="11"/>
        <v>2135.8000000000002</v>
      </c>
      <c r="N130" s="48">
        <f t="shared" si="12"/>
        <v>1840.2</v>
      </c>
      <c r="O130" s="50">
        <f t="shared" si="13"/>
        <v>3976</v>
      </c>
      <c r="P130" s="50">
        <v>0</v>
      </c>
      <c r="Q130" s="76"/>
      <c r="R130" s="140">
        <f>IF((5*S10)&gt;20,20,5)</f>
        <v>20</v>
      </c>
      <c r="S130" s="79">
        <v>87.2</v>
      </c>
      <c r="T130" s="80">
        <v>75.13</v>
      </c>
    </row>
    <row r="131" spans="2:20" ht="42">
      <c r="B131" s="5" t="s">
        <v>389</v>
      </c>
      <c r="C131" s="45" t="s">
        <v>135</v>
      </c>
      <c r="D131" s="45">
        <v>103670</v>
      </c>
      <c r="E131" s="6" t="s">
        <v>390</v>
      </c>
      <c r="F131" s="45" t="s">
        <v>161</v>
      </c>
      <c r="G131" s="46">
        <f t="shared" si="15"/>
        <v>1</v>
      </c>
      <c r="H131" s="46">
        <f>TRUNC(S131*(1-LOTE_03!$K$10),2)</f>
        <v>89.99</v>
      </c>
      <c r="I131" s="46">
        <f>TRUNC(T131*(1-LOTE_03!$K$10),2)</f>
        <v>242.92</v>
      </c>
      <c r="J131" s="100">
        <f t="shared" si="8"/>
        <v>0.22470000000000001</v>
      </c>
      <c r="K131" s="48">
        <f t="shared" si="9"/>
        <v>110.21</v>
      </c>
      <c r="L131" s="48">
        <f t="shared" si="10"/>
        <v>297.5</v>
      </c>
      <c r="M131" s="48">
        <f t="shared" si="11"/>
        <v>110.21</v>
      </c>
      <c r="N131" s="48">
        <f t="shared" si="12"/>
        <v>297.5</v>
      </c>
      <c r="O131" s="50">
        <f t="shared" si="13"/>
        <v>407.71</v>
      </c>
      <c r="P131" s="50">
        <v>0</v>
      </c>
      <c r="Q131" s="76"/>
      <c r="R131" s="140">
        <f>IF((1*S10)&gt;5,5,1)</f>
        <v>1</v>
      </c>
      <c r="S131" s="79">
        <v>89.990000000000038</v>
      </c>
      <c r="T131" s="80">
        <v>242.92</v>
      </c>
    </row>
    <row r="132" spans="2:20" ht="56">
      <c r="B132" s="5" t="s">
        <v>391</v>
      </c>
      <c r="C132" s="45" t="s">
        <v>135</v>
      </c>
      <c r="D132" s="45">
        <v>95240</v>
      </c>
      <c r="E132" s="6" t="s">
        <v>392</v>
      </c>
      <c r="F132" s="45" t="s">
        <v>121</v>
      </c>
      <c r="G132" s="46">
        <f t="shared" si="7"/>
        <v>14</v>
      </c>
      <c r="H132" s="46">
        <f>TRUNC(S132*(1-LOTE_03!$K$10),2)</f>
        <v>17.54</v>
      </c>
      <c r="I132" s="46">
        <f>TRUNC(T132*(1-LOTE_03!$K$10),2)</f>
        <v>6.43</v>
      </c>
      <c r="J132" s="100">
        <f t="shared" si="8"/>
        <v>0.22470000000000001</v>
      </c>
      <c r="K132" s="48">
        <f t="shared" si="9"/>
        <v>21.48</v>
      </c>
      <c r="L132" s="48">
        <f t="shared" si="10"/>
        <v>7.87</v>
      </c>
      <c r="M132" s="48">
        <f t="shared" si="11"/>
        <v>300.72000000000003</v>
      </c>
      <c r="N132" s="48">
        <f t="shared" si="12"/>
        <v>110.18</v>
      </c>
      <c r="O132" s="50">
        <f t="shared" si="13"/>
        <v>410.9</v>
      </c>
      <c r="P132" s="50">
        <v>0</v>
      </c>
      <c r="Q132" s="76"/>
      <c r="R132" s="140">
        <f>IF((S9+2*S10)&gt;20,20,(S9+2*S10))</f>
        <v>14</v>
      </c>
      <c r="S132" s="79">
        <v>17.54</v>
      </c>
      <c r="T132" s="80">
        <v>6.43</v>
      </c>
    </row>
    <row r="133" spans="2:20" ht="28">
      <c r="B133" s="5" t="s">
        <v>393</v>
      </c>
      <c r="C133" s="45" t="s">
        <v>97</v>
      </c>
      <c r="D133" s="45" t="s">
        <v>394</v>
      </c>
      <c r="E133" s="6" t="s">
        <v>395</v>
      </c>
      <c r="F133" s="45" t="s">
        <v>161</v>
      </c>
      <c r="G133" s="46">
        <f>IF($S$11=0,0,TRUNC(R133,2))</f>
        <v>1</v>
      </c>
      <c r="H133" s="46">
        <f>TRUNC(S133*(1-LOTE_03!$K$10),2)</f>
        <v>1053.42</v>
      </c>
      <c r="I133" s="46">
        <f>TRUNC(T133*(1-LOTE_03!$K$10),2)</f>
        <v>326.98</v>
      </c>
      <c r="J133" s="100">
        <f t="shared" si="8"/>
        <v>0.22470000000000001</v>
      </c>
      <c r="K133" s="48">
        <f t="shared" si="9"/>
        <v>1290.1199999999999</v>
      </c>
      <c r="L133" s="48">
        <f t="shared" si="10"/>
        <v>400.45</v>
      </c>
      <c r="M133" s="48">
        <f t="shared" si="11"/>
        <v>1290.1199999999999</v>
      </c>
      <c r="N133" s="48">
        <f t="shared" si="12"/>
        <v>400.45</v>
      </c>
      <c r="O133" s="50">
        <f t="shared" si="13"/>
        <v>1690.57</v>
      </c>
      <c r="P133" s="50">
        <v>0</v>
      </c>
      <c r="Q133" s="76"/>
      <c r="R133" s="140">
        <f>IF((1*S10)&gt;5,5,1)</f>
        <v>1</v>
      </c>
      <c r="S133" s="79">
        <v>1053.42</v>
      </c>
      <c r="T133" s="80">
        <v>326.98</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58972.28</v>
      </c>
      <c r="Q134" s="76"/>
      <c r="R134" s="154"/>
      <c r="S134" s="79" t="s">
        <v>22</v>
      </c>
      <c r="T134" s="80" t="s">
        <v>22</v>
      </c>
    </row>
    <row r="135" spans="2:20" ht="28">
      <c r="B135" s="5" t="s">
        <v>396</v>
      </c>
      <c r="C135" s="45" t="s">
        <v>135</v>
      </c>
      <c r="D135" s="45">
        <v>96543</v>
      </c>
      <c r="E135" s="6" t="s">
        <v>397</v>
      </c>
      <c r="F135" s="45" t="s">
        <v>398</v>
      </c>
      <c r="G135" s="46">
        <f t="shared" ref="G135:G149" si="16">IF($S$11=0,0,TRUNC(R135,2))</f>
        <v>200</v>
      </c>
      <c r="H135" s="46">
        <f>TRUNC(S135*(1-LOTE_03!$K$10),2)</f>
        <v>12.72</v>
      </c>
      <c r="I135" s="46">
        <f>TRUNC(T135*(1-LOTE_03!$K$10),2)</f>
        <v>8.58</v>
      </c>
      <c r="J135" s="100">
        <f t="shared" si="8"/>
        <v>0.22470000000000001</v>
      </c>
      <c r="K135" s="48">
        <f t="shared" si="9"/>
        <v>15.57</v>
      </c>
      <c r="L135" s="48">
        <f t="shared" si="10"/>
        <v>10.5</v>
      </c>
      <c r="M135" s="48">
        <f t="shared" si="11"/>
        <v>3114</v>
      </c>
      <c r="N135" s="48">
        <f t="shared" si="12"/>
        <v>2100</v>
      </c>
      <c r="O135" s="50">
        <f t="shared" si="13"/>
        <v>5214</v>
      </c>
      <c r="P135" s="50">
        <v>0</v>
      </c>
      <c r="Q135" s="76"/>
      <c r="R135" s="140">
        <f>IF(20*S10&gt;=80,200,50)</f>
        <v>200</v>
      </c>
      <c r="S135" s="79">
        <v>12.72</v>
      </c>
      <c r="T135" s="80">
        <v>8.58</v>
      </c>
    </row>
    <row r="136" spans="2:20" ht="42">
      <c r="B136" s="5" t="s">
        <v>399</v>
      </c>
      <c r="C136" s="45" t="s">
        <v>165</v>
      </c>
      <c r="D136" s="45" t="s">
        <v>400</v>
      </c>
      <c r="E136" s="6" t="s">
        <v>401</v>
      </c>
      <c r="F136" s="45" t="s">
        <v>402</v>
      </c>
      <c r="G136" s="46">
        <f t="shared" si="16"/>
        <v>200</v>
      </c>
      <c r="H136" s="46">
        <f>TRUNC(S136*(1-LOTE_03!$K$10),2)</f>
        <v>8.8800000000000008</v>
      </c>
      <c r="I136" s="46">
        <f>TRUNC(T136*(1-LOTE_03!$K$10),2)</f>
        <v>4.72</v>
      </c>
      <c r="J136" s="100">
        <f t="shared" si="8"/>
        <v>0.22470000000000001</v>
      </c>
      <c r="K136" s="48">
        <f t="shared" si="9"/>
        <v>10.87</v>
      </c>
      <c r="L136" s="48">
        <f t="shared" si="10"/>
        <v>5.78</v>
      </c>
      <c r="M136" s="48">
        <f t="shared" si="11"/>
        <v>2174</v>
      </c>
      <c r="N136" s="48">
        <f t="shared" si="12"/>
        <v>1156</v>
      </c>
      <c r="O136" s="50">
        <f t="shared" si="13"/>
        <v>3330</v>
      </c>
      <c r="P136" s="50">
        <v>0</v>
      </c>
      <c r="Q136" s="76"/>
      <c r="R136" s="140">
        <f>IF(20*S10&gt;=80,200,50)</f>
        <v>200</v>
      </c>
      <c r="S136" s="79">
        <v>8.8800000000000008</v>
      </c>
      <c r="T136" s="80">
        <v>4.72</v>
      </c>
    </row>
    <row r="137" spans="2:20" ht="42">
      <c r="B137" s="5" t="s">
        <v>403</v>
      </c>
      <c r="C137" s="45" t="s">
        <v>165</v>
      </c>
      <c r="D137" s="45" t="s">
        <v>404</v>
      </c>
      <c r="E137" s="6" t="s">
        <v>405</v>
      </c>
      <c r="F137" s="45" t="s">
        <v>402</v>
      </c>
      <c r="G137" s="46">
        <f t="shared" si="16"/>
        <v>200</v>
      </c>
      <c r="H137" s="46">
        <f>TRUNC(S137*(1-LOTE_03!$K$10),2)</f>
        <v>17.940000000000001</v>
      </c>
      <c r="I137" s="46">
        <f>TRUNC(T137*(1-LOTE_03!$K$10),2)</f>
        <v>4.72</v>
      </c>
      <c r="J137" s="100">
        <f t="shared" si="8"/>
        <v>0.22470000000000001</v>
      </c>
      <c r="K137" s="48">
        <f t="shared" si="9"/>
        <v>21.97</v>
      </c>
      <c r="L137" s="48">
        <f t="shared" si="10"/>
        <v>5.78</v>
      </c>
      <c r="M137" s="48">
        <f t="shared" si="11"/>
        <v>4394</v>
      </c>
      <c r="N137" s="48">
        <f t="shared" si="12"/>
        <v>1156</v>
      </c>
      <c r="O137" s="50">
        <f t="shared" si="13"/>
        <v>5550</v>
      </c>
      <c r="P137" s="50">
        <v>0</v>
      </c>
      <c r="Q137" s="76"/>
      <c r="R137" s="140">
        <f>IF(20*S10&gt;=80,200,50)</f>
        <v>200</v>
      </c>
      <c r="S137" s="79">
        <v>17.940000000000001</v>
      </c>
      <c r="T137" s="80">
        <v>4.72</v>
      </c>
    </row>
    <row r="138" spans="2:20" ht="42">
      <c r="B138" s="5" t="s">
        <v>406</v>
      </c>
      <c r="C138" s="45" t="s">
        <v>165</v>
      </c>
      <c r="D138" s="45" t="s">
        <v>407</v>
      </c>
      <c r="E138" s="6" t="s">
        <v>408</v>
      </c>
      <c r="F138" s="45" t="s">
        <v>402</v>
      </c>
      <c r="G138" s="46">
        <f t="shared" si="16"/>
        <v>200</v>
      </c>
      <c r="H138" s="46">
        <f>TRUNC(S138*(1-LOTE_03!$K$10),2)</f>
        <v>24.16</v>
      </c>
      <c r="I138" s="46">
        <f>TRUNC(T138*(1-LOTE_03!$K$10),2)</f>
        <v>2.95</v>
      </c>
      <c r="J138" s="100">
        <f t="shared" si="8"/>
        <v>0.22470000000000001</v>
      </c>
      <c r="K138" s="48">
        <f t="shared" si="9"/>
        <v>29.58</v>
      </c>
      <c r="L138" s="48">
        <f t="shared" si="10"/>
        <v>3.61</v>
      </c>
      <c r="M138" s="48">
        <f t="shared" si="11"/>
        <v>5916</v>
      </c>
      <c r="N138" s="48">
        <f t="shared" si="12"/>
        <v>722</v>
      </c>
      <c r="O138" s="50">
        <f t="shared" si="13"/>
        <v>6638</v>
      </c>
      <c r="P138" s="50">
        <v>0</v>
      </c>
      <c r="Q138" s="76"/>
      <c r="R138" s="140">
        <f>IF(20*S10&gt;=80,200,50)</f>
        <v>200</v>
      </c>
      <c r="S138" s="79">
        <v>24.16</v>
      </c>
      <c r="T138" s="80">
        <v>2.95</v>
      </c>
    </row>
    <row r="139" spans="2:20" ht="28">
      <c r="B139" s="5" t="s">
        <v>409</v>
      </c>
      <c r="C139" s="45" t="s">
        <v>165</v>
      </c>
      <c r="D139" s="45" t="s">
        <v>410</v>
      </c>
      <c r="E139" s="6" t="s">
        <v>411</v>
      </c>
      <c r="F139" s="45" t="s">
        <v>168</v>
      </c>
      <c r="G139" s="46">
        <f t="shared" si="16"/>
        <v>100</v>
      </c>
      <c r="H139" s="46">
        <f>TRUNC(S139*(1-LOTE_03!$K$10),2)</f>
        <v>52.77</v>
      </c>
      <c r="I139" s="46">
        <f>TRUNC(T139*(1-LOTE_03!$K$10),2)</f>
        <v>2.25</v>
      </c>
      <c r="J139" s="100">
        <f t="shared" si="8"/>
        <v>0.22470000000000001</v>
      </c>
      <c r="K139" s="48">
        <f t="shared" si="9"/>
        <v>64.62</v>
      </c>
      <c r="L139" s="48">
        <f t="shared" si="10"/>
        <v>2.75</v>
      </c>
      <c r="M139" s="48">
        <f t="shared" si="11"/>
        <v>6462</v>
      </c>
      <c r="N139" s="48">
        <f t="shared" si="12"/>
        <v>275</v>
      </c>
      <c r="O139" s="50">
        <f t="shared" si="13"/>
        <v>6737</v>
      </c>
      <c r="P139" s="50">
        <v>0</v>
      </c>
      <c r="Q139" s="76"/>
      <c r="R139" s="140">
        <f>IF(20*S10&gt;=50,100,50)</f>
        <v>100</v>
      </c>
      <c r="S139" s="79">
        <v>52.77</v>
      </c>
      <c r="T139" s="80">
        <v>2.25</v>
      </c>
    </row>
    <row r="140" spans="2:20" ht="70">
      <c r="B140" s="5" t="s">
        <v>412</v>
      </c>
      <c r="C140" s="45" t="s">
        <v>135</v>
      </c>
      <c r="D140" s="45">
        <v>102475</v>
      </c>
      <c r="E140" s="6" t="s">
        <v>413</v>
      </c>
      <c r="F140" s="45" t="s">
        <v>161</v>
      </c>
      <c r="G140" s="46">
        <f t="shared" si="16"/>
        <v>1</v>
      </c>
      <c r="H140" s="46">
        <f>TRUNC(S140*(1-LOTE_03!$K$10),2)</f>
        <v>833.37</v>
      </c>
      <c r="I140" s="46">
        <f>TRUNC(T140*(1-LOTE_03!$K$10),2)</f>
        <v>72.27</v>
      </c>
      <c r="J140" s="100">
        <f t="shared" si="8"/>
        <v>0.22470000000000001</v>
      </c>
      <c r="K140" s="48">
        <f t="shared" si="9"/>
        <v>1020.62</v>
      </c>
      <c r="L140" s="48">
        <f t="shared" si="10"/>
        <v>88.5</v>
      </c>
      <c r="M140" s="48">
        <f t="shared" si="11"/>
        <v>1020.62</v>
      </c>
      <c r="N140" s="48">
        <f t="shared" si="12"/>
        <v>88.5</v>
      </c>
      <c r="O140" s="50">
        <f t="shared" si="13"/>
        <v>1109.1199999999999</v>
      </c>
      <c r="P140" s="50">
        <v>0</v>
      </c>
      <c r="Q140" s="76"/>
      <c r="R140" s="140">
        <f>IF(S10&gt;5,5,1)</f>
        <v>1</v>
      </c>
      <c r="S140" s="79">
        <v>833.37</v>
      </c>
      <c r="T140" s="80">
        <v>72.27</v>
      </c>
    </row>
    <row r="141" spans="2:20" ht="42">
      <c r="B141" s="5" t="s">
        <v>414</v>
      </c>
      <c r="C141" s="45" t="s">
        <v>165</v>
      </c>
      <c r="D141" s="45" t="s">
        <v>415</v>
      </c>
      <c r="E141" s="6" t="s">
        <v>416</v>
      </c>
      <c r="F141" s="45" t="s">
        <v>168</v>
      </c>
      <c r="G141" s="46">
        <f t="shared" si="16"/>
        <v>10</v>
      </c>
      <c r="H141" s="46">
        <f>TRUNC(S141*(1-LOTE_03!$K$10),2)</f>
        <v>80.81</v>
      </c>
      <c r="I141" s="46">
        <f>TRUNC(T141*(1-LOTE_03!$K$10),2)</f>
        <v>7.51</v>
      </c>
      <c r="J141" s="100">
        <f t="shared" si="8"/>
        <v>0.22470000000000001</v>
      </c>
      <c r="K141" s="48">
        <f t="shared" si="9"/>
        <v>98.96</v>
      </c>
      <c r="L141" s="48">
        <f t="shared" si="10"/>
        <v>9.19</v>
      </c>
      <c r="M141" s="48">
        <f t="shared" si="11"/>
        <v>989.6</v>
      </c>
      <c r="N141" s="48">
        <f t="shared" si="12"/>
        <v>91.9</v>
      </c>
      <c r="O141" s="50">
        <f t="shared" si="13"/>
        <v>1081.5</v>
      </c>
      <c r="P141" s="50">
        <v>0</v>
      </c>
      <c r="Q141" s="76"/>
      <c r="R141" s="140">
        <f>IF(S10*10&gt;100,100,10)</f>
        <v>10</v>
      </c>
      <c r="S141" s="79">
        <v>80.81</v>
      </c>
      <c r="T141" s="80">
        <v>7.51</v>
      </c>
    </row>
    <row r="142" spans="2:20" ht="56">
      <c r="B142" s="5" t="s">
        <v>417</v>
      </c>
      <c r="C142" s="45" t="s">
        <v>135</v>
      </c>
      <c r="D142" s="45">
        <v>94969</v>
      </c>
      <c r="E142" s="6" t="s">
        <v>418</v>
      </c>
      <c r="F142" s="45" t="s">
        <v>161</v>
      </c>
      <c r="G142" s="46">
        <f t="shared" si="16"/>
        <v>1</v>
      </c>
      <c r="H142" s="46">
        <f>TRUNC(S142*(1-LOTE_03!$K$10),2)</f>
        <v>529.61</v>
      </c>
      <c r="I142" s="46">
        <f>TRUNC(T142*(1-LOTE_03!$K$10),2)</f>
        <v>56.62</v>
      </c>
      <c r="J142" s="100">
        <f t="shared" si="8"/>
        <v>0.22470000000000001</v>
      </c>
      <c r="K142" s="48">
        <f t="shared" si="9"/>
        <v>648.61</v>
      </c>
      <c r="L142" s="48">
        <f t="shared" si="10"/>
        <v>69.34</v>
      </c>
      <c r="M142" s="48">
        <f t="shared" si="11"/>
        <v>648.61</v>
      </c>
      <c r="N142" s="48">
        <f t="shared" si="12"/>
        <v>69.34</v>
      </c>
      <c r="O142" s="50">
        <f t="shared" si="13"/>
        <v>717.95</v>
      </c>
      <c r="P142" s="50">
        <v>0</v>
      </c>
      <c r="Q142" s="76"/>
      <c r="R142" s="140">
        <f>IF(S10&gt;5,10,1)</f>
        <v>1</v>
      </c>
      <c r="S142" s="79">
        <v>529.61</v>
      </c>
      <c r="T142" s="80">
        <v>56.62</v>
      </c>
    </row>
    <row r="143" spans="2:20" ht="56">
      <c r="B143" s="5" t="s">
        <v>419</v>
      </c>
      <c r="C143" s="45" t="s">
        <v>135</v>
      </c>
      <c r="D143" s="45">
        <v>92263</v>
      </c>
      <c r="E143" s="6" t="s">
        <v>420</v>
      </c>
      <c r="F143" s="45" t="s">
        <v>121</v>
      </c>
      <c r="G143" s="46">
        <f t="shared" si="16"/>
        <v>20</v>
      </c>
      <c r="H143" s="46">
        <f>TRUNC(S143*(1-LOTE_03!$K$10),2)</f>
        <v>162.27000000000001</v>
      </c>
      <c r="I143" s="46">
        <f>TRUNC(T143*(1-LOTE_03!$K$10),2)</f>
        <v>34.53</v>
      </c>
      <c r="J143" s="100">
        <f t="shared" si="8"/>
        <v>0.22470000000000001</v>
      </c>
      <c r="K143" s="48">
        <f t="shared" si="9"/>
        <v>198.73</v>
      </c>
      <c r="L143" s="48">
        <f t="shared" si="10"/>
        <v>42.28</v>
      </c>
      <c r="M143" s="48">
        <f t="shared" si="11"/>
        <v>3974.6</v>
      </c>
      <c r="N143" s="48">
        <f t="shared" si="12"/>
        <v>845.6</v>
      </c>
      <c r="O143" s="50">
        <f t="shared" si="13"/>
        <v>4820.2</v>
      </c>
      <c r="P143" s="50">
        <v>0</v>
      </c>
      <c r="Q143" s="76"/>
      <c r="R143" s="140">
        <f>IF(S10&gt;5,100,20)</f>
        <v>20</v>
      </c>
      <c r="S143" s="79">
        <v>162.27000000000001</v>
      </c>
      <c r="T143" s="80">
        <v>34.53</v>
      </c>
    </row>
    <row r="144" spans="2:20" ht="70">
      <c r="B144" s="5" t="s">
        <v>421</v>
      </c>
      <c r="C144" s="45" t="s">
        <v>135</v>
      </c>
      <c r="D144" s="45">
        <v>92409</v>
      </c>
      <c r="E144" s="6" t="s">
        <v>422</v>
      </c>
      <c r="F144" s="45" t="s">
        <v>121</v>
      </c>
      <c r="G144" s="46">
        <f t="shared" si="16"/>
        <v>20</v>
      </c>
      <c r="H144" s="46">
        <f>TRUNC(S144*(1-LOTE_03!$K$10),2)</f>
        <v>188.69</v>
      </c>
      <c r="I144" s="46">
        <f>TRUNC(T144*(1-LOTE_03!$K$10),2)</f>
        <v>94.75</v>
      </c>
      <c r="J144" s="100">
        <f t="shared" si="8"/>
        <v>0.22470000000000001</v>
      </c>
      <c r="K144" s="48">
        <f t="shared" si="9"/>
        <v>231.08</v>
      </c>
      <c r="L144" s="48">
        <f t="shared" si="10"/>
        <v>116.04</v>
      </c>
      <c r="M144" s="48">
        <f t="shared" si="11"/>
        <v>4621.6000000000004</v>
      </c>
      <c r="N144" s="48">
        <f t="shared" si="12"/>
        <v>2320.8000000000002</v>
      </c>
      <c r="O144" s="50">
        <f t="shared" si="13"/>
        <v>6942.4</v>
      </c>
      <c r="P144" s="50">
        <v>0</v>
      </c>
      <c r="Q144" s="76"/>
      <c r="R144" s="140">
        <f>IF(S10&gt;5,100,20)</f>
        <v>20</v>
      </c>
      <c r="S144" s="79">
        <v>188.69</v>
      </c>
      <c r="T144" s="80">
        <v>94.75</v>
      </c>
    </row>
    <row r="145" spans="2:20" ht="56">
      <c r="B145" s="5" t="s">
        <v>423</v>
      </c>
      <c r="C145" s="45" t="s">
        <v>135</v>
      </c>
      <c r="D145" s="45">
        <v>92482</v>
      </c>
      <c r="E145" s="6" t="s">
        <v>424</v>
      </c>
      <c r="F145" s="45" t="s">
        <v>121</v>
      </c>
      <c r="G145" s="46">
        <f t="shared" si="16"/>
        <v>20</v>
      </c>
      <c r="H145" s="46">
        <f>TRUNC(S145*(1-LOTE_03!$K$10),2)</f>
        <v>223.99</v>
      </c>
      <c r="I145" s="46">
        <f>TRUNC(T145*(1-LOTE_03!$K$10),2)</f>
        <v>102.37</v>
      </c>
      <c r="J145" s="100">
        <f t="shared" ref="J145:J209" si="17">$J$4</f>
        <v>0.22470000000000001</v>
      </c>
      <c r="K145" s="48">
        <f t="shared" ref="K145:K207" si="18">TRUNC(H145*(1+J145),2)</f>
        <v>274.32</v>
      </c>
      <c r="L145" s="48">
        <f t="shared" ref="L145:L207" si="19">TRUNC(I145*(1+J145),2)</f>
        <v>125.37</v>
      </c>
      <c r="M145" s="48">
        <f t="shared" ref="M145:M207" si="20">TRUNC(K145*G145,2)</f>
        <v>5486.4</v>
      </c>
      <c r="N145" s="48">
        <f t="shared" ref="N145:N207" si="21">TRUNC(L145*G145,2)</f>
        <v>2507.4</v>
      </c>
      <c r="O145" s="50">
        <f t="shared" ref="O145:O207" si="22">TRUNC(M145+N145,2)</f>
        <v>7993.8</v>
      </c>
      <c r="P145" s="50">
        <v>0</v>
      </c>
      <c r="Q145" s="76"/>
      <c r="R145" s="140">
        <f>IF(S10&gt;5,100,20)</f>
        <v>20</v>
      </c>
      <c r="S145" s="79">
        <v>223.99</v>
      </c>
      <c r="T145" s="80">
        <v>102.37</v>
      </c>
    </row>
    <row r="146" spans="2:20" ht="70">
      <c r="B146" s="5" t="s">
        <v>425</v>
      </c>
      <c r="C146" s="45" t="s">
        <v>135</v>
      </c>
      <c r="D146" s="45">
        <v>101963</v>
      </c>
      <c r="E146" s="6" t="s">
        <v>426</v>
      </c>
      <c r="F146" s="45" t="s">
        <v>121</v>
      </c>
      <c r="G146" s="46">
        <f t="shared" si="16"/>
        <v>20</v>
      </c>
      <c r="H146" s="46">
        <f>TRUNC(S146*(1-LOTE_03!$K$10),2)</f>
        <v>182.31</v>
      </c>
      <c r="I146" s="46">
        <f>TRUNC(T146*(1-LOTE_03!$K$10),2)</f>
        <v>27.52</v>
      </c>
      <c r="J146" s="100">
        <f t="shared" si="17"/>
        <v>0.22470000000000001</v>
      </c>
      <c r="K146" s="48">
        <f t="shared" si="18"/>
        <v>223.27</v>
      </c>
      <c r="L146" s="48">
        <f t="shared" si="19"/>
        <v>33.700000000000003</v>
      </c>
      <c r="M146" s="48">
        <f t="shared" si="20"/>
        <v>4465.3999999999996</v>
      </c>
      <c r="N146" s="48">
        <f t="shared" si="21"/>
        <v>674</v>
      </c>
      <c r="O146" s="50">
        <f t="shared" si="22"/>
        <v>5139.3999999999996</v>
      </c>
      <c r="P146" s="50">
        <v>0</v>
      </c>
      <c r="Q146" s="76"/>
      <c r="R146" s="140">
        <f>IF(S10&gt;5,100,20)</f>
        <v>20</v>
      </c>
      <c r="S146" s="79">
        <v>182.31</v>
      </c>
      <c r="T146" s="80">
        <v>27.52</v>
      </c>
    </row>
    <row r="147" spans="2:20" ht="42">
      <c r="B147" s="5" t="s">
        <v>427</v>
      </c>
      <c r="C147" s="45" t="s">
        <v>135</v>
      </c>
      <c r="D147" s="45">
        <v>103670</v>
      </c>
      <c r="E147" s="6" t="s">
        <v>390</v>
      </c>
      <c r="F147" s="45" t="s">
        <v>161</v>
      </c>
      <c r="G147" s="46">
        <f t="shared" si="16"/>
        <v>1</v>
      </c>
      <c r="H147" s="46">
        <f>TRUNC(S147*(1-LOTE_03!$K$10),2)</f>
        <v>89.99</v>
      </c>
      <c r="I147" s="46">
        <f>TRUNC(T147*(1-LOTE_03!$K$10),2)</f>
        <v>242.92</v>
      </c>
      <c r="J147" s="100">
        <f t="shared" si="17"/>
        <v>0.22470000000000001</v>
      </c>
      <c r="K147" s="48">
        <f t="shared" si="18"/>
        <v>110.21</v>
      </c>
      <c r="L147" s="48">
        <f t="shared" si="19"/>
        <v>297.5</v>
      </c>
      <c r="M147" s="48">
        <f t="shared" si="20"/>
        <v>110.21</v>
      </c>
      <c r="N147" s="48">
        <f t="shared" si="21"/>
        <v>297.5</v>
      </c>
      <c r="O147" s="50">
        <f t="shared" si="22"/>
        <v>407.71</v>
      </c>
      <c r="P147" s="50">
        <v>0</v>
      </c>
      <c r="Q147" s="76"/>
      <c r="R147" s="140">
        <f>IF(S10&gt;5,5,1)</f>
        <v>1</v>
      </c>
      <c r="S147" s="79">
        <v>89.990000000000038</v>
      </c>
      <c r="T147" s="80">
        <v>242.92</v>
      </c>
    </row>
    <row r="148" spans="2:20" ht="42">
      <c r="B148" s="5" t="s">
        <v>428</v>
      </c>
      <c r="C148" s="45" t="s">
        <v>135</v>
      </c>
      <c r="D148" s="45">
        <v>105036</v>
      </c>
      <c r="E148" s="6" t="s">
        <v>429</v>
      </c>
      <c r="F148" s="45" t="s">
        <v>187</v>
      </c>
      <c r="G148" s="46">
        <f t="shared" si="16"/>
        <v>20</v>
      </c>
      <c r="H148" s="46">
        <f>TRUNC(S148*(1-LOTE_03!$K$10),2)</f>
        <v>27.89</v>
      </c>
      <c r="I148" s="46">
        <f>TRUNC(T148*(1-LOTE_03!$K$10),2)</f>
        <v>26.12</v>
      </c>
      <c r="J148" s="100">
        <f t="shared" si="17"/>
        <v>0.22470000000000001</v>
      </c>
      <c r="K148" s="48">
        <f t="shared" si="18"/>
        <v>34.15</v>
      </c>
      <c r="L148" s="48">
        <f t="shared" si="19"/>
        <v>31.98</v>
      </c>
      <c r="M148" s="48">
        <f t="shared" si="20"/>
        <v>683</v>
      </c>
      <c r="N148" s="48">
        <f t="shared" si="21"/>
        <v>639.6</v>
      </c>
      <c r="O148" s="50">
        <f t="shared" si="22"/>
        <v>1322.6</v>
      </c>
      <c r="P148" s="50">
        <v>0</v>
      </c>
      <c r="Q148" s="76"/>
      <c r="R148" s="140">
        <f>IF(S10&gt;=5,20,5)</f>
        <v>20</v>
      </c>
      <c r="S148" s="79">
        <v>27.889999999999997</v>
      </c>
      <c r="T148" s="80">
        <v>26.12</v>
      </c>
    </row>
    <row r="149" spans="2:20" ht="42">
      <c r="B149" s="5" t="s">
        <v>430</v>
      </c>
      <c r="C149" s="45" t="s">
        <v>135</v>
      </c>
      <c r="D149" s="45">
        <v>94588</v>
      </c>
      <c r="E149" s="6" t="s">
        <v>431</v>
      </c>
      <c r="F149" s="45" t="s">
        <v>187</v>
      </c>
      <c r="G149" s="46">
        <f t="shared" si="16"/>
        <v>20</v>
      </c>
      <c r="H149" s="46">
        <f>TRUNC(S149*(1-LOTE_03!$K$10),2)</f>
        <v>54</v>
      </c>
      <c r="I149" s="46">
        <f>TRUNC(T149*(1-LOTE_03!$K$10),2)</f>
        <v>26.38</v>
      </c>
      <c r="J149" s="100">
        <f t="shared" si="17"/>
        <v>0.22470000000000001</v>
      </c>
      <c r="K149" s="48">
        <f t="shared" si="18"/>
        <v>66.13</v>
      </c>
      <c r="L149" s="48">
        <f t="shared" si="19"/>
        <v>32.299999999999997</v>
      </c>
      <c r="M149" s="48">
        <f t="shared" si="20"/>
        <v>1322.6</v>
      </c>
      <c r="N149" s="48">
        <f t="shared" si="21"/>
        <v>646</v>
      </c>
      <c r="O149" s="50">
        <f t="shared" si="22"/>
        <v>1968.6</v>
      </c>
      <c r="P149" s="50">
        <v>0</v>
      </c>
      <c r="Q149" s="76"/>
      <c r="R149" s="140">
        <f>IF(S10&gt;=5,20,5)</f>
        <v>20</v>
      </c>
      <c r="S149" s="79">
        <v>54</v>
      </c>
      <c r="T149" s="80">
        <v>26.38</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1176290.1000000001</v>
      </c>
      <c r="Q150" s="76"/>
      <c r="R150" s="154"/>
      <c r="S150" s="79" t="s">
        <v>22</v>
      </c>
      <c r="T150" s="80" t="s">
        <v>22</v>
      </c>
    </row>
    <row r="151" spans="2:20" ht="28">
      <c r="B151" s="5" t="s">
        <v>432</v>
      </c>
      <c r="C151" s="45" t="s">
        <v>135</v>
      </c>
      <c r="D151" s="45">
        <v>98458</v>
      </c>
      <c r="E151" s="6" t="s">
        <v>433</v>
      </c>
      <c r="F151" s="45" t="s">
        <v>121</v>
      </c>
      <c r="G151" s="46">
        <f t="shared" si="23"/>
        <v>200</v>
      </c>
      <c r="H151" s="46">
        <f>TRUNC(S151*(1-LOTE_03!$K$10),2)</f>
        <v>85.65</v>
      </c>
      <c r="I151" s="46">
        <f>TRUNC(T151*(1-LOTE_03!$K$10),2)</f>
        <v>26.89</v>
      </c>
      <c r="J151" s="100">
        <f t="shared" si="17"/>
        <v>0.22470000000000001</v>
      </c>
      <c r="K151" s="48">
        <f t="shared" si="18"/>
        <v>104.89</v>
      </c>
      <c r="L151" s="48">
        <f t="shared" si="19"/>
        <v>32.93</v>
      </c>
      <c r="M151" s="48">
        <f t="shared" si="20"/>
        <v>20978</v>
      </c>
      <c r="N151" s="48">
        <f t="shared" si="21"/>
        <v>6586</v>
      </c>
      <c r="O151" s="50">
        <f t="shared" si="22"/>
        <v>27564</v>
      </c>
      <c r="P151" s="50">
        <v>0</v>
      </c>
      <c r="Q151" s="76"/>
      <c r="R151" s="140">
        <f>IF((15*3*S9+15*3*S10)&gt;200,200,(15*3*S9+15*3*S10))</f>
        <v>200</v>
      </c>
      <c r="S151" s="79">
        <v>85.65</v>
      </c>
      <c r="T151" s="80">
        <v>26.89</v>
      </c>
    </row>
    <row r="152" spans="2:20" ht="70">
      <c r="B152" s="5" t="s">
        <v>434</v>
      </c>
      <c r="C152" s="45" t="s">
        <v>135</v>
      </c>
      <c r="D152" s="45">
        <v>103329</v>
      </c>
      <c r="E152" s="6" t="s">
        <v>435</v>
      </c>
      <c r="F152" s="45" t="s">
        <v>121</v>
      </c>
      <c r="G152" s="46">
        <f t="shared" si="23"/>
        <v>330</v>
      </c>
      <c r="H152" s="46">
        <f>TRUNC(S152*(1-LOTE_03!$K$10),2)</f>
        <v>57.56</v>
      </c>
      <c r="I152" s="46">
        <f>TRUNC(T152*(1-LOTE_03!$K$10),2)</f>
        <v>51.62</v>
      </c>
      <c r="J152" s="100">
        <f t="shared" si="17"/>
        <v>0.22470000000000001</v>
      </c>
      <c r="K152" s="48">
        <f t="shared" si="18"/>
        <v>70.489999999999995</v>
      </c>
      <c r="L152" s="48">
        <f t="shared" si="19"/>
        <v>63.21</v>
      </c>
      <c r="M152" s="48">
        <f t="shared" si="20"/>
        <v>23261.7</v>
      </c>
      <c r="N152" s="48">
        <f t="shared" si="21"/>
        <v>20859.3</v>
      </c>
      <c r="O152" s="50">
        <f t="shared" si="22"/>
        <v>44121</v>
      </c>
      <c r="P152" s="50">
        <v>0</v>
      </c>
      <c r="Q152" s="76"/>
      <c r="R152" s="140">
        <f>IF((20*S9+50*S10)&gt;1000,1000,(20*S9+50*S10))</f>
        <v>330</v>
      </c>
      <c r="S152" s="79">
        <v>57.560000000000009</v>
      </c>
      <c r="T152" s="80">
        <v>51.62</v>
      </c>
    </row>
    <row r="153" spans="2:20" ht="70">
      <c r="B153" s="5" t="s">
        <v>436</v>
      </c>
      <c r="C153" s="45" t="s">
        <v>135</v>
      </c>
      <c r="D153" s="45">
        <v>103331</v>
      </c>
      <c r="E153" s="6" t="s">
        <v>437</v>
      </c>
      <c r="F153" s="45" t="s">
        <v>121</v>
      </c>
      <c r="G153" s="46">
        <f t="shared" si="23"/>
        <v>330</v>
      </c>
      <c r="H153" s="46">
        <f>TRUNC(S153*(1-LOTE_03!$K$10),2)</f>
        <v>58.59</v>
      </c>
      <c r="I153" s="46">
        <f>TRUNC(T153*(1-LOTE_03!$K$10),2)</f>
        <v>38.67</v>
      </c>
      <c r="J153" s="100">
        <f t="shared" si="17"/>
        <v>0.22470000000000001</v>
      </c>
      <c r="K153" s="48">
        <f t="shared" si="18"/>
        <v>71.75</v>
      </c>
      <c r="L153" s="48">
        <f t="shared" si="19"/>
        <v>47.35</v>
      </c>
      <c r="M153" s="48">
        <f t="shared" si="20"/>
        <v>23677.5</v>
      </c>
      <c r="N153" s="48">
        <f t="shared" si="21"/>
        <v>15625.5</v>
      </c>
      <c r="O153" s="50">
        <f t="shared" si="22"/>
        <v>39303</v>
      </c>
      <c r="P153" s="50">
        <v>0</v>
      </c>
      <c r="Q153" s="76"/>
      <c r="R153" s="140">
        <f>IF((20*S9+50*S10)&gt;1000,1000,(20*S9+50*S10))</f>
        <v>330</v>
      </c>
      <c r="S153" s="79">
        <v>58.59</v>
      </c>
      <c r="T153" s="80">
        <v>38.67</v>
      </c>
    </row>
    <row r="154" spans="2:20" ht="70">
      <c r="B154" s="5" t="s">
        <v>438</v>
      </c>
      <c r="C154" s="45" t="s">
        <v>135</v>
      </c>
      <c r="D154" s="45">
        <v>96358</v>
      </c>
      <c r="E154" s="6" t="s">
        <v>439</v>
      </c>
      <c r="F154" s="45" t="s">
        <v>121</v>
      </c>
      <c r="G154" s="46">
        <f t="shared" si="23"/>
        <v>330</v>
      </c>
      <c r="H154" s="46">
        <f>TRUNC(S154*(1-LOTE_03!$K$10),2)</f>
        <v>102.14</v>
      </c>
      <c r="I154" s="46">
        <f>TRUNC(T154*(1-LOTE_03!$K$10),2)</f>
        <v>13.2</v>
      </c>
      <c r="J154" s="100">
        <f t="shared" si="17"/>
        <v>0.22470000000000001</v>
      </c>
      <c r="K154" s="48">
        <f t="shared" si="18"/>
        <v>125.09</v>
      </c>
      <c r="L154" s="48">
        <f t="shared" si="19"/>
        <v>16.16</v>
      </c>
      <c r="M154" s="48">
        <f t="shared" si="20"/>
        <v>41279.699999999997</v>
      </c>
      <c r="N154" s="48">
        <f t="shared" si="21"/>
        <v>5332.8</v>
      </c>
      <c r="O154" s="50">
        <f t="shared" si="22"/>
        <v>46612.5</v>
      </c>
      <c r="P154" s="50">
        <v>0</v>
      </c>
      <c r="Q154" s="76"/>
      <c r="R154" s="140">
        <f>IF((20*S9+50*S10)&gt;500,500,(20*S9+50*S10))</f>
        <v>330</v>
      </c>
      <c r="S154" s="79">
        <v>102.14</v>
      </c>
      <c r="T154" s="80">
        <v>13.2</v>
      </c>
    </row>
    <row r="155" spans="2:20" ht="98">
      <c r="B155" s="5" t="s">
        <v>440</v>
      </c>
      <c r="C155" s="45" t="s">
        <v>135</v>
      </c>
      <c r="D155" s="45">
        <v>96359</v>
      </c>
      <c r="E155" s="6" t="s">
        <v>441</v>
      </c>
      <c r="F155" s="45" t="s">
        <v>121</v>
      </c>
      <c r="G155" s="46">
        <f t="shared" si="23"/>
        <v>330</v>
      </c>
      <c r="H155" s="46">
        <f>TRUNC(S155*(1-LOTE_03!$K$10),2)</f>
        <v>111.99</v>
      </c>
      <c r="I155" s="46">
        <f>TRUNC(T155*(1-LOTE_03!$K$10),2)</f>
        <v>14.98</v>
      </c>
      <c r="J155" s="100">
        <f t="shared" si="17"/>
        <v>0.22470000000000001</v>
      </c>
      <c r="K155" s="48">
        <f t="shared" si="18"/>
        <v>137.15</v>
      </c>
      <c r="L155" s="48">
        <f t="shared" si="19"/>
        <v>18.34</v>
      </c>
      <c r="M155" s="48">
        <f t="shared" si="20"/>
        <v>45259.5</v>
      </c>
      <c r="N155" s="48">
        <f t="shared" si="21"/>
        <v>6052.2</v>
      </c>
      <c r="O155" s="50">
        <f t="shared" si="22"/>
        <v>51311.7</v>
      </c>
      <c r="P155" s="50">
        <v>0</v>
      </c>
      <c r="Q155" s="76"/>
      <c r="R155" s="140">
        <f>IF((20*S9+50*S10)&gt;500,500,(20*S9+50*S10))</f>
        <v>330</v>
      </c>
      <c r="S155" s="79">
        <v>111.99</v>
      </c>
      <c r="T155" s="80">
        <v>14.98</v>
      </c>
    </row>
    <row r="156" spans="2:20" ht="42">
      <c r="B156" s="5" t="s">
        <v>442</v>
      </c>
      <c r="C156" s="45" t="s">
        <v>97</v>
      </c>
      <c r="D156" s="45" t="s">
        <v>443</v>
      </c>
      <c r="E156" s="6" t="s">
        <v>444</v>
      </c>
      <c r="F156" s="45" t="s">
        <v>121</v>
      </c>
      <c r="G156" s="46">
        <f t="shared" si="23"/>
        <v>180</v>
      </c>
      <c r="H156" s="46">
        <f>TRUNC(S156*(1-LOTE_03!$K$10),2)</f>
        <v>430.75</v>
      </c>
      <c r="I156" s="46">
        <f>TRUNC(T156*(1-LOTE_03!$K$10),2)</f>
        <v>103.36</v>
      </c>
      <c r="J156" s="100">
        <f t="shared" si="17"/>
        <v>0.22470000000000001</v>
      </c>
      <c r="K156" s="48">
        <f t="shared" si="18"/>
        <v>527.53</v>
      </c>
      <c r="L156" s="48">
        <f t="shared" si="19"/>
        <v>126.58</v>
      </c>
      <c r="M156" s="48">
        <f t="shared" si="20"/>
        <v>94955.4</v>
      </c>
      <c r="N156" s="48">
        <f t="shared" si="21"/>
        <v>22784.400000000001</v>
      </c>
      <c r="O156" s="50">
        <f t="shared" si="22"/>
        <v>117739.8</v>
      </c>
      <c r="P156" s="50">
        <v>0</v>
      </c>
      <c r="Q156" s="76"/>
      <c r="R156" s="140">
        <f>IF((20*S9+20*S10)&gt;200,200,(20*S9+20*S10))</f>
        <v>180</v>
      </c>
      <c r="S156" s="79">
        <v>430.75</v>
      </c>
      <c r="T156" s="80">
        <v>103.36</v>
      </c>
    </row>
    <row r="157" spans="2:20" ht="42">
      <c r="B157" s="5" t="s">
        <v>445</v>
      </c>
      <c r="C157" s="45" t="s">
        <v>135</v>
      </c>
      <c r="D157" s="45">
        <v>102180</v>
      </c>
      <c r="E157" s="6" t="s">
        <v>1772</v>
      </c>
      <c r="F157" s="45" t="s">
        <v>121</v>
      </c>
      <c r="G157" s="46">
        <f t="shared" si="23"/>
        <v>100</v>
      </c>
      <c r="H157" s="46">
        <f>TRUNC(S157*(1-LOTE_03!$K$10),2)</f>
        <v>473.93</v>
      </c>
      <c r="I157" s="46">
        <f>TRUNC(T157*(1-LOTE_03!$K$10),2)</f>
        <v>47.78</v>
      </c>
      <c r="J157" s="100">
        <f t="shared" si="17"/>
        <v>0.22470000000000001</v>
      </c>
      <c r="K157" s="48">
        <f t="shared" si="18"/>
        <v>580.41999999999996</v>
      </c>
      <c r="L157" s="48">
        <f t="shared" si="19"/>
        <v>58.51</v>
      </c>
      <c r="M157" s="48">
        <f t="shared" si="20"/>
        <v>58042</v>
      </c>
      <c r="N157" s="48">
        <f t="shared" si="21"/>
        <v>5851</v>
      </c>
      <c r="O157" s="50">
        <f t="shared" si="22"/>
        <v>63893</v>
      </c>
      <c r="P157" s="50">
        <v>0</v>
      </c>
      <c r="Q157" s="76"/>
      <c r="R157" s="140">
        <f>IF((20*S9+20*S10)&gt;100,100,(20*S9+20*S10))</f>
        <v>100</v>
      </c>
      <c r="S157" s="79">
        <v>473.93000000000006</v>
      </c>
      <c r="T157" s="80">
        <v>47.78</v>
      </c>
    </row>
    <row r="158" spans="2:20" ht="42">
      <c r="B158" s="5" t="s">
        <v>446</v>
      </c>
      <c r="C158" s="45" t="s">
        <v>135</v>
      </c>
      <c r="D158" s="45">
        <v>102181</v>
      </c>
      <c r="E158" s="6" t="s">
        <v>1773</v>
      </c>
      <c r="F158" s="45" t="s">
        <v>121</v>
      </c>
      <c r="G158" s="46">
        <f t="shared" si="23"/>
        <v>180</v>
      </c>
      <c r="H158" s="46">
        <f>TRUNC(S158*(1-LOTE_03!$K$10),2)</f>
        <v>588.53</v>
      </c>
      <c r="I158" s="46">
        <f>TRUNC(T158*(1-LOTE_03!$K$10),2)</f>
        <v>44.91</v>
      </c>
      <c r="J158" s="100">
        <f t="shared" si="17"/>
        <v>0.22470000000000001</v>
      </c>
      <c r="K158" s="48">
        <f t="shared" si="18"/>
        <v>720.77</v>
      </c>
      <c r="L158" s="48">
        <f t="shared" si="19"/>
        <v>55</v>
      </c>
      <c r="M158" s="48">
        <f t="shared" si="20"/>
        <v>129738.6</v>
      </c>
      <c r="N158" s="48">
        <f t="shared" si="21"/>
        <v>9900</v>
      </c>
      <c r="O158" s="50">
        <f t="shared" si="22"/>
        <v>139638.6</v>
      </c>
      <c r="P158" s="50">
        <v>0</v>
      </c>
      <c r="Q158" s="76"/>
      <c r="R158" s="140">
        <f>IF((20*S9+20*S10)&gt;200,200,(20*S9+20*S10))</f>
        <v>180</v>
      </c>
      <c r="S158" s="79">
        <v>588.53000000000009</v>
      </c>
      <c r="T158" s="80">
        <v>44.91</v>
      </c>
    </row>
    <row r="159" spans="2:20" ht="56">
      <c r="B159" s="5" t="s">
        <v>447</v>
      </c>
      <c r="C159" s="45" t="s">
        <v>97</v>
      </c>
      <c r="D159" s="45" t="s">
        <v>448</v>
      </c>
      <c r="E159" s="6" t="s">
        <v>449</v>
      </c>
      <c r="F159" s="45" t="s">
        <v>121</v>
      </c>
      <c r="G159" s="46">
        <f t="shared" si="23"/>
        <v>180</v>
      </c>
      <c r="H159" s="46">
        <f>TRUNC(S159*(1-LOTE_03!$K$10),2)</f>
        <v>143.80000000000001</v>
      </c>
      <c r="I159" s="46">
        <f>TRUNC(T159*(1-LOTE_03!$K$10),2)</f>
        <v>44.91</v>
      </c>
      <c r="J159" s="100">
        <f t="shared" si="17"/>
        <v>0.22470000000000001</v>
      </c>
      <c r="K159" s="48">
        <f t="shared" si="18"/>
        <v>176.11</v>
      </c>
      <c r="L159" s="48">
        <f t="shared" si="19"/>
        <v>55</v>
      </c>
      <c r="M159" s="48">
        <f t="shared" si="20"/>
        <v>31699.8</v>
      </c>
      <c r="N159" s="48">
        <f t="shared" si="21"/>
        <v>9900</v>
      </c>
      <c r="O159" s="50">
        <f t="shared" si="22"/>
        <v>41599.800000000003</v>
      </c>
      <c r="P159" s="50">
        <v>0</v>
      </c>
      <c r="Q159" s="76"/>
      <c r="R159" s="140">
        <f>IF((20*S9+20*S10)&gt;200,200,(20*S9+20*S10))</f>
        <v>180</v>
      </c>
      <c r="S159" s="79">
        <v>143.80000000000001</v>
      </c>
      <c r="T159" s="80">
        <v>44.91</v>
      </c>
    </row>
    <row r="160" spans="2:20" ht="56">
      <c r="B160" s="5" t="s">
        <v>450</v>
      </c>
      <c r="C160" s="45" t="s">
        <v>135</v>
      </c>
      <c r="D160" s="45">
        <v>102253</v>
      </c>
      <c r="E160" s="6" t="s">
        <v>1774</v>
      </c>
      <c r="F160" s="45" t="s">
        <v>121</v>
      </c>
      <c r="G160" s="46">
        <f>IF($S$11=0,0,TRUNC(R160,2))</f>
        <v>10</v>
      </c>
      <c r="H160" s="46">
        <f>TRUNC(S160*(1-LOTE_03!$K$10),2)</f>
        <v>826.58</v>
      </c>
      <c r="I160" s="46">
        <f>TRUNC(T160*(1-LOTE_03!$K$10),2)</f>
        <v>66.73</v>
      </c>
      <c r="J160" s="100">
        <f t="shared" si="17"/>
        <v>0.22470000000000001</v>
      </c>
      <c r="K160" s="48">
        <f t="shared" si="18"/>
        <v>1012.31</v>
      </c>
      <c r="L160" s="48">
        <f t="shared" si="19"/>
        <v>81.72</v>
      </c>
      <c r="M160" s="48">
        <f t="shared" si="20"/>
        <v>10123.1</v>
      </c>
      <c r="N160" s="48">
        <f t="shared" si="21"/>
        <v>817.2</v>
      </c>
      <c r="O160" s="50">
        <f t="shared" si="22"/>
        <v>10940.3</v>
      </c>
      <c r="P160" s="50">
        <v>0</v>
      </c>
      <c r="Q160" s="76"/>
      <c r="R160" s="140">
        <f>IF(S10&gt;=5,10,5)</f>
        <v>10</v>
      </c>
      <c r="S160" s="79">
        <v>826.57999999999993</v>
      </c>
      <c r="T160" s="80">
        <v>66.73</v>
      </c>
    </row>
    <row r="161" spans="2:20" ht="42">
      <c r="B161" s="5" t="s">
        <v>451</v>
      </c>
      <c r="C161" s="45" t="s">
        <v>165</v>
      </c>
      <c r="D161" s="45" t="s">
        <v>452</v>
      </c>
      <c r="E161" s="6" t="s">
        <v>453</v>
      </c>
      <c r="F161" s="45" t="s">
        <v>168</v>
      </c>
      <c r="G161" s="46">
        <f t="shared" si="23"/>
        <v>450</v>
      </c>
      <c r="H161" s="46">
        <f>TRUNC(S161*(1-LOTE_03!$K$10),2)</f>
        <v>333.3</v>
      </c>
      <c r="I161" s="46">
        <f>TRUNC(T161*(1-LOTE_03!$K$10),2)</f>
        <v>0</v>
      </c>
      <c r="J161" s="100">
        <f t="shared" si="17"/>
        <v>0.22470000000000001</v>
      </c>
      <c r="K161" s="48">
        <f t="shared" si="18"/>
        <v>408.19</v>
      </c>
      <c r="L161" s="48">
        <f t="shared" si="19"/>
        <v>0</v>
      </c>
      <c r="M161" s="48">
        <f t="shared" si="20"/>
        <v>183685.5</v>
      </c>
      <c r="N161" s="48">
        <f t="shared" si="21"/>
        <v>0</v>
      </c>
      <c r="O161" s="50">
        <f t="shared" si="22"/>
        <v>183685.5</v>
      </c>
      <c r="P161" s="50">
        <v>0</v>
      </c>
      <c r="Q161" s="76"/>
      <c r="R161" s="140">
        <f>IF((50*S9+50*S10)&gt;500,500,(50*S9+50*S10))</f>
        <v>450</v>
      </c>
      <c r="S161" s="79">
        <v>333.3</v>
      </c>
      <c r="T161" s="80">
        <v>0</v>
      </c>
    </row>
    <row r="162" spans="2:20" ht="56">
      <c r="B162" s="5" t="s">
        <v>454</v>
      </c>
      <c r="C162" s="45" t="s">
        <v>165</v>
      </c>
      <c r="D162" s="45" t="s">
        <v>455</v>
      </c>
      <c r="E162" s="6" t="s">
        <v>456</v>
      </c>
      <c r="F162" s="45" t="s">
        <v>168</v>
      </c>
      <c r="G162" s="46">
        <f t="shared" si="23"/>
        <v>100</v>
      </c>
      <c r="H162" s="46">
        <f>TRUNC(S162*(1-LOTE_03!$K$10),2)</f>
        <v>626.24</v>
      </c>
      <c r="I162" s="46">
        <f>TRUNC(T162*(1-LOTE_03!$K$10),2)</f>
        <v>0</v>
      </c>
      <c r="J162" s="100">
        <f t="shared" si="17"/>
        <v>0.22470000000000001</v>
      </c>
      <c r="K162" s="48">
        <f t="shared" si="18"/>
        <v>766.95</v>
      </c>
      <c r="L162" s="48">
        <f t="shared" si="19"/>
        <v>0</v>
      </c>
      <c r="M162" s="48">
        <f t="shared" si="20"/>
        <v>76695</v>
      </c>
      <c r="N162" s="48">
        <f t="shared" si="21"/>
        <v>0</v>
      </c>
      <c r="O162" s="50">
        <f t="shared" si="22"/>
        <v>76695</v>
      </c>
      <c r="P162" s="50">
        <v>0</v>
      </c>
      <c r="Q162" s="76"/>
      <c r="R162" s="140">
        <f>IF((50*S9+50*S10)&gt;100,100,(50*S9+50*S10))</f>
        <v>100</v>
      </c>
      <c r="S162" s="79">
        <v>626.24</v>
      </c>
      <c r="T162" s="80">
        <v>0</v>
      </c>
    </row>
    <row r="163" spans="2:20" ht="56">
      <c r="B163" s="5" t="s">
        <v>457</v>
      </c>
      <c r="C163" s="45" t="s">
        <v>97</v>
      </c>
      <c r="D163" s="45" t="s">
        <v>458</v>
      </c>
      <c r="E163" s="6" t="s">
        <v>459</v>
      </c>
      <c r="F163" s="45" t="s">
        <v>121</v>
      </c>
      <c r="G163" s="46">
        <f t="shared" si="23"/>
        <v>100</v>
      </c>
      <c r="H163" s="46">
        <f>TRUNC(S163*(1-LOTE_03!$K$10),2)</f>
        <v>90.52</v>
      </c>
      <c r="I163" s="46">
        <f>TRUNC(T163*(1-LOTE_03!$K$10),2)</f>
        <v>29.15</v>
      </c>
      <c r="J163" s="100">
        <f t="shared" si="17"/>
        <v>0.22470000000000001</v>
      </c>
      <c r="K163" s="48">
        <f t="shared" si="18"/>
        <v>110.85</v>
      </c>
      <c r="L163" s="48">
        <f t="shared" si="19"/>
        <v>35.700000000000003</v>
      </c>
      <c r="M163" s="48">
        <f t="shared" si="20"/>
        <v>11085</v>
      </c>
      <c r="N163" s="48">
        <f t="shared" si="21"/>
        <v>3570</v>
      </c>
      <c r="O163" s="50">
        <f t="shared" si="22"/>
        <v>14655</v>
      </c>
      <c r="P163" s="50">
        <v>0</v>
      </c>
      <c r="Q163" s="76"/>
      <c r="R163" s="140">
        <f>IF((50*S9+50*S10)&gt;100,100,(50*S9+50*S10))</f>
        <v>100</v>
      </c>
      <c r="S163" s="79">
        <v>90.52</v>
      </c>
      <c r="T163" s="80">
        <v>29.15</v>
      </c>
    </row>
    <row r="164" spans="2:20" ht="42">
      <c r="B164" s="5" t="s">
        <v>460</v>
      </c>
      <c r="C164" s="45" t="s">
        <v>97</v>
      </c>
      <c r="D164" s="45" t="s">
        <v>461</v>
      </c>
      <c r="E164" s="6" t="s">
        <v>462</v>
      </c>
      <c r="F164" s="45" t="s">
        <v>121</v>
      </c>
      <c r="G164" s="46">
        <f t="shared" si="23"/>
        <v>200</v>
      </c>
      <c r="H164" s="46">
        <f>TRUNC(S164*(1-LOTE_03!$K$10),2)</f>
        <v>79.989999999999995</v>
      </c>
      <c r="I164" s="46">
        <f>TRUNC(T164*(1-LOTE_03!$K$10),2)</f>
        <v>29.15</v>
      </c>
      <c r="J164" s="100">
        <f t="shared" si="17"/>
        <v>0.22470000000000001</v>
      </c>
      <c r="K164" s="48">
        <f t="shared" si="18"/>
        <v>97.96</v>
      </c>
      <c r="L164" s="48">
        <f t="shared" si="19"/>
        <v>35.700000000000003</v>
      </c>
      <c r="M164" s="48">
        <f t="shared" si="20"/>
        <v>19592</v>
      </c>
      <c r="N164" s="48">
        <f t="shared" si="21"/>
        <v>7140</v>
      </c>
      <c r="O164" s="50">
        <f t="shared" si="22"/>
        <v>26732</v>
      </c>
      <c r="P164" s="50">
        <v>0</v>
      </c>
      <c r="Q164" s="76"/>
      <c r="R164" s="140">
        <f>IF((50*S9+50*S10)&gt;200,200,(50*S9+50*S10))</f>
        <v>200</v>
      </c>
      <c r="S164" s="79">
        <v>79.989999999999995</v>
      </c>
      <c r="T164" s="80">
        <v>29.15</v>
      </c>
    </row>
    <row r="165" spans="2:20" ht="28">
      <c r="B165" s="5" t="s">
        <v>463</v>
      </c>
      <c r="C165" s="45" t="s">
        <v>97</v>
      </c>
      <c r="D165" s="45" t="s">
        <v>464</v>
      </c>
      <c r="E165" s="6" t="s">
        <v>465</v>
      </c>
      <c r="F165" s="45" t="s">
        <v>121</v>
      </c>
      <c r="G165" s="46">
        <f t="shared" si="23"/>
        <v>450</v>
      </c>
      <c r="H165" s="46">
        <f>TRUNC(S165*(1-LOTE_03!$K$10),2)</f>
        <v>7.03</v>
      </c>
      <c r="I165" s="46">
        <f>TRUNC(T165*(1-LOTE_03!$K$10),2)</f>
        <v>19.600000000000001</v>
      </c>
      <c r="J165" s="100">
        <f t="shared" si="17"/>
        <v>0.22470000000000001</v>
      </c>
      <c r="K165" s="48">
        <f t="shared" si="18"/>
        <v>8.6</v>
      </c>
      <c r="L165" s="48">
        <f t="shared" si="19"/>
        <v>24</v>
      </c>
      <c r="M165" s="48">
        <f t="shared" si="20"/>
        <v>3870</v>
      </c>
      <c r="N165" s="48">
        <f t="shared" si="21"/>
        <v>10800</v>
      </c>
      <c r="O165" s="50">
        <f t="shared" si="22"/>
        <v>14670</v>
      </c>
      <c r="P165" s="50">
        <v>0</v>
      </c>
      <c r="Q165" s="76"/>
      <c r="R165" s="140">
        <f>IF((50*S9+50*S10)&gt;500,500,(50*S9+50*S10))</f>
        <v>450</v>
      </c>
      <c r="S165" s="79">
        <v>7.03</v>
      </c>
      <c r="T165" s="80">
        <v>19.600000000000001</v>
      </c>
    </row>
    <row r="166" spans="2:20" ht="56">
      <c r="B166" s="5" t="s">
        <v>466</v>
      </c>
      <c r="C166" s="45" t="s">
        <v>97</v>
      </c>
      <c r="D166" s="45" t="s">
        <v>467</v>
      </c>
      <c r="E166" s="6" t="s">
        <v>468</v>
      </c>
      <c r="F166" s="45" t="s">
        <v>121</v>
      </c>
      <c r="G166" s="46">
        <f t="shared" si="23"/>
        <v>270</v>
      </c>
      <c r="H166" s="46">
        <f>TRUNC(S166*(1-LOTE_03!$K$10),2)</f>
        <v>378.96</v>
      </c>
      <c r="I166" s="46">
        <f>TRUNC(T166*(1-LOTE_03!$K$10),2)</f>
        <v>159.4</v>
      </c>
      <c r="J166" s="100">
        <f t="shared" si="17"/>
        <v>0.22470000000000001</v>
      </c>
      <c r="K166" s="48">
        <f t="shared" si="18"/>
        <v>464.11</v>
      </c>
      <c r="L166" s="48">
        <f t="shared" si="19"/>
        <v>195.21</v>
      </c>
      <c r="M166" s="48">
        <f t="shared" si="20"/>
        <v>125309.7</v>
      </c>
      <c r="N166" s="48">
        <f t="shared" si="21"/>
        <v>52706.7</v>
      </c>
      <c r="O166" s="50">
        <f t="shared" si="22"/>
        <v>178016.4</v>
      </c>
      <c r="P166" s="50">
        <v>0</v>
      </c>
      <c r="Q166" s="76"/>
      <c r="R166" s="140">
        <f>30*S9+30*S10</f>
        <v>270</v>
      </c>
      <c r="S166" s="79">
        <v>378.96</v>
      </c>
      <c r="T166" s="80">
        <v>159.4</v>
      </c>
    </row>
    <row r="167" spans="2:20" ht="42">
      <c r="B167" s="5" t="s">
        <v>469</v>
      </c>
      <c r="C167" s="45" t="s">
        <v>135</v>
      </c>
      <c r="D167" s="45">
        <v>102162</v>
      </c>
      <c r="E167" s="6" t="s">
        <v>1775</v>
      </c>
      <c r="F167" s="45" t="s">
        <v>121</v>
      </c>
      <c r="G167" s="46">
        <f t="shared" si="23"/>
        <v>50</v>
      </c>
      <c r="H167" s="46">
        <f>TRUNC(S167*(1-LOTE_03!$K$10),2)</f>
        <v>385.53</v>
      </c>
      <c r="I167" s="46">
        <f>TRUNC(T167*(1-LOTE_03!$K$10),2)</f>
        <v>25.13</v>
      </c>
      <c r="J167" s="100">
        <f t="shared" si="17"/>
        <v>0.22470000000000001</v>
      </c>
      <c r="K167" s="48">
        <f t="shared" si="18"/>
        <v>472.15</v>
      </c>
      <c r="L167" s="48">
        <f t="shared" si="19"/>
        <v>30.77</v>
      </c>
      <c r="M167" s="48">
        <f t="shared" si="20"/>
        <v>23607.5</v>
      </c>
      <c r="N167" s="48">
        <f t="shared" si="21"/>
        <v>1538.5</v>
      </c>
      <c r="O167" s="50">
        <f t="shared" si="22"/>
        <v>25146</v>
      </c>
      <c r="P167" s="50">
        <v>0</v>
      </c>
      <c r="Q167" s="76"/>
      <c r="R167" s="140">
        <f>IF((5*S9+10*S10)&gt;50,50,(5*S9+10*S10))</f>
        <v>50</v>
      </c>
      <c r="S167" s="79">
        <v>385.53000000000003</v>
      </c>
      <c r="T167" s="80">
        <v>25.13</v>
      </c>
    </row>
    <row r="168" spans="2:20" ht="42">
      <c r="B168" s="5" t="s">
        <v>470</v>
      </c>
      <c r="C168" s="45" t="s">
        <v>135</v>
      </c>
      <c r="D168" s="45">
        <v>102166</v>
      </c>
      <c r="E168" s="6" t="s">
        <v>1776</v>
      </c>
      <c r="F168" s="45" t="s">
        <v>121</v>
      </c>
      <c r="G168" s="46">
        <f t="shared" si="23"/>
        <v>50</v>
      </c>
      <c r="H168" s="46">
        <f>TRUNC(S168*(1-LOTE_03!$K$10),2)</f>
        <v>441.58</v>
      </c>
      <c r="I168" s="46">
        <f>TRUNC(T168*(1-LOTE_03!$K$10),2)</f>
        <v>15.39</v>
      </c>
      <c r="J168" s="100">
        <f t="shared" si="17"/>
        <v>0.22470000000000001</v>
      </c>
      <c r="K168" s="48">
        <f t="shared" si="18"/>
        <v>540.79999999999995</v>
      </c>
      <c r="L168" s="48">
        <f t="shared" si="19"/>
        <v>18.84</v>
      </c>
      <c r="M168" s="48">
        <f t="shared" si="20"/>
        <v>27040</v>
      </c>
      <c r="N168" s="48">
        <f t="shared" si="21"/>
        <v>942</v>
      </c>
      <c r="O168" s="50">
        <f t="shared" si="22"/>
        <v>27982</v>
      </c>
      <c r="P168" s="50">
        <v>0</v>
      </c>
      <c r="Q168" s="76"/>
      <c r="R168" s="140">
        <f>IF((5*S9+10*S10)&gt;50,50,(5*S9+10*S10))</f>
        <v>50</v>
      </c>
      <c r="S168" s="79">
        <v>441.58000000000004</v>
      </c>
      <c r="T168" s="80">
        <v>15.39</v>
      </c>
    </row>
    <row r="169" spans="2:20" ht="42">
      <c r="B169" s="5" t="s">
        <v>471</v>
      </c>
      <c r="C169" s="45" t="s">
        <v>135</v>
      </c>
      <c r="D169" s="45">
        <v>102172</v>
      </c>
      <c r="E169" s="6" t="s">
        <v>1777</v>
      </c>
      <c r="F169" s="45" t="s">
        <v>121</v>
      </c>
      <c r="G169" s="46">
        <f t="shared" si="23"/>
        <v>50</v>
      </c>
      <c r="H169" s="46">
        <f>TRUNC(S169*(1-LOTE_03!$K$10),2)</f>
        <v>735.57</v>
      </c>
      <c r="I169" s="46">
        <f>TRUNC(T169*(1-LOTE_03!$K$10),2)</f>
        <v>15.39</v>
      </c>
      <c r="J169" s="100">
        <f t="shared" si="17"/>
        <v>0.22470000000000001</v>
      </c>
      <c r="K169" s="48">
        <f t="shared" si="18"/>
        <v>900.85</v>
      </c>
      <c r="L169" s="48">
        <f t="shared" si="19"/>
        <v>18.84</v>
      </c>
      <c r="M169" s="48">
        <f t="shared" si="20"/>
        <v>45042.5</v>
      </c>
      <c r="N169" s="48">
        <f t="shared" si="21"/>
        <v>942</v>
      </c>
      <c r="O169" s="50">
        <f t="shared" si="22"/>
        <v>45984.5</v>
      </c>
      <c r="P169" s="50">
        <v>0</v>
      </c>
      <c r="Q169" s="76"/>
      <c r="R169" s="140">
        <f>IF((5*S9+10*S10)&gt;50,50,(5*S9+10*S10))</f>
        <v>50</v>
      </c>
      <c r="S169" s="79">
        <v>735.57</v>
      </c>
      <c r="T169" s="80">
        <v>15.39</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348396.79999999999</v>
      </c>
      <c r="Q170" s="76"/>
      <c r="R170" s="154"/>
      <c r="S170" s="79" t="s">
        <v>22</v>
      </c>
      <c r="T170" s="80" t="s">
        <v>22</v>
      </c>
    </row>
    <row r="171" spans="2:20" ht="84">
      <c r="B171" s="5" t="s">
        <v>472</v>
      </c>
      <c r="C171" s="45" t="s">
        <v>135</v>
      </c>
      <c r="D171" s="45">
        <v>87893</v>
      </c>
      <c r="E171" s="6" t="s">
        <v>473</v>
      </c>
      <c r="F171" s="45" t="s">
        <v>121</v>
      </c>
      <c r="G171" s="46">
        <f t="shared" si="23"/>
        <v>1320</v>
      </c>
      <c r="H171" s="46">
        <f>TRUNC(S171*(1-LOTE_03!$K$10),2)</f>
        <v>3.77</v>
      </c>
      <c r="I171" s="46">
        <f>TRUNC(T171*(1-LOTE_03!$K$10),2)</f>
        <v>4.75</v>
      </c>
      <c r="J171" s="100">
        <f t="shared" si="17"/>
        <v>0.22470000000000001</v>
      </c>
      <c r="K171" s="48">
        <f t="shared" si="18"/>
        <v>4.6100000000000003</v>
      </c>
      <c r="L171" s="48">
        <f t="shared" si="19"/>
        <v>5.81</v>
      </c>
      <c r="M171" s="48">
        <f t="shared" si="20"/>
        <v>6085.2</v>
      </c>
      <c r="N171" s="48">
        <f t="shared" si="21"/>
        <v>7669.2</v>
      </c>
      <c r="O171" s="50">
        <f t="shared" si="22"/>
        <v>13754.4</v>
      </c>
      <c r="P171" s="50">
        <v>0</v>
      </c>
      <c r="Q171" s="76"/>
      <c r="R171" s="140">
        <f>(R152+R153)*2</f>
        <v>1320</v>
      </c>
      <c r="S171" s="79">
        <v>3.7699999999999996</v>
      </c>
      <c r="T171" s="80">
        <v>4.75</v>
      </c>
    </row>
    <row r="172" spans="2:20" ht="84">
      <c r="B172" s="5" t="s">
        <v>474</v>
      </c>
      <c r="C172" s="45" t="s">
        <v>135</v>
      </c>
      <c r="D172" s="45">
        <v>87530</v>
      </c>
      <c r="E172" s="6" t="s">
        <v>475</v>
      </c>
      <c r="F172" s="45" t="s">
        <v>121</v>
      </c>
      <c r="G172" s="46">
        <f t="shared" si="23"/>
        <v>1320</v>
      </c>
      <c r="H172" s="46">
        <f>TRUNC(S172*(1-LOTE_03!$K$10),2)</f>
        <v>25.07</v>
      </c>
      <c r="I172" s="46">
        <f>TRUNC(T172*(1-LOTE_03!$K$10),2)</f>
        <v>20.76</v>
      </c>
      <c r="J172" s="100">
        <f t="shared" si="17"/>
        <v>0.22470000000000001</v>
      </c>
      <c r="K172" s="48">
        <f t="shared" si="18"/>
        <v>30.7</v>
      </c>
      <c r="L172" s="48">
        <f t="shared" si="19"/>
        <v>25.42</v>
      </c>
      <c r="M172" s="48">
        <f t="shared" si="20"/>
        <v>40524</v>
      </c>
      <c r="N172" s="48">
        <f t="shared" si="21"/>
        <v>33554.400000000001</v>
      </c>
      <c r="O172" s="50">
        <f t="shared" si="22"/>
        <v>74078.399999999994</v>
      </c>
      <c r="P172" s="50">
        <v>0</v>
      </c>
      <c r="Q172" s="76"/>
      <c r="R172" s="140">
        <f>(R152+R153)*2</f>
        <v>1320</v>
      </c>
      <c r="S172" s="79">
        <v>25.069999999999997</v>
      </c>
      <c r="T172" s="80">
        <v>20.76</v>
      </c>
    </row>
    <row r="173" spans="2:20" ht="84">
      <c r="B173" s="5" t="s">
        <v>476</v>
      </c>
      <c r="C173" s="45" t="s">
        <v>135</v>
      </c>
      <c r="D173" s="45">
        <v>87528</v>
      </c>
      <c r="E173" s="6" t="s">
        <v>477</v>
      </c>
      <c r="F173" s="45" t="s">
        <v>121</v>
      </c>
      <c r="G173" s="46">
        <f t="shared" si="23"/>
        <v>200</v>
      </c>
      <c r="H173" s="46">
        <f>TRUNC(S173*(1-LOTE_03!$K$10),2)</f>
        <v>25.93</v>
      </c>
      <c r="I173" s="46">
        <f>TRUNC(T173*(1-LOTE_03!$K$10),2)</f>
        <v>23.29</v>
      </c>
      <c r="J173" s="100">
        <f t="shared" si="17"/>
        <v>0.22470000000000001</v>
      </c>
      <c r="K173" s="48">
        <f t="shared" si="18"/>
        <v>31.75</v>
      </c>
      <c r="L173" s="48">
        <f t="shared" si="19"/>
        <v>28.52</v>
      </c>
      <c r="M173" s="48">
        <f t="shared" si="20"/>
        <v>6350</v>
      </c>
      <c r="N173" s="48">
        <f t="shared" si="21"/>
        <v>5704</v>
      </c>
      <c r="O173" s="50">
        <f t="shared" si="22"/>
        <v>12054</v>
      </c>
      <c r="P173" s="50">
        <v>0</v>
      </c>
      <c r="Q173" s="76"/>
      <c r="R173" s="140">
        <f>R175</f>
        <v>200</v>
      </c>
      <c r="S173" s="79">
        <v>25.93</v>
      </c>
      <c r="T173" s="80">
        <v>23.29</v>
      </c>
    </row>
    <row r="174" spans="2:20" ht="56">
      <c r="B174" s="5" t="s">
        <v>478</v>
      </c>
      <c r="C174" s="45" t="s">
        <v>135</v>
      </c>
      <c r="D174" s="45">
        <v>87244</v>
      </c>
      <c r="E174" s="6" t="s">
        <v>479</v>
      </c>
      <c r="F174" s="45" t="s">
        <v>121</v>
      </c>
      <c r="G174" s="46">
        <f t="shared" si="23"/>
        <v>200</v>
      </c>
      <c r="H174" s="46">
        <f>TRUNC(S174*(1-LOTE_03!$K$10),2)</f>
        <v>357.46</v>
      </c>
      <c r="I174" s="46">
        <f>TRUNC(T174*(1-LOTE_03!$K$10),2)</f>
        <v>39.01</v>
      </c>
      <c r="J174" s="100">
        <f t="shared" si="17"/>
        <v>0.22470000000000001</v>
      </c>
      <c r="K174" s="48">
        <f t="shared" si="18"/>
        <v>437.78</v>
      </c>
      <c r="L174" s="48">
        <f t="shared" si="19"/>
        <v>47.77</v>
      </c>
      <c r="M174" s="48">
        <f t="shared" si="20"/>
        <v>87556</v>
      </c>
      <c r="N174" s="48">
        <f t="shared" si="21"/>
        <v>9554</v>
      </c>
      <c r="O174" s="50">
        <f t="shared" si="22"/>
        <v>97110</v>
      </c>
      <c r="P174" s="50">
        <v>0</v>
      </c>
      <c r="Q174" s="76"/>
      <c r="R174" s="140">
        <f>IF((50*S10)&gt;200,200,(10*S9+50*S10))</f>
        <v>200</v>
      </c>
      <c r="S174" s="79">
        <v>357.46000000000004</v>
      </c>
      <c r="T174" s="80">
        <v>39.01</v>
      </c>
    </row>
    <row r="175" spans="2:20" ht="70">
      <c r="B175" s="5" t="s">
        <v>480</v>
      </c>
      <c r="C175" s="45" t="s">
        <v>135</v>
      </c>
      <c r="D175" s="45">
        <v>87265</v>
      </c>
      <c r="E175" s="6" t="s">
        <v>481</v>
      </c>
      <c r="F175" s="45" t="s">
        <v>121</v>
      </c>
      <c r="G175" s="46">
        <f t="shared" si="23"/>
        <v>200</v>
      </c>
      <c r="H175" s="46">
        <f>TRUNC(S175*(1-LOTE_03!$K$10),2)</f>
        <v>61.71</v>
      </c>
      <c r="I175" s="46">
        <f>TRUNC(T175*(1-LOTE_03!$K$10),2)</f>
        <v>17.71</v>
      </c>
      <c r="J175" s="100">
        <f t="shared" si="17"/>
        <v>0.22470000000000001</v>
      </c>
      <c r="K175" s="48">
        <f t="shared" si="18"/>
        <v>75.569999999999993</v>
      </c>
      <c r="L175" s="48">
        <f t="shared" si="19"/>
        <v>21.68</v>
      </c>
      <c r="M175" s="48">
        <f t="shared" si="20"/>
        <v>15114</v>
      </c>
      <c r="N175" s="48">
        <f t="shared" si="21"/>
        <v>4336</v>
      </c>
      <c r="O175" s="50">
        <f t="shared" si="22"/>
        <v>19450</v>
      </c>
      <c r="P175" s="50">
        <v>0</v>
      </c>
      <c r="Q175" s="76"/>
      <c r="R175" s="140">
        <f>IF((50*S10)&gt;200,200,(10*S9+50*S10))</f>
        <v>200</v>
      </c>
      <c r="S175" s="79">
        <v>61.71</v>
      </c>
      <c r="T175" s="80">
        <v>17.71</v>
      </c>
    </row>
    <row r="176" spans="2:20" ht="70">
      <c r="B176" s="5" t="s">
        <v>482</v>
      </c>
      <c r="C176" s="45" t="s">
        <v>135</v>
      </c>
      <c r="D176" s="45">
        <v>87251</v>
      </c>
      <c r="E176" s="6" t="s">
        <v>483</v>
      </c>
      <c r="F176" s="45" t="s">
        <v>121</v>
      </c>
      <c r="G176" s="46">
        <f t="shared" si="23"/>
        <v>100</v>
      </c>
      <c r="H176" s="46">
        <f>TRUNC(S176*(1-LOTE_03!$K$10),2)</f>
        <v>66.34</v>
      </c>
      <c r="I176" s="46">
        <f>TRUNC(T176*(1-LOTE_03!$K$10),2)</f>
        <v>8.49</v>
      </c>
      <c r="J176" s="100">
        <f t="shared" si="17"/>
        <v>0.22470000000000001</v>
      </c>
      <c r="K176" s="48">
        <f t="shared" si="18"/>
        <v>81.239999999999995</v>
      </c>
      <c r="L176" s="48">
        <f t="shared" si="19"/>
        <v>10.39</v>
      </c>
      <c r="M176" s="48">
        <f t="shared" si="20"/>
        <v>8124</v>
      </c>
      <c r="N176" s="48">
        <f t="shared" si="21"/>
        <v>1039</v>
      </c>
      <c r="O176" s="50">
        <f t="shared" si="22"/>
        <v>9163</v>
      </c>
      <c r="P176" s="50">
        <v>0</v>
      </c>
      <c r="Q176" s="76"/>
      <c r="R176" s="140">
        <f>IF((30*S10)&gt;100,100,(10*S9+30*S10))</f>
        <v>100</v>
      </c>
      <c r="S176" s="79">
        <v>66.34</v>
      </c>
      <c r="T176" s="80">
        <v>8.49</v>
      </c>
    </row>
    <row r="177" spans="2:20" ht="42">
      <c r="B177" s="5" t="s">
        <v>1752</v>
      </c>
      <c r="C177" s="45" t="s">
        <v>165</v>
      </c>
      <c r="D177" s="45" t="s">
        <v>1753</v>
      </c>
      <c r="E177" s="6" t="s">
        <v>1754</v>
      </c>
      <c r="F177" s="45" t="s">
        <v>168</v>
      </c>
      <c r="G177" s="46">
        <f t="shared" si="23"/>
        <v>450</v>
      </c>
      <c r="H177" s="46">
        <f>TRUNC(S177*(1-LOTE_03!$K$10),2)</f>
        <v>111.37</v>
      </c>
      <c r="I177" s="46">
        <f>TRUNC(T177*(1-LOTE_03!$K$10),2)</f>
        <v>6.35</v>
      </c>
      <c r="J177" s="100">
        <f t="shared" si="17"/>
        <v>0.22470000000000001</v>
      </c>
      <c r="K177" s="48">
        <f t="shared" si="18"/>
        <v>136.38999999999999</v>
      </c>
      <c r="L177" s="48">
        <f t="shared" si="19"/>
        <v>7.77</v>
      </c>
      <c r="M177" s="48">
        <f t="shared" si="20"/>
        <v>61375.5</v>
      </c>
      <c r="N177" s="48">
        <f t="shared" si="21"/>
        <v>3496.5</v>
      </c>
      <c r="O177" s="50">
        <f t="shared" si="22"/>
        <v>64872</v>
      </c>
      <c r="P177" s="50"/>
      <c r="Q177" s="76"/>
      <c r="R177" s="148">
        <f>50*(S9+S10)</f>
        <v>450</v>
      </c>
      <c r="S177" s="46">
        <v>111.37</v>
      </c>
      <c r="T177" s="47">
        <v>6.35</v>
      </c>
    </row>
    <row r="178" spans="2:20" ht="42">
      <c r="B178" s="5" t="s">
        <v>1755</v>
      </c>
      <c r="C178" s="45" t="s">
        <v>97</v>
      </c>
      <c r="D178" s="45" t="s">
        <v>1756</v>
      </c>
      <c r="E178" s="6" t="s">
        <v>1757</v>
      </c>
      <c r="F178" s="45" t="s">
        <v>121</v>
      </c>
      <c r="G178" s="46">
        <f t="shared" si="23"/>
        <v>450</v>
      </c>
      <c r="H178" s="46">
        <f>TRUNC(S178*(1-LOTE_03!$K$10),2)</f>
        <v>76.58</v>
      </c>
      <c r="I178" s="46">
        <f>TRUNC(T178*(1-LOTE_03!$K$10),2)</f>
        <v>28.52</v>
      </c>
      <c r="J178" s="100">
        <f t="shared" si="17"/>
        <v>0.22470000000000001</v>
      </c>
      <c r="K178" s="48">
        <f t="shared" si="18"/>
        <v>93.78</v>
      </c>
      <c r="L178" s="48">
        <f t="shared" si="19"/>
        <v>34.92</v>
      </c>
      <c r="M178" s="48">
        <f t="shared" si="20"/>
        <v>42201</v>
      </c>
      <c r="N178" s="48">
        <f t="shared" si="21"/>
        <v>15714</v>
      </c>
      <c r="O178" s="50">
        <f t="shared" si="22"/>
        <v>57915</v>
      </c>
      <c r="P178" s="50"/>
      <c r="Q178" s="76"/>
      <c r="R178" s="140">
        <f>50*(S9+S10)</f>
        <v>450</v>
      </c>
      <c r="S178" s="46">
        <v>76.58</v>
      </c>
      <c r="T178" s="47">
        <v>28.52</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427618.80000000005</v>
      </c>
      <c r="Q179" s="76"/>
      <c r="R179" s="154"/>
      <c r="S179" s="79" t="s">
        <v>22</v>
      </c>
      <c r="T179" s="80" t="s">
        <v>22</v>
      </c>
    </row>
    <row r="180" spans="2:20" ht="70">
      <c r="B180" s="5" t="s">
        <v>484</v>
      </c>
      <c r="C180" s="45" t="s">
        <v>97</v>
      </c>
      <c r="D180" s="45" t="s">
        <v>485</v>
      </c>
      <c r="E180" s="6" t="s">
        <v>486</v>
      </c>
      <c r="F180" s="45" t="s">
        <v>121</v>
      </c>
      <c r="G180" s="46">
        <f t="shared" si="23"/>
        <v>450</v>
      </c>
      <c r="H180" s="46">
        <f>TRUNC(S180*(1-LOTE_03!$K$10),2)</f>
        <v>13.01</v>
      </c>
      <c r="I180" s="46">
        <f>TRUNC(T180*(1-LOTE_03!$K$10),2)</f>
        <v>14.02</v>
      </c>
      <c r="J180" s="100">
        <f t="shared" si="17"/>
        <v>0.22470000000000001</v>
      </c>
      <c r="K180" s="48">
        <f t="shared" si="18"/>
        <v>15.93</v>
      </c>
      <c r="L180" s="48">
        <f t="shared" si="19"/>
        <v>17.170000000000002</v>
      </c>
      <c r="M180" s="48">
        <f t="shared" si="20"/>
        <v>7168.5</v>
      </c>
      <c r="N180" s="48">
        <f t="shared" si="21"/>
        <v>7726.5</v>
      </c>
      <c r="O180" s="50">
        <f t="shared" si="22"/>
        <v>14895</v>
      </c>
      <c r="P180" s="50">
        <v>0</v>
      </c>
      <c r="Q180" s="76"/>
      <c r="R180" s="140">
        <f>50*S9+50*S10</f>
        <v>450</v>
      </c>
      <c r="S180" s="79">
        <v>13.01</v>
      </c>
      <c r="T180" s="80">
        <v>14.02</v>
      </c>
    </row>
    <row r="181" spans="2:20" ht="42">
      <c r="B181" s="5" t="s">
        <v>487</v>
      </c>
      <c r="C181" s="45" t="s">
        <v>165</v>
      </c>
      <c r="D181" s="45" t="s">
        <v>488</v>
      </c>
      <c r="E181" s="6" t="s">
        <v>489</v>
      </c>
      <c r="F181" s="45" t="s">
        <v>168</v>
      </c>
      <c r="G181" s="46">
        <f t="shared" si="23"/>
        <v>2080</v>
      </c>
      <c r="H181" s="46">
        <f>TRUNC(S181*(1-LOTE_03!$K$10),2)</f>
        <v>145.52000000000001</v>
      </c>
      <c r="I181" s="46">
        <f>TRUNC(T181*(1-LOTE_03!$K$10),2)</f>
        <v>0</v>
      </c>
      <c r="J181" s="100">
        <f t="shared" si="17"/>
        <v>0.22470000000000001</v>
      </c>
      <c r="K181" s="48">
        <f t="shared" si="18"/>
        <v>178.21</v>
      </c>
      <c r="L181" s="48">
        <f t="shared" si="19"/>
        <v>0</v>
      </c>
      <c r="M181" s="48">
        <f t="shared" si="20"/>
        <v>370676.8</v>
      </c>
      <c r="N181" s="48">
        <f t="shared" si="21"/>
        <v>0</v>
      </c>
      <c r="O181" s="50">
        <f t="shared" si="22"/>
        <v>370676.8</v>
      </c>
      <c r="P181" s="50">
        <v>0</v>
      </c>
      <c r="Q181" s="76"/>
      <c r="R181" s="140">
        <f>20*S9+400*S10</f>
        <v>2080</v>
      </c>
      <c r="S181" s="79">
        <v>145.52000000000001</v>
      </c>
      <c r="T181" s="80">
        <v>0</v>
      </c>
    </row>
    <row r="182" spans="2:20" ht="28">
      <c r="B182" s="5" t="s">
        <v>490</v>
      </c>
      <c r="C182" s="45" t="s">
        <v>135</v>
      </c>
      <c r="D182" s="45">
        <v>96113</v>
      </c>
      <c r="E182" s="6" t="s">
        <v>491</v>
      </c>
      <c r="F182" s="45" t="s">
        <v>121</v>
      </c>
      <c r="G182" s="46">
        <f t="shared" si="23"/>
        <v>90</v>
      </c>
      <c r="H182" s="46">
        <f>TRUNC(S182*(1-LOTE_03!$K$10),2)</f>
        <v>30.14</v>
      </c>
      <c r="I182" s="46">
        <f>TRUNC(T182*(1-LOTE_03!$K$10),2)</f>
        <v>24.88</v>
      </c>
      <c r="J182" s="100">
        <f t="shared" si="17"/>
        <v>0.22470000000000001</v>
      </c>
      <c r="K182" s="48">
        <f t="shared" si="18"/>
        <v>36.909999999999997</v>
      </c>
      <c r="L182" s="48">
        <f t="shared" si="19"/>
        <v>30.47</v>
      </c>
      <c r="M182" s="48">
        <f t="shared" si="20"/>
        <v>3321.9</v>
      </c>
      <c r="N182" s="48">
        <f t="shared" si="21"/>
        <v>2742.3</v>
      </c>
      <c r="O182" s="50">
        <f t="shared" si="22"/>
        <v>6064.2</v>
      </c>
      <c r="P182" s="50">
        <v>0</v>
      </c>
      <c r="Q182" s="76"/>
      <c r="R182" s="140">
        <f>IF((10*S10)&gt;100,100,(10*S9+10*S10))</f>
        <v>90</v>
      </c>
      <c r="S182" s="79">
        <v>30.140000000000004</v>
      </c>
      <c r="T182" s="80">
        <v>24.88</v>
      </c>
    </row>
    <row r="183" spans="2:20" ht="42">
      <c r="B183" s="5" t="s">
        <v>492</v>
      </c>
      <c r="C183" s="45" t="s">
        <v>135</v>
      </c>
      <c r="D183" s="45">
        <v>99054</v>
      </c>
      <c r="E183" s="6" t="s">
        <v>493</v>
      </c>
      <c r="F183" s="45" t="s">
        <v>121</v>
      </c>
      <c r="G183" s="46">
        <f t="shared" si="23"/>
        <v>100</v>
      </c>
      <c r="H183" s="46">
        <f>TRUNC(S183*(1-LOTE_03!$K$10),2)</f>
        <v>33.770000000000003</v>
      </c>
      <c r="I183" s="46">
        <f>TRUNC(T183*(1-LOTE_03!$K$10),2)</f>
        <v>34.76</v>
      </c>
      <c r="J183" s="100">
        <f t="shared" si="17"/>
        <v>0.22470000000000001</v>
      </c>
      <c r="K183" s="48">
        <f t="shared" si="18"/>
        <v>41.35</v>
      </c>
      <c r="L183" s="48">
        <f t="shared" si="19"/>
        <v>42.57</v>
      </c>
      <c r="M183" s="48">
        <f t="shared" si="20"/>
        <v>4135</v>
      </c>
      <c r="N183" s="48">
        <f t="shared" si="21"/>
        <v>4257</v>
      </c>
      <c r="O183" s="50">
        <f t="shared" si="22"/>
        <v>8392</v>
      </c>
      <c r="P183" s="50">
        <v>0</v>
      </c>
      <c r="Q183" s="76"/>
      <c r="R183" s="140">
        <f>IF((20*S10+20*S9)&gt;100,100,(20*S10+20*S9))</f>
        <v>100</v>
      </c>
      <c r="S183" s="79">
        <v>33.770000000000003</v>
      </c>
      <c r="T183" s="80">
        <v>34.76</v>
      </c>
    </row>
    <row r="184" spans="2:20" ht="28">
      <c r="B184" s="5" t="s">
        <v>494</v>
      </c>
      <c r="C184" s="45" t="s">
        <v>135</v>
      </c>
      <c r="D184" s="45">
        <v>96120</v>
      </c>
      <c r="E184" s="6" t="s">
        <v>495</v>
      </c>
      <c r="F184" s="45" t="s">
        <v>187</v>
      </c>
      <c r="G184" s="46">
        <f t="shared" si="23"/>
        <v>180</v>
      </c>
      <c r="H184" s="46">
        <f>TRUNC(S184*(1-LOTE_03!$K$10),2)</f>
        <v>2.25</v>
      </c>
      <c r="I184" s="46">
        <f>TRUNC(T184*(1-LOTE_03!$K$10),2)</f>
        <v>1.42</v>
      </c>
      <c r="J184" s="100">
        <f t="shared" si="17"/>
        <v>0.22470000000000001</v>
      </c>
      <c r="K184" s="48">
        <f t="shared" si="18"/>
        <v>2.75</v>
      </c>
      <c r="L184" s="48">
        <f t="shared" si="19"/>
        <v>1.73</v>
      </c>
      <c r="M184" s="48">
        <f t="shared" si="20"/>
        <v>495</v>
      </c>
      <c r="N184" s="48">
        <f t="shared" si="21"/>
        <v>311.39999999999998</v>
      </c>
      <c r="O184" s="50">
        <f t="shared" si="22"/>
        <v>806.4</v>
      </c>
      <c r="P184" s="50">
        <v>0</v>
      </c>
      <c r="Q184" s="76"/>
      <c r="R184" s="140">
        <f>IF((20*S10+20*S9)&gt;500,500,(20*S10+20*S9))</f>
        <v>180</v>
      </c>
      <c r="S184" s="79">
        <v>2.25</v>
      </c>
      <c r="T184" s="80">
        <v>1.42</v>
      </c>
    </row>
    <row r="185" spans="2:20" ht="56">
      <c r="B185" s="5" t="s">
        <v>496</v>
      </c>
      <c r="C185" s="45" t="s">
        <v>135</v>
      </c>
      <c r="D185" s="45">
        <v>96486</v>
      </c>
      <c r="E185" s="6" t="s">
        <v>497</v>
      </c>
      <c r="F185" s="45" t="s">
        <v>121</v>
      </c>
      <c r="G185" s="46">
        <f t="shared" si="23"/>
        <v>100</v>
      </c>
      <c r="H185" s="46">
        <f>TRUNC(S185*(1-LOTE_03!$K$10),2)</f>
        <v>68.73</v>
      </c>
      <c r="I185" s="46">
        <f>TRUNC(T185*(1-LOTE_03!$K$10),2)</f>
        <v>12</v>
      </c>
      <c r="J185" s="100">
        <f t="shared" si="17"/>
        <v>0.22470000000000001</v>
      </c>
      <c r="K185" s="48">
        <f t="shared" si="18"/>
        <v>84.17</v>
      </c>
      <c r="L185" s="48">
        <f t="shared" si="19"/>
        <v>14.69</v>
      </c>
      <c r="M185" s="48">
        <f t="shared" si="20"/>
        <v>8417</v>
      </c>
      <c r="N185" s="48">
        <f t="shared" si="21"/>
        <v>1469</v>
      </c>
      <c r="O185" s="50">
        <f t="shared" si="22"/>
        <v>9886</v>
      </c>
      <c r="P185" s="50">
        <v>0</v>
      </c>
      <c r="Q185" s="76"/>
      <c r="R185" s="140">
        <f>IF((20*S10+20*S9)&gt;100,100,(20*S10+20*S9))</f>
        <v>100</v>
      </c>
      <c r="S185" s="79">
        <v>68.73</v>
      </c>
      <c r="T185" s="80">
        <v>12</v>
      </c>
    </row>
    <row r="186" spans="2:20" ht="42">
      <c r="B186" s="5" t="s">
        <v>498</v>
      </c>
      <c r="C186" s="45" t="s">
        <v>135</v>
      </c>
      <c r="D186" s="45">
        <v>96114</v>
      </c>
      <c r="E186" s="6" t="s">
        <v>499</v>
      </c>
      <c r="F186" s="45" t="s">
        <v>121</v>
      </c>
      <c r="G186" s="46">
        <f t="shared" si="23"/>
        <v>90</v>
      </c>
      <c r="H186" s="46">
        <f>TRUNC(S186*(1-LOTE_03!$K$10),2)</f>
        <v>72.510000000000005</v>
      </c>
      <c r="I186" s="46">
        <f>TRUNC(T186*(1-LOTE_03!$K$10),2)</f>
        <v>17.399999999999999</v>
      </c>
      <c r="J186" s="100">
        <f t="shared" si="17"/>
        <v>0.22470000000000001</v>
      </c>
      <c r="K186" s="48">
        <f t="shared" si="18"/>
        <v>88.8</v>
      </c>
      <c r="L186" s="48">
        <f t="shared" si="19"/>
        <v>21.3</v>
      </c>
      <c r="M186" s="48">
        <f t="shared" si="20"/>
        <v>7992</v>
      </c>
      <c r="N186" s="48">
        <f t="shared" si="21"/>
        <v>1917</v>
      </c>
      <c r="O186" s="50">
        <f t="shared" si="22"/>
        <v>9909</v>
      </c>
      <c r="P186" s="50">
        <v>0</v>
      </c>
      <c r="Q186" s="76"/>
      <c r="R186" s="140">
        <f>IF((10*S10)&gt;100,100,(10*S9+10*S10))</f>
        <v>90</v>
      </c>
      <c r="S186" s="79">
        <v>72.509999999999991</v>
      </c>
      <c r="T186" s="80">
        <v>17.399999999999999</v>
      </c>
    </row>
    <row r="187" spans="2:20" ht="42">
      <c r="B187" s="5" t="s">
        <v>500</v>
      </c>
      <c r="C187" s="45" t="s">
        <v>135</v>
      </c>
      <c r="D187" s="45">
        <v>96123</v>
      </c>
      <c r="E187" s="6" t="s">
        <v>501</v>
      </c>
      <c r="F187" s="45" t="s">
        <v>187</v>
      </c>
      <c r="G187" s="46">
        <f t="shared" si="23"/>
        <v>180</v>
      </c>
      <c r="H187" s="46">
        <f>TRUNC(S187*(1-LOTE_03!$K$10),2)</f>
        <v>23.96</v>
      </c>
      <c r="I187" s="46">
        <f>TRUNC(T187*(1-LOTE_03!$K$10),2)</f>
        <v>7.75</v>
      </c>
      <c r="J187" s="100">
        <f t="shared" si="17"/>
        <v>0.22470000000000001</v>
      </c>
      <c r="K187" s="48">
        <f t="shared" si="18"/>
        <v>29.34</v>
      </c>
      <c r="L187" s="48">
        <f t="shared" si="19"/>
        <v>9.49</v>
      </c>
      <c r="M187" s="48">
        <f t="shared" si="20"/>
        <v>5281.2</v>
      </c>
      <c r="N187" s="48">
        <f t="shared" si="21"/>
        <v>1708.2</v>
      </c>
      <c r="O187" s="50">
        <f t="shared" si="22"/>
        <v>6989.4</v>
      </c>
      <c r="P187" s="50">
        <v>0</v>
      </c>
      <c r="Q187" s="76"/>
      <c r="R187" s="140">
        <f>20*S10+20*S9</f>
        <v>180</v>
      </c>
      <c r="S187" s="79">
        <v>23.96</v>
      </c>
      <c r="T187" s="80">
        <v>7.75</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1519083</v>
      </c>
      <c r="Q188" s="76"/>
      <c r="R188" s="154"/>
      <c r="S188" s="79" t="s">
        <v>22</v>
      </c>
      <c r="T188" s="80" t="s">
        <v>22</v>
      </c>
    </row>
    <row r="189" spans="2:20" ht="84">
      <c r="B189" s="5" t="s">
        <v>502</v>
      </c>
      <c r="C189" s="45" t="s">
        <v>135</v>
      </c>
      <c r="D189" s="45">
        <v>87632</v>
      </c>
      <c r="E189" s="6" t="s">
        <v>503</v>
      </c>
      <c r="F189" s="45" t="s">
        <v>121</v>
      </c>
      <c r="G189" s="46">
        <f t="shared" si="23"/>
        <v>3600</v>
      </c>
      <c r="H189" s="46">
        <f>TRUNC(S189*(1-LOTE_03!$K$10),2)</f>
        <v>38.299999999999997</v>
      </c>
      <c r="I189" s="46">
        <f>TRUNC(T189*(1-LOTE_03!$K$10),2)</f>
        <v>15.67</v>
      </c>
      <c r="J189" s="100">
        <f t="shared" si="17"/>
        <v>0.22470000000000001</v>
      </c>
      <c r="K189" s="48">
        <f t="shared" si="18"/>
        <v>46.9</v>
      </c>
      <c r="L189" s="48">
        <f t="shared" si="19"/>
        <v>19.190000000000001</v>
      </c>
      <c r="M189" s="48">
        <f t="shared" si="20"/>
        <v>168840</v>
      </c>
      <c r="N189" s="48">
        <f t="shared" si="21"/>
        <v>69084</v>
      </c>
      <c r="O189" s="50">
        <f t="shared" si="22"/>
        <v>237924</v>
      </c>
      <c r="P189" s="50">
        <v>0</v>
      </c>
      <c r="Q189" s="76"/>
      <c r="R189" s="140">
        <f>400*S10+400*S9</f>
        <v>3600</v>
      </c>
      <c r="S189" s="79">
        <v>38.299999999999997</v>
      </c>
      <c r="T189" s="80">
        <v>15.67</v>
      </c>
    </row>
    <row r="190" spans="2:20" ht="56">
      <c r="B190" s="5" t="s">
        <v>504</v>
      </c>
      <c r="C190" s="45" t="s">
        <v>135</v>
      </c>
      <c r="D190" s="45">
        <v>101749</v>
      </c>
      <c r="E190" s="6" t="s">
        <v>1778</v>
      </c>
      <c r="F190" s="45" t="s">
        <v>121</v>
      </c>
      <c r="G190" s="46">
        <f t="shared" si="23"/>
        <v>1200</v>
      </c>
      <c r="H190" s="46">
        <f>TRUNC(S190*(1-LOTE_03!$K$10),2)</f>
        <v>43.21</v>
      </c>
      <c r="I190" s="46">
        <f>TRUNC(T190*(1-LOTE_03!$K$10),2)</f>
        <v>14.96</v>
      </c>
      <c r="J190" s="100">
        <f t="shared" si="17"/>
        <v>0.22470000000000001</v>
      </c>
      <c r="K190" s="48">
        <f t="shared" si="18"/>
        <v>52.91</v>
      </c>
      <c r="L190" s="48">
        <f t="shared" si="19"/>
        <v>18.32</v>
      </c>
      <c r="M190" s="48">
        <f t="shared" si="20"/>
        <v>63492</v>
      </c>
      <c r="N190" s="48">
        <f t="shared" si="21"/>
        <v>21984</v>
      </c>
      <c r="O190" s="50">
        <f t="shared" si="22"/>
        <v>85476</v>
      </c>
      <c r="P190" s="50">
        <v>0</v>
      </c>
      <c r="Q190" s="76"/>
      <c r="R190" s="140">
        <f>IF((50*S9+200*S10)&gt;1500,1500,(50*S9+200*S10))</f>
        <v>1200</v>
      </c>
      <c r="S190" s="79">
        <v>43.21</v>
      </c>
      <c r="T190" s="80">
        <v>14.96</v>
      </c>
    </row>
    <row r="191" spans="2:20" ht="126">
      <c r="B191" s="5" t="s">
        <v>505</v>
      </c>
      <c r="C191" s="45" t="s">
        <v>97</v>
      </c>
      <c r="D191" s="45" t="s">
        <v>506</v>
      </c>
      <c r="E191" s="6" t="s">
        <v>507</v>
      </c>
      <c r="F191" s="45" t="s">
        <v>121</v>
      </c>
      <c r="G191" s="46">
        <f t="shared" si="23"/>
        <v>2400</v>
      </c>
      <c r="H191" s="46">
        <f>TRUNC(S191*(1-LOTE_03!$K$10),2)</f>
        <v>240.35</v>
      </c>
      <c r="I191" s="46">
        <f>TRUNC(T191*(1-LOTE_03!$K$10),2)</f>
        <v>32.4</v>
      </c>
      <c r="J191" s="100">
        <f t="shared" si="17"/>
        <v>0.22470000000000001</v>
      </c>
      <c r="K191" s="48">
        <f t="shared" si="18"/>
        <v>294.35000000000002</v>
      </c>
      <c r="L191" s="48">
        <f t="shared" si="19"/>
        <v>39.68</v>
      </c>
      <c r="M191" s="48">
        <f t="shared" si="20"/>
        <v>706440</v>
      </c>
      <c r="N191" s="48">
        <f t="shared" si="21"/>
        <v>95232</v>
      </c>
      <c r="O191" s="50">
        <f t="shared" si="22"/>
        <v>801672</v>
      </c>
      <c r="P191" s="50">
        <v>0</v>
      </c>
      <c r="Q191" s="76"/>
      <c r="R191" s="141">
        <f>400*S10+100*S9</f>
        <v>2400</v>
      </c>
      <c r="S191" s="79">
        <v>240.35</v>
      </c>
      <c r="T191" s="80">
        <v>32.4</v>
      </c>
    </row>
    <row r="192" spans="2:20" ht="140">
      <c r="B192" s="5" t="s">
        <v>508</v>
      </c>
      <c r="C192" s="45" t="s">
        <v>97</v>
      </c>
      <c r="D192" s="45" t="s">
        <v>509</v>
      </c>
      <c r="E192" s="6" t="s">
        <v>510</v>
      </c>
      <c r="F192" s="45" t="s">
        <v>121</v>
      </c>
      <c r="G192" s="46">
        <f t="shared" si="23"/>
        <v>750</v>
      </c>
      <c r="H192" s="46">
        <f>TRUNC(S192*(1-LOTE_03!$K$10),2)</f>
        <v>305.75</v>
      </c>
      <c r="I192" s="46">
        <f>TRUNC(T192*(1-LOTE_03!$K$10),2)</f>
        <v>32.4</v>
      </c>
      <c r="J192" s="100">
        <f t="shared" si="17"/>
        <v>0.22470000000000001</v>
      </c>
      <c r="K192" s="48">
        <f t="shared" si="18"/>
        <v>374.45</v>
      </c>
      <c r="L192" s="48">
        <f t="shared" si="19"/>
        <v>39.68</v>
      </c>
      <c r="M192" s="48">
        <f t="shared" si="20"/>
        <v>280837.5</v>
      </c>
      <c r="N192" s="48">
        <f t="shared" si="21"/>
        <v>29760</v>
      </c>
      <c r="O192" s="50">
        <f t="shared" si="22"/>
        <v>310597.5</v>
      </c>
      <c r="P192" s="50">
        <v>0</v>
      </c>
      <c r="Q192" s="76"/>
      <c r="R192" s="141">
        <f>14*5*(S10)+100*S9</f>
        <v>750</v>
      </c>
      <c r="S192" s="79">
        <v>305.75</v>
      </c>
      <c r="T192" s="80">
        <v>32.4</v>
      </c>
    </row>
    <row r="193" spans="2:20" ht="42">
      <c r="B193" s="5" t="s">
        <v>511</v>
      </c>
      <c r="C193" s="45" t="s">
        <v>135</v>
      </c>
      <c r="D193" s="45">
        <v>101736</v>
      </c>
      <c r="E193" s="6" t="s">
        <v>1779</v>
      </c>
      <c r="F193" s="45" t="s">
        <v>121</v>
      </c>
      <c r="G193" s="46">
        <f t="shared" si="23"/>
        <v>18</v>
      </c>
      <c r="H193" s="46">
        <f>TRUNC(S193*(1-LOTE_03!$K$10),2)</f>
        <v>100.28</v>
      </c>
      <c r="I193" s="46">
        <f>TRUNC(T193*(1-LOTE_03!$K$10),2)</f>
        <v>13.84</v>
      </c>
      <c r="J193" s="100">
        <f t="shared" si="17"/>
        <v>0.22470000000000001</v>
      </c>
      <c r="K193" s="48">
        <f t="shared" si="18"/>
        <v>122.81</v>
      </c>
      <c r="L193" s="48">
        <f t="shared" si="19"/>
        <v>16.940000000000001</v>
      </c>
      <c r="M193" s="48">
        <f t="shared" si="20"/>
        <v>2210.58</v>
      </c>
      <c r="N193" s="48">
        <f t="shared" si="21"/>
        <v>304.92</v>
      </c>
      <c r="O193" s="50">
        <f t="shared" si="22"/>
        <v>2515.5</v>
      </c>
      <c r="P193" s="50">
        <v>0</v>
      </c>
      <c r="Q193" s="76"/>
      <c r="R193" s="141">
        <f>IF(2*(S10+S9)&gt;50,500,2*(S9+S10))</f>
        <v>18</v>
      </c>
      <c r="S193" s="79">
        <v>100.28</v>
      </c>
      <c r="T193" s="80">
        <v>13.84</v>
      </c>
    </row>
    <row r="194" spans="2:20" ht="70">
      <c r="B194" s="5" t="s">
        <v>512</v>
      </c>
      <c r="C194" s="45" t="s">
        <v>135</v>
      </c>
      <c r="D194" s="45">
        <v>94995</v>
      </c>
      <c r="E194" s="6" t="s">
        <v>1780</v>
      </c>
      <c r="F194" s="45" t="s">
        <v>121</v>
      </c>
      <c r="G194" s="46">
        <f t="shared" si="23"/>
        <v>450</v>
      </c>
      <c r="H194" s="46">
        <f>TRUNC(S194*(1-LOTE_03!$K$10),2)</f>
        <v>109.12</v>
      </c>
      <c r="I194" s="46">
        <f>TRUNC(T194*(1-LOTE_03!$K$10),2)</f>
        <v>7.61</v>
      </c>
      <c r="J194" s="100">
        <f t="shared" si="17"/>
        <v>0.22470000000000001</v>
      </c>
      <c r="K194" s="48">
        <f t="shared" si="18"/>
        <v>133.63</v>
      </c>
      <c r="L194" s="48">
        <f t="shared" si="19"/>
        <v>9.31</v>
      </c>
      <c r="M194" s="48">
        <f t="shared" si="20"/>
        <v>60133.5</v>
      </c>
      <c r="N194" s="48">
        <f t="shared" si="21"/>
        <v>4189.5</v>
      </c>
      <c r="O194" s="50">
        <f t="shared" si="22"/>
        <v>64323</v>
      </c>
      <c r="P194" s="50">
        <v>0</v>
      </c>
      <c r="Q194" s="76"/>
      <c r="R194" s="141">
        <f>IF(50*(S10+S9)&gt;500,500,50*(S9+S10))</f>
        <v>450</v>
      </c>
      <c r="S194" s="79">
        <v>109.12</v>
      </c>
      <c r="T194" s="80">
        <v>7.61</v>
      </c>
    </row>
    <row r="195" spans="2:20" ht="28">
      <c r="B195" s="5" t="s">
        <v>513</v>
      </c>
      <c r="C195" s="45" t="s">
        <v>165</v>
      </c>
      <c r="D195" s="45" t="s">
        <v>514</v>
      </c>
      <c r="E195" s="6" t="s">
        <v>515</v>
      </c>
      <c r="F195" s="45" t="s">
        <v>168</v>
      </c>
      <c r="G195" s="46">
        <f t="shared" si="23"/>
        <v>900</v>
      </c>
      <c r="H195" s="46">
        <f>TRUNC(S195*(1-LOTE_03!$K$10),2)</f>
        <v>6.6</v>
      </c>
      <c r="I195" s="46">
        <f>TRUNC(T195*(1-LOTE_03!$K$10),2)</f>
        <v>3.65</v>
      </c>
      <c r="J195" s="100">
        <f t="shared" si="17"/>
        <v>0.22470000000000001</v>
      </c>
      <c r="K195" s="48">
        <f t="shared" si="18"/>
        <v>8.08</v>
      </c>
      <c r="L195" s="48">
        <f t="shared" si="19"/>
        <v>4.47</v>
      </c>
      <c r="M195" s="48">
        <f t="shared" si="20"/>
        <v>7272</v>
      </c>
      <c r="N195" s="48">
        <f t="shared" si="21"/>
        <v>4023</v>
      </c>
      <c r="O195" s="50">
        <f t="shared" si="22"/>
        <v>11295</v>
      </c>
      <c r="P195" s="50">
        <v>0</v>
      </c>
      <c r="Q195" s="76"/>
      <c r="R195" s="140">
        <f>100*(S9+S10)</f>
        <v>900</v>
      </c>
      <c r="S195" s="79">
        <v>6.6</v>
      </c>
      <c r="T195" s="80">
        <v>3.65</v>
      </c>
    </row>
    <row r="196" spans="2:20">
      <c r="B196" s="5" t="s">
        <v>516</v>
      </c>
      <c r="C196" s="45" t="s">
        <v>97</v>
      </c>
      <c r="D196" s="45" t="s">
        <v>517</v>
      </c>
      <c r="E196" s="6" t="s">
        <v>518</v>
      </c>
      <c r="F196" s="45" t="s">
        <v>519</v>
      </c>
      <c r="G196" s="46">
        <f t="shared" si="23"/>
        <v>1000</v>
      </c>
      <c r="H196" s="46">
        <f>TRUNC(S196*(1-LOTE_03!$K$10),2)</f>
        <v>2.4700000000000002</v>
      </c>
      <c r="I196" s="46">
        <f>TRUNC(T196*(1-LOTE_03!$K$10),2)</f>
        <v>1.85</v>
      </c>
      <c r="J196" s="100">
        <f t="shared" si="17"/>
        <v>0.22470000000000001</v>
      </c>
      <c r="K196" s="48">
        <f t="shared" si="18"/>
        <v>3.02</v>
      </c>
      <c r="L196" s="48">
        <f t="shared" si="19"/>
        <v>2.2599999999999998</v>
      </c>
      <c r="M196" s="48">
        <f t="shared" si="20"/>
        <v>3020</v>
      </c>
      <c r="N196" s="48">
        <f t="shared" si="21"/>
        <v>2260</v>
      </c>
      <c r="O196" s="50">
        <f t="shared" si="22"/>
        <v>5280</v>
      </c>
      <c r="P196" s="50">
        <v>0</v>
      </c>
      <c r="Q196" s="76"/>
      <c r="R196" s="140">
        <f>IF((200*S9+200*S10)&gt;1000,1000,(200*S9+200*S10))</f>
        <v>1000</v>
      </c>
      <c r="S196" s="79">
        <v>2.4700000000000002</v>
      </c>
      <c r="T196" s="80">
        <v>1.85</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127182.15</v>
      </c>
      <c r="Q197" s="76"/>
      <c r="R197" s="154"/>
      <c r="S197" s="79" t="s">
        <v>22</v>
      </c>
      <c r="T197" s="80" t="s">
        <v>22</v>
      </c>
    </row>
    <row r="198" spans="2:20" ht="42">
      <c r="B198" s="5" t="s">
        <v>520</v>
      </c>
      <c r="C198" s="45" t="s">
        <v>135</v>
      </c>
      <c r="D198" s="45">
        <v>88648</v>
      </c>
      <c r="E198" s="6" t="s">
        <v>521</v>
      </c>
      <c r="F198" s="45" t="s">
        <v>187</v>
      </c>
      <c r="G198" s="46">
        <f t="shared" si="23"/>
        <v>90</v>
      </c>
      <c r="H198" s="46">
        <f>TRUNC(S198*(1-LOTE_03!$K$10),2)</f>
        <v>8.0299999999999994</v>
      </c>
      <c r="I198" s="46">
        <f>TRUNC(T198*(1-LOTE_03!$K$10),2)</f>
        <v>2.23</v>
      </c>
      <c r="J198" s="100">
        <f t="shared" si="17"/>
        <v>0.22470000000000001</v>
      </c>
      <c r="K198" s="48">
        <f t="shared" si="18"/>
        <v>9.83</v>
      </c>
      <c r="L198" s="48">
        <f t="shared" si="19"/>
        <v>2.73</v>
      </c>
      <c r="M198" s="48">
        <f t="shared" si="20"/>
        <v>884.7</v>
      </c>
      <c r="N198" s="48">
        <f t="shared" si="21"/>
        <v>245.7</v>
      </c>
      <c r="O198" s="50">
        <f t="shared" si="22"/>
        <v>1130.4000000000001</v>
      </c>
      <c r="P198" s="50">
        <v>0</v>
      </c>
      <c r="Q198" s="76"/>
      <c r="R198" s="140">
        <f>IF((20*S10)&gt;100,100,(10*S9+10*S10))</f>
        <v>90</v>
      </c>
      <c r="S198" s="79">
        <v>8.0299999999999994</v>
      </c>
      <c r="T198" s="80">
        <v>2.23</v>
      </c>
    </row>
    <row r="199" spans="2:20" ht="42">
      <c r="B199" s="5" t="s">
        <v>522</v>
      </c>
      <c r="C199" s="45" t="s">
        <v>135</v>
      </c>
      <c r="D199" s="45">
        <v>88650</v>
      </c>
      <c r="E199" s="6" t="s">
        <v>523</v>
      </c>
      <c r="F199" s="45" t="s">
        <v>187</v>
      </c>
      <c r="G199" s="46">
        <f t="shared" si="23"/>
        <v>625</v>
      </c>
      <c r="H199" s="46">
        <f>TRUNC(S199*(1-LOTE_03!$K$10),2)</f>
        <v>13.48</v>
      </c>
      <c r="I199" s="46">
        <f>TRUNC(T199*(1-LOTE_03!$K$10),2)</f>
        <v>2.69</v>
      </c>
      <c r="J199" s="100">
        <f t="shared" si="17"/>
        <v>0.22470000000000001</v>
      </c>
      <c r="K199" s="48">
        <f t="shared" si="18"/>
        <v>16.5</v>
      </c>
      <c r="L199" s="48">
        <f t="shared" si="19"/>
        <v>3.29</v>
      </c>
      <c r="M199" s="48">
        <f t="shared" si="20"/>
        <v>10312.5</v>
      </c>
      <c r="N199" s="48">
        <f t="shared" si="21"/>
        <v>2056.25</v>
      </c>
      <c r="O199" s="50">
        <f t="shared" si="22"/>
        <v>12368.75</v>
      </c>
      <c r="P199" s="50">
        <v>0</v>
      </c>
      <c r="Q199" s="76"/>
      <c r="R199" s="141">
        <f>85*S10+50*S9</f>
        <v>625</v>
      </c>
      <c r="S199" s="79">
        <v>13.480000000000002</v>
      </c>
      <c r="T199" s="80">
        <v>2.69</v>
      </c>
    </row>
    <row r="200" spans="2:20" ht="126">
      <c r="B200" s="5" t="s">
        <v>524</v>
      </c>
      <c r="C200" s="45" t="s">
        <v>97</v>
      </c>
      <c r="D200" s="45" t="s">
        <v>525</v>
      </c>
      <c r="E200" s="6" t="s">
        <v>526</v>
      </c>
      <c r="F200" s="45" t="s">
        <v>187</v>
      </c>
      <c r="G200" s="46">
        <f t="shared" si="23"/>
        <v>1800</v>
      </c>
      <c r="H200" s="46">
        <f>TRUNC(S200*(1-LOTE_03!$K$10),2)</f>
        <v>33.82</v>
      </c>
      <c r="I200" s="46">
        <f>TRUNC(T200*(1-LOTE_03!$K$10),2)</f>
        <v>2.59</v>
      </c>
      <c r="J200" s="100">
        <f t="shared" si="17"/>
        <v>0.22470000000000001</v>
      </c>
      <c r="K200" s="48">
        <f t="shared" si="18"/>
        <v>41.41</v>
      </c>
      <c r="L200" s="48">
        <f t="shared" si="19"/>
        <v>3.17</v>
      </c>
      <c r="M200" s="48">
        <f t="shared" si="20"/>
        <v>74538</v>
      </c>
      <c r="N200" s="48">
        <f t="shared" si="21"/>
        <v>5706</v>
      </c>
      <c r="O200" s="50">
        <f t="shared" si="22"/>
        <v>80244</v>
      </c>
      <c r="P200" s="50">
        <v>0</v>
      </c>
      <c r="Q200" s="76"/>
      <c r="R200" s="140">
        <f>200*(S10+S9)</f>
        <v>1800</v>
      </c>
      <c r="S200" s="79">
        <v>33.82</v>
      </c>
      <c r="T200" s="80">
        <v>2.59</v>
      </c>
    </row>
    <row r="201" spans="2:20" ht="42">
      <c r="B201" s="5" t="s">
        <v>527</v>
      </c>
      <c r="C201" s="45" t="s">
        <v>135</v>
      </c>
      <c r="D201" s="45">
        <v>101738</v>
      </c>
      <c r="E201" s="6" t="s">
        <v>1781</v>
      </c>
      <c r="F201" s="45" t="s">
        <v>187</v>
      </c>
      <c r="G201" s="46">
        <f t="shared" si="23"/>
        <v>50</v>
      </c>
      <c r="H201" s="46">
        <f>TRUNC(S201*(1-LOTE_03!$K$10),2)</f>
        <v>33.44</v>
      </c>
      <c r="I201" s="46">
        <f>TRUNC(T201*(1-LOTE_03!$K$10),2)</f>
        <v>9.9</v>
      </c>
      <c r="J201" s="100">
        <f t="shared" si="17"/>
        <v>0.22470000000000001</v>
      </c>
      <c r="K201" s="48">
        <f t="shared" si="18"/>
        <v>40.950000000000003</v>
      </c>
      <c r="L201" s="48">
        <f t="shared" si="19"/>
        <v>12.12</v>
      </c>
      <c r="M201" s="48">
        <f t="shared" si="20"/>
        <v>2047.5</v>
      </c>
      <c r="N201" s="48">
        <f t="shared" si="21"/>
        <v>606</v>
      </c>
      <c r="O201" s="50">
        <f t="shared" si="22"/>
        <v>2653.5</v>
      </c>
      <c r="P201" s="50">
        <v>0</v>
      </c>
      <c r="Q201" s="76"/>
      <c r="R201" s="140">
        <f>IF((S9*5+20*S10)&gt;50,50,(5*S9+10*S10))</f>
        <v>50</v>
      </c>
      <c r="S201" s="79">
        <v>33.440000000000005</v>
      </c>
      <c r="T201" s="80">
        <v>9.9</v>
      </c>
    </row>
    <row r="202" spans="2:20" ht="28">
      <c r="B202" s="5" t="s">
        <v>528</v>
      </c>
      <c r="C202" s="45" t="s">
        <v>165</v>
      </c>
      <c r="D202" s="45" t="s">
        <v>529</v>
      </c>
      <c r="E202" s="6" t="s">
        <v>530</v>
      </c>
      <c r="F202" s="45" t="s">
        <v>531</v>
      </c>
      <c r="G202" s="46">
        <f t="shared" si="23"/>
        <v>50</v>
      </c>
      <c r="H202" s="46">
        <f>TRUNC(S202*(1-LOTE_03!$K$10),2)</f>
        <v>42.71</v>
      </c>
      <c r="I202" s="46">
        <f>TRUNC(T202*(1-LOTE_03!$K$10),2)</f>
        <v>1.37</v>
      </c>
      <c r="J202" s="100">
        <f t="shared" si="17"/>
        <v>0.22470000000000001</v>
      </c>
      <c r="K202" s="48">
        <f t="shared" si="18"/>
        <v>52.3</v>
      </c>
      <c r="L202" s="48">
        <f t="shared" si="19"/>
        <v>1.67</v>
      </c>
      <c r="M202" s="48">
        <f t="shared" si="20"/>
        <v>2615</v>
      </c>
      <c r="N202" s="48">
        <f t="shared" si="21"/>
        <v>83.5</v>
      </c>
      <c r="O202" s="50">
        <f t="shared" si="22"/>
        <v>2698.5</v>
      </c>
      <c r="P202" s="50">
        <v>0</v>
      </c>
      <c r="Q202" s="76"/>
      <c r="R202" s="140">
        <f>IF((S9*5+20*S10)&gt;50,50,(5*S9+10*S10))</f>
        <v>50</v>
      </c>
      <c r="S202" s="79">
        <v>42.71</v>
      </c>
      <c r="T202" s="80">
        <v>1.37</v>
      </c>
    </row>
    <row r="203" spans="2:20" ht="28">
      <c r="B203" s="5" t="s">
        <v>532</v>
      </c>
      <c r="C203" s="45" t="s">
        <v>135</v>
      </c>
      <c r="D203" s="45">
        <v>98685</v>
      </c>
      <c r="E203" s="6" t="s">
        <v>1782</v>
      </c>
      <c r="F203" s="45" t="s">
        <v>187</v>
      </c>
      <c r="G203" s="46">
        <f t="shared" si="23"/>
        <v>50</v>
      </c>
      <c r="H203" s="46">
        <f>TRUNC(S203*(1-LOTE_03!$K$10),2)</f>
        <v>77.25</v>
      </c>
      <c r="I203" s="46">
        <f>TRUNC(T203*(1-LOTE_03!$K$10),2)</f>
        <v>8.91</v>
      </c>
      <c r="J203" s="100">
        <f t="shared" si="17"/>
        <v>0.22470000000000001</v>
      </c>
      <c r="K203" s="48">
        <f t="shared" si="18"/>
        <v>94.6</v>
      </c>
      <c r="L203" s="48">
        <f t="shared" si="19"/>
        <v>10.91</v>
      </c>
      <c r="M203" s="48">
        <f t="shared" si="20"/>
        <v>4730</v>
      </c>
      <c r="N203" s="48">
        <f t="shared" si="21"/>
        <v>545.5</v>
      </c>
      <c r="O203" s="50">
        <f t="shared" si="22"/>
        <v>5275.5</v>
      </c>
      <c r="P203" s="50">
        <v>0</v>
      </c>
      <c r="Q203" s="76"/>
      <c r="R203" s="140">
        <f>IF((S9*5+20*S10)&gt;50,50,(5*S9+10*S10))</f>
        <v>50</v>
      </c>
      <c r="S203" s="79">
        <v>77.25</v>
      </c>
      <c r="T203" s="80">
        <v>8.91</v>
      </c>
    </row>
    <row r="204" spans="2:20" ht="28">
      <c r="B204" s="5" t="s">
        <v>533</v>
      </c>
      <c r="C204" s="45" t="s">
        <v>135</v>
      </c>
      <c r="D204" s="45">
        <v>98689</v>
      </c>
      <c r="E204" s="6" t="s">
        <v>1783</v>
      </c>
      <c r="F204" s="45" t="s">
        <v>187</v>
      </c>
      <c r="G204" s="46">
        <f t="shared" si="23"/>
        <v>50</v>
      </c>
      <c r="H204" s="46">
        <f>TRUNC(S204*(1-LOTE_03!$K$10),2)</f>
        <v>112.91</v>
      </c>
      <c r="I204" s="46">
        <f>TRUNC(T204*(1-LOTE_03!$K$10),2)</f>
        <v>17.39</v>
      </c>
      <c r="J204" s="100">
        <f t="shared" si="17"/>
        <v>0.22470000000000001</v>
      </c>
      <c r="K204" s="48">
        <f t="shared" si="18"/>
        <v>138.28</v>
      </c>
      <c r="L204" s="48">
        <f t="shared" si="19"/>
        <v>21.29</v>
      </c>
      <c r="M204" s="48">
        <f t="shared" si="20"/>
        <v>6914</v>
      </c>
      <c r="N204" s="48">
        <f t="shared" si="21"/>
        <v>1064.5</v>
      </c>
      <c r="O204" s="50">
        <f t="shared" si="22"/>
        <v>7978.5</v>
      </c>
      <c r="P204" s="50">
        <v>0</v>
      </c>
      <c r="Q204" s="76"/>
      <c r="R204" s="140">
        <f>IF((S9*5+20*S10)&gt;50,50,(5*S9+10*S10))</f>
        <v>50</v>
      </c>
      <c r="S204" s="79">
        <v>112.91000000000001</v>
      </c>
      <c r="T204" s="80">
        <v>17.39</v>
      </c>
    </row>
    <row r="205" spans="2:20" ht="28">
      <c r="B205" s="5" t="s">
        <v>534</v>
      </c>
      <c r="C205" s="45" t="s">
        <v>135</v>
      </c>
      <c r="D205" s="45">
        <v>98695</v>
      </c>
      <c r="E205" s="6" t="s">
        <v>1784</v>
      </c>
      <c r="F205" s="45" t="s">
        <v>187</v>
      </c>
      <c r="G205" s="46">
        <f t="shared" si="23"/>
        <v>50</v>
      </c>
      <c r="H205" s="46">
        <f>TRUNC(S205*(1-LOTE_03!$K$10),2)</f>
        <v>101.49</v>
      </c>
      <c r="I205" s="46">
        <f>TRUNC(T205*(1-LOTE_03!$K$10),2)</f>
        <v>18.93</v>
      </c>
      <c r="J205" s="100">
        <f t="shared" si="17"/>
        <v>0.22470000000000001</v>
      </c>
      <c r="K205" s="48">
        <f t="shared" si="18"/>
        <v>124.29</v>
      </c>
      <c r="L205" s="48">
        <f t="shared" si="19"/>
        <v>23.18</v>
      </c>
      <c r="M205" s="48">
        <f t="shared" si="20"/>
        <v>6214.5</v>
      </c>
      <c r="N205" s="48">
        <f t="shared" si="21"/>
        <v>1159</v>
      </c>
      <c r="O205" s="50">
        <f t="shared" si="22"/>
        <v>7373.5</v>
      </c>
      <c r="P205" s="50">
        <v>0</v>
      </c>
      <c r="Q205" s="76"/>
      <c r="R205" s="140">
        <f>IF((S9*5+20*S10)&gt;50,50,(5*S9+10*S10))</f>
        <v>50</v>
      </c>
      <c r="S205" s="79">
        <v>101.49000000000001</v>
      </c>
      <c r="T205" s="80">
        <v>18.93</v>
      </c>
    </row>
    <row r="206" spans="2:20" ht="28">
      <c r="B206" s="5" t="s">
        <v>535</v>
      </c>
      <c r="C206" s="45" t="s">
        <v>165</v>
      </c>
      <c r="D206" s="45" t="s">
        <v>536</v>
      </c>
      <c r="E206" s="6" t="s">
        <v>537</v>
      </c>
      <c r="F206" s="45" t="s">
        <v>531</v>
      </c>
      <c r="G206" s="46">
        <f t="shared" si="23"/>
        <v>50</v>
      </c>
      <c r="H206" s="46">
        <f>TRUNC(S206*(1-LOTE_03!$K$10),2)</f>
        <v>120.03</v>
      </c>
      <c r="I206" s="46">
        <f>TRUNC(T206*(1-LOTE_03!$K$10),2)</f>
        <v>1.79</v>
      </c>
      <c r="J206" s="100">
        <f t="shared" si="17"/>
        <v>0.22470000000000001</v>
      </c>
      <c r="K206" s="48">
        <f t="shared" si="18"/>
        <v>147</v>
      </c>
      <c r="L206" s="48">
        <f t="shared" si="19"/>
        <v>2.19</v>
      </c>
      <c r="M206" s="48">
        <f t="shared" si="20"/>
        <v>7350</v>
      </c>
      <c r="N206" s="48">
        <f t="shared" si="21"/>
        <v>109.5</v>
      </c>
      <c r="O206" s="50">
        <f t="shared" si="22"/>
        <v>7459.5</v>
      </c>
      <c r="P206" s="50">
        <v>0</v>
      </c>
      <c r="Q206" s="76"/>
      <c r="R206" s="140">
        <f>IF((S9*5+20*S10)&gt;50,50,(5*S9+10*S10))</f>
        <v>50</v>
      </c>
      <c r="S206" s="79">
        <v>120.03</v>
      </c>
      <c r="T206" s="80">
        <v>1.79</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1113426.6400000001</v>
      </c>
      <c r="Q207" s="76"/>
      <c r="R207" s="154"/>
      <c r="S207" s="79" t="s">
        <v>22</v>
      </c>
      <c r="T207" s="80" t="s">
        <v>22</v>
      </c>
    </row>
    <row r="208" spans="2:20" ht="42">
      <c r="B208" s="5" t="s">
        <v>538</v>
      </c>
      <c r="C208" s="45" t="s">
        <v>97</v>
      </c>
      <c r="D208" s="45" t="s">
        <v>539</v>
      </c>
      <c r="E208" s="6" t="s">
        <v>540</v>
      </c>
      <c r="F208" s="45" t="s">
        <v>104</v>
      </c>
      <c r="G208" s="46">
        <f t="shared" si="23"/>
        <v>18</v>
      </c>
      <c r="H208" s="46">
        <f>TRUNC(S208*(1-LOTE_03!$K$10),2)</f>
        <v>27.24</v>
      </c>
      <c r="I208" s="46">
        <f>TRUNC(T208*(1-LOTE_03!$K$10),2)</f>
        <v>71.180000000000007</v>
      </c>
      <c r="J208" s="100">
        <f t="shared" si="17"/>
        <v>0.22470000000000001</v>
      </c>
      <c r="K208" s="48">
        <f t="shared" ref="K208:K271" si="24">TRUNC(H208*(1+J208),2)</f>
        <v>33.36</v>
      </c>
      <c r="L208" s="48">
        <f t="shared" ref="L208:L271" si="25">TRUNC(I208*(1+J208),2)</f>
        <v>87.17</v>
      </c>
      <c r="M208" s="48">
        <f t="shared" ref="M208:M271" si="26">TRUNC(K208*G208,2)</f>
        <v>600.48</v>
      </c>
      <c r="N208" s="48">
        <f t="shared" ref="N208:N271" si="27">TRUNC(L208*G208,2)</f>
        <v>1569.06</v>
      </c>
      <c r="O208" s="50">
        <f t="shared" ref="O208:O271" si="28">TRUNC(M208+N208,2)</f>
        <v>2169.54</v>
      </c>
      <c r="P208" s="50">
        <v>0</v>
      </c>
      <c r="Q208" s="76"/>
      <c r="R208" s="140">
        <f>IF((2*S9+2*S10)&gt;20,20,(2*S9+2*S10))</f>
        <v>18</v>
      </c>
      <c r="S208" s="79">
        <v>27.24</v>
      </c>
      <c r="T208" s="80">
        <v>71.180000000000007</v>
      </c>
    </row>
    <row r="209" spans="2:20" ht="28">
      <c r="B209" s="5" t="s">
        <v>541</v>
      </c>
      <c r="C209" s="45" t="s">
        <v>97</v>
      </c>
      <c r="D209" s="45" t="s">
        <v>542</v>
      </c>
      <c r="E209" s="6" t="s">
        <v>543</v>
      </c>
      <c r="F209" s="45" t="s">
        <v>104</v>
      </c>
      <c r="G209" s="46">
        <f t="shared" si="23"/>
        <v>9</v>
      </c>
      <c r="H209" s="46">
        <f>TRUNC(S209*(1-LOTE_03!$K$10),2)</f>
        <v>0</v>
      </c>
      <c r="I209" s="46">
        <f>TRUNC(T209*(1-LOTE_03!$K$10),2)</f>
        <v>107.2</v>
      </c>
      <c r="J209" s="100">
        <f t="shared" si="17"/>
        <v>0.22470000000000001</v>
      </c>
      <c r="K209" s="48">
        <f t="shared" si="24"/>
        <v>0</v>
      </c>
      <c r="L209" s="48">
        <f t="shared" si="25"/>
        <v>131.28</v>
      </c>
      <c r="M209" s="48">
        <f t="shared" si="26"/>
        <v>0</v>
      </c>
      <c r="N209" s="48">
        <f t="shared" si="27"/>
        <v>1181.52</v>
      </c>
      <c r="O209" s="50">
        <f t="shared" si="28"/>
        <v>1181.52</v>
      </c>
      <c r="P209" s="50">
        <v>0</v>
      </c>
      <c r="Q209" s="76"/>
      <c r="R209" s="140">
        <f>IF((1*S9+1*S10)&gt;10,10,(1*S9+1*S10))</f>
        <v>9</v>
      </c>
      <c r="S209" s="79">
        <v>0</v>
      </c>
      <c r="T209" s="80">
        <v>107.2</v>
      </c>
    </row>
    <row r="210" spans="2:20" ht="42">
      <c r="B210" s="5" t="s">
        <v>544</v>
      </c>
      <c r="C210" s="45" t="s">
        <v>135</v>
      </c>
      <c r="D210" s="45">
        <v>102182</v>
      </c>
      <c r="E210" s="6" t="s">
        <v>1785</v>
      </c>
      <c r="F210" s="45" t="s">
        <v>210</v>
      </c>
      <c r="G210" s="46">
        <f t="shared" ref="G210:G273" si="29">TRUNC(R210,2)</f>
        <v>18</v>
      </c>
      <c r="H210" s="46">
        <f>TRUNC(S210*(1-LOTE_03!$K$10),2)</f>
        <v>1287.4100000000001</v>
      </c>
      <c r="I210" s="46">
        <f>TRUNC(T210*(1-LOTE_03!$K$10),2)</f>
        <v>62.07</v>
      </c>
      <c r="J210" s="100">
        <f t="shared" ref="J210:J273" si="30">$J$4</f>
        <v>0.22470000000000001</v>
      </c>
      <c r="K210" s="48">
        <f t="shared" si="24"/>
        <v>1576.69</v>
      </c>
      <c r="L210" s="48">
        <f t="shared" si="25"/>
        <v>76.010000000000005</v>
      </c>
      <c r="M210" s="48">
        <f t="shared" si="26"/>
        <v>28380.42</v>
      </c>
      <c r="N210" s="48">
        <f t="shared" si="27"/>
        <v>1368.18</v>
      </c>
      <c r="O210" s="50">
        <f t="shared" si="28"/>
        <v>29748.6</v>
      </c>
      <c r="P210" s="50">
        <v>0</v>
      </c>
      <c r="Q210" s="76"/>
      <c r="R210" s="140">
        <f>IF((2*S9+2*S10)&gt;20,20,(2*S9+2*S10))</f>
        <v>18</v>
      </c>
      <c r="S210" s="79">
        <v>1287.4100000000001</v>
      </c>
      <c r="T210" s="80">
        <v>62.07</v>
      </c>
    </row>
    <row r="211" spans="2:20" ht="56">
      <c r="B211" s="5" t="s">
        <v>545</v>
      </c>
      <c r="C211" s="45" t="s">
        <v>135</v>
      </c>
      <c r="D211" s="45">
        <v>102183</v>
      </c>
      <c r="E211" s="6" t="s">
        <v>1786</v>
      </c>
      <c r="F211" s="45" t="s">
        <v>210</v>
      </c>
      <c r="G211" s="46">
        <f t="shared" si="29"/>
        <v>9</v>
      </c>
      <c r="H211" s="46">
        <f>TRUNC(S211*(1-LOTE_03!$K$10),2)</f>
        <v>2406.65</v>
      </c>
      <c r="I211" s="46">
        <f>TRUNC(T211*(1-LOTE_03!$K$10),2)</f>
        <v>123.73</v>
      </c>
      <c r="J211" s="100">
        <f t="shared" si="30"/>
        <v>0.22470000000000001</v>
      </c>
      <c r="K211" s="48">
        <f t="shared" si="24"/>
        <v>2947.42</v>
      </c>
      <c r="L211" s="48">
        <f t="shared" si="25"/>
        <v>151.53</v>
      </c>
      <c r="M211" s="48">
        <f t="shared" si="26"/>
        <v>26526.78</v>
      </c>
      <c r="N211" s="48">
        <f t="shared" si="27"/>
        <v>1363.77</v>
      </c>
      <c r="O211" s="50">
        <f t="shared" si="28"/>
        <v>27890.55</v>
      </c>
      <c r="P211" s="50">
        <v>0</v>
      </c>
      <c r="Q211" s="76"/>
      <c r="R211" s="140">
        <f>IF((1*S9+1*S10)&gt;10,10,(1*S9+1*S10))</f>
        <v>9</v>
      </c>
      <c r="S211" s="79">
        <v>2406.65</v>
      </c>
      <c r="T211" s="80">
        <v>123.73</v>
      </c>
    </row>
    <row r="212" spans="2:20" ht="56">
      <c r="B212" s="5" t="s">
        <v>546</v>
      </c>
      <c r="C212" s="45" t="s">
        <v>135</v>
      </c>
      <c r="D212" s="45">
        <v>102184</v>
      </c>
      <c r="E212" s="6" t="s">
        <v>1787</v>
      </c>
      <c r="F212" s="45" t="s">
        <v>210</v>
      </c>
      <c r="G212" s="46">
        <f t="shared" si="29"/>
        <v>9</v>
      </c>
      <c r="H212" s="46">
        <f>TRUNC(S212*(1-LOTE_03!$K$10),2)</f>
        <v>2280.39</v>
      </c>
      <c r="I212" s="46">
        <f>TRUNC(T212*(1-LOTE_03!$K$10),2)</f>
        <v>107.2</v>
      </c>
      <c r="J212" s="100">
        <f t="shared" si="30"/>
        <v>0.22470000000000001</v>
      </c>
      <c r="K212" s="48">
        <f t="shared" si="24"/>
        <v>2792.79</v>
      </c>
      <c r="L212" s="48">
        <f t="shared" si="25"/>
        <v>131.28</v>
      </c>
      <c r="M212" s="48">
        <f t="shared" si="26"/>
        <v>25135.11</v>
      </c>
      <c r="N212" s="48">
        <f t="shared" si="27"/>
        <v>1181.52</v>
      </c>
      <c r="O212" s="50">
        <f t="shared" si="28"/>
        <v>26316.63</v>
      </c>
      <c r="P212" s="50">
        <v>0</v>
      </c>
      <c r="Q212" s="76"/>
      <c r="R212" s="140">
        <f>IF((1*S9+1*S10)&gt;10,10,(1*S9+1*S10))</f>
        <v>9</v>
      </c>
      <c r="S212" s="79">
        <v>2280.3900000000003</v>
      </c>
      <c r="T212" s="80">
        <v>107.2</v>
      </c>
    </row>
    <row r="213" spans="2:20" ht="70">
      <c r="B213" s="5" t="s">
        <v>547</v>
      </c>
      <c r="C213" s="45" t="s">
        <v>135</v>
      </c>
      <c r="D213" s="45">
        <v>102185</v>
      </c>
      <c r="E213" s="6" t="s">
        <v>1788</v>
      </c>
      <c r="F213" s="45" t="s">
        <v>210</v>
      </c>
      <c r="G213" s="46">
        <f t="shared" si="29"/>
        <v>9</v>
      </c>
      <c r="H213" s="46">
        <f>TRUNC(S213*(1-LOTE_03!$K$10),2)</f>
        <v>4564.8900000000003</v>
      </c>
      <c r="I213" s="46">
        <f>TRUNC(T213*(1-LOTE_03!$K$10),2)</f>
        <v>222.61</v>
      </c>
      <c r="J213" s="100">
        <f t="shared" si="30"/>
        <v>0.22470000000000001</v>
      </c>
      <c r="K213" s="48">
        <f t="shared" si="24"/>
        <v>5590.62</v>
      </c>
      <c r="L213" s="48">
        <f t="shared" si="25"/>
        <v>272.63</v>
      </c>
      <c r="M213" s="48">
        <f t="shared" si="26"/>
        <v>50315.58</v>
      </c>
      <c r="N213" s="48">
        <f t="shared" si="27"/>
        <v>2453.67</v>
      </c>
      <c r="O213" s="50">
        <f t="shared" si="28"/>
        <v>52769.25</v>
      </c>
      <c r="P213" s="50">
        <v>0</v>
      </c>
      <c r="Q213" s="76"/>
      <c r="R213" s="140">
        <f>IF((1*S9+1*S10)&gt;10,10,(1*S9+1*S10))</f>
        <v>9</v>
      </c>
      <c r="S213" s="79">
        <v>4564.8900000000003</v>
      </c>
      <c r="T213" s="80">
        <v>222.61</v>
      </c>
    </row>
    <row r="214" spans="2:20" ht="28">
      <c r="B214" s="5" t="s">
        <v>548</v>
      </c>
      <c r="C214" s="45" t="s">
        <v>97</v>
      </c>
      <c r="D214" s="45" t="s">
        <v>549</v>
      </c>
      <c r="E214" s="6" t="s">
        <v>550</v>
      </c>
      <c r="F214" s="45" t="s">
        <v>104</v>
      </c>
      <c r="G214" s="46">
        <f t="shared" si="29"/>
        <v>18</v>
      </c>
      <c r="H214" s="46">
        <f>TRUNC(S214*(1-LOTE_03!$K$10),2)</f>
        <v>16.03</v>
      </c>
      <c r="I214" s="46">
        <f>TRUNC(T214*(1-LOTE_03!$K$10),2)</f>
        <v>47.89</v>
      </c>
      <c r="J214" s="100">
        <f t="shared" si="30"/>
        <v>0.22470000000000001</v>
      </c>
      <c r="K214" s="48">
        <f t="shared" si="24"/>
        <v>19.63</v>
      </c>
      <c r="L214" s="48">
        <f t="shared" si="25"/>
        <v>58.65</v>
      </c>
      <c r="M214" s="48">
        <f t="shared" si="26"/>
        <v>353.34</v>
      </c>
      <c r="N214" s="48">
        <f t="shared" si="27"/>
        <v>1055.7</v>
      </c>
      <c r="O214" s="50">
        <f t="shared" si="28"/>
        <v>1409.04</v>
      </c>
      <c r="P214" s="50">
        <v>0</v>
      </c>
      <c r="Q214" s="76"/>
      <c r="R214" s="140">
        <f>IF((2*S9+2*S10)&gt;50,50,(2*S9+2*S10))</f>
        <v>18</v>
      </c>
      <c r="S214" s="79">
        <v>16.03</v>
      </c>
      <c r="T214" s="80">
        <v>47.89</v>
      </c>
    </row>
    <row r="215" spans="2:20" ht="70">
      <c r="B215" s="5" t="s">
        <v>551</v>
      </c>
      <c r="C215" s="45" t="s">
        <v>135</v>
      </c>
      <c r="D215" s="45">
        <v>100695</v>
      </c>
      <c r="E215" s="6" t="s">
        <v>1789</v>
      </c>
      <c r="F215" s="45" t="s">
        <v>210</v>
      </c>
      <c r="G215" s="46">
        <f t="shared" si="29"/>
        <v>18</v>
      </c>
      <c r="H215" s="46">
        <f>TRUNC(S215*(1-LOTE_03!$K$10),2)</f>
        <v>22.52</v>
      </c>
      <c r="I215" s="46">
        <f>TRUNC(T215*(1-LOTE_03!$K$10),2)</f>
        <v>59.68</v>
      </c>
      <c r="J215" s="100">
        <f t="shared" si="30"/>
        <v>0.22470000000000001</v>
      </c>
      <c r="K215" s="48">
        <f t="shared" si="24"/>
        <v>27.58</v>
      </c>
      <c r="L215" s="48">
        <f t="shared" si="25"/>
        <v>73.09</v>
      </c>
      <c r="M215" s="48">
        <f t="shared" si="26"/>
        <v>496.44</v>
      </c>
      <c r="N215" s="48">
        <f t="shared" si="27"/>
        <v>1315.62</v>
      </c>
      <c r="O215" s="50">
        <f t="shared" si="28"/>
        <v>1812.06</v>
      </c>
      <c r="P215" s="50">
        <v>0</v>
      </c>
      <c r="Q215" s="76"/>
      <c r="R215" s="140">
        <f>IF((2*S9+2*S10)&gt;50,50,(2*S9+2*S10))</f>
        <v>18</v>
      </c>
      <c r="S215" s="79">
        <v>22.520000000000003</v>
      </c>
      <c r="T215" s="80">
        <v>59.68</v>
      </c>
    </row>
    <row r="216" spans="2:20" ht="70">
      <c r="B216" s="5" t="s">
        <v>552</v>
      </c>
      <c r="C216" s="45" t="s">
        <v>135</v>
      </c>
      <c r="D216" s="45">
        <v>100697</v>
      </c>
      <c r="E216" s="6" t="s">
        <v>1790</v>
      </c>
      <c r="F216" s="45" t="s">
        <v>210</v>
      </c>
      <c r="G216" s="46">
        <f t="shared" si="29"/>
        <v>18</v>
      </c>
      <c r="H216" s="46">
        <f>TRUNC(S216*(1-LOTE_03!$K$10),2)</f>
        <v>27.23</v>
      </c>
      <c r="I216" s="46">
        <f>TRUNC(T216*(1-LOTE_03!$K$10),2)</f>
        <v>73.17</v>
      </c>
      <c r="J216" s="100">
        <f t="shared" si="30"/>
        <v>0.22470000000000001</v>
      </c>
      <c r="K216" s="48">
        <f t="shared" si="24"/>
        <v>33.340000000000003</v>
      </c>
      <c r="L216" s="48">
        <f t="shared" si="25"/>
        <v>89.61</v>
      </c>
      <c r="M216" s="48">
        <f t="shared" si="26"/>
        <v>600.12</v>
      </c>
      <c r="N216" s="48">
        <f t="shared" si="27"/>
        <v>1612.98</v>
      </c>
      <c r="O216" s="50">
        <f t="shared" si="28"/>
        <v>2213.1</v>
      </c>
      <c r="P216" s="50">
        <v>0</v>
      </c>
      <c r="Q216" s="76"/>
      <c r="R216" s="140">
        <f>IF((2*S9+2*S10)&gt;50,50,(2*S9+2*S10))</f>
        <v>18</v>
      </c>
      <c r="S216" s="79">
        <v>27.230000000000004</v>
      </c>
      <c r="T216" s="80">
        <v>73.17</v>
      </c>
    </row>
    <row r="217" spans="2:20" ht="70">
      <c r="B217" s="5" t="s">
        <v>553</v>
      </c>
      <c r="C217" s="45" t="s">
        <v>135</v>
      </c>
      <c r="D217" s="45">
        <v>90820</v>
      </c>
      <c r="E217" s="6" t="s">
        <v>1791</v>
      </c>
      <c r="F217" s="45" t="s">
        <v>210</v>
      </c>
      <c r="G217" s="46">
        <f t="shared" si="29"/>
        <v>9</v>
      </c>
      <c r="H217" s="46">
        <f>TRUNC(S217*(1-LOTE_03!$K$10),2)</f>
        <v>317.88</v>
      </c>
      <c r="I217" s="46">
        <f>TRUNC(T217*(1-LOTE_03!$K$10),2)</f>
        <v>35.590000000000003</v>
      </c>
      <c r="J217" s="100">
        <f t="shared" si="30"/>
        <v>0.22470000000000001</v>
      </c>
      <c r="K217" s="48">
        <f t="shared" si="24"/>
        <v>389.3</v>
      </c>
      <c r="L217" s="48">
        <f t="shared" si="25"/>
        <v>43.58</v>
      </c>
      <c r="M217" s="48">
        <f t="shared" si="26"/>
        <v>3503.7</v>
      </c>
      <c r="N217" s="48">
        <f t="shared" si="27"/>
        <v>392.22</v>
      </c>
      <c r="O217" s="50">
        <f t="shared" si="28"/>
        <v>3895.92</v>
      </c>
      <c r="P217" s="50">
        <v>0</v>
      </c>
      <c r="Q217" s="76"/>
      <c r="R217" s="140">
        <f>IF((1*S9+1*S10)&gt;50,50,(1*S9+1*S10))</f>
        <v>9</v>
      </c>
      <c r="S217" s="79">
        <v>317.88</v>
      </c>
      <c r="T217" s="80">
        <v>35.590000000000003</v>
      </c>
    </row>
    <row r="218" spans="2:20" ht="70">
      <c r="B218" s="5" t="s">
        <v>554</v>
      </c>
      <c r="C218" s="45" t="s">
        <v>135</v>
      </c>
      <c r="D218" s="45">
        <v>90822</v>
      </c>
      <c r="E218" s="6" t="s">
        <v>1792</v>
      </c>
      <c r="F218" s="45" t="s">
        <v>210</v>
      </c>
      <c r="G218" s="46">
        <f t="shared" si="29"/>
        <v>18</v>
      </c>
      <c r="H218" s="46">
        <f>TRUNC(S218*(1-LOTE_03!$K$10),2)</f>
        <v>346.45</v>
      </c>
      <c r="I218" s="46">
        <f>TRUNC(T218*(1-LOTE_03!$K$10),2)</f>
        <v>43.21</v>
      </c>
      <c r="J218" s="100">
        <f t="shared" si="30"/>
        <v>0.22470000000000001</v>
      </c>
      <c r="K218" s="48">
        <f t="shared" si="24"/>
        <v>424.29</v>
      </c>
      <c r="L218" s="48">
        <f t="shared" si="25"/>
        <v>52.91</v>
      </c>
      <c r="M218" s="48">
        <f t="shared" si="26"/>
        <v>7637.22</v>
      </c>
      <c r="N218" s="48">
        <f t="shared" si="27"/>
        <v>952.38</v>
      </c>
      <c r="O218" s="50">
        <f t="shared" si="28"/>
        <v>8589.6</v>
      </c>
      <c r="P218" s="50">
        <v>0</v>
      </c>
      <c r="Q218" s="76"/>
      <c r="R218" s="140">
        <f>IF((2*S9+2*S10)&gt;50,50,(2*S9+2*S10))</f>
        <v>18</v>
      </c>
      <c r="S218" s="79">
        <v>346.45000000000005</v>
      </c>
      <c r="T218" s="80">
        <v>43.21</v>
      </c>
    </row>
    <row r="219" spans="2:20" ht="70">
      <c r="B219" s="5" t="s">
        <v>555</v>
      </c>
      <c r="C219" s="45" t="s">
        <v>135</v>
      </c>
      <c r="D219" s="45">
        <v>90823</v>
      </c>
      <c r="E219" s="6" t="s">
        <v>1793</v>
      </c>
      <c r="F219" s="45" t="s">
        <v>210</v>
      </c>
      <c r="G219" s="46">
        <f t="shared" si="29"/>
        <v>18</v>
      </c>
      <c r="H219" s="46">
        <f>TRUNC(S219*(1-LOTE_03!$K$10),2)</f>
        <v>431.53</v>
      </c>
      <c r="I219" s="46">
        <f>TRUNC(T219*(1-LOTE_03!$K$10),2)</f>
        <v>46.61</v>
      </c>
      <c r="J219" s="100">
        <f t="shared" si="30"/>
        <v>0.22470000000000001</v>
      </c>
      <c r="K219" s="48">
        <f t="shared" si="24"/>
        <v>528.49</v>
      </c>
      <c r="L219" s="48">
        <f t="shared" si="25"/>
        <v>57.08</v>
      </c>
      <c r="M219" s="48">
        <f t="shared" si="26"/>
        <v>9512.82</v>
      </c>
      <c r="N219" s="48">
        <f t="shared" si="27"/>
        <v>1027.44</v>
      </c>
      <c r="O219" s="50">
        <f t="shared" si="28"/>
        <v>10540.26</v>
      </c>
      <c r="P219" s="50">
        <v>0</v>
      </c>
      <c r="Q219" s="76"/>
      <c r="R219" s="140">
        <f>IF((2*S9+2*S10)&gt;50,50,(2*S9+2*S10))</f>
        <v>18</v>
      </c>
      <c r="S219" s="79">
        <v>431.53</v>
      </c>
      <c r="T219" s="80">
        <v>46.61</v>
      </c>
    </row>
    <row r="220" spans="2:20" ht="28">
      <c r="B220" s="5" t="s">
        <v>556</v>
      </c>
      <c r="C220" s="45" t="s">
        <v>165</v>
      </c>
      <c r="D220" s="45" t="s">
        <v>557</v>
      </c>
      <c r="E220" s="6" t="s">
        <v>558</v>
      </c>
      <c r="F220" s="45" t="s">
        <v>559</v>
      </c>
      <c r="G220" s="46">
        <f t="shared" si="29"/>
        <v>18</v>
      </c>
      <c r="H220" s="46">
        <f>TRUNC(S220*(1-LOTE_03!$K$10),2)</f>
        <v>976.39</v>
      </c>
      <c r="I220" s="46">
        <f>TRUNC(T220*(1-LOTE_03!$K$10),2)</f>
        <v>180.1</v>
      </c>
      <c r="J220" s="100">
        <f t="shared" si="30"/>
        <v>0.22470000000000001</v>
      </c>
      <c r="K220" s="48">
        <f t="shared" si="24"/>
        <v>1195.78</v>
      </c>
      <c r="L220" s="48">
        <f t="shared" si="25"/>
        <v>220.56</v>
      </c>
      <c r="M220" s="48">
        <f t="shared" si="26"/>
        <v>21524.04</v>
      </c>
      <c r="N220" s="48">
        <f t="shared" si="27"/>
        <v>3970.08</v>
      </c>
      <c r="O220" s="50">
        <f t="shared" si="28"/>
        <v>25494.12</v>
      </c>
      <c r="P220" s="50">
        <v>0</v>
      </c>
      <c r="Q220" s="76"/>
      <c r="R220" s="140">
        <f>IF((2*S9+2*S10)&gt;50,50,(2*S9+2*S10))</f>
        <v>18</v>
      </c>
      <c r="S220" s="79">
        <v>976.39</v>
      </c>
      <c r="T220" s="80">
        <v>180.1</v>
      </c>
    </row>
    <row r="221" spans="2:20" ht="28">
      <c r="B221" s="5" t="s">
        <v>560</v>
      </c>
      <c r="C221" s="45" t="s">
        <v>165</v>
      </c>
      <c r="D221" s="45" t="s">
        <v>561</v>
      </c>
      <c r="E221" s="6" t="s">
        <v>562</v>
      </c>
      <c r="F221" s="45" t="s">
        <v>559</v>
      </c>
      <c r="G221" s="46">
        <f t="shared" si="29"/>
        <v>9</v>
      </c>
      <c r="H221" s="46">
        <f>TRUNC(S221*(1-LOTE_03!$K$10),2)</f>
        <v>2214.1799999999998</v>
      </c>
      <c r="I221" s="46">
        <f>TRUNC(T221*(1-LOTE_03!$K$10),2)</f>
        <v>180.1</v>
      </c>
      <c r="J221" s="100">
        <f t="shared" si="30"/>
        <v>0.22470000000000001</v>
      </c>
      <c r="K221" s="48">
        <f t="shared" si="24"/>
        <v>2711.7</v>
      </c>
      <c r="L221" s="48">
        <f t="shared" si="25"/>
        <v>220.56</v>
      </c>
      <c r="M221" s="48">
        <f t="shared" si="26"/>
        <v>24405.3</v>
      </c>
      <c r="N221" s="48">
        <f t="shared" si="27"/>
        <v>1985.04</v>
      </c>
      <c r="O221" s="50">
        <f t="shared" si="28"/>
        <v>26390.34</v>
      </c>
      <c r="P221" s="50">
        <v>0</v>
      </c>
      <c r="Q221" s="76"/>
      <c r="R221" s="140">
        <f>IF((1*S9+1*S10)&gt;20,20,(1*S9+1*S10))</f>
        <v>9</v>
      </c>
      <c r="S221" s="79">
        <v>2214.1799999999998</v>
      </c>
      <c r="T221" s="80">
        <v>180.1</v>
      </c>
    </row>
    <row r="222" spans="2:20" ht="98">
      <c r="B222" s="5" t="s">
        <v>563</v>
      </c>
      <c r="C222" s="45" t="s">
        <v>135</v>
      </c>
      <c r="D222" s="45">
        <v>90793</v>
      </c>
      <c r="E222" s="6" t="s">
        <v>1794</v>
      </c>
      <c r="F222" s="45" t="s">
        <v>210</v>
      </c>
      <c r="G222" s="46">
        <f t="shared" si="29"/>
        <v>18</v>
      </c>
      <c r="H222" s="46">
        <f>TRUNC(S222*(1-LOTE_03!$K$10),2)</f>
        <v>1148.3399999999999</v>
      </c>
      <c r="I222" s="46">
        <f>TRUNC(T222*(1-LOTE_03!$K$10),2)</f>
        <v>25.23</v>
      </c>
      <c r="J222" s="100">
        <f t="shared" si="30"/>
        <v>0.22470000000000001</v>
      </c>
      <c r="K222" s="48">
        <f t="shared" si="24"/>
        <v>1406.37</v>
      </c>
      <c r="L222" s="48">
        <f t="shared" si="25"/>
        <v>30.89</v>
      </c>
      <c r="M222" s="48">
        <f t="shared" si="26"/>
        <v>25314.66</v>
      </c>
      <c r="N222" s="48">
        <f t="shared" si="27"/>
        <v>556.02</v>
      </c>
      <c r="O222" s="50">
        <f t="shared" si="28"/>
        <v>25870.68</v>
      </c>
      <c r="P222" s="50">
        <v>0</v>
      </c>
      <c r="Q222" s="76"/>
      <c r="R222" s="140">
        <f>IF((2*S9+2*S10)&gt;20,20,(2*S9+2*S10))</f>
        <v>18</v>
      </c>
      <c r="S222" s="79">
        <v>1148.3399999999999</v>
      </c>
      <c r="T222" s="80">
        <v>25.23</v>
      </c>
    </row>
    <row r="223" spans="2:20" ht="56">
      <c r="B223" s="5" t="s">
        <v>564</v>
      </c>
      <c r="C223" s="45" t="s">
        <v>97</v>
      </c>
      <c r="D223" s="45" t="s">
        <v>565</v>
      </c>
      <c r="E223" s="6" t="s">
        <v>566</v>
      </c>
      <c r="F223" s="45" t="s">
        <v>104</v>
      </c>
      <c r="G223" s="46">
        <f t="shared" si="29"/>
        <v>45</v>
      </c>
      <c r="H223" s="46">
        <f>TRUNC(S223*(1-LOTE_03!$K$10),2)</f>
        <v>1697.51</v>
      </c>
      <c r="I223" s="46">
        <f>TRUNC(T223*(1-LOTE_03!$K$10),2)</f>
        <v>53.93</v>
      </c>
      <c r="J223" s="100">
        <f t="shared" si="30"/>
        <v>0.22470000000000001</v>
      </c>
      <c r="K223" s="48">
        <f t="shared" si="24"/>
        <v>2078.94</v>
      </c>
      <c r="L223" s="48">
        <f t="shared" si="25"/>
        <v>66.040000000000006</v>
      </c>
      <c r="M223" s="48">
        <f t="shared" si="26"/>
        <v>93552.3</v>
      </c>
      <c r="N223" s="48">
        <f t="shared" si="27"/>
        <v>2971.8</v>
      </c>
      <c r="O223" s="50">
        <f t="shared" si="28"/>
        <v>96524.1</v>
      </c>
      <c r="P223" s="50">
        <v>0</v>
      </c>
      <c r="Q223" s="76"/>
      <c r="R223" s="140">
        <f>5*(S9+S10)</f>
        <v>45</v>
      </c>
      <c r="S223" s="79">
        <v>1697.51</v>
      </c>
      <c r="T223" s="80">
        <v>53.93</v>
      </c>
    </row>
    <row r="224" spans="2:20" ht="28">
      <c r="B224" s="5" t="s">
        <v>567</v>
      </c>
      <c r="C224" s="45" t="s">
        <v>97</v>
      </c>
      <c r="D224" s="45" t="s">
        <v>568</v>
      </c>
      <c r="E224" s="6" t="s">
        <v>569</v>
      </c>
      <c r="F224" s="45" t="s">
        <v>104</v>
      </c>
      <c r="G224" s="46">
        <f t="shared" si="29"/>
        <v>18</v>
      </c>
      <c r="H224" s="46">
        <f>TRUNC(S224*(1-LOTE_03!$K$10),2)</f>
        <v>290.16000000000003</v>
      </c>
      <c r="I224" s="46">
        <f>TRUNC(T224*(1-LOTE_03!$K$10),2)</f>
        <v>15.68</v>
      </c>
      <c r="J224" s="100">
        <f t="shared" si="30"/>
        <v>0.22470000000000001</v>
      </c>
      <c r="K224" s="48">
        <f t="shared" si="24"/>
        <v>355.35</v>
      </c>
      <c r="L224" s="48">
        <f t="shared" si="25"/>
        <v>19.2</v>
      </c>
      <c r="M224" s="48">
        <f t="shared" si="26"/>
        <v>6396.3</v>
      </c>
      <c r="N224" s="48">
        <f t="shared" si="27"/>
        <v>345.6</v>
      </c>
      <c r="O224" s="50">
        <f t="shared" si="28"/>
        <v>6741.9</v>
      </c>
      <c r="P224" s="50">
        <v>0</v>
      </c>
      <c r="Q224" s="76"/>
      <c r="R224" s="140">
        <f>IF((2*S9+2*S10)&gt;50,50,(2*S9+2*S10))</f>
        <v>18</v>
      </c>
      <c r="S224" s="79">
        <v>290.16000000000003</v>
      </c>
      <c r="T224" s="80">
        <v>15.68</v>
      </c>
    </row>
    <row r="225" spans="2:20" ht="42">
      <c r="B225" s="5" t="s">
        <v>570</v>
      </c>
      <c r="C225" s="45" t="s">
        <v>135</v>
      </c>
      <c r="D225" s="45">
        <v>100701</v>
      </c>
      <c r="E225" s="6" t="s">
        <v>1795</v>
      </c>
      <c r="F225" s="45" t="s">
        <v>121</v>
      </c>
      <c r="G225" s="46">
        <f t="shared" si="29"/>
        <v>55</v>
      </c>
      <c r="H225" s="46">
        <f>TRUNC(S225*(1-LOTE_03!$K$10),2)</f>
        <v>952.21</v>
      </c>
      <c r="I225" s="46">
        <f>TRUNC(T225*(1-LOTE_03!$K$10),2)</f>
        <v>20.02</v>
      </c>
      <c r="J225" s="100">
        <f t="shared" si="30"/>
        <v>0.22470000000000001</v>
      </c>
      <c r="K225" s="48">
        <f t="shared" si="24"/>
        <v>1166.17</v>
      </c>
      <c r="L225" s="48">
        <f t="shared" si="25"/>
        <v>24.51</v>
      </c>
      <c r="M225" s="48">
        <f t="shared" si="26"/>
        <v>64139.35</v>
      </c>
      <c r="N225" s="48">
        <f t="shared" si="27"/>
        <v>1348.05</v>
      </c>
      <c r="O225" s="50">
        <f t="shared" si="28"/>
        <v>65487.4</v>
      </c>
      <c r="P225" s="50">
        <v>0</v>
      </c>
      <c r="Q225" s="76"/>
      <c r="R225" s="140">
        <f>IF((5*S9+7*S10)&gt;100,100,(5*S9+7*S10))</f>
        <v>55</v>
      </c>
      <c r="S225" s="79">
        <v>952.21</v>
      </c>
      <c r="T225" s="80">
        <v>20.02</v>
      </c>
    </row>
    <row r="226" spans="2:20" ht="42">
      <c r="B226" s="5" t="s">
        <v>571</v>
      </c>
      <c r="C226" s="45" t="s">
        <v>135</v>
      </c>
      <c r="D226" s="45">
        <v>90838</v>
      </c>
      <c r="E226" s="6" t="s">
        <v>1796</v>
      </c>
      <c r="F226" s="45" t="s">
        <v>210</v>
      </c>
      <c r="G226" s="46">
        <f t="shared" si="29"/>
        <v>9</v>
      </c>
      <c r="H226" s="46">
        <f>TRUNC(S226*(1-LOTE_03!$K$10),2)</f>
        <v>2217.98</v>
      </c>
      <c r="I226" s="46">
        <f>TRUNC(T226*(1-LOTE_03!$K$10),2)</f>
        <v>137.81</v>
      </c>
      <c r="J226" s="100">
        <f t="shared" si="30"/>
        <v>0.22470000000000001</v>
      </c>
      <c r="K226" s="48">
        <f t="shared" si="24"/>
        <v>2716.36</v>
      </c>
      <c r="L226" s="48">
        <f t="shared" si="25"/>
        <v>168.77</v>
      </c>
      <c r="M226" s="48">
        <f t="shared" si="26"/>
        <v>24447.24</v>
      </c>
      <c r="N226" s="48">
        <f t="shared" si="27"/>
        <v>1518.93</v>
      </c>
      <c r="O226" s="50">
        <f t="shared" si="28"/>
        <v>25966.17</v>
      </c>
      <c r="P226" s="50">
        <v>0</v>
      </c>
      <c r="Q226" s="76"/>
      <c r="R226" s="140">
        <f>IF((1*S9+1*S10)&gt;10,10,(1*S9+1*S10))</f>
        <v>9</v>
      </c>
      <c r="S226" s="79">
        <v>2217.98</v>
      </c>
      <c r="T226" s="80">
        <v>137.81</v>
      </c>
    </row>
    <row r="227" spans="2:20" ht="56">
      <c r="B227" s="5" t="s">
        <v>572</v>
      </c>
      <c r="C227" s="45" t="s">
        <v>135</v>
      </c>
      <c r="D227" s="45">
        <v>91341</v>
      </c>
      <c r="E227" s="6" t="s">
        <v>1797</v>
      </c>
      <c r="F227" s="45" t="s">
        <v>121</v>
      </c>
      <c r="G227" s="46">
        <f t="shared" si="29"/>
        <v>14</v>
      </c>
      <c r="H227" s="46">
        <f>TRUNC(S227*(1-LOTE_03!$K$10),2)</f>
        <v>710.63</v>
      </c>
      <c r="I227" s="46">
        <f>TRUNC(T227*(1-LOTE_03!$K$10),2)</f>
        <v>10.89</v>
      </c>
      <c r="J227" s="100">
        <f t="shared" si="30"/>
        <v>0.22470000000000001</v>
      </c>
      <c r="K227" s="48">
        <f t="shared" si="24"/>
        <v>870.3</v>
      </c>
      <c r="L227" s="48">
        <f t="shared" si="25"/>
        <v>13.33</v>
      </c>
      <c r="M227" s="48">
        <f t="shared" si="26"/>
        <v>12184.2</v>
      </c>
      <c r="N227" s="48">
        <f t="shared" si="27"/>
        <v>186.62</v>
      </c>
      <c r="O227" s="50">
        <f t="shared" si="28"/>
        <v>12370.82</v>
      </c>
      <c r="P227" s="50">
        <v>0</v>
      </c>
      <c r="Q227" s="76"/>
      <c r="R227" s="140">
        <f>IF((1*S9+2*S10)&gt;20,20,(1*S9+2*S10))</f>
        <v>14</v>
      </c>
      <c r="S227" s="79">
        <v>710.63</v>
      </c>
      <c r="T227" s="80">
        <v>10.89</v>
      </c>
    </row>
    <row r="228" spans="2:20" ht="56">
      <c r="B228" s="5" t="s">
        <v>573</v>
      </c>
      <c r="C228" s="45" t="s">
        <v>135</v>
      </c>
      <c r="D228" s="45">
        <v>100702</v>
      </c>
      <c r="E228" s="6" t="s">
        <v>1798</v>
      </c>
      <c r="F228" s="45" t="s">
        <v>121</v>
      </c>
      <c r="G228" s="46">
        <f t="shared" si="29"/>
        <v>50</v>
      </c>
      <c r="H228" s="46">
        <f>TRUNC(S228*(1-LOTE_03!$K$10),2)</f>
        <v>500.42</v>
      </c>
      <c r="I228" s="46">
        <f>TRUNC(T228*(1-LOTE_03!$K$10),2)</f>
        <v>7.98</v>
      </c>
      <c r="J228" s="100">
        <f t="shared" si="30"/>
        <v>0.22470000000000001</v>
      </c>
      <c r="K228" s="48">
        <f t="shared" si="24"/>
        <v>612.86</v>
      </c>
      <c r="L228" s="48">
        <f t="shared" si="25"/>
        <v>9.77</v>
      </c>
      <c r="M228" s="48">
        <f t="shared" si="26"/>
        <v>30643</v>
      </c>
      <c r="N228" s="48">
        <f t="shared" si="27"/>
        <v>488.5</v>
      </c>
      <c r="O228" s="50">
        <f t="shared" si="28"/>
        <v>31131.5</v>
      </c>
      <c r="P228" s="50">
        <v>0</v>
      </c>
      <c r="Q228" s="76"/>
      <c r="R228" s="140">
        <f>IF((10*S9+10*S10)&gt;50,50,(10*S9+10*S10))</f>
        <v>50</v>
      </c>
      <c r="S228" s="79">
        <v>500.41999999999996</v>
      </c>
      <c r="T228" s="80">
        <v>7.98</v>
      </c>
    </row>
    <row r="229" spans="2:20" ht="112">
      <c r="B229" s="5" t="s">
        <v>574</v>
      </c>
      <c r="C229" s="45" t="s">
        <v>135</v>
      </c>
      <c r="D229" s="45">
        <v>94569</v>
      </c>
      <c r="E229" s="6" t="s">
        <v>575</v>
      </c>
      <c r="F229" s="45" t="s">
        <v>121</v>
      </c>
      <c r="G229" s="46">
        <f t="shared" si="29"/>
        <v>45</v>
      </c>
      <c r="H229" s="46">
        <f>TRUNC(S229*(1-LOTE_03!$K$10),2)</f>
        <v>683.57</v>
      </c>
      <c r="I229" s="46">
        <f>TRUNC(T229*(1-LOTE_03!$K$10),2)</f>
        <v>28.48</v>
      </c>
      <c r="J229" s="100">
        <f t="shared" si="30"/>
        <v>0.22470000000000001</v>
      </c>
      <c r="K229" s="48">
        <f t="shared" si="24"/>
        <v>837.16</v>
      </c>
      <c r="L229" s="48">
        <f t="shared" si="25"/>
        <v>34.869999999999997</v>
      </c>
      <c r="M229" s="48">
        <f t="shared" si="26"/>
        <v>37672.199999999997</v>
      </c>
      <c r="N229" s="48">
        <f t="shared" si="27"/>
        <v>1569.15</v>
      </c>
      <c r="O229" s="50">
        <f t="shared" si="28"/>
        <v>39241.35</v>
      </c>
      <c r="P229" s="50">
        <v>0</v>
      </c>
      <c r="Q229" s="76"/>
      <c r="R229" s="140">
        <f>IF((5*S9+5*S10)&gt;50,50,(5*S9+5*S10))</f>
        <v>45</v>
      </c>
      <c r="S229" s="79">
        <v>683.56999999999994</v>
      </c>
      <c r="T229" s="80">
        <v>28.48</v>
      </c>
    </row>
    <row r="230" spans="2:20" ht="140">
      <c r="B230" s="5" t="s">
        <v>576</v>
      </c>
      <c r="C230" s="45" t="s">
        <v>135</v>
      </c>
      <c r="D230" s="45">
        <v>94570</v>
      </c>
      <c r="E230" s="6" t="s">
        <v>577</v>
      </c>
      <c r="F230" s="45" t="s">
        <v>121</v>
      </c>
      <c r="G230" s="46">
        <f t="shared" si="29"/>
        <v>45</v>
      </c>
      <c r="H230" s="46">
        <f>TRUNC(S230*(1-LOTE_03!$K$10),2)</f>
        <v>368.02</v>
      </c>
      <c r="I230" s="46">
        <f>TRUNC(T230*(1-LOTE_03!$K$10),2)</f>
        <v>8.81</v>
      </c>
      <c r="J230" s="100">
        <f t="shared" si="30"/>
        <v>0.22470000000000001</v>
      </c>
      <c r="K230" s="48">
        <f t="shared" si="24"/>
        <v>450.71</v>
      </c>
      <c r="L230" s="48">
        <f t="shared" si="25"/>
        <v>10.78</v>
      </c>
      <c r="M230" s="48">
        <f t="shared" si="26"/>
        <v>20281.95</v>
      </c>
      <c r="N230" s="48">
        <f t="shared" si="27"/>
        <v>485.1</v>
      </c>
      <c r="O230" s="50">
        <f t="shared" si="28"/>
        <v>20767.05</v>
      </c>
      <c r="P230" s="50">
        <v>0</v>
      </c>
      <c r="Q230" s="76"/>
      <c r="R230" s="140">
        <f>IF((5*S9+5*S10)&gt;50,50,(5*S9+5*S10))</f>
        <v>45</v>
      </c>
      <c r="S230" s="79">
        <v>368.02</v>
      </c>
      <c r="T230" s="80">
        <v>8.81</v>
      </c>
    </row>
    <row r="231" spans="2:20" ht="98">
      <c r="B231" s="5" t="s">
        <v>578</v>
      </c>
      <c r="C231" s="45" t="s">
        <v>135</v>
      </c>
      <c r="D231" s="45">
        <v>100674</v>
      </c>
      <c r="E231" s="6" t="s">
        <v>579</v>
      </c>
      <c r="F231" s="45" t="s">
        <v>121</v>
      </c>
      <c r="G231" s="46">
        <f t="shared" si="29"/>
        <v>45</v>
      </c>
      <c r="H231" s="46">
        <f>TRUNC(S231*(1-LOTE_03!$K$10),2)</f>
        <v>798.09</v>
      </c>
      <c r="I231" s="46">
        <f>TRUNC(T231*(1-LOTE_03!$K$10),2)</f>
        <v>20.88</v>
      </c>
      <c r="J231" s="100">
        <f t="shared" si="30"/>
        <v>0.22470000000000001</v>
      </c>
      <c r="K231" s="48">
        <f t="shared" si="24"/>
        <v>977.42</v>
      </c>
      <c r="L231" s="48">
        <f t="shared" si="25"/>
        <v>25.57</v>
      </c>
      <c r="M231" s="48">
        <f t="shared" si="26"/>
        <v>43983.9</v>
      </c>
      <c r="N231" s="48">
        <f t="shared" si="27"/>
        <v>1150.6500000000001</v>
      </c>
      <c r="O231" s="50">
        <f t="shared" si="28"/>
        <v>45134.55</v>
      </c>
      <c r="P231" s="50">
        <v>0</v>
      </c>
      <c r="Q231" s="76"/>
      <c r="R231" s="140">
        <f>IF((5*S9+5*S10)&gt;50,50,(5*S9+5*S10))</f>
        <v>45</v>
      </c>
      <c r="S231" s="79">
        <v>798.09</v>
      </c>
      <c r="T231" s="80">
        <v>20.88</v>
      </c>
    </row>
    <row r="232" spans="2:20" ht="140">
      <c r="B232" s="5" t="s">
        <v>580</v>
      </c>
      <c r="C232" s="45" t="s">
        <v>135</v>
      </c>
      <c r="D232" s="45">
        <v>94573</v>
      </c>
      <c r="E232" s="6" t="s">
        <v>581</v>
      </c>
      <c r="F232" s="45" t="s">
        <v>121</v>
      </c>
      <c r="G232" s="46">
        <f t="shared" si="29"/>
        <v>45</v>
      </c>
      <c r="H232" s="46">
        <f>TRUNC(S232*(1-LOTE_03!$K$10),2)</f>
        <v>410.79</v>
      </c>
      <c r="I232" s="46">
        <f>TRUNC(T232*(1-LOTE_03!$K$10),2)</f>
        <v>8.76</v>
      </c>
      <c r="J232" s="100">
        <f t="shared" si="30"/>
        <v>0.22470000000000001</v>
      </c>
      <c r="K232" s="48">
        <f t="shared" si="24"/>
        <v>503.09</v>
      </c>
      <c r="L232" s="48">
        <f t="shared" si="25"/>
        <v>10.72</v>
      </c>
      <c r="M232" s="48">
        <f t="shared" si="26"/>
        <v>22639.05</v>
      </c>
      <c r="N232" s="48">
        <f t="shared" si="27"/>
        <v>482.4</v>
      </c>
      <c r="O232" s="50">
        <f t="shared" si="28"/>
        <v>23121.45</v>
      </c>
      <c r="P232" s="50">
        <v>0</v>
      </c>
      <c r="Q232" s="76"/>
      <c r="R232" s="140">
        <f>IF((5*S9+5*S10)&gt;50,50,(5*S9+5*S10))</f>
        <v>45</v>
      </c>
      <c r="S232" s="79">
        <v>410.79</v>
      </c>
      <c r="T232" s="80">
        <v>8.76</v>
      </c>
    </row>
    <row r="233" spans="2:20" ht="28">
      <c r="B233" s="5" t="s">
        <v>582</v>
      </c>
      <c r="C233" s="45" t="s">
        <v>165</v>
      </c>
      <c r="D233" s="45" t="s">
        <v>583</v>
      </c>
      <c r="E233" s="6" t="s">
        <v>584</v>
      </c>
      <c r="F233" s="45" t="s">
        <v>168</v>
      </c>
      <c r="G233" s="46">
        <f t="shared" si="29"/>
        <v>100</v>
      </c>
      <c r="H233" s="46">
        <f>TRUNC(S233*(1-LOTE_03!$K$10),2)</f>
        <v>530.79999999999995</v>
      </c>
      <c r="I233" s="46">
        <f>TRUNC(T233*(1-LOTE_03!$K$10),2)</f>
        <v>102.33</v>
      </c>
      <c r="J233" s="100">
        <f t="shared" si="30"/>
        <v>0.22470000000000001</v>
      </c>
      <c r="K233" s="48">
        <f t="shared" si="24"/>
        <v>650.07000000000005</v>
      </c>
      <c r="L233" s="48">
        <f t="shared" si="25"/>
        <v>125.32</v>
      </c>
      <c r="M233" s="48">
        <f t="shared" si="26"/>
        <v>65007</v>
      </c>
      <c r="N233" s="48">
        <f t="shared" si="27"/>
        <v>12532</v>
      </c>
      <c r="O233" s="50">
        <f t="shared" si="28"/>
        <v>77539</v>
      </c>
      <c r="P233" s="50">
        <v>0</v>
      </c>
      <c r="Q233" s="76"/>
      <c r="R233" s="140">
        <f>IF((20*S9+20*S10)&gt;100,100,(20*S9+20*S10))</f>
        <v>100</v>
      </c>
      <c r="S233" s="79">
        <v>530.79999999999995</v>
      </c>
      <c r="T233" s="80">
        <v>102.33</v>
      </c>
    </row>
    <row r="234" spans="2:20" ht="42">
      <c r="B234" s="5" t="s">
        <v>585</v>
      </c>
      <c r="C234" s="45" t="s">
        <v>135</v>
      </c>
      <c r="D234" s="45">
        <v>99861</v>
      </c>
      <c r="E234" s="6" t="s">
        <v>1799</v>
      </c>
      <c r="F234" s="45" t="s">
        <v>121</v>
      </c>
      <c r="G234" s="46">
        <f t="shared" si="29"/>
        <v>100</v>
      </c>
      <c r="H234" s="46">
        <f>TRUNC(S234*(1-LOTE_03!$K$10),2)</f>
        <v>286.31</v>
      </c>
      <c r="I234" s="46">
        <f>TRUNC(T234*(1-LOTE_03!$K$10),2)</f>
        <v>244.57</v>
      </c>
      <c r="J234" s="100">
        <f t="shared" si="30"/>
        <v>0.22470000000000001</v>
      </c>
      <c r="K234" s="48">
        <f t="shared" si="24"/>
        <v>350.64</v>
      </c>
      <c r="L234" s="48">
        <f t="shared" si="25"/>
        <v>299.52</v>
      </c>
      <c r="M234" s="48">
        <f t="shared" si="26"/>
        <v>35064</v>
      </c>
      <c r="N234" s="48">
        <f t="shared" si="27"/>
        <v>29952</v>
      </c>
      <c r="O234" s="50">
        <f t="shared" si="28"/>
        <v>65016</v>
      </c>
      <c r="P234" s="50">
        <v>0</v>
      </c>
      <c r="Q234" s="76"/>
      <c r="R234" s="140">
        <f>IF((20*S9+20*S10)&gt;100,100,(20*S9+20*S10))</f>
        <v>100</v>
      </c>
      <c r="S234" s="79">
        <v>286.31</v>
      </c>
      <c r="T234" s="80">
        <v>244.57</v>
      </c>
    </row>
    <row r="235" spans="2:20" ht="28">
      <c r="B235" s="5" t="s">
        <v>586</v>
      </c>
      <c r="C235" s="45" t="s">
        <v>97</v>
      </c>
      <c r="D235" s="45" t="s">
        <v>587</v>
      </c>
      <c r="E235" s="6" t="s">
        <v>588</v>
      </c>
      <c r="F235" s="45" t="s">
        <v>187</v>
      </c>
      <c r="G235" s="46">
        <f t="shared" si="29"/>
        <v>90</v>
      </c>
      <c r="H235" s="46">
        <f>TRUNC(S235*(1-LOTE_03!$K$10),2)</f>
        <v>398.05</v>
      </c>
      <c r="I235" s="46">
        <f>TRUNC(T235*(1-LOTE_03!$K$10),2)</f>
        <v>51.84</v>
      </c>
      <c r="J235" s="100">
        <f t="shared" si="30"/>
        <v>0.22470000000000001</v>
      </c>
      <c r="K235" s="48">
        <f t="shared" si="24"/>
        <v>487.49</v>
      </c>
      <c r="L235" s="48">
        <f t="shared" si="25"/>
        <v>63.48</v>
      </c>
      <c r="M235" s="48">
        <f t="shared" si="26"/>
        <v>43874.1</v>
      </c>
      <c r="N235" s="48">
        <f t="shared" si="27"/>
        <v>5713.2</v>
      </c>
      <c r="O235" s="50">
        <f t="shared" si="28"/>
        <v>49587.3</v>
      </c>
      <c r="P235" s="50">
        <v>0</v>
      </c>
      <c r="Q235" s="76"/>
      <c r="R235" s="140">
        <f>IF((10*S10+10*S9)&gt;100,100,(10*S10+10*S9))</f>
        <v>90</v>
      </c>
      <c r="S235" s="79">
        <v>398.05</v>
      </c>
      <c r="T235" s="80">
        <v>51.84</v>
      </c>
    </row>
    <row r="236" spans="2:20" ht="28">
      <c r="B236" s="5" t="s">
        <v>589</v>
      </c>
      <c r="C236" s="45" t="s">
        <v>165</v>
      </c>
      <c r="D236" s="45" t="s">
        <v>590</v>
      </c>
      <c r="E236" s="6" t="s">
        <v>591</v>
      </c>
      <c r="F236" s="45" t="s">
        <v>559</v>
      </c>
      <c r="G236" s="46">
        <f t="shared" si="29"/>
        <v>9</v>
      </c>
      <c r="H236" s="46">
        <f>TRUNC(S236*(1-LOTE_03!$K$10),2)</f>
        <v>1046.6500000000001</v>
      </c>
      <c r="I236" s="46">
        <f>TRUNC(T236*(1-LOTE_03!$K$10),2)</f>
        <v>20.47</v>
      </c>
      <c r="J236" s="100">
        <f t="shared" si="30"/>
        <v>0.22470000000000001</v>
      </c>
      <c r="K236" s="48">
        <f t="shared" si="24"/>
        <v>1281.83</v>
      </c>
      <c r="L236" s="48">
        <f t="shared" si="25"/>
        <v>25.06</v>
      </c>
      <c r="M236" s="48">
        <f t="shared" si="26"/>
        <v>11536.47</v>
      </c>
      <c r="N236" s="48">
        <f t="shared" si="27"/>
        <v>225.54</v>
      </c>
      <c r="O236" s="50">
        <f t="shared" si="28"/>
        <v>11762.01</v>
      </c>
      <c r="P236" s="50">
        <v>0</v>
      </c>
      <c r="Q236" s="76"/>
      <c r="R236" s="140">
        <f>IF((1*S9+1*S10)&gt;10,10,(1*S9+1*S10))</f>
        <v>9</v>
      </c>
      <c r="S236" s="79">
        <v>1046.6500000000001</v>
      </c>
      <c r="T236" s="80">
        <v>20.47</v>
      </c>
    </row>
    <row r="237" spans="2:20" ht="42">
      <c r="B237" s="5" t="s">
        <v>592</v>
      </c>
      <c r="C237" s="45" t="s">
        <v>97</v>
      </c>
      <c r="D237" s="45" t="s">
        <v>593</v>
      </c>
      <c r="E237" s="6" t="s">
        <v>594</v>
      </c>
      <c r="F237" s="45" t="s">
        <v>187</v>
      </c>
      <c r="G237" s="46">
        <f t="shared" si="29"/>
        <v>900</v>
      </c>
      <c r="H237" s="46">
        <f>TRUNC(S237*(1-LOTE_03!$K$10),2)</f>
        <v>94.43</v>
      </c>
      <c r="I237" s="46">
        <f>TRUNC(T237*(1-LOTE_03!$K$10),2)</f>
        <v>101.15</v>
      </c>
      <c r="J237" s="100">
        <f t="shared" si="30"/>
        <v>0.22470000000000001</v>
      </c>
      <c r="K237" s="48">
        <f t="shared" si="24"/>
        <v>115.64</v>
      </c>
      <c r="L237" s="48">
        <f t="shared" si="25"/>
        <v>123.87</v>
      </c>
      <c r="M237" s="48">
        <f t="shared" si="26"/>
        <v>104076</v>
      </c>
      <c r="N237" s="48">
        <f t="shared" si="27"/>
        <v>111483</v>
      </c>
      <c r="O237" s="50">
        <f t="shared" si="28"/>
        <v>215559</v>
      </c>
      <c r="P237" s="50">
        <v>0</v>
      </c>
      <c r="Q237" s="76"/>
      <c r="R237" s="140">
        <f>IF((100*S9+100*S10)&gt;1500,1500,(100*S9+100*S10))</f>
        <v>900</v>
      </c>
      <c r="S237" s="79">
        <v>94.43</v>
      </c>
      <c r="T237" s="80">
        <v>101.15</v>
      </c>
    </row>
    <row r="238" spans="2:20" ht="28">
      <c r="B238" s="5" t="s">
        <v>595</v>
      </c>
      <c r="C238" s="45" t="s">
        <v>165</v>
      </c>
      <c r="D238" s="45" t="s">
        <v>596</v>
      </c>
      <c r="E238" s="6" t="s">
        <v>597</v>
      </c>
      <c r="F238" s="45" t="s">
        <v>531</v>
      </c>
      <c r="G238" s="46">
        <f t="shared" si="29"/>
        <v>9</v>
      </c>
      <c r="H238" s="46">
        <f>TRUNC(S238*(1-LOTE_03!$K$10),2)</f>
        <v>134.25</v>
      </c>
      <c r="I238" s="46">
        <f>TRUNC(T238*(1-LOTE_03!$K$10),2)</f>
        <v>34.11</v>
      </c>
      <c r="J238" s="100">
        <f t="shared" si="30"/>
        <v>0.22470000000000001</v>
      </c>
      <c r="K238" s="48">
        <f t="shared" si="24"/>
        <v>164.41</v>
      </c>
      <c r="L238" s="48">
        <f t="shared" si="25"/>
        <v>41.77</v>
      </c>
      <c r="M238" s="48">
        <f t="shared" si="26"/>
        <v>1479.69</v>
      </c>
      <c r="N238" s="48">
        <f t="shared" si="27"/>
        <v>375.93</v>
      </c>
      <c r="O238" s="50">
        <f t="shared" si="28"/>
        <v>1855.62</v>
      </c>
      <c r="P238" s="50">
        <v>0</v>
      </c>
      <c r="Q238" s="76"/>
      <c r="R238" s="140">
        <f>IF((1*S9+1*S10)&gt;10,10,(1*S9+1*S10))</f>
        <v>9</v>
      </c>
      <c r="S238" s="79">
        <v>134.25</v>
      </c>
      <c r="T238" s="80">
        <v>34.11</v>
      </c>
    </row>
    <row r="239" spans="2:20" ht="28">
      <c r="B239" s="5" t="s">
        <v>598</v>
      </c>
      <c r="C239" s="45" t="s">
        <v>165</v>
      </c>
      <c r="D239" s="45" t="s">
        <v>599</v>
      </c>
      <c r="E239" s="6" t="s">
        <v>600</v>
      </c>
      <c r="F239" s="45" t="s">
        <v>559</v>
      </c>
      <c r="G239" s="46">
        <f t="shared" si="29"/>
        <v>9</v>
      </c>
      <c r="H239" s="46">
        <f>TRUNC(S239*(1-LOTE_03!$K$10),2)</f>
        <v>39.25</v>
      </c>
      <c r="I239" s="46">
        <f>TRUNC(T239*(1-LOTE_03!$K$10),2)</f>
        <v>2.0299999999999998</v>
      </c>
      <c r="J239" s="100">
        <f t="shared" si="30"/>
        <v>0.22470000000000001</v>
      </c>
      <c r="K239" s="48">
        <f t="shared" si="24"/>
        <v>48.06</v>
      </c>
      <c r="L239" s="48">
        <f t="shared" si="25"/>
        <v>2.48</v>
      </c>
      <c r="M239" s="48">
        <f t="shared" si="26"/>
        <v>432.54</v>
      </c>
      <c r="N239" s="48">
        <f t="shared" si="27"/>
        <v>22.32</v>
      </c>
      <c r="O239" s="50">
        <f t="shared" si="28"/>
        <v>454.86</v>
      </c>
      <c r="P239" s="50">
        <v>0</v>
      </c>
      <c r="Q239" s="76"/>
      <c r="R239" s="140">
        <f>IF((1*S9+1*S10)&gt;10,10,(1*S9+1*S10))</f>
        <v>9</v>
      </c>
      <c r="S239" s="79">
        <v>39.25</v>
      </c>
      <c r="T239" s="80">
        <v>2.0299999999999998</v>
      </c>
    </row>
    <row r="240" spans="2:20" ht="28">
      <c r="B240" s="5" t="s">
        <v>601</v>
      </c>
      <c r="C240" s="45" t="s">
        <v>97</v>
      </c>
      <c r="D240" s="45" t="s">
        <v>602</v>
      </c>
      <c r="E240" s="6" t="s">
        <v>603</v>
      </c>
      <c r="F240" s="45" t="s">
        <v>121</v>
      </c>
      <c r="G240" s="46">
        <f t="shared" si="29"/>
        <v>45</v>
      </c>
      <c r="H240" s="46">
        <f>TRUNC(S240*(1-LOTE_03!$K$10),2)</f>
        <v>322.32</v>
      </c>
      <c r="I240" s="46">
        <f>TRUNC(T240*(1-LOTE_03!$K$10),2)</f>
        <v>376.82</v>
      </c>
      <c r="J240" s="100">
        <f t="shared" si="30"/>
        <v>0.22470000000000001</v>
      </c>
      <c r="K240" s="48">
        <f t="shared" si="24"/>
        <v>394.74</v>
      </c>
      <c r="L240" s="48">
        <f t="shared" si="25"/>
        <v>461.49</v>
      </c>
      <c r="M240" s="48">
        <f t="shared" si="26"/>
        <v>17763.3</v>
      </c>
      <c r="N240" s="48">
        <f t="shared" si="27"/>
        <v>20767.05</v>
      </c>
      <c r="O240" s="50">
        <f t="shared" si="28"/>
        <v>38530.35</v>
      </c>
      <c r="P240" s="50">
        <v>0</v>
      </c>
      <c r="Q240" s="76"/>
      <c r="R240" s="140">
        <f>IF((5*S9+5*S10)&gt;50,50,(5*S9+5*S10))</f>
        <v>45</v>
      </c>
      <c r="S240" s="79">
        <v>322.32</v>
      </c>
      <c r="T240" s="80">
        <v>376.82</v>
      </c>
    </row>
    <row r="241" spans="2:20" ht="28">
      <c r="B241" s="5" t="s">
        <v>604</v>
      </c>
      <c r="C241" s="45" t="s">
        <v>97</v>
      </c>
      <c r="D241" s="45" t="s">
        <v>605</v>
      </c>
      <c r="E241" s="6" t="s">
        <v>606</v>
      </c>
      <c r="F241" s="45" t="s">
        <v>187</v>
      </c>
      <c r="G241" s="46">
        <f t="shared" si="29"/>
        <v>500</v>
      </c>
      <c r="H241" s="46">
        <f>TRUNC(S241*(1-LOTE_03!$K$10),2)</f>
        <v>45.58</v>
      </c>
      <c r="I241" s="46">
        <f>TRUNC(T241*(1-LOTE_03!$K$10),2)</f>
        <v>20.309999999999999</v>
      </c>
      <c r="J241" s="100">
        <f t="shared" si="30"/>
        <v>0.22470000000000001</v>
      </c>
      <c r="K241" s="48">
        <f t="shared" si="24"/>
        <v>55.82</v>
      </c>
      <c r="L241" s="48">
        <f t="shared" si="25"/>
        <v>24.87</v>
      </c>
      <c r="M241" s="48">
        <f t="shared" si="26"/>
        <v>27910</v>
      </c>
      <c r="N241" s="48">
        <f t="shared" si="27"/>
        <v>12435</v>
      </c>
      <c r="O241" s="50">
        <f t="shared" si="28"/>
        <v>40345</v>
      </c>
      <c r="P241" s="50">
        <v>0</v>
      </c>
      <c r="Q241" s="76"/>
      <c r="R241" s="140">
        <f>IF((100*S10+100*S9)&gt;500,500,(100*S10+100*S9))</f>
        <v>500</v>
      </c>
      <c r="S241" s="79">
        <v>45.58</v>
      </c>
      <c r="T241" s="80">
        <v>20.309999999999999</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56083.7</v>
      </c>
      <c r="Q242" s="76"/>
      <c r="R242" s="154"/>
      <c r="S242" s="79" t="s">
        <v>22</v>
      </c>
      <c r="T242" s="80" t="s">
        <v>22</v>
      </c>
    </row>
    <row r="243" spans="2:20" ht="28">
      <c r="B243" s="5" t="s">
        <v>607</v>
      </c>
      <c r="C243" s="45" t="s">
        <v>135</v>
      </c>
      <c r="D243" s="45">
        <v>102188</v>
      </c>
      <c r="E243" s="6" t="s">
        <v>1800</v>
      </c>
      <c r="F243" s="45" t="s">
        <v>210</v>
      </c>
      <c r="G243" s="46">
        <f t="shared" si="29"/>
        <v>9</v>
      </c>
      <c r="H243" s="46">
        <f>TRUNC(S243*(1-LOTE_03!$K$10),2)</f>
        <v>999.69</v>
      </c>
      <c r="I243" s="46">
        <f>TRUNC(T243*(1-LOTE_03!$K$10),2)</f>
        <v>61.43</v>
      </c>
      <c r="J243" s="100">
        <f t="shared" si="30"/>
        <v>0.22470000000000001</v>
      </c>
      <c r="K243" s="48">
        <f t="shared" si="24"/>
        <v>1224.32</v>
      </c>
      <c r="L243" s="48">
        <f t="shared" si="25"/>
        <v>75.23</v>
      </c>
      <c r="M243" s="48">
        <f t="shared" si="26"/>
        <v>11018.88</v>
      </c>
      <c r="N243" s="48">
        <f t="shared" si="27"/>
        <v>677.07</v>
      </c>
      <c r="O243" s="50">
        <f t="shared" si="28"/>
        <v>11695.95</v>
      </c>
      <c r="P243" s="50">
        <v>0</v>
      </c>
      <c r="Q243" s="76"/>
      <c r="R243" s="140">
        <f>IF((1*S9+1*S10)&gt;10,10,(1*S9+1*S10))</f>
        <v>9</v>
      </c>
      <c r="S243" s="79">
        <v>999.68999999999994</v>
      </c>
      <c r="T243" s="80">
        <v>61.43</v>
      </c>
    </row>
    <row r="244" spans="2:20" ht="98">
      <c r="B244" s="5" t="s">
        <v>608</v>
      </c>
      <c r="C244" s="45" t="s">
        <v>135</v>
      </c>
      <c r="D244" s="45">
        <v>102189</v>
      </c>
      <c r="E244" s="6" t="s">
        <v>1801</v>
      </c>
      <c r="F244" s="45" t="s">
        <v>210</v>
      </c>
      <c r="G244" s="46">
        <f t="shared" si="29"/>
        <v>9</v>
      </c>
      <c r="H244" s="46">
        <f>TRUNC(S244*(1-LOTE_03!$K$10),2)</f>
        <v>202.99</v>
      </c>
      <c r="I244" s="46">
        <f>TRUNC(T244*(1-LOTE_03!$K$10),2)</f>
        <v>66.87</v>
      </c>
      <c r="J244" s="100">
        <f t="shared" si="30"/>
        <v>0.22470000000000001</v>
      </c>
      <c r="K244" s="48">
        <f t="shared" si="24"/>
        <v>248.6</v>
      </c>
      <c r="L244" s="48">
        <f t="shared" si="25"/>
        <v>81.89</v>
      </c>
      <c r="M244" s="48">
        <f t="shared" si="26"/>
        <v>2237.4</v>
      </c>
      <c r="N244" s="48">
        <f t="shared" si="27"/>
        <v>737.01</v>
      </c>
      <c r="O244" s="50">
        <f t="shared" si="28"/>
        <v>2974.41</v>
      </c>
      <c r="P244" s="50">
        <v>0</v>
      </c>
      <c r="Q244" s="76"/>
      <c r="R244" s="140">
        <f>IF((1*S9+1*S10)&gt;10,10,(1*S9+1*S10))</f>
        <v>9</v>
      </c>
      <c r="S244" s="79">
        <v>202.99</v>
      </c>
      <c r="T244" s="80">
        <v>66.87</v>
      </c>
    </row>
    <row r="245" spans="2:20" ht="28">
      <c r="B245" s="5" t="s">
        <v>609</v>
      </c>
      <c r="C245" s="45" t="s">
        <v>135</v>
      </c>
      <c r="D245" s="45">
        <v>100705</v>
      </c>
      <c r="E245" s="6" t="s">
        <v>1802</v>
      </c>
      <c r="F245" s="45" t="s">
        <v>210</v>
      </c>
      <c r="G245" s="46">
        <f t="shared" si="29"/>
        <v>50</v>
      </c>
      <c r="H245" s="46">
        <f>TRUNC(S245*(1-LOTE_03!$K$10),2)</f>
        <v>65.64</v>
      </c>
      <c r="I245" s="46">
        <f>TRUNC(T245*(1-LOTE_03!$K$10),2)</f>
        <v>22.74</v>
      </c>
      <c r="J245" s="100">
        <f t="shared" si="30"/>
        <v>0.22470000000000001</v>
      </c>
      <c r="K245" s="48">
        <f t="shared" si="24"/>
        <v>80.38</v>
      </c>
      <c r="L245" s="48">
        <f t="shared" si="25"/>
        <v>27.84</v>
      </c>
      <c r="M245" s="48">
        <f t="shared" si="26"/>
        <v>4019</v>
      </c>
      <c r="N245" s="48">
        <f t="shared" si="27"/>
        <v>1392</v>
      </c>
      <c r="O245" s="50">
        <f t="shared" si="28"/>
        <v>5411</v>
      </c>
      <c r="P245" s="50">
        <v>0</v>
      </c>
      <c r="Q245" s="76"/>
      <c r="R245" s="140">
        <f>IF((5*2*S10+2*S9)&gt;50,50,(5*2*S10+2*S9))</f>
        <v>50</v>
      </c>
      <c r="S245" s="79">
        <v>65.64</v>
      </c>
      <c r="T245" s="80">
        <v>22.74</v>
      </c>
    </row>
    <row r="246" spans="2:20" ht="56">
      <c r="B246" s="5" t="s">
        <v>610</v>
      </c>
      <c r="C246" s="45" t="s">
        <v>135</v>
      </c>
      <c r="D246" s="45">
        <v>100709</v>
      </c>
      <c r="E246" s="6" t="s">
        <v>1803</v>
      </c>
      <c r="F246" s="45" t="s">
        <v>210</v>
      </c>
      <c r="G246" s="46">
        <f t="shared" si="29"/>
        <v>50</v>
      </c>
      <c r="H246" s="46">
        <f>TRUNC(S246*(1-LOTE_03!$K$10),2)</f>
        <v>27.2</v>
      </c>
      <c r="I246" s="46">
        <f>TRUNC(T246*(1-LOTE_03!$K$10),2)</f>
        <v>31.65</v>
      </c>
      <c r="J246" s="100">
        <f t="shared" si="30"/>
        <v>0.22470000000000001</v>
      </c>
      <c r="K246" s="48">
        <f t="shared" si="24"/>
        <v>33.31</v>
      </c>
      <c r="L246" s="48">
        <f t="shared" si="25"/>
        <v>38.76</v>
      </c>
      <c r="M246" s="48">
        <f t="shared" si="26"/>
        <v>1665.5</v>
      </c>
      <c r="N246" s="48">
        <f t="shared" si="27"/>
        <v>1938</v>
      </c>
      <c r="O246" s="50">
        <f t="shared" si="28"/>
        <v>3603.5</v>
      </c>
      <c r="P246" s="50">
        <v>0</v>
      </c>
      <c r="Q246" s="76"/>
      <c r="R246" s="140">
        <f>IF((3*2*S9+3*2*S10)&gt;50,50,(3*2*S9+3*2*S10))</f>
        <v>50</v>
      </c>
      <c r="S246" s="79">
        <v>27.200000000000003</v>
      </c>
      <c r="T246" s="80">
        <v>31.65</v>
      </c>
    </row>
    <row r="247" spans="2:20" ht="28">
      <c r="B247" s="5" t="s">
        <v>611</v>
      </c>
      <c r="C247" s="45" t="s">
        <v>97</v>
      </c>
      <c r="D247" s="45" t="s">
        <v>612</v>
      </c>
      <c r="E247" s="6" t="s">
        <v>613</v>
      </c>
      <c r="F247" s="45" t="s">
        <v>104</v>
      </c>
      <c r="G247" s="46">
        <f t="shared" si="29"/>
        <v>9</v>
      </c>
      <c r="H247" s="46">
        <f>TRUNC(S247*(1-LOTE_03!$K$10),2)</f>
        <v>292.04000000000002</v>
      </c>
      <c r="I247" s="46">
        <f>TRUNC(T247*(1-LOTE_03!$K$10),2)</f>
        <v>23.35</v>
      </c>
      <c r="J247" s="100">
        <f t="shared" si="30"/>
        <v>0.22470000000000001</v>
      </c>
      <c r="K247" s="48">
        <f t="shared" si="24"/>
        <v>357.66</v>
      </c>
      <c r="L247" s="48">
        <f t="shared" si="25"/>
        <v>28.59</v>
      </c>
      <c r="M247" s="48">
        <f t="shared" si="26"/>
        <v>3218.94</v>
      </c>
      <c r="N247" s="48">
        <f t="shared" si="27"/>
        <v>257.31</v>
      </c>
      <c r="O247" s="50">
        <f t="shared" si="28"/>
        <v>3476.25</v>
      </c>
      <c r="P247" s="50">
        <v>0</v>
      </c>
      <c r="Q247" s="76"/>
      <c r="R247" s="140">
        <f>IF((1*S9+1*S10)&gt;30,30,(1*S9+1*S10))</f>
        <v>9</v>
      </c>
      <c r="S247" s="79">
        <v>292.04000000000002</v>
      </c>
      <c r="T247" s="80">
        <v>23.35</v>
      </c>
    </row>
    <row r="248" spans="2:20" ht="70">
      <c r="B248" s="5" t="s">
        <v>614</v>
      </c>
      <c r="C248" s="45" t="s">
        <v>135</v>
      </c>
      <c r="D248" s="45">
        <v>91306</v>
      </c>
      <c r="E248" s="6" t="s">
        <v>1804</v>
      </c>
      <c r="F248" s="45" t="s">
        <v>210</v>
      </c>
      <c r="G248" s="46">
        <f t="shared" si="29"/>
        <v>23</v>
      </c>
      <c r="H248" s="46">
        <f>TRUNC(S248*(1-LOTE_03!$K$10),2)</f>
        <v>157.51</v>
      </c>
      <c r="I248" s="46">
        <f>TRUNC(T248*(1-LOTE_03!$K$10),2)</f>
        <v>22.78</v>
      </c>
      <c r="J248" s="100">
        <f t="shared" si="30"/>
        <v>0.22470000000000001</v>
      </c>
      <c r="K248" s="48">
        <f t="shared" si="24"/>
        <v>192.9</v>
      </c>
      <c r="L248" s="48">
        <f t="shared" si="25"/>
        <v>27.89</v>
      </c>
      <c r="M248" s="48">
        <f t="shared" si="26"/>
        <v>4436.7</v>
      </c>
      <c r="N248" s="48">
        <f t="shared" si="27"/>
        <v>641.47</v>
      </c>
      <c r="O248" s="50">
        <f t="shared" si="28"/>
        <v>5078.17</v>
      </c>
      <c r="P248" s="50">
        <v>0</v>
      </c>
      <c r="Q248" s="76"/>
      <c r="R248" s="140">
        <f>IF((2*S9+3*S10)&gt;30,30,(2*S9+3*S10))</f>
        <v>23</v>
      </c>
      <c r="S248" s="79">
        <v>157.51</v>
      </c>
      <c r="T248" s="80">
        <v>22.78</v>
      </c>
    </row>
    <row r="249" spans="2:20" ht="70">
      <c r="B249" s="5" t="s">
        <v>615</v>
      </c>
      <c r="C249" s="45" t="s">
        <v>135</v>
      </c>
      <c r="D249" s="45">
        <v>90831</v>
      </c>
      <c r="E249" s="6" t="s">
        <v>1805</v>
      </c>
      <c r="F249" s="45" t="s">
        <v>210</v>
      </c>
      <c r="G249" s="46">
        <f t="shared" si="29"/>
        <v>18</v>
      </c>
      <c r="H249" s="46">
        <f>TRUNC(S249*(1-LOTE_03!$K$10),2)</f>
        <v>157.51</v>
      </c>
      <c r="I249" s="46">
        <f>TRUNC(T249*(1-LOTE_03!$K$10),2)</f>
        <v>22.78</v>
      </c>
      <c r="J249" s="100">
        <f t="shared" si="30"/>
        <v>0.22470000000000001</v>
      </c>
      <c r="K249" s="48">
        <f t="shared" si="24"/>
        <v>192.9</v>
      </c>
      <c r="L249" s="48">
        <f t="shared" si="25"/>
        <v>27.89</v>
      </c>
      <c r="M249" s="48">
        <f t="shared" si="26"/>
        <v>3472.2</v>
      </c>
      <c r="N249" s="48">
        <f t="shared" si="27"/>
        <v>502.02</v>
      </c>
      <c r="O249" s="50">
        <f t="shared" si="28"/>
        <v>3974.22</v>
      </c>
      <c r="P249" s="50">
        <v>0</v>
      </c>
      <c r="Q249" s="76"/>
      <c r="R249" s="140">
        <f>IF((2*S9+2*S10)&gt;30,30,(2*S9+2*S10))</f>
        <v>18</v>
      </c>
      <c r="S249" s="79">
        <v>157.51</v>
      </c>
      <c r="T249" s="80">
        <v>22.78</v>
      </c>
    </row>
    <row r="250" spans="2:20" ht="70">
      <c r="B250" s="5" t="s">
        <v>616</v>
      </c>
      <c r="C250" s="45" t="s">
        <v>135</v>
      </c>
      <c r="D250" s="45">
        <v>90830</v>
      </c>
      <c r="E250" s="6" t="s">
        <v>1806</v>
      </c>
      <c r="F250" s="45" t="s">
        <v>210</v>
      </c>
      <c r="G250" s="46">
        <f t="shared" si="29"/>
        <v>9</v>
      </c>
      <c r="H250" s="46">
        <f>TRUNC(S250*(1-LOTE_03!$K$10),2)</f>
        <v>176.95</v>
      </c>
      <c r="I250" s="46">
        <f>TRUNC(T250*(1-LOTE_03!$K$10),2)</f>
        <v>30</v>
      </c>
      <c r="J250" s="100">
        <f t="shared" si="30"/>
        <v>0.22470000000000001</v>
      </c>
      <c r="K250" s="48">
        <f t="shared" si="24"/>
        <v>216.71</v>
      </c>
      <c r="L250" s="48">
        <f t="shared" si="25"/>
        <v>36.74</v>
      </c>
      <c r="M250" s="48">
        <f t="shared" si="26"/>
        <v>1950.39</v>
      </c>
      <c r="N250" s="48">
        <f t="shared" si="27"/>
        <v>330.66</v>
      </c>
      <c r="O250" s="50">
        <f t="shared" si="28"/>
        <v>2281.0500000000002</v>
      </c>
      <c r="P250" s="50">
        <v>0</v>
      </c>
      <c r="Q250" s="76"/>
      <c r="R250" s="140">
        <f>IF((1*S9+1*S10)&gt;30,30,(1*S9+1*S10))</f>
        <v>9</v>
      </c>
      <c r="S250" s="79">
        <v>176.95</v>
      </c>
      <c r="T250" s="80">
        <v>30</v>
      </c>
    </row>
    <row r="251" spans="2:20" ht="42">
      <c r="B251" s="5" t="s">
        <v>617</v>
      </c>
      <c r="C251" s="45" t="s">
        <v>97</v>
      </c>
      <c r="D251" s="45" t="s">
        <v>618</v>
      </c>
      <c r="E251" s="6" t="s">
        <v>619</v>
      </c>
      <c r="F251" s="45" t="s">
        <v>104</v>
      </c>
      <c r="G251" s="46">
        <f t="shared" si="29"/>
        <v>9</v>
      </c>
      <c r="H251" s="46">
        <f>TRUNC(S251*(1-LOTE_03!$K$10),2)</f>
        <v>114.92</v>
      </c>
      <c r="I251" s="46">
        <f>TRUNC(T251*(1-LOTE_03!$K$10),2)</f>
        <v>30.5</v>
      </c>
      <c r="J251" s="100">
        <f t="shared" si="30"/>
        <v>0.22470000000000001</v>
      </c>
      <c r="K251" s="48">
        <f t="shared" si="24"/>
        <v>140.74</v>
      </c>
      <c r="L251" s="48">
        <f t="shared" si="25"/>
        <v>37.35</v>
      </c>
      <c r="M251" s="48">
        <f t="shared" si="26"/>
        <v>1266.6600000000001</v>
      </c>
      <c r="N251" s="48">
        <f t="shared" si="27"/>
        <v>336.15</v>
      </c>
      <c r="O251" s="50">
        <f t="shared" si="28"/>
        <v>1602.81</v>
      </c>
      <c r="P251" s="50">
        <v>0</v>
      </c>
      <c r="Q251" s="76"/>
      <c r="R251" s="140">
        <f>IF((1*S9+1*S10)&gt;10,10,(1*S9+1*S10))</f>
        <v>9</v>
      </c>
      <c r="S251" s="79">
        <v>114.92</v>
      </c>
      <c r="T251" s="80">
        <v>30.5</v>
      </c>
    </row>
    <row r="252" spans="2:20" ht="98">
      <c r="B252" s="5" t="s">
        <v>620</v>
      </c>
      <c r="C252" s="45" t="s">
        <v>97</v>
      </c>
      <c r="D252" s="45" t="s">
        <v>621</v>
      </c>
      <c r="E252" s="7" t="s">
        <v>622</v>
      </c>
      <c r="F252" s="45" t="s">
        <v>104</v>
      </c>
      <c r="G252" s="46">
        <f t="shared" si="29"/>
        <v>9</v>
      </c>
      <c r="H252" s="46">
        <f>TRUNC(S252*(1-LOTE_03!$K$10),2)</f>
        <v>696.47</v>
      </c>
      <c r="I252" s="46">
        <f>TRUNC(T252*(1-LOTE_03!$K$10),2)</f>
        <v>753.9</v>
      </c>
      <c r="J252" s="100">
        <f t="shared" si="30"/>
        <v>0.22470000000000001</v>
      </c>
      <c r="K252" s="48">
        <f t="shared" si="24"/>
        <v>852.96</v>
      </c>
      <c r="L252" s="48">
        <f t="shared" si="25"/>
        <v>923.3</v>
      </c>
      <c r="M252" s="48">
        <f t="shared" si="26"/>
        <v>7676.64</v>
      </c>
      <c r="N252" s="48">
        <f t="shared" si="27"/>
        <v>8309.7000000000007</v>
      </c>
      <c r="O252" s="50">
        <f t="shared" si="28"/>
        <v>15986.34</v>
      </c>
      <c r="P252" s="50">
        <v>0</v>
      </c>
      <c r="Q252" s="76"/>
      <c r="R252" s="140">
        <f>IF((1*S9+1*S10)&gt;10,10,(1*S9+1*S10))</f>
        <v>9</v>
      </c>
      <c r="S252" s="79">
        <v>696.47</v>
      </c>
      <c r="T252" s="80">
        <v>753.9</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1846566.11</v>
      </c>
      <c r="Q253" s="76"/>
      <c r="R253" s="154"/>
      <c r="S253" s="79" t="s">
        <v>22</v>
      </c>
      <c r="T253" s="80" t="s">
        <v>22</v>
      </c>
    </row>
    <row r="254" spans="2:20" ht="70">
      <c r="B254" s="5" t="s">
        <v>623</v>
      </c>
      <c r="C254" s="45" t="s">
        <v>97</v>
      </c>
      <c r="D254" s="45" t="s">
        <v>624</v>
      </c>
      <c r="E254" s="6" t="s">
        <v>625</v>
      </c>
      <c r="F254" s="45" t="s">
        <v>121</v>
      </c>
      <c r="G254" s="46">
        <f t="shared" si="29"/>
        <v>1200</v>
      </c>
      <c r="H254" s="46">
        <f>TRUNC(S254*(1-LOTE_03!$K$10),2)</f>
        <v>14.02</v>
      </c>
      <c r="I254" s="46">
        <f>TRUNC(T254*(1-LOTE_03!$K$10),2)</f>
        <v>3.7</v>
      </c>
      <c r="J254" s="100">
        <f t="shared" si="30"/>
        <v>0.22470000000000001</v>
      </c>
      <c r="K254" s="48">
        <f t="shared" si="24"/>
        <v>17.170000000000002</v>
      </c>
      <c r="L254" s="48">
        <f t="shared" si="25"/>
        <v>4.53</v>
      </c>
      <c r="M254" s="48">
        <f t="shared" si="26"/>
        <v>20604</v>
      </c>
      <c r="N254" s="48">
        <f t="shared" si="27"/>
        <v>5436</v>
      </c>
      <c r="O254" s="50">
        <f t="shared" si="28"/>
        <v>26040</v>
      </c>
      <c r="P254" s="50">
        <v>0</v>
      </c>
      <c r="Q254" s="76"/>
      <c r="R254" s="140">
        <f>IF((50*S9+200*S10)&gt;2000,2000,(50*S9+200*S10))</f>
        <v>1200</v>
      </c>
      <c r="S254" s="79">
        <v>14.02</v>
      </c>
      <c r="T254" s="80">
        <v>3.7</v>
      </c>
    </row>
    <row r="255" spans="2:20" ht="84">
      <c r="B255" s="5" t="s">
        <v>626</v>
      </c>
      <c r="C255" s="45" t="s">
        <v>135</v>
      </c>
      <c r="D255" s="45">
        <v>92543</v>
      </c>
      <c r="E255" s="6" t="s">
        <v>1807</v>
      </c>
      <c r="F255" s="45" t="s">
        <v>121</v>
      </c>
      <c r="G255" s="46">
        <f t="shared" si="29"/>
        <v>1000</v>
      </c>
      <c r="H255" s="46">
        <f>TRUNC(S255*(1-LOTE_03!$K$10),2)</f>
        <v>20.82</v>
      </c>
      <c r="I255" s="46">
        <f>TRUNC(T255*(1-LOTE_03!$K$10),2)</f>
        <v>4.3</v>
      </c>
      <c r="J255" s="100">
        <f t="shared" si="30"/>
        <v>0.22470000000000001</v>
      </c>
      <c r="K255" s="48">
        <f t="shared" si="24"/>
        <v>25.49</v>
      </c>
      <c r="L255" s="48">
        <f t="shared" si="25"/>
        <v>5.26</v>
      </c>
      <c r="M255" s="48">
        <f t="shared" si="26"/>
        <v>25490</v>
      </c>
      <c r="N255" s="48">
        <f t="shared" si="27"/>
        <v>5260</v>
      </c>
      <c r="O255" s="50">
        <f t="shared" si="28"/>
        <v>30750</v>
      </c>
      <c r="P255" s="50">
        <v>0</v>
      </c>
      <c r="Q255" s="76"/>
      <c r="R255" s="140">
        <f>IF((10*S9+200*S10)&gt;1000,1000,(10*S9+200*S10))</f>
        <v>1000</v>
      </c>
      <c r="S255" s="79">
        <v>20.82</v>
      </c>
      <c r="T255" s="80">
        <v>4.3</v>
      </c>
    </row>
    <row r="256" spans="2:20" ht="98">
      <c r="B256" s="5" t="s">
        <v>627</v>
      </c>
      <c r="C256" s="45" t="s">
        <v>135</v>
      </c>
      <c r="D256" s="45">
        <v>92580</v>
      </c>
      <c r="E256" s="6" t="s">
        <v>1808</v>
      </c>
      <c r="F256" s="45" t="s">
        <v>121</v>
      </c>
      <c r="G256" s="46">
        <f t="shared" si="29"/>
        <v>1040</v>
      </c>
      <c r="H256" s="46">
        <f>TRUNC(S256*(1-LOTE_03!$K$10),2)</f>
        <v>43.31</v>
      </c>
      <c r="I256" s="46">
        <f>TRUNC(T256*(1-LOTE_03!$K$10),2)</f>
        <v>6.11</v>
      </c>
      <c r="J256" s="100">
        <f t="shared" si="30"/>
        <v>0.22470000000000001</v>
      </c>
      <c r="K256" s="48">
        <f t="shared" si="24"/>
        <v>53.04</v>
      </c>
      <c r="L256" s="48">
        <f t="shared" si="25"/>
        <v>7.48</v>
      </c>
      <c r="M256" s="48">
        <f t="shared" si="26"/>
        <v>55161.599999999999</v>
      </c>
      <c r="N256" s="48">
        <f t="shared" si="27"/>
        <v>7779.2</v>
      </c>
      <c r="O256" s="50">
        <f t="shared" si="28"/>
        <v>62940.800000000003</v>
      </c>
      <c r="P256" s="50">
        <v>0</v>
      </c>
      <c r="Q256" s="76"/>
      <c r="R256" s="140">
        <f>IF((10*S9+200*S10)&gt;5000,5000,(10*S9+200*S10))</f>
        <v>1040</v>
      </c>
      <c r="S256" s="79">
        <v>43.31</v>
      </c>
      <c r="T256" s="80">
        <v>6.11</v>
      </c>
    </row>
    <row r="257" spans="2:20" ht="84">
      <c r="B257" s="5" t="s">
        <v>628</v>
      </c>
      <c r="C257" s="45" t="s">
        <v>135</v>
      </c>
      <c r="D257" s="45">
        <v>94207</v>
      </c>
      <c r="E257" s="6" t="s">
        <v>629</v>
      </c>
      <c r="F257" s="45" t="s">
        <v>121</v>
      </c>
      <c r="G257" s="46">
        <f t="shared" si="29"/>
        <v>1000</v>
      </c>
      <c r="H257" s="46">
        <f>TRUNC(S257*(1-LOTE_03!$K$10),2)</f>
        <v>45.8</v>
      </c>
      <c r="I257" s="46">
        <f>TRUNC(T257*(1-LOTE_03!$K$10),2)</f>
        <v>4.9800000000000004</v>
      </c>
      <c r="J257" s="100">
        <f t="shared" si="30"/>
        <v>0.22470000000000001</v>
      </c>
      <c r="K257" s="48">
        <f t="shared" si="24"/>
        <v>56.09</v>
      </c>
      <c r="L257" s="48">
        <f t="shared" si="25"/>
        <v>6.09</v>
      </c>
      <c r="M257" s="48">
        <f t="shared" si="26"/>
        <v>56090</v>
      </c>
      <c r="N257" s="48">
        <f t="shared" si="27"/>
        <v>6090</v>
      </c>
      <c r="O257" s="50">
        <f t="shared" si="28"/>
        <v>62180</v>
      </c>
      <c r="P257" s="50">
        <v>0</v>
      </c>
      <c r="Q257" s="76"/>
      <c r="R257" s="140">
        <f>IF((10*S9+200*S10)&gt;1000,1000,(10*S9+200*S10))</f>
        <v>1000</v>
      </c>
      <c r="S257" s="79">
        <v>45.8</v>
      </c>
      <c r="T257" s="80">
        <v>4.9800000000000004</v>
      </c>
    </row>
    <row r="258" spans="2:20" ht="42">
      <c r="B258" s="5" t="s">
        <v>630</v>
      </c>
      <c r="C258" s="45" t="s">
        <v>135</v>
      </c>
      <c r="D258" s="45">
        <v>94216</v>
      </c>
      <c r="E258" s="6" t="s">
        <v>631</v>
      </c>
      <c r="F258" s="45" t="s">
        <v>121</v>
      </c>
      <c r="G258" s="46">
        <f t="shared" si="29"/>
        <v>1000</v>
      </c>
      <c r="H258" s="46">
        <f>TRUNC(S258*(1-LOTE_03!$K$10),2)</f>
        <v>185.5</v>
      </c>
      <c r="I258" s="46">
        <f>TRUNC(T258*(1-LOTE_03!$K$10),2)</f>
        <v>2.23</v>
      </c>
      <c r="J258" s="100">
        <f t="shared" si="30"/>
        <v>0.22470000000000001</v>
      </c>
      <c r="K258" s="48">
        <f t="shared" si="24"/>
        <v>227.18</v>
      </c>
      <c r="L258" s="48">
        <f t="shared" si="25"/>
        <v>2.73</v>
      </c>
      <c r="M258" s="48">
        <f t="shared" si="26"/>
        <v>227180</v>
      </c>
      <c r="N258" s="48">
        <f t="shared" si="27"/>
        <v>2730</v>
      </c>
      <c r="O258" s="50">
        <f t="shared" si="28"/>
        <v>229910</v>
      </c>
      <c r="P258" s="50">
        <v>0</v>
      </c>
      <c r="Q258" s="76"/>
      <c r="R258" s="140">
        <f>IF((10*S9+200*S10)&gt;1000,1000,(10*S9+200*S10))</f>
        <v>1000</v>
      </c>
      <c r="S258" s="79">
        <v>185.5</v>
      </c>
      <c r="T258" s="80">
        <v>2.23</v>
      </c>
    </row>
    <row r="259" spans="2:20" ht="42">
      <c r="B259" s="5" t="s">
        <v>632</v>
      </c>
      <c r="C259" s="45" t="s">
        <v>135</v>
      </c>
      <c r="D259" s="45">
        <v>94213</v>
      </c>
      <c r="E259" s="6" t="s">
        <v>633</v>
      </c>
      <c r="F259" s="45" t="s">
        <v>121</v>
      </c>
      <c r="G259" s="46">
        <f t="shared" si="29"/>
        <v>1000</v>
      </c>
      <c r="H259" s="46">
        <f>TRUNC(S259*(1-LOTE_03!$K$10),2)</f>
        <v>62.58</v>
      </c>
      <c r="I259" s="46">
        <f>TRUNC(T259*(1-LOTE_03!$K$10),2)</f>
        <v>3.55</v>
      </c>
      <c r="J259" s="100">
        <f t="shared" si="30"/>
        <v>0.22470000000000001</v>
      </c>
      <c r="K259" s="48">
        <f t="shared" si="24"/>
        <v>76.64</v>
      </c>
      <c r="L259" s="48">
        <f t="shared" si="25"/>
        <v>4.34</v>
      </c>
      <c r="M259" s="48">
        <f t="shared" si="26"/>
        <v>76640</v>
      </c>
      <c r="N259" s="48">
        <f t="shared" si="27"/>
        <v>4340</v>
      </c>
      <c r="O259" s="50">
        <f t="shared" si="28"/>
        <v>80980</v>
      </c>
      <c r="P259" s="50">
        <v>0</v>
      </c>
      <c r="Q259" s="76"/>
      <c r="R259" s="140">
        <f>IF((10*S9+200*S10)&gt;1000,1000,(10*S9+200*S10))</f>
        <v>1000</v>
      </c>
      <c r="S259" s="79">
        <v>62.58</v>
      </c>
      <c r="T259" s="80">
        <v>3.55</v>
      </c>
    </row>
    <row r="260" spans="2:20" ht="56">
      <c r="B260" s="5" t="s">
        <v>634</v>
      </c>
      <c r="C260" s="45" t="s">
        <v>135</v>
      </c>
      <c r="D260" s="45">
        <v>94227</v>
      </c>
      <c r="E260" s="6" t="s">
        <v>635</v>
      </c>
      <c r="F260" s="45" t="s">
        <v>187</v>
      </c>
      <c r="G260" s="46">
        <f t="shared" si="29"/>
        <v>450</v>
      </c>
      <c r="H260" s="46">
        <f>TRUNC(S260*(1-LOTE_03!$K$10),2)</f>
        <v>57.4</v>
      </c>
      <c r="I260" s="46">
        <f>TRUNC(T260*(1-LOTE_03!$K$10),2)</f>
        <v>8.1199999999999992</v>
      </c>
      <c r="J260" s="100">
        <f t="shared" si="30"/>
        <v>0.22470000000000001</v>
      </c>
      <c r="K260" s="48">
        <f t="shared" si="24"/>
        <v>70.290000000000006</v>
      </c>
      <c r="L260" s="48">
        <f t="shared" si="25"/>
        <v>9.94</v>
      </c>
      <c r="M260" s="48">
        <f t="shared" si="26"/>
        <v>31630.5</v>
      </c>
      <c r="N260" s="48">
        <f t="shared" si="27"/>
        <v>4473</v>
      </c>
      <c r="O260" s="50">
        <f t="shared" si="28"/>
        <v>36103.5</v>
      </c>
      <c r="P260" s="50">
        <v>0</v>
      </c>
      <c r="Q260" s="76"/>
      <c r="R260" s="140">
        <f>IF((50*S10+50*S9)&gt;500,500,(50*S10+50*S9))</f>
        <v>450</v>
      </c>
      <c r="S260" s="79">
        <v>57.4</v>
      </c>
      <c r="T260" s="80">
        <v>8.1199999999999992</v>
      </c>
    </row>
    <row r="261" spans="2:20" ht="56">
      <c r="B261" s="5" t="s">
        <v>636</v>
      </c>
      <c r="C261" s="45" t="s">
        <v>135</v>
      </c>
      <c r="D261" s="45">
        <v>94228</v>
      </c>
      <c r="E261" s="6" t="s">
        <v>637</v>
      </c>
      <c r="F261" s="45" t="s">
        <v>187</v>
      </c>
      <c r="G261" s="46">
        <f t="shared" si="29"/>
        <v>330</v>
      </c>
      <c r="H261" s="46">
        <f>TRUNC(S261*(1-LOTE_03!$K$10),2)</f>
        <v>77.989999999999995</v>
      </c>
      <c r="I261" s="46">
        <f>TRUNC(T261*(1-LOTE_03!$K$10),2)</f>
        <v>11.13</v>
      </c>
      <c r="J261" s="100">
        <f t="shared" si="30"/>
        <v>0.22470000000000001</v>
      </c>
      <c r="K261" s="48">
        <f t="shared" si="24"/>
        <v>95.51</v>
      </c>
      <c r="L261" s="48">
        <f t="shared" si="25"/>
        <v>13.63</v>
      </c>
      <c r="M261" s="48">
        <f t="shared" si="26"/>
        <v>31518.3</v>
      </c>
      <c r="N261" s="48">
        <f t="shared" si="27"/>
        <v>4497.8999999999996</v>
      </c>
      <c r="O261" s="50">
        <f t="shared" si="28"/>
        <v>36016.199999999997</v>
      </c>
      <c r="P261" s="50">
        <v>0</v>
      </c>
      <c r="Q261" s="76"/>
      <c r="R261" s="140">
        <f>IF((50*S10+20*S9)&gt;500,500,(50*S10+20*S9))</f>
        <v>330</v>
      </c>
      <c r="S261" s="79">
        <v>77.990000000000009</v>
      </c>
      <c r="T261" s="80">
        <v>11.13</v>
      </c>
    </row>
    <row r="262" spans="2:20" ht="56">
      <c r="B262" s="5" t="s">
        <v>638</v>
      </c>
      <c r="C262" s="45" t="s">
        <v>135</v>
      </c>
      <c r="D262" s="45">
        <v>94229</v>
      </c>
      <c r="E262" s="6" t="s">
        <v>639</v>
      </c>
      <c r="F262" s="45" t="s">
        <v>187</v>
      </c>
      <c r="G262" s="46">
        <f t="shared" si="29"/>
        <v>330</v>
      </c>
      <c r="H262" s="46">
        <f>TRUNC(S262*(1-LOTE_03!$K$10),2)</f>
        <v>152.22</v>
      </c>
      <c r="I262" s="46">
        <f>TRUNC(T262*(1-LOTE_03!$K$10),2)</f>
        <v>19.850000000000001</v>
      </c>
      <c r="J262" s="100">
        <f t="shared" si="30"/>
        <v>0.22470000000000001</v>
      </c>
      <c r="K262" s="48">
        <f t="shared" si="24"/>
        <v>186.42</v>
      </c>
      <c r="L262" s="48">
        <f t="shared" si="25"/>
        <v>24.31</v>
      </c>
      <c r="M262" s="48">
        <f t="shared" si="26"/>
        <v>61518.6</v>
      </c>
      <c r="N262" s="48">
        <f t="shared" si="27"/>
        <v>8022.3</v>
      </c>
      <c r="O262" s="50">
        <f t="shared" si="28"/>
        <v>69540.899999999994</v>
      </c>
      <c r="P262" s="50">
        <v>0</v>
      </c>
      <c r="Q262" s="76"/>
      <c r="R262" s="140">
        <f>IF((50*S10+20*S9)&gt;500,500,(50*S10+20*S9))</f>
        <v>330</v>
      </c>
      <c r="S262" s="79">
        <v>152.22</v>
      </c>
      <c r="T262" s="80">
        <v>19.850000000000001</v>
      </c>
    </row>
    <row r="263" spans="2:20" ht="56">
      <c r="B263" s="5" t="s">
        <v>640</v>
      </c>
      <c r="C263" s="45" t="s">
        <v>135</v>
      </c>
      <c r="D263" s="45">
        <v>94223</v>
      </c>
      <c r="E263" s="6" t="s">
        <v>641</v>
      </c>
      <c r="F263" s="45" t="s">
        <v>187</v>
      </c>
      <c r="G263" s="46">
        <f t="shared" si="29"/>
        <v>450</v>
      </c>
      <c r="H263" s="46">
        <f>TRUNC(S263*(1-LOTE_03!$K$10),2)</f>
        <v>82.67</v>
      </c>
      <c r="I263" s="46">
        <f>TRUNC(T263*(1-LOTE_03!$K$10),2)</f>
        <v>2.4500000000000002</v>
      </c>
      <c r="J263" s="100">
        <f t="shared" si="30"/>
        <v>0.22470000000000001</v>
      </c>
      <c r="K263" s="48">
        <f t="shared" si="24"/>
        <v>101.24</v>
      </c>
      <c r="L263" s="48">
        <f t="shared" si="25"/>
        <v>3</v>
      </c>
      <c r="M263" s="48">
        <f t="shared" si="26"/>
        <v>45558</v>
      </c>
      <c r="N263" s="48">
        <f t="shared" si="27"/>
        <v>1350</v>
      </c>
      <c r="O263" s="50">
        <f t="shared" si="28"/>
        <v>46908</v>
      </c>
      <c r="P263" s="50">
        <v>0</v>
      </c>
      <c r="Q263" s="76"/>
      <c r="R263" s="140">
        <f>IF((50*S10+50*S9)&gt;500,500,(50*S10+50*S9))</f>
        <v>450</v>
      </c>
      <c r="S263" s="79">
        <v>82.67</v>
      </c>
      <c r="T263" s="80">
        <v>2.4500000000000002</v>
      </c>
    </row>
    <row r="264" spans="2:20" ht="28">
      <c r="B264" s="5" t="s">
        <v>642</v>
      </c>
      <c r="C264" s="45" t="s">
        <v>165</v>
      </c>
      <c r="D264" s="45" t="s">
        <v>643</v>
      </c>
      <c r="E264" s="6" t="s">
        <v>644</v>
      </c>
      <c r="F264" s="45" t="s">
        <v>531</v>
      </c>
      <c r="G264" s="46">
        <f t="shared" si="29"/>
        <v>450</v>
      </c>
      <c r="H264" s="46">
        <f>TRUNC(S264*(1-LOTE_03!$K$10),2)</f>
        <v>114.61</v>
      </c>
      <c r="I264" s="46">
        <f>TRUNC(T264*(1-LOTE_03!$K$10),2)</f>
        <v>4.0599999999999996</v>
      </c>
      <c r="J264" s="100">
        <f t="shared" si="30"/>
        <v>0.22470000000000001</v>
      </c>
      <c r="K264" s="48">
        <f t="shared" si="24"/>
        <v>140.36000000000001</v>
      </c>
      <c r="L264" s="48">
        <f t="shared" si="25"/>
        <v>4.97</v>
      </c>
      <c r="M264" s="48">
        <f t="shared" si="26"/>
        <v>63162</v>
      </c>
      <c r="N264" s="48">
        <f t="shared" si="27"/>
        <v>2236.5</v>
      </c>
      <c r="O264" s="50">
        <f t="shared" si="28"/>
        <v>65398.5</v>
      </c>
      <c r="P264" s="50">
        <v>0</v>
      </c>
      <c r="Q264" s="76"/>
      <c r="R264" s="140">
        <f>IF((50*S10+50*S9)&gt;500,500,(50*S10+50*S9))</f>
        <v>450</v>
      </c>
      <c r="S264" s="79">
        <v>114.61</v>
      </c>
      <c r="T264" s="80">
        <v>4.0599999999999996</v>
      </c>
    </row>
    <row r="265" spans="2:20" ht="28">
      <c r="B265" s="5" t="s">
        <v>645</v>
      </c>
      <c r="C265" s="45" t="s">
        <v>97</v>
      </c>
      <c r="D265" s="45" t="s">
        <v>646</v>
      </c>
      <c r="E265" s="6" t="s">
        <v>647</v>
      </c>
      <c r="F265" s="45" t="s">
        <v>187</v>
      </c>
      <c r="G265" s="46">
        <f t="shared" si="29"/>
        <v>450</v>
      </c>
      <c r="H265" s="46">
        <f>TRUNC(S265*(1-LOTE_03!$K$10),2)</f>
        <v>60.91</v>
      </c>
      <c r="I265" s="46">
        <f>TRUNC(T265*(1-LOTE_03!$K$10),2)</f>
        <v>4.78</v>
      </c>
      <c r="J265" s="100">
        <f t="shared" si="30"/>
        <v>0.22470000000000001</v>
      </c>
      <c r="K265" s="48">
        <f t="shared" si="24"/>
        <v>74.59</v>
      </c>
      <c r="L265" s="48">
        <f t="shared" si="25"/>
        <v>5.85</v>
      </c>
      <c r="M265" s="48">
        <f t="shared" si="26"/>
        <v>33565.5</v>
      </c>
      <c r="N265" s="48">
        <f t="shared" si="27"/>
        <v>2632.5</v>
      </c>
      <c r="O265" s="50">
        <f t="shared" si="28"/>
        <v>36198</v>
      </c>
      <c r="P265" s="50">
        <v>0</v>
      </c>
      <c r="Q265" s="76"/>
      <c r="R265" s="140">
        <f>IF((50*S10+50*S9)&gt;500,500,(50*S10+50*S9))</f>
        <v>450</v>
      </c>
      <c r="S265" s="79">
        <v>60.91</v>
      </c>
      <c r="T265" s="80">
        <v>4.78</v>
      </c>
    </row>
    <row r="266" spans="2:20" ht="56">
      <c r="B266" s="5" t="s">
        <v>648</v>
      </c>
      <c r="C266" s="45" t="s">
        <v>135</v>
      </c>
      <c r="D266" s="45">
        <v>100327</v>
      </c>
      <c r="E266" s="6" t="s">
        <v>649</v>
      </c>
      <c r="F266" s="45" t="s">
        <v>187</v>
      </c>
      <c r="G266" s="46">
        <f t="shared" si="29"/>
        <v>450</v>
      </c>
      <c r="H266" s="46">
        <f>TRUNC(S266*(1-LOTE_03!$K$10),2)</f>
        <v>53.99</v>
      </c>
      <c r="I266" s="46">
        <f>TRUNC(T266*(1-LOTE_03!$K$10),2)</f>
        <v>6.82</v>
      </c>
      <c r="J266" s="100">
        <f t="shared" si="30"/>
        <v>0.22470000000000001</v>
      </c>
      <c r="K266" s="48">
        <f t="shared" si="24"/>
        <v>66.12</v>
      </c>
      <c r="L266" s="48">
        <f t="shared" si="25"/>
        <v>8.35</v>
      </c>
      <c r="M266" s="48">
        <f t="shared" si="26"/>
        <v>29754</v>
      </c>
      <c r="N266" s="48">
        <f t="shared" si="27"/>
        <v>3757.5</v>
      </c>
      <c r="O266" s="50">
        <f t="shared" si="28"/>
        <v>33511.5</v>
      </c>
      <c r="P266" s="50">
        <v>0</v>
      </c>
      <c r="Q266" s="76"/>
      <c r="R266" s="140">
        <f>IF((50*S10+50*S9)&gt;500,500,(50*S10+50*S9))</f>
        <v>450</v>
      </c>
      <c r="S266" s="79">
        <v>53.99</v>
      </c>
      <c r="T266" s="80">
        <v>6.82</v>
      </c>
    </row>
    <row r="267" spans="2:20" ht="56">
      <c r="B267" s="5" t="s">
        <v>650</v>
      </c>
      <c r="C267" s="45" t="s">
        <v>135</v>
      </c>
      <c r="D267" s="45">
        <v>100435</v>
      </c>
      <c r="E267" s="6" t="s">
        <v>651</v>
      </c>
      <c r="F267" s="45" t="s">
        <v>187</v>
      </c>
      <c r="G267" s="46">
        <f t="shared" si="29"/>
        <v>450</v>
      </c>
      <c r="H267" s="46">
        <f>TRUNC(S267*(1-LOTE_03!$K$10),2)</f>
        <v>63.19</v>
      </c>
      <c r="I267" s="46">
        <f>TRUNC(T267*(1-LOTE_03!$K$10),2)</f>
        <v>5.13</v>
      </c>
      <c r="J267" s="100">
        <f t="shared" si="30"/>
        <v>0.22470000000000001</v>
      </c>
      <c r="K267" s="48">
        <f t="shared" si="24"/>
        <v>77.38</v>
      </c>
      <c r="L267" s="48">
        <f t="shared" si="25"/>
        <v>6.28</v>
      </c>
      <c r="M267" s="48">
        <f t="shared" si="26"/>
        <v>34821</v>
      </c>
      <c r="N267" s="48">
        <f t="shared" si="27"/>
        <v>2826</v>
      </c>
      <c r="O267" s="50">
        <f t="shared" si="28"/>
        <v>37647</v>
      </c>
      <c r="P267" s="50">
        <v>0</v>
      </c>
      <c r="Q267" s="76"/>
      <c r="R267" s="140">
        <f>IF((50*S10+50*S9)&gt;500,500,(50*S10+50*S9))</f>
        <v>450</v>
      </c>
      <c r="S267" s="79">
        <v>63.189999999999991</v>
      </c>
      <c r="T267" s="80">
        <v>5.13</v>
      </c>
    </row>
    <row r="268" spans="2:20" ht="42">
      <c r="B268" s="5" t="s">
        <v>652</v>
      </c>
      <c r="C268" s="45" t="s">
        <v>135</v>
      </c>
      <c r="D268" s="45">
        <v>94231</v>
      </c>
      <c r="E268" s="6" t="s">
        <v>653</v>
      </c>
      <c r="F268" s="45" t="s">
        <v>187</v>
      </c>
      <c r="G268" s="46">
        <f t="shared" si="29"/>
        <v>450</v>
      </c>
      <c r="H268" s="46">
        <f>TRUNC(S268*(1-LOTE_03!$K$10),2)</f>
        <v>48.12</v>
      </c>
      <c r="I268" s="46">
        <f>TRUNC(T268*(1-LOTE_03!$K$10),2)</f>
        <v>5.69</v>
      </c>
      <c r="J268" s="100">
        <f t="shared" si="30"/>
        <v>0.22470000000000001</v>
      </c>
      <c r="K268" s="48">
        <f t="shared" si="24"/>
        <v>58.93</v>
      </c>
      <c r="L268" s="48">
        <f t="shared" si="25"/>
        <v>6.96</v>
      </c>
      <c r="M268" s="48">
        <f t="shared" si="26"/>
        <v>26518.5</v>
      </c>
      <c r="N268" s="48">
        <f t="shared" si="27"/>
        <v>3132</v>
      </c>
      <c r="O268" s="50">
        <f t="shared" si="28"/>
        <v>29650.5</v>
      </c>
      <c r="P268" s="50">
        <v>0</v>
      </c>
      <c r="Q268" s="76"/>
      <c r="R268" s="140">
        <f>IF((50*S10+50*S9)&gt;500,500,(50*S10+50*S9))</f>
        <v>450</v>
      </c>
      <c r="S268" s="79">
        <v>48.120000000000005</v>
      </c>
      <c r="T268" s="80">
        <v>5.69</v>
      </c>
    </row>
    <row r="269" spans="2:20" ht="28">
      <c r="B269" s="5" t="s">
        <v>654</v>
      </c>
      <c r="C269" s="45" t="s">
        <v>97</v>
      </c>
      <c r="D269" s="45" t="s">
        <v>655</v>
      </c>
      <c r="E269" s="6" t="s">
        <v>656</v>
      </c>
      <c r="F269" s="45" t="s">
        <v>161</v>
      </c>
      <c r="G269" s="46">
        <f t="shared" si="29"/>
        <v>14</v>
      </c>
      <c r="H269" s="46">
        <f>TRUNC(S269*(1-LOTE_03!$K$10),2)</f>
        <v>3094.37</v>
      </c>
      <c r="I269" s="46">
        <f>TRUNC(T269*(1-LOTE_03!$K$10),2)</f>
        <v>798.5</v>
      </c>
      <c r="J269" s="100">
        <f t="shared" si="30"/>
        <v>0.22470000000000001</v>
      </c>
      <c r="K269" s="48">
        <f t="shared" si="24"/>
        <v>3789.67</v>
      </c>
      <c r="L269" s="48">
        <f t="shared" si="25"/>
        <v>977.92</v>
      </c>
      <c r="M269" s="48">
        <f t="shared" si="26"/>
        <v>53055.38</v>
      </c>
      <c r="N269" s="48">
        <f t="shared" si="27"/>
        <v>13690.88</v>
      </c>
      <c r="O269" s="50">
        <f t="shared" si="28"/>
        <v>66746.259999999995</v>
      </c>
      <c r="P269" s="50">
        <v>0</v>
      </c>
      <c r="Q269" s="76"/>
      <c r="R269" s="140">
        <f>IF((S9+2*S10)&gt;50,50,(S9+2*S10))</f>
        <v>14</v>
      </c>
      <c r="S269" s="79">
        <v>3094.37</v>
      </c>
      <c r="T269" s="80">
        <v>798.5</v>
      </c>
    </row>
    <row r="270" spans="2:20" ht="56">
      <c r="B270" s="5" t="s">
        <v>657</v>
      </c>
      <c r="C270" s="45" t="s">
        <v>135</v>
      </c>
      <c r="D270" s="45">
        <v>98562</v>
      </c>
      <c r="E270" s="6" t="s">
        <v>658</v>
      </c>
      <c r="F270" s="45" t="s">
        <v>121</v>
      </c>
      <c r="G270" s="46">
        <f t="shared" si="29"/>
        <v>450</v>
      </c>
      <c r="H270" s="46">
        <f>TRUNC(S270*(1-LOTE_03!$K$10),2)</f>
        <v>28.7</v>
      </c>
      <c r="I270" s="46">
        <f>TRUNC(T270*(1-LOTE_03!$K$10),2)</f>
        <v>28.46</v>
      </c>
      <c r="J270" s="100">
        <f t="shared" si="30"/>
        <v>0.22470000000000001</v>
      </c>
      <c r="K270" s="48">
        <f t="shared" si="24"/>
        <v>35.14</v>
      </c>
      <c r="L270" s="48">
        <f t="shared" si="25"/>
        <v>34.85</v>
      </c>
      <c r="M270" s="48">
        <f t="shared" si="26"/>
        <v>15813</v>
      </c>
      <c r="N270" s="48">
        <f t="shared" si="27"/>
        <v>15682.5</v>
      </c>
      <c r="O270" s="50">
        <f t="shared" si="28"/>
        <v>31495.5</v>
      </c>
      <c r="P270" s="50">
        <v>0</v>
      </c>
      <c r="Q270" s="76"/>
      <c r="R270" s="140">
        <f>50*S9+50*S10</f>
        <v>450</v>
      </c>
      <c r="S270" s="79">
        <v>28.699999999999996</v>
      </c>
      <c r="T270" s="80">
        <v>28.46</v>
      </c>
    </row>
    <row r="271" spans="2:20" ht="56">
      <c r="B271" s="5" t="s">
        <v>659</v>
      </c>
      <c r="C271" s="45" t="s">
        <v>135</v>
      </c>
      <c r="D271" s="45">
        <v>98555</v>
      </c>
      <c r="E271" s="6" t="s">
        <v>660</v>
      </c>
      <c r="F271" s="45" t="s">
        <v>121</v>
      </c>
      <c r="G271" s="46">
        <f t="shared" si="29"/>
        <v>900</v>
      </c>
      <c r="H271" s="46">
        <f>TRUNC(S271*(1-LOTE_03!$K$10),2)</f>
        <v>18.899999999999999</v>
      </c>
      <c r="I271" s="46">
        <f>TRUNC(T271*(1-LOTE_03!$K$10),2)</f>
        <v>14.67</v>
      </c>
      <c r="J271" s="100">
        <f t="shared" si="30"/>
        <v>0.22470000000000001</v>
      </c>
      <c r="K271" s="48">
        <f t="shared" si="24"/>
        <v>23.14</v>
      </c>
      <c r="L271" s="48">
        <f t="shared" si="25"/>
        <v>17.96</v>
      </c>
      <c r="M271" s="48">
        <f t="shared" si="26"/>
        <v>20826</v>
      </c>
      <c r="N271" s="48">
        <f t="shared" si="27"/>
        <v>16164</v>
      </c>
      <c r="O271" s="50">
        <f t="shared" si="28"/>
        <v>36990</v>
      </c>
      <c r="P271" s="50">
        <v>0</v>
      </c>
      <c r="Q271" s="76"/>
      <c r="R271" s="140">
        <f>100*S9+100*S10</f>
        <v>900</v>
      </c>
      <c r="S271" s="79">
        <v>18.899999999999999</v>
      </c>
      <c r="T271" s="80">
        <v>14.67</v>
      </c>
    </row>
    <row r="272" spans="2:20" ht="70">
      <c r="B272" s="5" t="s">
        <v>661</v>
      </c>
      <c r="C272" s="45" t="s">
        <v>135</v>
      </c>
      <c r="D272" s="45">
        <v>98556</v>
      </c>
      <c r="E272" s="6" t="s">
        <v>1809</v>
      </c>
      <c r="F272" s="45" t="s">
        <v>121</v>
      </c>
      <c r="G272" s="46">
        <f t="shared" si="29"/>
        <v>900</v>
      </c>
      <c r="H272" s="46">
        <f>TRUNC(S272*(1-LOTE_03!$K$10),2)</f>
        <v>37.18</v>
      </c>
      <c r="I272" s="46">
        <f>TRUNC(T272*(1-LOTE_03!$K$10),2)</f>
        <v>24.14</v>
      </c>
      <c r="J272" s="100">
        <f t="shared" si="30"/>
        <v>0.22470000000000001</v>
      </c>
      <c r="K272" s="48">
        <f t="shared" ref="K272:K335" si="31">TRUNC(H272*(1+J272),2)</f>
        <v>45.53</v>
      </c>
      <c r="L272" s="48">
        <f t="shared" ref="L272:L335" si="32">TRUNC(I272*(1+J272),2)</f>
        <v>29.56</v>
      </c>
      <c r="M272" s="48">
        <f t="shared" ref="M272:M335" si="33">TRUNC(K272*G272,2)</f>
        <v>40977</v>
      </c>
      <c r="N272" s="48">
        <f t="shared" ref="N272:N335" si="34">TRUNC(L272*G272,2)</f>
        <v>26604</v>
      </c>
      <c r="O272" s="50">
        <f t="shared" ref="O272:O335" si="35">TRUNC(M272+N272,2)</f>
        <v>67581</v>
      </c>
      <c r="P272" s="50">
        <v>0</v>
      </c>
      <c r="Q272" s="76"/>
      <c r="R272" s="140">
        <f>100*S9+100*S10</f>
        <v>900</v>
      </c>
      <c r="S272" s="79">
        <v>37.18</v>
      </c>
      <c r="T272" s="80">
        <v>24.14</v>
      </c>
    </row>
    <row r="273" spans="2:20" ht="70">
      <c r="B273" s="5" t="s">
        <v>662</v>
      </c>
      <c r="C273" s="45" t="s">
        <v>135</v>
      </c>
      <c r="D273" s="45">
        <v>98547</v>
      </c>
      <c r="E273" s="6" t="s">
        <v>663</v>
      </c>
      <c r="F273" s="45" t="s">
        <v>121</v>
      </c>
      <c r="G273" s="46">
        <f t="shared" si="29"/>
        <v>900</v>
      </c>
      <c r="H273" s="46">
        <f>TRUNC(S273*(1-LOTE_03!$K$10),2)</f>
        <v>184.79</v>
      </c>
      <c r="I273" s="46">
        <f>TRUNC(T273*(1-LOTE_03!$K$10),2)</f>
        <v>35.64</v>
      </c>
      <c r="J273" s="100">
        <f t="shared" si="30"/>
        <v>0.22470000000000001</v>
      </c>
      <c r="K273" s="48">
        <f t="shared" si="31"/>
        <v>226.31</v>
      </c>
      <c r="L273" s="48">
        <f t="shared" si="32"/>
        <v>43.64</v>
      </c>
      <c r="M273" s="48">
        <f t="shared" si="33"/>
        <v>203679</v>
      </c>
      <c r="N273" s="48">
        <f t="shared" si="34"/>
        <v>39276</v>
      </c>
      <c r="O273" s="50">
        <f t="shared" si="35"/>
        <v>242955</v>
      </c>
      <c r="P273" s="50">
        <v>0</v>
      </c>
      <c r="Q273" s="76"/>
      <c r="R273" s="140">
        <f>100*S9+100*S10</f>
        <v>900</v>
      </c>
      <c r="S273" s="79">
        <v>184.79000000000002</v>
      </c>
      <c r="T273" s="80">
        <v>35.64</v>
      </c>
    </row>
    <row r="274" spans="2:20" ht="42">
      <c r="B274" s="5" t="s">
        <v>664</v>
      </c>
      <c r="C274" s="45" t="s">
        <v>135</v>
      </c>
      <c r="D274" s="45">
        <v>98553</v>
      </c>
      <c r="E274" s="6" t="s">
        <v>665</v>
      </c>
      <c r="F274" s="45" t="s">
        <v>121</v>
      </c>
      <c r="G274" s="46">
        <f t="shared" ref="G274:G337" si="36">TRUNC(R274,2)</f>
        <v>900</v>
      </c>
      <c r="H274" s="46">
        <f>TRUNC(S274*(1-LOTE_03!$K$10),2)</f>
        <v>182.44</v>
      </c>
      <c r="I274" s="46">
        <f>TRUNC(T274*(1-LOTE_03!$K$10),2)</f>
        <v>11.87</v>
      </c>
      <c r="J274" s="100">
        <f t="shared" ref="J274:J337" si="37">$J$4</f>
        <v>0.22470000000000001</v>
      </c>
      <c r="K274" s="48">
        <f t="shared" si="31"/>
        <v>223.43</v>
      </c>
      <c r="L274" s="48">
        <f t="shared" si="32"/>
        <v>14.53</v>
      </c>
      <c r="M274" s="48">
        <f t="shared" si="33"/>
        <v>201087</v>
      </c>
      <c r="N274" s="48">
        <f t="shared" si="34"/>
        <v>13077</v>
      </c>
      <c r="O274" s="50">
        <f t="shared" si="35"/>
        <v>214164</v>
      </c>
      <c r="P274" s="50">
        <v>0</v>
      </c>
      <c r="Q274" s="76"/>
      <c r="R274" s="140">
        <f>100*S9+100*S10</f>
        <v>900</v>
      </c>
      <c r="S274" s="79">
        <v>182.44</v>
      </c>
      <c r="T274" s="80">
        <v>11.87</v>
      </c>
    </row>
    <row r="275" spans="2:20" ht="42">
      <c r="B275" s="5" t="s">
        <v>666</v>
      </c>
      <c r="C275" s="45" t="s">
        <v>135</v>
      </c>
      <c r="D275" s="45">
        <v>98557</v>
      </c>
      <c r="E275" s="6" t="s">
        <v>667</v>
      </c>
      <c r="F275" s="45" t="s">
        <v>121</v>
      </c>
      <c r="G275" s="46">
        <f t="shared" si="36"/>
        <v>900</v>
      </c>
      <c r="H275" s="46">
        <f>TRUNC(S275*(1-LOTE_03!$K$10),2)</f>
        <v>29.89</v>
      </c>
      <c r="I275" s="46">
        <f>TRUNC(T275*(1-LOTE_03!$K$10),2)</f>
        <v>8.32</v>
      </c>
      <c r="J275" s="100">
        <f t="shared" si="37"/>
        <v>0.22470000000000001</v>
      </c>
      <c r="K275" s="48">
        <f t="shared" si="31"/>
        <v>36.6</v>
      </c>
      <c r="L275" s="48">
        <f t="shared" si="32"/>
        <v>10.18</v>
      </c>
      <c r="M275" s="48">
        <f t="shared" si="33"/>
        <v>32940</v>
      </c>
      <c r="N275" s="48">
        <f t="shared" si="34"/>
        <v>9162</v>
      </c>
      <c r="O275" s="50">
        <f t="shared" si="35"/>
        <v>42102</v>
      </c>
      <c r="P275" s="50">
        <v>0</v>
      </c>
      <c r="Q275" s="76"/>
      <c r="R275" s="140">
        <f>100*S9+100*S10</f>
        <v>900</v>
      </c>
      <c r="S275" s="79">
        <v>29.89</v>
      </c>
      <c r="T275" s="80">
        <v>8.32</v>
      </c>
    </row>
    <row r="276" spans="2:20" ht="42">
      <c r="B276" s="5" t="s">
        <v>668</v>
      </c>
      <c r="C276" s="45" t="s">
        <v>135</v>
      </c>
      <c r="D276" s="45">
        <v>98554</v>
      </c>
      <c r="E276" s="6" t="s">
        <v>669</v>
      </c>
      <c r="F276" s="45" t="s">
        <v>121</v>
      </c>
      <c r="G276" s="46">
        <f t="shared" si="36"/>
        <v>900</v>
      </c>
      <c r="H276" s="46">
        <f>TRUNC(S276*(1-LOTE_03!$K$10),2)</f>
        <v>37.85</v>
      </c>
      <c r="I276" s="46">
        <f>TRUNC(T276*(1-LOTE_03!$K$10),2)</f>
        <v>13.7</v>
      </c>
      <c r="J276" s="100">
        <f t="shared" si="37"/>
        <v>0.22470000000000001</v>
      </c>
      <c r="K276" s="48">
        <f t="shared" si="31"/>
        <v>46.35</v>
      </c>
      <c r="L276" s="48">
        <f t="shared" si="32"/>
        <v>16.77</v>
      </c>
      <c r="M276" s="48">
        <f t="shared" si="33"/>
        <v>41715</v>
      </c>
      <c r="N276" s="48">
        <f t="shared" si="34"/>
        <v>15093</v>
      </c>
      <c r="O276" s="50">
        <f t="shared" si="35"/>
        <v>56808</v>
      </c>
      <c r="P276" s="50">
        <v>0</v>
      </c>
      <c r="Q276" s="76"/>
      <c r="R276" s="140">
        <f>100*S9+100*S10</f>
        <v>900</v>
      </c>
      <c r="S276" s="79">
        <v>37.849999999999994</v>
      </c>
      <c r="T276" s="80">
        <v>13.7</v>
      </c>
    </row>
    <row r="277" spans="2:20" ht="28">
      <c r="B277" s="5" t="s">
        <v>670</v>
      </c>
      <c r="C277" s="45" t="s">
        <v>165</v>
      </c>
      <c r="D277" s="45" t="s">
        <v>671</v>
      </c>
      <c r="E277" s="6" t="s">
        <v>672</v>
      </c>
      <c r="F277" s="45" t="s">
        <v>531</v>
      </c>
      <c r="G277" s="46">
        <f t="shared" si="36"/>
        <v>450</v>
      </c>
      <c r="H277" s="46">
        <f>TRUNC(S277*(1-LOTE_03!$K$10),2)</f>
        <v>17.77</v>
      </c>
      <c r="I277" s="46">
        <f>TRUNC(T277*(1-LOTE_03!$K$10),2)</f>
        <v>5.83</v>
      </c>
      <c r="J277" s="100">
        <f t="shared" si="37"/>
        <v>0.22470000000000001</v>
      </c>
      <c r="K277" s="48">
        <f t="shared" si="31"/>
        <v>21.76</v>
      </c>
      <c r="L277" s="48">
        <f t="shared" si="32"/>
        <v>7.14</v>
      </c>
      <c r="M277" s="48">
        <f t="shared" si="33"/>
        <v>9792</v>
      </c>
      <c r="N277" s="48">
        <f t="shared" si="34"/>
        <v>3213</v>
      </c>
      <c r="O277" s="50">
        <f t="shared" si="35"/>
        <v>13005</v>
      </c>
      <c r="P277" s="50">
        <v>0</v>
      </c>
      <c r="Q277" s="76"/>
      <c r="R277" s="140">
        <f>50*S9+50*S10</f>
        <v>450</v>
      </c>
      <c r="S277" s="79">
        <v>17.77</v>
      </c>
      <c r="T277" s="80">
        <v>5.83</v>
      </c>
    </row>
    <row r="278" spans="2:20" ht="42">
      <c r="B278" s="5" t="s">
        <v>673</v>
      </c>
      <c r="C278" s="45" t="s">
        <v>165</v>
      </c>
      <c r="D278" s="45" t="s">
        <v>674</v>
      </c>
      <c r="E278" s="6" t="s">
        <v>675</v>
      </c>
      <c r="F278" s="45" t="s">
        <v>168</v>
      </c>
      <c r="G278" s="46">
        <f t="shared" si="36"/>
        <v>450</v>
      </c>
      <c r="H278" s="46">
        <f>TRUNC(S278*(1-LOTE_03!$K$10),2)</f>
        <v>60.9</v>
      </c>
      <c r="I278" s="46">
        <f>TRUNC(T278*(1-LOTE_03!$K$10),2)</f>
        <v>11.71</v>
      </c>
      <c r="J278" s="100">
        <f t="shared" si="37"/>
        <v>0.22470000000000001</v>
      </c>
      <c r="K278" s="48">
        <f t="shared" si="31"/>
        <v>74.58</v>
      </c>
      <c r="L278" s="48">
        <f t="shared" si="32"/>
        <v>14.34</v>
      </c>
      <c r="M278" s="48">
        <f t="shared" si="33"/>
        <v>33561</v>
      </c>
      <c r="N278" s="48">
        <f t="shared" si="34"/>
        <v>6453</v>
      </c>
      <c r="O278" s="50">
        <f t="shared" si="35"/>
        <v>40014</v>
      </c>
      <c r="P278" s="50">
        <v>0</v>
      </c>
      <c r="Q278" s="76"/>
      <c r="R278" s="140">
        <f>50*S9+50*S10</f>
        <v>450</v>
      </c>
      <c r="S278" s="79">
        <v>60.9</v>
      </c>
      <c r="T278" s="80">
        <v>11.71</v>
      </c>
    </row>
    <row r="279" spans="2:20" ht="42">
      <c r="B279" s="5" t="s">
        <v>676</v>
      </c>
      <c r="C279" s="45" t="s">
        <v>165</v>
      </c>
      <c r="D279" s="45" t="s">
        <v>677</v>
      </c>
      <c r="E279" s="6" t="s">
        <v>678</v>
      </c>
      <c r="F279" s="45" t="s">
        <v>168</v>
      </c>
      <c r="G279" s="46">
        <f t="shared" si="36"/>
        <v>450</v>
      </c>
      <c r="H279" s="46">
        <f>TRUNC(S279*(1-LOTE_03!$K$10),2)</f>
        <v>108.93</v>
      </c>
      <c r="I279" s="46">
        <f>TRUNC(T279*(1-LOTE_03!$K$10),2)</f>
        <v>85.79</v>
      </c>
      <c r="J279" s="100">
        <f t="shared" si="37"/>
        <v>0.22470000000000001</v>
      </c>
      <c r="K279" s="48">
        <f t="shared" si="31"/>
        <v>133.4</v>
      </c>
      <c r="L279" s="48">
        <f t="shared" si="32"/>
        <v>105.06</v>
      </c>
      <c r="M279" s="48">
        <f t="shared" si="33"/>
        <v>60030</v>
      </c>
      <c r="N279" s="48">
        <f t="shared" si="34"/>
        <v>47277</v>
      </c>
      <c r="O279" s="50">
        <f t="shared" si="35"/>
        <v>107307</v>
      </c>
      <c r="P279" s="50">
        <v>0</v>
      </c>
      <c r="Q279" s="76"/>
      <c r="R279" s="140">
        <f>50*S9+50*S10</f>
        <v>450</v>
      </c>
      <c r="S279" s="79">
        <v>108.93</v>
      </c>
      <c r="T279" s="80">
        <v>85.79</v>
      </c>
    </row>
    <row r="280" spans="2:20" ht="28">
      <c r="B280" s="5" t="s">
        <v>679</v>
      </c>
      <c r="C280" s="45" t="s">
        <v>165</v>
      </c>
      <c r="D280" s="45" t="s">
        <v>680</v>
      </c>
      <c r="E280" s="6" t="s">
        <v>681</v>
      </c>
      <c r="F280" s="45" t="s">
        <v>168</v>
      </c>
      <c r="G280" s="46">
        <f t="shared" si="36"/>
        <v>450</v>
      </c>
      <c r="H280" s="46">
        <f>TRUNC(S280*(1-LOTE_03!$K$10),2)</f>
        <v>36.99</v>
      </c>
      <c r="I280" s="46">
        <f>TRUNC(T280*(1-LOTE_03!$K$10),2)</f>
        <v>10.73</v>
      </c>
      <c r="J280" s="100">
        <f t="shared" si="37"/>
        <v>0.22470000000000001</v>
      </c>
      <c r="K280" s="48">
        <f t="shared" si="31"/>
        <v>45.3</v>
      </c>
      <c r="L280" s="48">
        <f t="shared" si="32"/>
        <v>13.14</v>
      </c>
      <c r="M280" s="48">
        <f t="shared" si="33"/>
        <v>20385</v>
      </c>
      <c r="N280" s="48">
        <f t="shared" si="34"/>
        <v>5913</v>
      </c>
      <c r="O280" s="50">
        <f t="shared" si="35"/>
        <v>26298</v>
      </c>
      <c r="P280" s="50">
        <v>0</v>
      </c>
      <c r="Q280" s="76"/>
      <c r="R280" s="140">
        <f>50*S9+50*S10</f>
        <v>450</v>
      </c>
      <c r="S280" s="79">
        <v>36.99</v>
      </c>
      <c r="T280" s="80">
        <v>10.73</v>
      </c>
    </row>
    <row r="281" spans="2:20" ht="42">
      <c r="B281" s="5" t="s">
        <v>682</v>
      </c>
      <c r="C281" s="45" t="s">
        <v>97</v>
      </c>
      <c r="D281" s="45" t="s">
        <v>683</v>
      </c>
      <c r="E281" s="6" t="s">
        <v>684</v>
      </c>
      <c r="F281" s="45" t="s">
        <v>104</v>
      </c>
      <c r="G281" s="46">
        <f t="shared" si="36"/>
        <v>36</v>
      </c>
      <c r="H281" s="46">
        <f>TRUNC(S281*(1-LOTE_03!$K$10),2)</f>
        <v>21.49</v>
      </c>
      <c r="I281" s="46">
        <f>TRUNC(T281*(1-LOTE_03!$K$10),2)</f>
        <v>1.75</v>
      </c>
      <c r="J281" s="100">
        <f t="shared" si="37"/>
        <v>0.22470000000000001</v>
      </c>
      <c r="K281" s="48">
        <f t="shared" si="31"/>
        <v>26.31</v>
      </c>
      <c r="L281" s="48">
        <f t="shared" si="32"/>
        <v>2.14</v>
      </c>
      <c r="M281" s="48">
        <f t="shared" si="33"/>
        <v>947.16</v>
      </c>
      <c r="N281" s="48">
        <f t="shared" si="34"/>
        <v>77.040000000000006</v>
      </c>
      <c r="O281" s="50">
        <f t="shared" si="35"/>
        <v>1024.2</v>
      </c>
      <c r="P281" s="50">
        <v>0</v>
      </c>
      <c r="Q281" s="76"/>
      <c r="R281" s="140">
        <f>IF((4*S10+4*S9)&gt;50,50,(4*S10+4*S9))</f>
        <v>36</v>
      </c>
      <c r="S281" s="79">
        <v>21.49</v>
      </c>
      <c r="T281" s="80">
        <v>1.75</v>
      </c>
    </row>
    <row r="282" spans="2:20" ht="42">
      <c r="B282" s="5" t="s">
        <v>685</v>
      </c>
      <c r="C282" s="45" t="s">
        <v>97</v>
      </c>
      <c r="D282" s="45" t="s">
        <v>686</v>
      </c>
      <c r="E282" s="6" t="s">
        <v>687</v>
      </c>
      <c r="F282" s="45" t="s">
        <v>121</v>
      </c>
      <c r="G282" s="46">
        <f t="shared" si="36"/>
        <v>900</v>
      </c>
      <c r="H282" s="46">
        <f>TRUNC(S282*(1-LOTE_03!$K$10),2)</f>
        <v>3.84</v>
      </c>
      <c r="I282" s="46">
        <f>TRUNC(T282*(1-LOTE_03!$K$10),2)</f>
        <v>3.5</v>
      </c>
      <c r="J282" s="100">
        <f t="shared" si="37"/>
        <v>0.22470000000000001</v>
      </c>
      <c r="K282" s="48">
        <f t="shared" si="31"/>
        <v>4.7</v>
      </c>
      <c r="L282" s="48">
        <f t="shared" si="32"/>
        <v>4.28</v>
      </c>
      <c r="M282" s="48">
        <f t="shared" si="33"/>
        <v>4230</v>
      </c>
      <c r="N282" s="48">
        <f t="shared" si="34"/>
        <v>3852</v>
      </c>
      <c r="O282" s="50">
        <f t="shared" si="35"/>
        <v>8082</v>
      </c>
      <c r="P282" s="50">
        <v>0</v>
      </c>
      <c r="Q282" s="76"/>
      <c r="R282" s="140">
        <f>IF((100*S9+100*S10)&gt;1000,1000,(100*S9+100*S10))</f>
        <v>900</v>
      </c>
      <c r="S282" s="79">
        <v>3.84</v>
      </c>
      <c r="T282" s="80">
        <v>3.5</v>
      </c>
    </row>
    <row r="283" spans="2:20" ht="28">
      <c r="B283" s="5" t="s">
        <v>688</v>
      </c>
      <c r="C283" s="45" t="s">
        <v>97</v>
      </c>
      <c r="D283" s="45" t="s">
        <v>689</v>
      </c>
      <c r="E283" s="6" t="s">
        <v>690</v>
      </c>
      <c r="F283" s="45" t="s">
        <v>187</v>
      </c>
      <c r="G283" s="46">
        <f t="shared" si="36"/>
        <v>450</v>
      </c>
      <c r="H283" s="46">
        <f>TRUNC(S283*(1-LOTE_03!$K$10),2)</f>
        <v>0.45</v>
      </c>
      <c r="I283" s="46">
        <f>TRUNC(T283*(1-LOTE_03!$K$10),2)</f>
        <v>1.67</v>
      </c>
      <c r="J283" s="100">
        <f t="shared" si="37"/>
        <v>0.22470000000000001</v>
      </c>
      <c r="K283" s="48">
        <f t="shared" si="31"/>
        <v>0.55000000000000004</v>
      </c>
      <c r="L283" s="48">
        <f t="shared" si="32"/>
        <v>2.04</v>
      </c>
      <c r="M283" s="48">
        <f t="shared" si="33"/>
        <v>247.5</v>
      </c>
      <c r="N283" s="48">
        <f t="shared" si="34"/>
        <v>918</v>
      </c>
      <c r="O283" s="50">
        <f t="shared" si="35"/>
        <v>1165.5</v>
      </c>
      <c r="P283" s="50">
        <v>0</v>
      </c>
      <c r="Q283" s="76"/>
      <c r="R283" s="140">
        <f>IF((50*S10+50*S9)&gt;500,500,(50*S10+50*S9))</f>
        <v>450</v>
      </c>
      <c r="S283" s="79">
        <v>0.45</v>
      </c>
      <c r="T283" s="80">
        <v>1.67</v>
      </c>
    </row>
    <row r="284" spans="2:20" ht="28">
      <c r="B284" s="5" t="s">
        <v>691</v>
      </c>
      <c r="C284" s="45" t="s">
        <v>97</v>
      </c>
      <c r="D284" s="45" t="s">
        <v>692</v>
      </c>
      <c r="E284" s="6" t="s">
        <v>693</v>
      </c>
      <c r="F284" s="45" t="s">
        <v>104</v>
      </c>
      <c r="G284" s="46">
        <f t="shared" si="36"/>
        <v>90</v>
      </c>
      <c r="H284" s="46">
        <f>TRUNC(S284*(1-LOTE_03!$K$10),2)</f>
        <v>6.52</v>
      </c>
      <c r="I284" s="46">
        <f>TRUNC(T284*(1-LOTE_03!$K$10),2)</f>
        <v>20.68</v>
      </c>
      <c r="J284" s="100">
        <f t="shared" si="37"/>
        <v>0.22470000000000001</v>
      </c>
      <c r="K284" s="48">
        <f t="shared" si="31"/>
        <v>7.98</v>
      </c>
      <c r="L284" s="48">
        <f t="shared" si="32"/>
        <v>25.32</v>
      </c>
      <c r="M284" s="48">
        <f t="shared" si="33"/>
        <v>718.2</v>
      </c>
      <c r="N284" s="48">
        <f t="shared" si="34"/>
        <v>2278.8000000000002</v>
      </c>
      <c r="O284" s="50">
        <f t="shared" si="35"/>
        <v>2997</v>
      </c>
      <c r="P284" s="50">
        <v>0</v>
      </c>
      <c r="Q284" s="76"/>
      <c r="R284" s="140">
        <f>10*S9+10*S10</f>
        <v>90</v>
      </c>
      <c r="S284" s="79">
        <v>6.52</v>
      </c>
      <c r="T284" s="80">
        <v>20.68</v>
      </c>
    </row>
    <row r="285" spans="2:20" ht="28">
      <c r="B285" s="5" t="s">
        <v>694</v>
      </c>
      <c r="C285" s="45" t="s">
        <v>97</v>
      </c>
      <c r="D285" s="45" t="s">
        <v>695</v>
      </c>
      <c r="E285" s="6" t="s">
        <v>696</v>
      </c>
      <c r="F285" s="45" t="s">
        <v>104</v>
      </c>
      <c r="G285" s="46">
        <f t="shared" si="36"/>
        <v>45</v>
      </c>
      <c r="H285" s="46">
        <f>TRUNC(S285*(1-LOTE_03!$K$10),2)</f>
        <v>46.66</v>
      </c>
      <c r="I285" s="46">
        <f>TRUNC(T285*(1-LOTE_03!$K$10),2)</f>
        <v>26.96</v>
      </c>
      <c r="J285" s="100">
        <f t="shared" si="37"/>
        <v>0.22470000000000001</v>
      </c>
      <c r="K285" s="48">
        <f t="shared" si="31"/>
        <v>57.14</v>
      </c>
      <c r="L285" s="48">
        <f t="shared" si="32"/>
        <v>33.01</v>
      </c>
      <c r="M285" s="48">
        <f t="shared" si="33"/>
        <v>2571.3000000000002</v>
      </c>
      <c r="N285" s="48">
        <f t="shared" si="34"/>
        <v>1485.45</v>
      </c>
      <c r="O285" s="50">
        <f t="shared" si="35"/>
        <v>4056.75</v>
      </c>
      <c r="P285" s="50">
        <v>0</v>
      </c>
      <c r="Q285" s="76"/>
      <c r="R285" s="140">
        <f>IF((5*S9+5*S10)&gt;50,50,(5*S9+5*S10))</f>
        <v>45</v>
      </c>
      <c r="S285" s="79">
        <v>46.66</v>
      </c>
      <c r="T285" s="80">
        <v>26.96</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381290.66000000009</v>
      </c>
      <c r="Q286" s="76"/>
      <c r="R286" s="154"/>
      <c r="S286" s="79" t="s">
        <v>22</v>
      </c>
      <c r="T286" s="80" t="s">
        <v>22</v>
      </c>
    </row>
    <row r="287" spans="2:20" ht="56">
      <c r="B287" s="5" t="s">
        <v>697</v>
      </c>
      <c r="C287" s="45" t="s">
        <v>135</v>
      </c>
      <c r="D287" s="45">
        <v>101094</v>
      </c>
      <c r="E287" s="6" t="s">
        <v>1810</v>
      </c>
      <c r="F287" s="45" t="s">
        <v>187</v>
      </c>
      <c r="G287" s="46">
        <f t="shared" si="36"/>
        <v>180</v>
      </c>
      <c r="H287" s="46">
        <f>TRUNC(S287*(1-LOTE_03!$K$10),2)</f>
        <v>210.95</v>
      </c>
      <c r="I287" s="46">
        <f>TRUNC(T287*(1-LOTE_03!$K$10),2)</f>
        <v>14.66</v>
      </c>
      <c r="J287" s="100">
        <f t="shared" si="37"/>
        <v>0.22470000000000001</v>
      </c>
      <c r="K287" s="48">
        <f t="shared" si="31"/>
        <v>258.35000000000002</v>
      </c>
      <c r="L287" s="48">
        <f t="shared" si="32"/>
        <v>17.95</v>
      </c>
      <c r="M287" s="48">
        <f t="shared" si="33"/>
        <v>46503</v>
      </c>
      <c r="N287" s="48">
        <f t="shared" si="34"/>
        <v>3231</v>
      </c>
      <c r="O287" s="50">
        <f t="shared" si="35"/>
        <v>49734</v>
      </c>
      <c r="P287" s="50">
        <v>0</v>
      </c>
      <c r="Q287" s="76"/>
      <c r="R287" s="140">
        <f>20*S9+20*S10</f>
        <v>180</v>
      </c>
      <c r="S287" s="79">
        <v>210.95000000000002</v>
      </c>
      <c r="T287" s="80">
        <v>14.66</v>
      </c>
    </row>
    <row r="288" spans="2:20" ht="28">
      <c r="B288" s="5" t="s">
        <v>698</v>
      </c>
      <c r="C288" s="45" t="s">
        <v>97</v>
      </c>
      <c r="D288" s="45" t="s">
        <v>699</v>
      </c>
      <c r="E288" s="6" t="s">
        <v>700</v>
      </c>
      <c r="F288" s="45" t="s">
        <v>187</v>
      </c>
      <c r="G288" s="46">
        <f t="shared" si="36"/>
        <v>265.5</v>
      </c>
      <c r="H288" s="46">
        <f>TRUNC(S288*(1-LOTE_03!$K$10),2)</f>
        <v>140.41</v>
      </c>
      <c r="I288" s="46">
        <f>TRUNC(T288*(1-LOTE_03!$K$10),2)</f>
        <v>22.75</v>
      </c>
      <c r="J288" s="100">
        <f t="shared" si="37"/>
        <v>0.22470000000000001</v>
      </c>
      <c r="K288" s="48">
        <f t="shared" si="31"/>
        <v>171.96</v>
      </c>
      <c r="L288" s="48">
        <f t="shared" si="32"/>
        <v>27.86</v>
      </c>
      <c r="M288" s="48">
        <f t="shared" si="33"/>
        <v>45655.38</v>
      </c>
      <c r="N288" s="48">
        <f t="shared" si="34"/>
        <v>7396.83</v>
      </c>
      <c r="O288" s="50">
        <f t="shared" si="35"/>
        <v>53052.21</v>
      </c>
      <c r="P288" s="50">
        <v>0</v>
      </c>
      <c r="Q288" s="76"/>
      <c r="R288" s="140">
        <f>((28+17+33+40)*0.25)*(S9+S10)</f>
        <v>265.5</v>
      </c>
      <c r="S288" s="79">
        <v>140.41</v>
      </c>
      <c r="T288" s="80">
        <v>22.75</v>
      </c>
    </row>
    <row r="289" spans="2:20" ht="28">
      <c r="B289" s="5" t="s">
        <v>701</v>
      </c>
      <c r="C289" s="45" t="s">
        <v>97</v>
      </c>
      <c r="D289" s="45" t="s">
        <v>702</v>
      </c>
      <c r="E289" s="6" t="s">
        <v>703</v>
      </c>
      <c r="F289" s="45" t="s">
        <v>187</v>
      </c>
      <c r="G289" s="46">
        <f t="shared" si="36"/>
        <v>288</v>
      </c>
      <c r="H289" s="46">
        <f>TRUNC(S289*(1-LOTE_03!$K$10),2)</f>
        <v>153.33000000000001</v>
      </c>
      <c r="I289" s="46">
        <f>TRUNC(T289*(1-LOTE_03!$K$10),2)</f>
        <v>22.75</v>
      </c>
      <c r="J289" s="100">
        <f t="shared" si="37"/>
        <v>0.22470000000000001</v>
      </c>
      <c r="K289" s="48">
        <f t="shared" si="31"/>
        <v>187.78</v>
      </c>
      <c r="L289" s="48">
        <f t="shared" si="32"/>
        <v>27.86</v>
      </c>
      <c r="M289" s="48">
        <f t="shared" si="33"/>
        <v>54080.639999999999</v>
      </c>
      <c r="N289" s="48">
        <f t="shared" si="34"/>
        <v>8023.68</v>
      </c>
      <c r="O289" s="50">
        <f t="shared" si="35"/>
        <v>62104.32</v>
      </c>
      <c r="P289" s="50">
        <v>0</v>
      </c>
      <c r="Q289" s="76"/>
      <c r="R289" s="140">
        <f>((17+22+60+29)*0.25)*(S9+S10)</f>
        <v>288</v>
      </c>
      <c r="S289" s="79">
        <v>153.33000000000001</v>
      </c>
      <c r="T289" s="80">
        <v>22.75</v>
      </c>
    </row>
    <row r="290" spans="2:20" ht="28">
      <c r="B290" s="5" t="s">
        <v>704</v>
      </c>
      <c r="C290" s="45" t="s">
        <v>165</v>
      </c>
      <c r="D290" s="45" t="s">
        <v>705</v>
      </c>
      <c r="E290" s="6" t="s">
        <v>706</v>
      </c>
      <c r="F290" s="45" t="s">
        <v>168</v>
      </c>
      <c r="G290" s="46">
        <f t="shared" si="36"/>
        <v>180</v>
      </c>
      <c r="H290" s="46">
        <f>TRUNC(S290*(1-LOTE_03!$K$10),2)</f>
        <v>165.91</v>
      </c>
      <c r="I290" s="46">
        <f>TRUNC(T290*(1-LOTE_03!$K$10),2)</f>
        <v>23.67</v>
      </c>
      <c r="J290" s="100">
        <f t="shared" si="37"/>
        <v>0.22470000000000001</v>
      </c>
      <c r="K290" s="48">
        <f t="shared" si="31"/>
        <v>203.18</v>
      </c>
      <c r="L290" s="48">
        <f t="shared" si="32"/>
        <v>28.98</v>
      </c>
      <c r="M290" s="48">
        <f t="shared" si="33"/>
        <v>36572.400000000001</v>
      </c>
      <c r="N290" s="48">
        <f t="shared" si="34"/>
        <v>5216.3999999999996</v>
      </c>
      <c r="O290" s="50">
        <f t="shared" si="35"/>
        <v>41788.800000000003</v>
      </c>
      <c r="P290" s="50">
        <v>0</v>
      </c>
      <c r="Q290" s="76"/>
      <c r="R290" s="140">
        <f>20*S9+20*S10</f>
        <v>180</v>
      </c>
      <c r="S290" s="79">
        <v>165.91</v>
      </c>
      <c r="T290" s="80">
        <v>23.67</v>
      </c>
    </row>
    <row r="291" spans="2:20" ht="56">
      <c r="B291" s="5" t="s">
        <v>707</v>
      </c>
      <c r="C291" s="45" t="s">
        <v>135</v>
      </c>
      <c r="D291" s="45">
        <v>104658</v>
      </c>
      <c r="E291" s="6" t="s">
        <v>708</v>
      </c>
      <c r="F291" s="45" t="s">
        <v>121</v>
      </c>
      <c r="G291" s="46">
        <f t="shared" si="36"/>
        <v>180</v>
      </c>
      <c r="H291" s="46">
        <f>TRUNC(S291*(1-LOTE_03!$K$10),2)</f>
        <v>179.99</v>
      </c>
      <c r="I291" s="46">
        <f>TRUNC(T291*(1-LOTE_03!$K$10),2)</f>
        <v>34.64</v>
      </c>
      <c r="J291" s="100">
        <f t="shared" si="37"/>
        <v>0.22470000000000001</v>
      </c>
      <c r="K291" s="48">
        <f t="shared" si="31"/>
        <v>220.43</v>
      </c>
      <c r="L291" s="48">
        <f t="shared" si="32"/>
        <v>42.42</v>
      </c>
      <c r="M291" s="48">
        <f t="shared" si="33"/>
        <v>39677.4</v>
      </c>
      <c r="N291" s="48">
        <f t="shared" si="34"/>
        <v>7635.6</v>
      </c>
      <c r="O291" s="50">
        <f t="shared" si="35"/>
        <v>47313</v>
      </c>
      <c r="P291" s="50">
        <v>0</v>
      </c>
      <c r="Q291" s="76"/>
      <c r="R291" s="140">
        <f>20*S9+20*S10</f>
        <v>180</v>
      </c>
      <c r="S291" s="79">
        <v>179.99</v>
      </c>
      <c r="T291" s="80">
        <v>34.64</v>
      </c>
    </row>
    <row r="292" spans="2:20" ht="84">
      <c r="B292" s="5" t="s">
        <v>709</v>
      </c>
      <c r="C292" s="45" t="s">
        <v>97</v>
      </c>
      <c r="D292" s="45" t="s">
        <v>710</v>
      </c>
      <c r="E292" s="6" t="s">
        <v>711</v>
      </c>
      <c r="F292" s="45" t="s">
        <v>104</v>
      </c>
      <c r="G292" s="46">
        <f t="shared" si="36"/>
        <v>9</v>
      </c>
      <c r="H292" s="46">
        <f>TRUNC(S292*(1-LOTE_03!$K$10),2)</f>
        <v>201.87</v>
      </c>
      <c r="I292" s="46">
        <f>TRUNC(T292*(1-LOTE_03!$K$10),2)</f>
        <v>3.5</v>
      </c>
      <c r="J292" s="100">
        <f t="shared" si="37"/>
        <v>0.22470000000000001</v>
      </c>
      <c r="K292" s="48">
        <f t="shared" si="31"/>
        <v>247.23</v>
      </c>
      <c r="L292" s="48">
        <f t="shared" si="32"/>
        <v>4.28</v>
      </c>
      <c r="M292" s="48">
        <f t="shared" si="33"/>
        <v>2225.0700000000002</v>
      </c>
      <c r="N292" s="48">
        <f t="shared" si="34"/>
        <v>38.520000000000003</v>
      </c>
      <c r="O292" s="50">
        <f t="shared" si="35"/>
        <v>2263.59</v>
      </c>
      <c r="P292" s="50">
        <v>0</v>
      </c>
      <c r="Q292" s="76"/>
      <c r="R292" s="140">
        <f>1*S9+1*S10</f>
        <v>9</v>
      </c>
      <c r="S292" s="79">
        <v>201.87</v>
      </c>
      <c r="T292" s="80">
        <v>3.5</v>
      </c>
    </row>
    <row r="293" spans="2:20" ht="56">
      <c r="B293" s="5" t="s">
        <v>712</v>
      </c>
      <c r="C293" s="45" t="s">
        <v>97</v>
      </c>
      <c r="D293" s="45" t="s">
        <v>713</v>
      </c>
      <c r="E293" s="6" t="s">
        <v>714</v>
      </c>
      <c r="F293" s="45" t="s">
        <v>104</v>
      </c>
      <c r="G293" s="46">
        <f t="shared" si="36"/>
        <v>45</v>
      </c>
      <c r="H293" s="46">
        <f>TRUNC(S293*(1-LOTE_03!$K$10),2)</f>
        <v>14.22</v>
      </c>
      <c r="I293" s="46">
        <f>TRUNC(T293*(1-LOTE_03!$K$10),2)</f>
        <v>0.87</v>
      </c>
      <c r="J293" s="100">
        <f t="shared" si="37"/>
        <v>0.22470000000000001</v>
      </c>
      <c r="K293" s="48">
        <f t="shared" si="31"/>
        <v>17.41</v>
      </c>
      <c r="L293" s="48">
        <f t="shared" si="32"/>
        <v>1.06</v>
      </c>
      <c r="M293" s="48">
        <f t="shared" si="33"/>
        <v>783.45</v>
      </c>
      <c r="N293" s="48">
        <f t="shared" si="34"/>
        <v>47.7</v>
      </c>
      <c r="O293" s="50">
        <f t="shared" si="35"/>
        <v>831.15</v>
      </c>
      <c r="P293" s="50">
        <v>0</v>
      </c>
      <c r="Q293" s="76"/>
      <c r="R293" s="140">
        <f>5*S9+5*S10</f>
        <v>45</v>
      </c>
      <c r="S293" s="79">
        <v>14.22</v>
      </c>
      <c r="T293" s="80">
        <v>0.87</v>
      </c>
    </row>
    <row r="294" spans="2:20" ht="70">
      <c r="B294" s="5" t="s">
        <v>715</v>
      </c>
      <c r="C294" s="45" t="s">
        <v>97</v>
      </c>
      <c r="D294" s="45" t="s">
        <v>716</v>
      </c>
      <c r="E294" s="6" t="s">
        <v>717</v>
      </c>
      <c r="F294" s="45" t="s">
        <v>104</v>
      </c>
      <c r="G294" s="46">
        <f t="shared" si="36"/>
        <v>18</v>
      </c>
      <c r="H294" s="46">
        <f>TRUNC(S294*(1-LOTE_03!$K$10),2)</f>
        <v>225.43</v>
      </c>
      <c r="I294" s="46">
        <f>TRUNC(T294*(1-LOTE_03!$K$10),2)</f>
        <v>3.5</v>
      </c>
      <c r="J294" s="100">
        <f t="shared" si="37"/>
        <v>0.22470000000000001</v>
      </c>
      <c r="K294" s="48">
        <f t="shared" si="31"/>
        <v>276.08</v>
      </c>
      <c r="L294" s="48">
        <f t="shared" si="32"/>
        <v>4.28</v>
      </c>
      <c r="M294" s="48">
        <f t="shared" si="33"/>
        <v>4969.4399999999996</v>
      </c>
      <c r="N294" s="48">
        <f t="shared" si="34"/>
        <v>77.040000000000006</v>
      </c>
      <c r="O294" s="50">
        <f t="shared" si="35"/>
        <v>5046.4799999999996</v>
      </c>
      <c r="P294" s="50">
        <v>0</v>
      </c>
      <c r="Q294" s="76"/>
      <c r="R294" s="140">
        <f>2*S9+2*S10</f>
        <v>18</v>
      </c>
      <c r="S294" s="79">
        <v>225.43</v>
      </c>
      <c r="T294" s="80">
        <v>3.5</v>
      </c>
    </row>
    <row r="295" spans="2:20" ht="56">
      <c r="B295" s="5" t="s">
        <v>718</v>
      </c>
      <c r="C295" s="45" t="s">
        <v>97</v>
      </c>
      <c r="D295" s="45" t="s">
        <v>719</v>
      </c>
      <c r="E295" s="6" t="s">
        <v>720</v>
      </c>
      <c r="F295" s="45" t="s">
        <v>104</v>
      </c>
      <c r="G295" s="46">
        <f t="shared" si="36"/>
        <v>18</v>
      </c>
      <c r="H295" s="46">
        <f>TRUNC(S295*(1-LOTE_03!$K$10),2)</f>
        <v>26.38</v>
      </c>
      <c r="I295" s="46">
        <f>TRUNC(T295*(1-LOTE_03!$K$10),2)</f>
        <v>4.66</v>
      </c>
      <c r="J295" s="100">
        <f t="shared" si="37"/>
        <v>0.22470000000000001</v>
      </c>
      <c r="K295" s="48">
        <f t="shared" si="31"/>
        <v>32.299999999999997</v>
      </c>
      <c r="L295" s="48">
        <f t="shared" si="32"/>
        <v>5.7</v>
      </c>
      <c r="M295" s="48">
        <f t="shared" si="33"/>
        <v>581.4</v>
      </c>
      <c r="N295" s="48">
        <f t="shared" si="34"/>
        <v>102.6</v>
      </c>
      <c r="O295" s="50">
        <f t="shared" si="35"/>
        <v>684</v>
      </c>
      <c r="P295" s="50">
        <v>0</v>
      </c>
      <c r="Q295" s="76"/>
      <c r="R295" s="140">
        <f>2*S9+2*S10</f>
        <v>18</v>
      </c>
      <c r="S295" s="79">
        <v>26.38</v>
      </c>
      <c r="T295" s="80">
        <v>4.66</v>
      </c>
    </row>
    <row r="296" spans="2:20" ht="42">
      <c r="B296" s="5" t="s">
        <v>721</v>
      </c>
      <c r="C296" s="45" t="s">
        <v>97</v>
      </c>
      <c r="D296" s="45" t="s">
        <v>722</v>
      </c>
      <c r="E296" s="6" t="s">
        <v>723</v>
      </c>
      <c r="F296" s="45" t="s">
        <v>104</v>
      </c>
      <c r="G296" s="46">
        <f t="shared" si="36"/>
        <v>18</v>
      </c>
      <c r="H296" s="46">
        <f>TRUNC(S296*(1-LOTE_03!$K$10),2)</f>
        <v>42.84</v>
      </c>
      <c r="I296" s="46">
        <f>TRUNC(T296*(1-LOTE_03!$K$10),2)</f>
        <v>4.66</v>
      </c>
      <c r="J296" s="100">
        <f t="shared" si="37"/>
        <v>0.22470000000000001</v>
      </c>
      <c r="K296" s="48">
        <f t="shared" si="31"/>
        <v>52.46</v>
      </c>
      <c r="L296" s="48">
        <f t="shared" si="32"/>
        <v>5.7</v>
      </c>
      <c r="M296" s="48">
        <f t="shared" si="33"/>
        <v>944.28</v>
      </c>
      <c r="N296" s="48">
        <f t="shared" si="34"/>
        <v>102.6</v>
      </c>
      <c r="O296" s="50">
        <f t="shared" si="35"/>
        <v>1046.8800000000001</v>
      </c>
      <c r="P296" s="50">
        <v>0</v>
      </c>
      <c r="Q296" s="76"/>
      <c r="R296" s="140">
        <f>2*S9+2*S10</f>
        <v>18</v>
      </c>
      <c r="S296" s="79">
        <v>42.84</v>
      </c>
      <c r="T296" s="80">
        <v>4.66</v>
      </c>
    </row>
    <row r="297" spans="2:20" ht="56">
      <c r="B297" s="5" t="s">
        <v>724</v>
      </c>
      <c r="C297" s="45" t="s">
        <v>135</v>
      </c>
      <c r="D297" s="45">
        <v>100868</v>
      </c>
      <c r="E297" s="6" t="s">
        <v>1811</v>
      </c>
      <c r="F297" s="45" t="s">
        <v>210</v>
      </c>
      <c r="G297" s="46">
        <f t="shared" si="36"/>
        <v>9</v>
      </c>
      <c r="H297" s="46">
        <f>TRUNC(S297*(1-LOTE_03!$K$10),2)</f>
        <v>314.58</v>
      </c>
      <c r="I297" s="46">
        <f>TRUNC(T297*(1-LOTE_03!$K$10),2)</f>
        <v>24.77</v>
      </c>
      <c r="J297" s="100">
        <f t="shared" si="37"/>
        <v>0.22470000000000001</v>
      </c>
      <c r="K297" s="48">
        <f t="shared" si="31"/>
        <v>385.26</v>
      </c>
      <c r="L297" s="48">
        <f t="shared" si="32"/>
        <v>30.33</v>
      </c>
      <c r="M297" s="48">
        <f t="shared" si="33"/>
        <v>3467.34</v>
      </c>
      <c r="N297" s="48">
        <f t="shared" si="34"/>
        <v>272.97000000000003</v>
      </c>
      <c r="O297" s="50">
        <f t="shared" si="35"/>
        <v>3740.31</v>
      </c>
      <c r="P297" s="50">
        <v>0</v>
      </c>
      <c r="Q297" s="76"/>
      <c r="R297" s="140">
        <f>1*S9+1*S10</f>
        <v>9</v>
      </c>
      <c r="S297" s="79">
        <v>314.58000000000004</v>
      </c>
      <c r="T297" s="80">
        <v>24.77</v>
      </c>
    </row>
    <row r="298" spans="2:20" ht="56">
      <c r="B298" s="5" t="s">
        <v>725</v>
      </c>
      <c r="C298" s="45" t="s">
        <v>135</v>
      </c>
      <c r="D298" s="45">
        <v>100871</v>
      </c>
      <c r="E298" s="6" t="s">
        <v>1812</v>
      </c>
      <c r="F298" s="45" t="s">
        <v>210</v>
      </c>
      <c r="G298" s="46">
        <f t="shared" si="36"/>
        <v>9</v>
      </c>
      <c r="H298" s="46">
        <f>TRUNC(S298*(1-LOTE_03!$K$10),2)</f>
        <v>313.58999999999997</v>
      </c>
      <c r="I298" s="46">
        <f>TRUNC(T298*(1-LOTE_03!$K$10),2)</f>
        <v>25.09</v>
      </c>
      <c r="J298" s="100">
        <f t="shared" si="37"/>
        <v>0.22470000000000001</v>
      </c>
      <c r="K298" s="48">
        <f t="shared" si="31"/>
        <v>384.05</v>
      </c>
      <c r="L298" s="48">
        <f t="shared" si="32"/>
        <v>30.72</v>
      </c>
      <c r="M298" s="48">
        <f t="shared" si="33"/>
        <v>3456.45</v>
      </c>
      <c r="N298" s="48">
        <f t="shared" si="34"/>
        <v>276.48</v>
      </c>
      <c r="O298" s="50">
        <f t="shared" si="35"/>
        <v>3732.93</v>
      </c>
      <c r="P298" s="50">
        <v>0</v>
      </c>
      <c r="Q298" s="76"/>
      <c r="R298" s="140">
        <f>1*S9+1*S10</f>
        <v>9</v>
      </c>
      <c r="S298" s="79">
        <v>313.59000000000003</v>
      </c>
      <c r="T298" s="80">
        <v>25.09</v>
      </c>
    </row>
    <row r="299" spans="2:20" ht="56">
      <c r="B299" s="5" t="s">
        <v>726</v>
      </c>
      <c r="C299" s="45" t="s">
        <v>135</v>
      </c>
      <c r="D299" s="45">
        <v>100866</v>
      </c>
      <c r="E299" s="6" t="s">
        <v>1813</v>
      </c>
      <c r="F299" s="45" t="s">
        <v>210</v>
      </c>
      <c r="G299" s="46">
        <f t="shared" si="36"/>
        <v>18</v>
      </c>
      <c r="H299" s="46">
        <f>TRUNC(S299*(1-LOTE_03!$K$10),2)</f>
        <v>283.45999999999998</v>
      </c>
      <c r="I299" s="46">
        <f>TRUNC(T299*(1-LOTE_03!$K$10),2)</f>
        <v>24.88</v>
      </c>
      <c r="J299" s="100">
        <f t="shared" si="37"/>
        <v>0.22470000000000001</v>
      </c>
      <c r="K299" s="48">
        <f t="shared" si="31"/>
        <v>347.15</v>
      </c>
      <c r="L299" s="48">
        <f t="shared" si="32"/>
        <v>30.47</v>
      </c>
      <c r="M299" s="48">
        <f t="shared" si="33"/>
        <v>6248.7</v>
      </c>
      <c r="N299" s="48">
        <f t="shared" si="34"/>
        <v>548.46</v>
      </c>
      <c r="O299" s="50">
        <f t="shared" si="35"/>
        <v>6797.16</v>
      </c>
      <c r="P299" s="50">
        <v>0</v>
      </c>
      <c r="Q299" s="76"/>
      <c r="R299" s="140">
        <f>2*S9+2*S10</f>
        <v>18</v>
      </c>
      <c r="S299" s="79">
        <v>283.45999999999998</v>
      </c>
      <c r="T299" s="80">
        <v>24.88</v>
      </c>
    </row>
    <row r="300" spans="2:20" ht="112">
      <c r="B300" s="5" t="s">
        <v>727</v>
      </c>
      <c r="C300" s="45" t="s">
        <v>97</v>
      </c>
      <c r="D300" s="45" t="s">
        <v>728</v>
      </c>
      <c r="E300" s="6" t="s">
        <v>729</v>
      </c>
      <c r="F300" s="45" t="s">
        <v>104</v>
      </c>
      <c r="G300" s="46">
        <f t="shared" si="36"/>
        <v>9</v>
      </c>
      <c r="H300" s="46">
        <f>TRUNC(S300*(1-LOTE_03!$K$10),2)</f>
        <v>546.04</v>
      </c>
      <c r="I300" s="46">
        <f>TRUNC(T300*(1-LOTE_03!$K$10),2)</f>
        <v>7.32</v>
      </c>
      <c r="J300" s="100">
        <f t="shared" si="37"/>
        <v>0.22470000000000001</v>
      </c>
      <c r="K300" s="48">
        <f t="shared" si="31"/>
        <v>668.73</v>
      </c>
      <c r="L300" s="48">
        <f t="shared" si="32"/>
        <v>8.9600000000000009</v>
      </c>
      <c r="M300" s="48">
        <f t="shared" si="33"/>
        <v>6018.57</v>
      </c>
      <c r="N300" s="48">
        <f t="shared" si="34"/>
        <v>80.64</v>
      </c>
      <c r="O300" s="50">
        <f t="shared" si="35"/>
        <v>6099.21</v>
      </c>
      <c r="P300" s="50">
        <v>0</v>
      </c>
      <c r="Q300" s="76"/>
      <c r="R300" s="140">
        <f>IF((1*S9+1*S10)&gt;10,10,(1*S9+1*S10))</f>
        <v>9</v>
      </c>
      <c r="S300" s="79">
        <v>546.04</v>
      </c>
      <c r="T300" s="80">
        <v>7.32</v>
      </c>
    </row>
    <row r="301" spans="2:20" ht="42">
      <c r="B301" s="5" t="s">
        <v>730</v>
      </c>
      <c r="C301" s="45" t="s">
        <v>97</v>
      </c>
      <c r="D301" s="45" t="s">
        <v>731</v>
      </c>
      <c r="E301" s="6" t="s">
        <v>732</v>
      </c>
      <c r="F301" s="45" t="s">
        <v>104</v>
      </c>
      <c r="G301" s="46">
        <f t="shared" si="36"/>
        <v>9</v>
      </c>
      <c r="H301" s="46">
        <f>TRUNC(S301*(1-LOTE_03!$K$10),2)</f>
        <v>790</v>
      </c>
      <c r="I301" s="46">
        <f>TRUNC(T301*(1-LOTE_03!$K$10),2)</f>
        <v>0</v>
      </c>
      <c r="J301" s="100">
        <f t="shared" si="37"/>
        <v>0.22470000000000001</v>
      </c>
      <c r="K301" s="48">
        <f t="shared" si="31"/>
        <v>967.51</v>
      </c>
      <c r="L301" s="48">
        <f t="shared" si="32"/>
        <v>0</v>
      </c>
      <c r="M301" s="48">
        <f t="shared" si="33"/>
        <v>8707.59</v>
      </c>
      <c r="N301" s="48">
        <f t="shared" si="34"/>
        <v>0</v>
      </c>
      <c r="O301" s="50">
        <f t="shared" si="35"/>
        <v>8707.59</v>
      </c>
      <c r="P301" s="50">
        <v>0</v>
      </c>
      <c r="Q301" s="76"/>
      <c r="R301" s="140">
        <f>1*S9+1*S10</f>
        <v>9</v>
      </c>
      <c r="S301" s="79">
        <v>790</v>
      </c>
      <c r="T301" s="80">
        <v>0</v>
      </c>
    </row>
    <row r="302" spans="2:20" ht="42">
      <c r="B302" s="5" t="s">
        <v>733</v>
      </c>
      <c r="C302" s="45" t="s">
        <v>97</v>
      </c>
      <c r="D302" s="45" t="s">
        <v>734</v>
      </c>
      <c r="E302" s="6" t="s">
        <v>735</v>
      </c>
      <c r="F302" s="45" t="s">
        <v>104</v>
      </c>
      <c r="G302" s="46">
        <f t="shared" si="36"/>
        <v>9</v>
      </c>
      <c r="H302" s="46">
        <f>TRUNC(S302*(1-LOTE_03!$K$10),2)</f>
        <v>2668.79</v>
      </c>
      <c r="I302" s="46">
        <f>TRUNC(T302*(1-LOTE_03!$K$10),2)</f>
        <v>0</v>
      </c>
      <c r="J302" s="100">
        <f t="shared" si="37"/>
        <v>0.22470000000000001</v>
      </c>
      <c r="K302" s="48">
        <f t="shared" si="31"/>
        <v>3268.46</v>
      </c>
      <c r="L302" s="48">
        <f t="shared" si="32"/>
        <v>0</v>
      </c>
      <c r="M302" s="48">
        <f t="shared" si="33"/>
        <v>29416.14</v>
      </c>
      <c r="N302" s="48">
        <f t="shared" si="34"/>
        <v>0</v>
      </c>
      <c r="O302" s="50">
        <f t="shared" si="35"/>
        <v>29416.14</v>
      </c>
      <c r="P302" s="50">
        <v>0</v>
      </c>
      <c r="Q302" s="76"/>
      <c r="R302" s="140">
        <f>IF((1*S9+1*S10)&gt;10,10,(1*S9+1*S10))</f>
        <v>9</v>
      </c>
      <c r="S302" s="79">
        <v>2668.79</v>
      </c>
      <c r="T302" s="80">
        <v>0</v>
      </c>
    </row>
    <row r="303" spans="2:20">
      <c r="B303" s="5" t="s">
        <v>736</v>
      </c>
      <c r="C303" s="45" t="s">
        <v>97</v>
      </c>
      <c r="D303" s="45" t="s">
        <v>737</v>
      </c>
      <c r="E303" s="6" t="s">
        <v>738</v>
      </c>
      <c r="F303" s="45" t="s">
        <v>104</v>
      </c>
      <c r="G303" s="46">
        <f t="shared" si="36"/>
        <v>9</v>
      </c>
      <c r="H303" s="46">
        <f>TRUNC(S303*(1-LOTE_03!$K$10),2)</f>
        <v>1474.64</v>
      </c>
      <c r="I303" s="46">
        <f>TRUNC(T303*(1-LOTE_03!$K$10),2)</f>
        <v>3.5</v>
      </c>
      <c r="J303" s="100">
        <f t="shared" si="37"/>
        <v>0.22470000000000001</v>
      </c>
      <c r="K303" s="48">
        <f t="shared" si="31"/>
        <v>1805.99</v>
      </c>
      <c r="L303" s="48">
        <f t="shared" si="32"/>
        <v>4.28</v>
      </c>
      <c r="M303" s="48">
        <f t="shared" si="33"/>
        <v>16253.91</v>
      </c>
      <c r="N303" s="48">
        <f t="shared" si="34"/>
        <v>38.520000000000003</v>
      </c>
      <c r="O303" s="50">
        <f t="shared" si="35"/>
        <v>16292.43</v>
      </c>
      <c r="P303" s="50">
        <v>0</v>
      </c>
      <c r="Q303" s="76"/>
      <c r="R303" s="140">
        <f>IF((1*S9+1*S10)&gt;10,10,(1*S9+1*S10))</f>
        <v>9</v>
      </c>
      <c r="S303" s="79">
        <v>1474.64</v>
      </c>
      <c r="T303" s="80">
        <v>3.5</v>
      </c>
    </row>
    <row r="304" spans="2:20" ht="42">
      <c r="B304" s="5" t="s">
        <v>739</v>
      </c>
      <c r="C304" s="45" t="s">
        <v>97</v>
      </c>
      <c r="D304" s="45" t="s">
        <v>740</v>
      </c>
      <c r="E304" s="6" t="s">
        <v>741</v>
      </c>
      <c r="F304" s="45" t="s">
        <v>104</v>
      </c>
      <c r="G304" s="46">
        <f t="shared" si="36"/>
        <v>36</v>
      </c>
      <c r="H304" s="46">
        <f>TRUNC(S304*(1-LOTE_03!$K$10),2)</f>
        <v>66.3</v>
      </c>
      <c r="I304" s="46">
        <f>TRUNC(T304*(1-LOTE_03!$K$10),2)</f>
        <v>0</v>
      </c>
      <c r="J304" s="100">
        <f t="shared" si="37"/>
        <v>0.22470000000000001</v>
      </c>
      <c r="K304" s="48">
        <f t="shared" si="31"/>
        <v>81.19</v>
      </c>
      <c r="L304" s="48">
        <f t="shared" si="32"/>
        <v>0</v>
      </c>
      <c r="M304" s="48">
        <f t="shared" si="33"/>
        <v>2922.84</v>
      </c>
      <c r="N304" s="48">
        <f t="shared" si="34"/>
        <v>0</v>
      </c>
      <c r="O304" s="50">
        <f t="shared" si="35"/>
        <v>2922.84</v>
      </c>
      <c r="P304" s="50">
        <v>0</v>
      </c>
      <c r="Q304" s="76"/>
      <c r="R304" s="140">
        <f>4*S9+4*S10</f>
        <v>36</v>
      </c>
      <c r="S304" s="79">
        <v>66.3</v>
      </c>
      <c r="T304" s="80">
        <v>0</v>
      </c>
    </row>
    <row r="305" spans="2:20" ht="84">
      <c r="B305" s="5" t="s">
        <v>742</v>
      </c>
      <c r="C305" s="45" t="s">
        <v>97</v>
      </c>
      <c r="D305" s="45" t="s">
        <v>743</v>
      </c>
      <c r="E305" s="6" t="s">
        <v>744</v>
      </c>
      <c r="F305" s="45" t="s">
        <v>104</v>
      </c>
      <c r="G305" s="46">
        <f t="shared" si="36"/>
        <v>9</v>
      </c>
      <c r="H305" s="46">
        <f>TRUNC(S305*(1-LOTE_03!$K$10),2)</f>
        <v>75.430000000000007</v>
      </c>
      <c r="I305" s="46">
        <f>TRUNC(T305*(1-LOTE_03!$K$10),2)</f>
        <v>3.5</v>
      </c>
      <c r="J305" s="100">
        <f t="shared" si="37"/>
        <v>0.22470000000000001</v>
      </c>
      <c r="K305" s="48">
        <f t="shared" si="31"/>
        <v>92.37</v>
      </c>
      <c r="L305" s="48">
        <f t="shared" si="32"/>
        <v>4.28</v>
      </c>
      <c r="M305" s="48">
        <f t="shared" si="33"/>
        <v>831.33</v>
      </c>
      <c r="N305" s="48">
        <f t="shared" si="34"/>
        <v>38.520000000000003</v>
      </c>
      <c r="O305" s="50">
        <f t="shared" si="35"/>
        <v>869.85</v>
      </c>
      <c r="P305" s="50">
        <v>0</v>
      </c>
      <c r="Q305" s="76"/>
      <c r="R305" s="140">
        <f>IF((1*S9+1*S10)&gt;10,10,(1*S9+1*S10))</f>
        <v>9</v>
      </c>
      <c r="S305" s="79">
        <v>75.430000000000007</v>
      </c>
      <c r="T305" s="80">
        <v>3.5</v>
      </c>
    </row>
    <row r="306" spans="2:20" ht="98">
      <c r="B306" s="5" t="s">
        <v>745</v>
      </c>
      <c r="C306" s="45" t="s">
        <v>97</v>
      </c>
      <c r="D306" s="45" t="s">
        <v>746</v>
      </c>
      <c r="E306" s="6" t="s">
        <v>747</v>
      </c>
      <c r="F306" s="45" t="s">
        <v>104</v>
      </c>
      <c r="G306" s="46">
        <f t="shared" si="36"/>
        <v>9</v>
      </c>
      <c r="H306" s="46">
        <f>TRUNC(S306*(1-LOTE_03!$K$10),2)</f>
        <v>64.39</v>
      </c>
      <c r="I306" s="46">
        <f>TRUNC(T306*(1-LOTE_03!$K$10),2)</f>
        <v>0</v>
      </c>
      <c r="J306" s="100">
        <f t="shared" si="37"/>
        <v>0.22470000000000001</v>
      </c>
      <c r="K306" s="48">
        <f t="shared" si="31"/>
        <v>78.849999999999994</v>
      </c>
      <c r="L306" s="48">
        <f t="shared" si="32"/>
        <v>0</v>
      </c>
      <c r="M306" s="48">
        <f t="shared" si="33"/>
        <v>709.65</v>
      </c>
      <c r="N306" s="48">
        <f t="shared" si="34"/>
        <v>0</v>
      </c>
      <c r="O306" s="50">
        <f t="shared" si="35"/>
        <v>709.65</v>
      </c>
      <c r="P306" s="50">
        <v>0</v>
      </c>
      <c r="Q306" s="76"/>
      <c r="R306" s="140">
        <f>S9+S10</f>
        <v>9</v>
      </c>
      <c r="S306" s="79">
        <v>64.39</v>
      </c>
      <c r="T306" s="80">
        <v>0</v>
      </c>
    </row>
    <row r="307" spans="2:20" ht="84">
      <c r="B307" s="5" t="s">
        <v>748</v>
      </c>
      <c r="C307" s="45" t="s">
        <v>97</v>
      </c>
      <c r="D307" s="45" t="s">
        <v>749</v>
      </c>
      <c r="E307" s="6" t="s">
        <v>750</v>
      </c>
      <c r="F307" s="45" t="s">
        <v>104</v>
      </c>
      <c r="G307" s="46">
        <f t="shared" si="36"/>
        <v>9</v>
      </c>
      <c r="H307" s="46">
        <f>TRUNC(S307*(1-LOTE_03!$K$10),2)</f>
        <v>704.89</v>
      </c>
      <c r="I307" s="46">
        <f>TRUNC(T307*(1-LOTE_03!$K$10),2)</f>
        <v>27.44</v>
      </c>
      <c r="J307" s="100">
        <f t="shared" si="37"/>
        <v>0.22470000000000001</v>
      </c>
      <c r="K307" s="48">
        <f t="shared" si="31"/>
        <v>863.27</v>
      </c>
      <c r="L307" s="48">
        <f t="shared" si="32"/>
        <v>33.6</v>
      </c>
      <c r="M307" s="48">
        <f t="shared" si="33"/>
        <v>7769.43</v>
      </c>
      <c r="N307" s="48">
        <f t="shared" si="34"/>
        <v>302.39999999999998</v>
      </c>
      <c r="O307" s="50">
        <f t="shared" si="35"/>
        <v>8071.83</v>
      </c>
      <c r="P307" s="50">
        <v>0</v>
      </c>
      <c r="Q307" s="76"/>
      <c r="R307" s="140">
        <f>IF((1*S9+1*S10)&gt;10,10,(1*S9+1*S10))</f>
        <v>9</v>
      </c>
      <c r="S307" s="79">
        <v>704.89</v>
      </c>
      <c r="T307" s="80">
        <v>27.44</v>
      </c>
    </row>
    <row r="308" spans="2:20" ht="70">
      <c r="B308" s="5" t="s">
        <v>751</v>
      </c>
      <c r="C308" s="45" t="s">
        <v>97</v>
      </c>
      <c r="D308" s="45" t="s">
        <v>752</v>
      </c>
      <c r="E308" s="6" t="s">
        <v>753</v>
      </c>
      <c r="F308" s="45" t="s">
        <v>104</v>
      </c>
      <c r="G308" s="46">
        <f t="shared" si="36"/>
        <v>9</v>
      </c>
      <c r="H308" s="46">
        <f>TRUNC(S308*(1-LOTE_03!$K$10),2)</f>
        <v>329.05</v>
      </c>
      <c r="I308" s="46">
        <f>TRUNC(T308*(1-LOTE_03!$K$10),2)</f>
        <v>12.08</v>
      </c>
      <c r="J308" s="100">
        <f t="shared" si="37"/>
        <v>0.22470000000000001</v>
      </c>
      <c r="K308" s="48">
        <f t="shared" si="31"/>
        <v>402.98</v>
      </c>
      <c r="L308" s="48">
        <f t="shared" si="32"/>
        <v>14.79</v>
      </c>
      <c r="M308" s="48">
        <f t="shared" si="33"/>
        <v>3626.82</v>
      </c>
      <c r="N308" s="48">
        <f t="shared" si="34"/>
        <v>133.11000000000001</v>
      </c>
      <c r="O308" s="50">
        <f t="shared" si="35"/>
        <v>3759.93</v>
      </c>
      <c r="P308" s="50">
        <v>0</v>
      </c>
      <c r="Q308" s="76"/>
      <c r="R308" s="140">
        <f>IF((1*S9+1*S10)&gt;10,10,(1*S9+1*S10))</f>
        <v>9</v>
      </c>
      <c r="S308" s="79">
        <v>329.05</v>
      </c>
      <c r="T308" s="80">
        <v>12.08</v>
      </c>
    </row>
    <row r="309" spans="2:20" ht="28">
      <c r="B309" s="5" t="s">
        <v>754</v>
      </c>
      <c r="C309" s="45" t="s">
        <v>97</v>
      </c>
      <c r="D309" s="45" t="s">
        <v>755</v>
      </c>
      <c r="E309" s="6" t="s">
        <v>756</v>
      </c>
      <c r="F309" s="45" t="s">
        <v>187</v>
      </c>
      <c r="G309" s="46">
        <f t="shared" si="36"/>
        <v>50</v>
      </c>
      <c r="H309" s="46">
        <f>TRUNC(S309*(1-LOTE_03!$K$10),2)</f>
        <v>276.10000000000002</v>
      </c>
      <c r="I309" s="46">
        <f>TRUNC(T309*(1-LOTE_03!$K$10),2)</f>
        <v>40.85</v>
      </c>
      <c r="J309" s="100">
        <f t="shared" si="37"/>
        <v>0.22470000000000001</v>
      </c>
      <c r="K309" s="48">
        <f t="shared" si="31"/>
        <v>338.13</v>
      </c>
      <c r="L309" s="48">
        <f t="shared" si="32"/>
        <v>50.02</v>
      </c>
      <c r="M309" s="48">
        <f t="shared" si="33"/>
        <v>16906.5</v>
      </c>
      <c r="N309" s="48">
        <f t="shared" si="34"/>
        <v>2501</v>
      </c>
      <c r="O309" s="50">
        <f t="shared" si="35"/>
        <v>19407.5</v>
      </c>
      <c r="P309" s="50">
        <v>0</v>
      </c>
      <c r="Q309" s="76"/>
      <c r="R309" s="140">
        <f>IF((10*S9+10*S10)&gt;50,50,(10*S9+10*S10))</f>
        <v>50</v>
      </c>
      <c r="S309" s="79">
        <v>276.10000000000002</v>
      </c>
      <c r="T309" s="80">
        <v>40.85</v>
      </c>
    </row>
    <row r="310" spans="2:20" ht="84">
      <c r="B310" s="5" t="s">
        <v>757</v>
      </c>
      <c r="C310" s="45" t="s">
        <v>97</v>
      </c>
      <c r="D310" s="45" t="s">
        <v>758</v>
      </c>
      <c r="E310" s="6" t="s">
        <v>759</v>
      </c>
      <c r="F310" s="45" t="s">
        <v>104</v>
      </c>
      <c r="G310" s="46">
        <f t="shared" si="36"/>
        <v>9</v>
      </c>
      <c r="H310" s="46">
        <f>TRUNC(S310*(1-LOTE_03!$K$10),2)</f>
        <v>610.29</v>
      </c>
      <c r="I310" s="46">
        <f>TRUNC(T310*(1-LOTE_03!$K$10),2)</f>
        <v>15.62</v>
      </c>
      <c r="J310" s="100">
        <f t="shared" si="37"/>
        <v>0.22470000000000001</v>
      </c>
      <c r="K310" s="48">
        <f t="shared" si="31"/>
        <v>747.42</v>
      </c>
      <c r="L310" s="48">
        <f t="shared" si="32"/>
        <v>19.12</v>
      </c>
      <c r="M310" s="48">
        <f t="shared" si="33"/>
        <v>6726.78</v>
      </c>
      <c r="N310" s="48">
        <f t="shared" si="34"/>
        <v>172.08</v>
      </c>
      <c r="O310" s="50">
        <f t="shared" si="35"/>
        <v>6898.86</v>
      </c>
      <c r="P310" s="50">
        <v>0</v>
      </c>
      <c r="Q310" s="76"/>
      <c r="R310" s="140">
        <f>IF((1*S9+1*S10)&gt;10,10,(1*S9+1*S10))</f>
        <v>9</v>
      </c>
      <c r="S310" s="79">
        <v>610.29</v>
      </c>
      <c r="T310" s="80">
        <v>15.62</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2014830.4000000001</v>
      </c>
      <c r="Q311" s="76"/>
      <c r="R311" s="154"/>
      <c r="S311" s="79" t="s">
        <v>22</v>
      </c>
      <c r="T311" s="80" t="s">
        <v>22</v>
      </c>
    </row>
    <row r="312" spans="2:20" ht="28">
      <c r="B312" s="5" t="s">
        <v>760</v>
      </c>
      <c r="C312" s="45" t="s">
        <v>165</v>
      </c>
      <c r="D312" s="45" t="s">
        <v>761</v>
      </c>
      <c r="E312" s="6" t="s">
        <v>762</v>
      </c>
      <c r="F312" s="45" t="s">
        <v>168</v>
      </c>
      <c r="G312" s="46">
        <f t="shared" si="36"/>
        <v>4860</v>
      </c>
      <c r="H312" s="46">
        <f>TRUNC(S312*(1-LOTE_03!$K$10),2)</f>
        <v>0</v>
      </c>
      <c r="I312" s="46">
        <f>TRUNC(T312*(1-LOTE_03!$K$10),2)</f>
        <v>17.5</v>
      </c>
      <c r="J312" s="100">
        <f t="shared" si="37"/>
        <v>0.22470000000000001</v>
      </c>
      <c r="K312" s="48">
        <f t="shared" si="31"/>
        <v>0</v>
      </c>
      <c r="L312" s="48">
        <f t="shared" si="32"/>
        <v>21.43</v>
      </c>
      <c r="M312" s="48">
        <f t="shared" si="33"/>
        <v>0</v>
      </c>
      <c r="N312" s="48">
        <f t="shared" si="34"/>
        <v>104149.8</v>
      </c>
      <c r="O312" s="50">
        <f t="shared" si="35"/>
        <v>104149.8</v>
      </c>
      <c r="P312" s="50">
        <v>0</v>
      </c>
      <c r="Q312" s="76"/>
      <c r="R312" s="140">
        <f>90*6*(S9+S10)</f>
        <v>4860</v>
      </c>
      <c r="S312" s="79">
        <v>0</v>
      </c>
      <c r="T312" s="80">
        <v>17.5</v>
      </c>
    </row>
    <row r="313" spans="2:20" ht="28">
      <c r="B313" s="5" t="s">
        <v>763</v>
      </c>
      <c r="C313" s="45" t="s">
        <v>165</v>
      </c>
      <c r="D313" s="45" t="s">
        <v>764</v>
      </c>
      <c r="E313" s="6" t="s">
        <v>765</v>
      </c>
      <c r="F313" s="45" t="s">
        <v>168</v>
      </c>
      <c r="G313" s="46">
        <f t="shared" si="36"/>
        <v>300</v>
      </c>
      <c r="H313" s="46">
        <f>TRUNC(S313*(1-LOTE_03!$K$10),2)</f>
        <v>29.41</v>
      </c>
      <c r="I313" s="46">
        <f>TRUNC(T313*(1-LOTE_03!$K$10),2)</f>
        <v>24.07</v>
      </c>
      <c r="J313" s="100">
        <f t="shared" si="37"/>
        <v>0.22470000000000001</v>
      </c>
      <c r="K313" s="48">
        <f t="shared" si="31"/>
        <v>36.01</v>
      </c>
      <c r="L313" s="48">
        <f t="shared" si="32"/>
        <v>29.47</v>
      </c>
      <c r="M313" s="48">
        <f t="shared" si="33"/>
        <v>10803</v>
      </c>
      <c r="N313" s="48">
        <f t="shared" si="34"/>
        <v>8841</v>
      </c>
      <c r="O313" s="50">
        <f t="shared" si="35"/>
        <v>19644</v>
      </c>
      <c r="P313" s="50">
        <v>0</v>
      </c>
      <c r="Q313" s="76"/>
      <c r="R313" s="140">
        <f>50*S9+20*(S10)</f>
        <v>300</v>
      </c>
      <c r="S313" s="79">
        <v>29.41</v>
      </c>
      <c r="T313" s="80">
        <v>24.07</v>
      </c>
    </row>
    <row r="314" spans="2:20" ht="28">
      <c r="B314" s="5" t="s">
        <v>766</v>
      </c>
      <c r="C314" s="45" t="s">
        <v>135</v>
      </c>
      <c r="D314" s="45">
        <v>100717</v>
      </c>
      <c r="E314" s="6" t="s">
        <v>767</v>
      </c>
      <c r="F314" s="45" t="s">
        <v>121</v>
      </c>
      <c r="G314" s="46">
        <f t="shared" si="36"/>
        <v>2200</v>
      </c>
      <c r="H314" s="46">
        <f>TRUNC(S314*(1-LOTE_03!$K$10),2)</f>
        <v>4.01</v>
      </c>
      <c r="I314" s="46">
        <f>TRUNC(T314*(1-LOTE_03!$K$10),2)</f>
        <v>6.69</v>
      </c>
      <c r="J314" s="100">
        <f t="shared" si="37"/>
        <v>0.22470000000000001</v>
      </c>
      <c r="K314" s="48">
        <f t="shared" si="31"/>
        <v>4.91</v>
      </c>
      <c r="L314" s="48">
        <f t="shared" si="32"/>
        <v>8.19</v>
      </c>
      <c r="M314" s="48">
        <f t="shared" si="33"/>
        <v>10802</v>
      </c>
      <c r="N314" s="48">
        <f t="shared" si="34"/>
        <v>18018</v>
      </c>
      <c r="O314" s="50">
        <f t="shared" si="35"/>
        <v>28820</v>
      </c>
      <c r="P314" s="50">
        <v>0</v>
      </c>
      <c r="Q314" s="76"/>
      <c r="R314" s="140">
        <f>R330</f>
        <v>2200</v>
      </c>
      <c r="S314" s="79">
        <v>4.0099999999999989</v>
      </c>
      <c r="T314" s="80">
        <v>6.69</v>
      </c>
    </row>
    <row r="315" spans="2:20" ht="28">
      <c r="B315" s="5" t="s">
        <v>768</v>
      </c>
      <c r="C315" s="45" t="s">
        <v>135</v>
      </c>
      <c r="D315" s="45">
        <v>102197</v>
      </c>
      <c r="E315" s="6" t="s">
        <v>769</v>
      </c>
      <c r="F315" s="45" t="s">
        <v>121</v>
      </c>
      <c r="G315" s="46">
        <f t="shared" si="36"/>
        <v>1040</v>
      </c>
      <c r="H315" s="46">
        <f>TRUNC(S315*(1-LOTE_03!$K$10),2)</f>
        <v>22.14</v>
      </c>
      <c r="I315" s="46">
        <f>TRUNC(T315*(1-LOTE_03!$K$10),2)</f>
        <v>5.55</v>
      </c>
      <c r="J315" s="100">
        <f t="shared" si="37"/>
        <v>0.22470000000000001</v>
      </c>
      <c r="K315" s="48">
        <f t="shared" si="31"/>
        <v>27.11</v>
      </c>
      <c r="L315" s="48">
        <f t="shared" si="32"/>
        <v>6.79</v>
      </c>
      <c r="M315" s="48">
        <f t="shared" si="33"/>
        <v>28194.400000000001</v>
      </c>
      <c r="N315" s="48">
        <f t="shared" si="34"/>
        <v>7061.6</v>
      </c>
      <c r="O315" s="50">
        <f t="shared" si="35"/>
        <v>35256</v>
      </c>
      <c r="P315" s="50">
        <v>0</v>
      </c>
      <c r="Q315" s="76"/>
      <c r="R315" s="140">
        <f>R256</f>
        <v>1040</v>
      </c>
      <c r="S315" s="79">
        <v>22.14</v>
      </c>
      <c r="T315" s="80">
        <v>5.55</v>
      </c>
    </row>
    <row r="316" spans="2:20" ht="70">
      <c r="B316" s="5" t="s">
        <v>770</v>
      </c>
      <c r="C316" s="45" t="s">
        <v>135</v>
      </c>
      <c r="D316" s="45">
        <v>88412</v>
      </c>
      <c r="E316" s="6" t="s">
        <v>771</v>
      </c>
      <c r="F316" s="45" t="s">
        <v>121</v>
      </c>
      <c r="G316" s="46">
        <f t="shared" si="36"/>
        <v>13500</v>
      </c>
      <c r="H316" s="46">
        <f>TRUNC(S316*(1-LOTE_03!$K$10),2)</f>
        <v>2.39</v>
      </c>
      <c r="I316" s="46">
        <f>TRUNC(T316*(1-LOTE_03!$K$10),2)</f>
        <v>0.71</v>
      </c>
      <c r="J316" s="100">
        <f t="shared" si="37"/>
        <v>0.22470000000000001</v>
      </c>
      <c r="K316" s="48">
        <f t="shared" si="31"/>
        <v>2.92</v>
      </c>
      <c r="L316" s="48">
        <f t="shared" si="32"/>
        <v>0.86</v>
      </c>
      <c r="M316" s="48">
        <f t="shared" si="33"/>
        <v>39420</v>
      </c>
      <c r="N316" s="48">
        <f t="shared" si="34"/>
        <v>11610</v>
      </c>
      <c r="O316" s="50">
        <f t="shared" si="35"/>
        <v>51030</v>
      </c>
      <c r="P316" s="50">
        <v>0</v>
      </c>
      <c r="Q316" s="76"/>
      <c r="R316" s="140">
        <f>1500*S9+1500*S10</f>
        <v>13500</v>
      </c>
      <c r="S316" s="79">
        <v>2.39</v>
      </c>
      <c r="T316" s="80">
        <v>0.71</v>
      </c>
    </row>
    <row r="317" spans="2:20" ht="42">
      <c r="B317" s="5" t="s">
        <v>772</v>
      </c>
      <c r="C317" s="45" t="s">
        <v>135</v>
      </c>
      <c r="D317" s="45">
        <v>88484</v>
      </c>
      <c r="E317" s="6" t="s">
        <v>773</v>
      </c>
      <c r="F317" s="45" t="s">
        <v>121</v>
      </c>
      <c r="G317" s="46">
        <f t="shared" si="36"/>
        <v>13500</v>
      </c>
      <c r="H317" s="46">
        <f>TRUNC(S317*(1-LOTE_03!$K$10),2)</f>
        <v>2.36</v>
      </c>
      <c r="I317" s="46">
        <f>TRUNC(T317*(1-LOTE_03!$K$10),2)</f>
        <v>2.5299999999999998</v>
      </c>
      <c r="J317" s="100">
        <f t="shared" si="37"/>
        <v>0.22470000000000001</v>
      </c>
      <c r="K317" s="48">
        <f t="shared" si="31"/>
        <v>2.89</v>
      </c>
      <c r="L317" s="48">
        <f t="shared" si="32"/>
        <v>3.09</v>
      </c>
      <c r="M317" s="48">
        <f t="shared" si="33"/>
        <v>39015</v>
      </c>
      <c r="N317" s="48">
        <f t="shared" si="34"/>
        <v>41715</v>
      </c>
      <c r="O317" s="50">
        <f t="shared" si="35"/>
        <v>80730</v>
      </c>
      <c r="P317" s="50">
        <v>0</v>
      </c>
      <c r="Q317" s="76"/>
      <c r="R317" s="140">
        <f>1500*S9+1500*S10</f>
        <v>13500</v>
      </c>
      <c r="S317" s="79">
        <v>2.36</v>
      </c>
      <c r="T317" s="80">
        <v>2.5299999999999998</v>
      </c>
    </row>
    <row r="318" spans="2:20" ht="42">
      <c r="B318" s="5" t="s">
        <v>774</v>
      </c>
      <c r="C318" s="45" t="s">
        <v>135</v>
      </c>
      <c r="D318" s="45">
        <v>88485</v>
      </c>
      <c r="E318" s="6" t="s">
        <v>775</v>
      </c>
      <c r="F318" s="45" t="s">
        <v>121</v>
      </c>
      <c r="G318" s="46">
        <f t="shared" si="36"/>
        <v>13500</v>
      </c>
      <c r="H318" s="46">
        <f>TRUNC(S318*(1-LOTE_03!$K$10),2)</f>
        <v>2.0299999999999998</v>
      </c>
      <c r="I318" s="46">
        <f>TRUNC(T318*(1-LOTE_03!$K$10),2)</f>
        <v>1.8</v>
      </c>
      <c r="J318" s="100">
        <f t="shared" si="37"/>
        <v>0.22470000000000001</v>
      </c>
      <c r="K318" s="48">
        <f t="shared" si="31"/>
        <v>2.48</v>
      </c>
      <c r="L318" s="48">
        <f t="shared" si="32"/>
        <v>2.2000000000000002</v>
      </c>
      <c r="M318" s="48">
        <f t="shared" si="33"/>
        <v>33480</v>
      </c>
      <c r="N318" s="48">
        <f t="shared" si="34"/>
        <v>29700</v>
      </c>
      <c r="O318" s="50">
        <f t="shared" si="35"/>
        <v>63180</v>
      </c>
      <c r="P318" s="50">
        <v>0</v>
      </c>
      <c r="Q318" s="76"/>
      <c r="R318" s="140">
        <f>1500*S9+1500*S10</f>
        <v>13500</v>
      </c>
      <c r="S318" s="79">
        <v>2.0300000000000002</v>
      </c>
      <c r="T318" s="80">
        <v>1.8</v>
      </c>
    </row>
    <row r="319" spans="2:20" ht="42">
      <c r="B319" s="5" t="s">
        <v>776</v>
      </c>
      <c r="C319" s="45" t="s">
        <v>135</v>
      </c>
      <c r="D319" s="45">
        <v>88495</v>
      </c>
      <c r="E319" s="6" t="s">
        <v>777</v>
      </c>
      <c r="F319" s="45" t="s">
        <v>121</v>
      </c>
      <c r="G319" s="46">
        <f t="shared" si="36"/>
        <v>13500</v>
      </c>
      <c r="H319" s="46">
        <f>TRUNC(S319*(1-LOTE_03!$K$10),2)</f>
        <v>5.87</v>
      </c>
      <c r="I319" s="46">
        <f>TRUNC(T319*(1-LOTE_03!$K$10),2)</f>
        <v>6.73</v>
      </c>
      <c r="J319" s="100">
        <f t="shared" si="37"/>
        <v>0.22470000000000001</v>
      </c>
      <c r="K319" s="48">
        <f t="shared" si="31"/>
        <v>7.18</v>
      </c>
      <c r="L319" s="48">
        <f t="shared" si="32"/>
        <v>8.24</v>
      </c>
      <c r="M319" s="48">
        <f t="shared" si="33"/>
        <v>96930</v>
      </c>
      <c r="N319" s="48">
        <f t="shared" si="34"/>
        <v>111240</v>
      </c>
      <c r="O319" s="50">
        <f t="shared" si="35"/>
        <v>208170</v>
      </c>
      <c r="P319" s="50">
        <v>0</v>
      </c>
      <c r="Q319" s="76"/>
      <c r="R319" s="140">
        <f>R316</f>
        <v>13500</v>
      </c>
      <c r="S319" s="79">
        <v>5.8699999999999992</v>
      </c>
      <c r="T319" s="80">
        <v>6.73</v>
      </c>
    </row>
    <row r="320" spans="2:20" ht="42">
      <c r="B320" s="5" t="s">
        <v>778</v>
      </c>
      <c r="C320" s="45" t="s">
        <v>135</v>
      </c>
      <c r="D320" s="45">
        <v>88497</v>
      </c>
      <c r="E320" s="6" t="s">
        <v>779</v>
      </c>
      <c r="F320" s="45" t="s">
        <v>121</v>
      </c>
      <c r="G320" s="46">
        <f t="shared" si="36"/>
        <v>13500</v>
      </c>
      <c r="H320" s="46">
        <f>TRUNC(S320*(1-LOTE_03!$K$10),2)</f>
        <v>9.7200000000000006</v>
      </c>
      <c r="I320" s="46">
        <f>TRUNC(T320*(1-LOTE_03!$K$10),2)</f>
        <v>9.7799999999999994</v>
      </c>
      <c r="J320" s="100">
        <f t="shared" si="37"/>
        <v>0.22470000000000001</v>
      </c>
      <c r="K320" s="48">
        <f t="shared" si="31"/>
        <v>11.9</v>
      </c>
      <c r="L320" s="48">
        <f t="shared" si="32"/>
        <v>11.97</v>
      </c>
      <c r="M320" s="48">
        <f t="shared" si="33"/>
        <v>160650</v>
      </c>
      <c r="N320" s="48">
        <f t="shared" si="34"/>
        <v>161595</v>
      </c>
      <c r="O320" s="50">
        <f t="shared" si="35"/>
        <v>322245</v>
      </c>
      <c r="P320" s="50">
        <v>0</v>
      </c>
      <c r="Q320" s="76"/>
      <c r="R320" s="140">
        <f>R316</f>
        <v>13500</v>
      </c>
      <c r="S320" s="79">
        <v>9.7200000000000006</v>
      </c>
      <c r="T320" s="80">
        <v>9.7799999999999994</v>
      </c>
    </row>
    <row r="321" spans="2:20" ht="42">
      <c r="B321" s="5" t="s">
        <v>780</v>
      </c>
      <c r="C321" s="45" t="s">
        <v>135</v>
      </c>
      <c r="D321" s="45">
        <v>88494</v>
      </c>
      <c r="E321" s="6" t="s">
        <v>781</v>
      </c>
      <c r="F321" s="45" t="s">
        <v>121</v>
      </c>
      <c r="G321" s="46">
        <f t="shared" si="36"/>
        <v>3375</v>
      </c>
      <c r="H321" s="46">
        <f>TRUNC(S321*(1-LOTE_03!$K$10),2)</f>
        <v>8.93</v>
      </c>
      <c r="I321" s="46">
        <f>TRUNC(T321*(1-LOTE_03!$K$10),2)</f>
        <v>14.16</v>
      </c>
      <c r="J321" s="100">
        <f t="shared" si="37"/>
        <v>0.22470000000000001</v>
      </c>
      <c r="K321" s="48">
        <f t="shared" si="31"/>
        <v>10.93</v>
      </c>
      <c r="L321" s="48">
        <f t="shared" si="32"/>
        <v>17.34</v>
      </c>
      <c r="M321" s="48">
        <f t="shared" si="33"/>
        <v>36888.75</v>
      </c>
      <c r="N321" s="48">
        <f t="shared" si="34"/>
        <v>58522.5</v>
      </c>
      <c r="O321" s="50">
        <f t="shared" si="35"/>
        <v>95411.25</v>
      </c>
      <c r="P321" s="50">
        <v>0</v>
      </c>
      <c r="Q321" s="76"/>
      <c r="R321" s="140">
        <f>R316/4</f>
        <v>3375</v>
      </c>
      <c r="S321" s="79">
        <v>8.93</v>
      </c>
      <c r="T321" s="80">
        <v>14.16</v>
      </c>
    </row>
    <row r="322" spans="2:20" ht="42">
      <c r="B322" s="5" t="s">
        <v>782</v>
      </c>
      <c r="C322" s="45" t="s">
        <v>135</v>
      </c>
      <c r="D322" s="45">
        <v>88496</v>
      </c>
      <c r="E322" s="6" t="s">
        <v>783</v>
      </c>
      <c r="F322" s="45" t="s">
        <v>121</v>
      </c>
      <c r="G322" s="46">
        <f t="shared" si="36"/>
        <v>3375</v>
      </c>
      <c r="H322" s="46">
        <f>TRUNC(S322*(1-LOTE_03!$K$10),2)</f>
        <v>14.25</v>
      </c>
      <c r="I322" s="46">
        <f>TRUNC(T322*(1-LOTE_03!$K$10),2)</f>
        <v>20.67</v>
      </c>
      <c r="J322" s="100">
        <f t="shared" si="37"/>
        <v>0.22470000000000001</v>
      </c>
      <c r="K322" s="48">
        <f t="shared" si="31"/>
        <v>17.45</v>
      </c>
      <c r="L322" s="48">
        <f t="shared" si="32"/>
        <v>25.31</v>
      </c>
      <c r="M322" s="48">
        <f t="shared" si="33"/>
        <v>58893.75</v>
      </c>
      <c r="N322" s="48">
        <f t="shared" si="34"/>
        <v>85421.25</v>
      </c>
      <c r="O322" s="50">
        <f t="shared" si="35"/>
        <v>144315</v>
      </c>
      <c r="P322" s="50">
        <v>0</v>
      </c>
      <c r="Q322" s="76"/>
      <c r="R322" s="140">
        <f>R316/4</f>
        <v>3375</v>
      </c>
      <c r="S322" s="79">
        <v>14.25</v>
      </c>
      <c r="T322" s="80">
        <v>20.67</v>
      </c>
    </row>
    <row r="323" spans="2:20" ht="56">
      <c r="B323" s="5" t="s">
        <v>784</v>
      </c>
      <c r="C323" s="45" t="s">
        <v>135</v>
      </c>
      <c r="D323" s="45">
        <v>96132</v>
      </c>
      <c r="E323" s="6" t="s">
        <v>785</v>
      </c>
      <c r="F323" s="45" t="s">
        <v>121</v>
      </c>
      <c r="G323" s="46">
        <f t="shared" si="36"/>
        <v>13500</v>
      </c>
      <c r="H323" s="46">
        <f>TRUNC(S323*(1-LOTE_03!$K$10),2)</f>
        <v>12.62</v>
      </c>
      <c r="I323" s="46">
        <f>TRUNC(T323*(1-LOTE_03!$K$10),2)</f>
        <v>6.95</v>
      </c>
      <c r="J323" s="100">
        <f t="shared" si="37"/>
        <v>0.22470000000000001</v>
      </c>
      <c r="K323" s="48">
        <f t="shared" si="31"/>
        <v>15.45</v>
      </c>
      <c r="L323" s="48">
        <f t="shared" si="32"/>
        <v>8.51</v>
      </c>
      <c r="M323" s="48">
        <f t="shared" si="33"/>
        <v>208575</v>
      </c>
      <c r="N323" s="48">
        <f t="shared" si="34"/>
        <v>114885</v>
      </c>
      <c r="O323" s="50">
        <f t="shared" si="35"/>
        <v>323460</v>
      </c>
      <c r="P323" s="50">
        <v>0</v>
      </c>
      <c r="Q323" s="76"/>
      <c r="R323" s="140">
        <f>R316</f>
        <v>13500</v>
      </c>
      <c r="S323" s="79">
        <v>12.620000000000001</v>
      </c>
      <c r="T323" s="80">
        <v>6.95</v>
      </c>
    </row>
    <row r="324" spans="2:20" ht="42">
      <c r="B324" s="5" t="s">
        <v>786</v>
      </c>
      <c r="C324" s="45" t="s">
        <v>135</v>
      </c>
      <c r="D324" s="45">
        <v>88489</v>
      </c>
      <c r="E324" s="6" t="s">
        <v>787</v>
      </c>
      <c r="F324" s="45" t="s">
        <v>121</v>
      </c>
      <c r="G324" s="46">
        <f t="shared" si="36"/>
        <v>13500</v>
      </c>
      <c r="H324" s="46">
        <f>TRUNC(S324*(1-LOTE_03!$K$10),2)</f>
        <v>9.6199999999999992</v>
      </c>
      <c r="I324" s="46">
        <f>TRUNC(T324*(1-LOTE_03!$K$10),2)</f>
        <v>4.43</v>
      </c>
      <c r="J324" s="100">
        <f t="shared" si="37"/>
        <v>0.22470000000000001</v>
      </c>
      <c r="K324" s="48">
        <f t="shared" si="31"/>
        <v>11.78</v>
      </c>
      <c r="L324" s="48">
        <f t="shared" si="32"/>
        <v>5.42</v>
      </c>
      <c r="M324" s="48">
        <f t="shared" si="33"/>
        <v>159030</v>
      </c>
      <c r="N324" s="48">
        <f t="shared" si="34"/>
        <v>73170</v>
      </c>
      <c r="O324" s="50">
        <f t="shared" si="35"/>
        <v>232200</v>
      </c>
      <c r="P324" s="50">
        <v>0</v>
      </c>
      <c r="Q324" s="76"/>
      <c r="R324" s="140">
        <f>R316</f>
        <v>13500</v>
      </c>
      <c r="S324" s="79">
        <v>9.620000000000001</v>
      </c>
      <c r="T324" s="80">
        <v>4.43</v>
      </c>
    </row>
    <row r="325" spans="2:20" ht="56">
      <c r="B325" s="5" t="s">
        <v>788</v>
      </c>
      <c r="C325" s="45" t="s">
        <v>135</v>
      </c>
      <c r="D325" s="45">
        <v>102491</v>
      </c>
      <c r="E325" s="6" t="s">
        <v>789</v>
      </c>
      <c r="F325" s="45" t="s">
        <v>121</v>
      </c>
      <c r="G325" s="46">
        <f t="shared" si="36"/>
        <v>1350</v>
      </c>
      <c r="H325" s="46">
        <f>TRUNC(S325*(1-LOTE_03!$K$10),2)</f>
        <v>14.43</v>
      </c>
      <c r="I325" s="46">
        <f>TRUNC(T325*(1-LOTE_03!$K$10),2)</f>
        <v>7.87</v>
      </c>
      <c r="J325" s="100">
        <f t="shared" si="37"/>
        <v>0.22470000000000001</v>
      </c>
      <c r="K325" s="48">
        <f t="shared" si="31"/>
        <v>17.670000000000002</v>
      </c>
      <c r="L325" s="48">
        <f t="shared" si="32"/>
        <v>9.6300000000000008</v>
      </c>
      <c r="M325" s="48">
        <f t="shared" si="33"/>
        <v>23854.5</v>
      </c>
      <c r="N325" s="48">
        <f t="shared" si="34"/>
        <v>13000.5</v>
      </c>
      <c r="O325" s="50">
        <f t="shared" si="35"/>
        <v>36855</v>
      </c>
      <c r="P325" s="50">
        <v>0</v>
      </c>
      <c r="Q325" s="76"/>
      <c r="R325" s="140">
        <f>150*S9+150*S10</f>
        <v>1350</v>
      </c>
      <c r="S325" s="79">
        <v>14.43</v>
      </c>
      <c r="T325" s="80">
        <v>7.87</v>
      </c>
    </row>
    <row r="326" spans="2:20" ht="56">
      <c r="B326" s="5" t="s">
        <v>790</v>
      </c>
      <c r="C326" s="45" t="s">
        <v>135</v>
      </c>
      <c r="D326" s="45">
        <v>102513</v>
      </c>
      <c r="E326" s="6" t="s">
        <v>791</v>
      </c>
      <c r="F326" s="45" t="s">
        <v>121</v>
      </c>
      <c r="G326" s="46">
        <f t="shared" si="36"/>
        <v>360</v>
      </c>
      <c r="H326" s="46">
        <f>TRUNC(S326*(1-LOTE_03!$K$10),2)</f>
        <v>25.51</v>
      </c>
      <c r="I326" s="46">
        <f>TRUNC(T326*(1-LOTE_03!$K$10),2)</f>
        <v>28.25</v>
      </c>
      <c r="J326" s="100">
        <f t="shared" si="37"/>
        <v>0.22470000000000001</v>
      </c>
      <c r="K326" s="48">
        <f t="shared" si="31"/>
        <v>31.24</v>
      </c>
      <c r="L326" s="48">
        <f t="shared" si="32"/>
        <v>34.590000000000003</v>
      </c>
      <c r="M326" s="48">
        <f t="shared" si="33"/>
        <v>11246.4</v>
      </c>
      <c r="N326" s="48">
        <f t="shared" si="34"/>
        <v>12452.4</v>
      </c>
      <c r="O326" s="50">
        <f t="shared" si="35"/>
        <v>23698.799999999999</v>
      </c>
      <c r="P326" s="50">
        <v>0</v>
      </c>
      <c r="Q326" s="76"/>
      <c r="R326" s="140">
        <f>40*S9+40*S10</f>
        <v>360</v>
      </c>
      <c r="S326" s="79">
        <v>25.509999999999998</v>
      </c>
      <c r="T326" s="80">
        <v>28.25</v>
      </c>
    </row>
    <row r="327" spans="2:20" ht="42">
      <c r="B327" s="5" t="s">
        <v>792</v>
      </c>
      <c r="C327" s="45" t="s">
        <v>135</v>
      </c>
      <c r="D327" s="45">
        <v>102501</v>
      </c>
      <c r="E327" s="6" t="s">
        <v>793</v>
      </c>
      <c r="F327" s="45" t="s">
        <v>121</v>
      </c>
      <c r="G327" s="46">
        <f t="shared" si="36"/>
        <v>135</v>
      </c>
      <c r="H327" s="46">
        <f>TRUNC(S327*(1-LOTE_03!$K$10),2)</f>
        <v>15.29</v>
      </c>
      <c r="I327" s="46">
        <f>TRUNC(T327*(1-LOTE_03!$K$10),2)</f>
        <v>12.6</v>
      </c>
      <c r="J327" s="100">
        <f t="shared" si="37"/>
        <v>0.22470000000000001</v>
      </c>
      <c r="K327" s="48">
        <f t="shared" si="31"/>
        <v>18.72</v>
      </c>
      <c r="L327" s="48">
        <f t="shared" si="32"/>
        <v>15.43</v>
      </c>
      <c r="M327" s="48">
        <f t="shared" si="33"/>
        <v>2527.1999999999998</v>
      </c>
      <c r="N327" s="48">
        <f t="shared" si="34"/>
        <v>2083.0500000000002</v>
      </c>
      <c r="O327" s="50">
        <f t="shared" si="35"/>
        <v>4610.25</v>
      </c>
      <c r="P327" s="50">
        <v>0</v>
      </c>
      <c r="Q327" s="76"/>
      <c r="R327" s="140">
        <f>15*S9+15*S10</f>
        <v>135</v>
      </c>
      <c r="S327" s="79">
        <v>15.290000000000001</v>
      </c>
      <c r="T327" s="80">
        <v>12.6</v>
      </c>
    </row>
    <row r="328" spans="2:20" ht="98">
      <c r="B328" s="5" t="s">
        <v>794</v>
      </c>
      <c r="C328" s="45" t="s">
        <v>135</v>
      </c>
      <c r="D328" s="45">
        <v>100726</v>
      </c>
      <c r="E328" s="6" t="s">
        <v>795</v>
      </c>
      <c r="F328" s="45" t="s">
        <v>121</v>
      </c>
      <c r="G328" s="46">
        <f t="shared" si="36"/>
        <v>2200</v>
      </c>
      <c r="H328" s="46">
        <f>TRUNC(S328*(1-LOTE_03!$K$10),2)</f>
        <v>14.74</v>
      </c>
      <c r="I328" s="46">
        <f>TRUNC(T328*(1-LOTE_03!$K$10),2)</f>
        <v>15.5</v>
      </c>
      <c r="J328" s="100">
        <f t="shared" si="37"/>
        <v>0.22470000000000001</v>
      </c>
      <c r="K328" s="48">
        <f t="shared" si="31"/>
        <v>18.05</v>
      </c>
      <c r="L328" s="48">
        <f t="shared" si="32"/>
        <v>18.98</v>
      </c>
      <c r="M328" s="48">
        <f t="shared" si="33"/>
        <v>39710</v>
      </c>
      <c r="N328" s="48">
        <f t="shared" si="34"/>
        <v>41756</v>
      </c>
      <c r="O328" s="50">
        <f t="shared" si="35"/>
        <v>81466</v>
      </c>
      <c r="P328" s="50">
        <v>0</v>
      </c>
      <c r="Q328" s="76"/>
      <c r="R328" s="140">
        <f>300*S9+200*S10</f>
        <v>2200</v>
      </c>
      <c r="S328" s="79">
        <v>14.739999999999998</v>
      </c>
      <c r="T328" s="80">
        <v>15.5</v>
      </c>
    </row>
    <row r="329" spans="2:20" ht="28">
      <c r="B329" s="5" t="s">
        <v>796</v>
      </c>
      <c r="C329" s="45" t="s">
        <v>135</v>
      </c>
      <c r="D329" s="45">
        <v>102234</v>
      </c>
      <c r="E329" s="6" t="s">
        <v>797</v>
      </c>
      <c r="F329" s="45" t="s">
        <v>121</v>
      </c>
      <c r="G329" s="46">
        <f t="shared" si="36"/>
        <v>1040</v>
      </c>
      <c r="H329" s="46">
        <f>TRUNC(S329*(1-LOTE_03!$K$10),2)</f>
        <v>13.33</v>
      </c>
      <c r="I329" s="46">
        <f>TRUNC(T329*(1-LOTE_03!$K$10),2)</f>
        <v>9.07</v>
      </c>
      <c r="J329" s="100">
        <f t="shared" si="37"/>
        <v>0.22470000000000001</v>
      </c>
      <c r="K329" s="48">
        <f t="shared" si="31"/>
        <v>16.32</v>
      </c>
      <c r="L329" s="48">
        <f t="shared" si="32"/>
        <v>11.1</v>
      </c>
      <c r="M329" s="48">
        <f t="shared" si="33"/>
        <v>16972.8</v>
      </c>
      <c r="N329" s="48">
        <f t="shared" si="34"/>
        <v>11544</v>
      </c>
      <c r="O329" s="50">
        <f t="shared" si="35"/>
        <v>28516.799999999999</v>
      </c>
      <c r="P329" s="50">
        <v>0</v>
      </c>
      <c r="Q329" s="76"/>
      <c r="R329" s="140">
        <f>IF((10*S9+200*S10)&gt;5000,5000,(10*S9+200*S10))</f>
        <v>1040</v>
      </c>
      <c r="S329" s="79">
        <v>13.329999999999998</v>
      </c>
      <c r="T329" s="80">
        <v>9.07</v>
      </c>
    </row>
    <row r="330" spans="2:20" ht="84">
      <c r="B330" s="5" t="s">
        <v>798</v>
      </c>
      <c r="C330" s="45" t="s">
        <v>135</v>
      </c>
      <c r="D330" s="45">
        <v>100749</v>
      </c>
      <c r="E330" s="6" t="s">
        <v>799</v>
      </c>
      <c r="F330" s="45" t="s">
        <v>121</v>
      </c>
      <c r="G330" s="46">
        <f t="shared" si="36"/>
        <v>2200</v>
      </c>
      <c r="H330" s="46">
        <f>TRUNC(S330*(1-LOTE_03!$K$10),2)</f>
        <v>14.93</v>
      </c>
      <c r="I330" s="46">
        <f>TRUNC(T330*(1-LOTE_03!$K$10),2)</f>
        <v>11.96</v>
      </c>
      <c r="J330" s="100">
        <f t="shared" si="37"/>
        <v>0.22470000000000001</v>
      </c>
      <c r="K330" s="48">
        <f t="shared" si="31"/>
        <v>18.28</v>
      </c>
      <c r="L330" s="48">
        <f t="shared" si="32"/>
        <v>14.64</v>
      </c>
      <c r="M330" s="48">
        <f t="shared" si="33"/>
        <v>40216</v>
      </c>
      <c r="N330" s="48">
        <f t="shared" si="34"/>
        <v>32208</v>
      </c>
      <c r="O330" s="50">
        <f t="shared" si="35"/>
        <v>72424</v>
      </c>
      <c r="P330" s="50">
        <v>0</v>
      </c>
      <c r="Q330" s="76"/>
      <c r="R330" s="140">
        <f>300*S9+200*S10</f>
        <v>2200</v>
      </c>
      <c r="S330" s="79">
        <v>14.93</v>
      </c>
      <c r="T330" s="80">
        <v>11.96</v>
      </c>
    </row>
    <row r="331" spans="2:20" ht="70">
      <c r="B331" s="5" t="s">
        <v>800</v>
      </c>
      <c r="C331" s="45" t="s">
        <v>135</v>
      </c>
      <c r="D331" s="45">
        <v>88429</v>
      </c>
      <c r="E331" s="6" t="s">
        <v>801</v>
      </c>
      <c r="F331" s="45" t="s">
        <v>121</v>
      </c>
      <c r="G331" s="46">
        <f t="shared" si="36"/>
        <v>450</v>
      </c>
      <c r="H331" s="46">
        <f>TRUNC(S331*(1-LOTE_03!$K$10),2)</f>
        <v>27.31</v>
      </c>
      <c r="I331" s="46">
        <f>TRUNC(T331*(1-LOTE_03!$K$10),2)</f>
        <v>13.2</v>
      </c>
      <c r="J331" s="100">
        <f t="shared" si="37"/>
        <v>0.22470000000000001</v>
      </c>
      <c r="K331" s="48">
        <f t="shared" si="31"/>
        <v>33.44</v>
      </c>
      <c r="L331" s="48">
        <f t="shared" si="32"/>
        <v>16.16</v>
      </c>
      <c r="M331" s="48">
        <f t="shared" si="33"/>
        <v>15048</v>
      </c>
      <c r="N331" s="48">
        <f t="shared" si="34"/>
        <v>7272</v>
      </c>
      <c r="O331" s="50">
        <f t="shared" si="35"/>
        <v>22320</v>
      </c>
      <c r="P331" s="50">
        <v>0</v>
      </c>
      <c r="Q331" s="76"/>
      <c r="R331" s="140">
        <f>50*(S9+S10)</f>
        <v>450</v>
      </c>
      <c r="S331" s="79">
        <v>27.31</v>
      </c>
      <c r="T331" s="80">
        <v>13.2</v>
      </c>
    </row>
    <row r="332" spans="2:20" ht="56">
      <c r="B332" s="5" t="s">
        <v>802</v>
      </c>
      <c r="C332" s="45" t="s">
        <v>97</v>
      </c>
      <c r="D332" s="45" t="s">
        <v>803</v>
      </c>
      <c r="E332" s="6" t="s">
        <v>804</v>
      </c>
      <c r="F332" s="45" t="s">
        <v>121</v>
      </c>
      <c r="G332" s="46">
        <f t="shared" si="36"/>
        <v>450</v>
      </c>
      <c r="H332" s="46">
        <f>TRUNC(S332*(1-LOTE_03!$K$10),2)</f>
        <v>51.27</v>
      </c>
      <c r="I332" s="46">
        <f>TRUNC(T332*(1-LOTE_03!$K$10),2)</f>
        <v>14.65</v>
      </c>
      <c r="J332" s="100">
        <f t="shared" si="37"/>
        <v>0.22470000000000001</v>
      </c>
      <c r="K332" s="48">
        <f t="shared" si="31"/>
        <v>62.79</v>
      </c>
      <c r="L332" s="48">
        <f t="shared" si="32"/>
        <v>17.940000000000001</v>
      </c>
      <c r="M332" s="48">
        <f t="shared" si="33"/>
        <v>28255.5</v>
      </c>
      <c r="N332" s="48">
        <f t="shared" si="34"/>
        <v>8073</v>
      </c>
      <c r="O332" s="50">
        <f t="shared" si="35"/>
        <v>36328.5</v>
      </c>
      <c r="P332" s="50">
        <v>0</v>
      </c>
      <c r="Q332" s="76"/>
      <c r="R332" s="140">
        <f>50*(S9+S10)</f>
        <v>450</v>
      </c>
      <c r="S332" s="79">
        <v>51.27</v>
      </c>
      <c r="T332" s="80">
        <v>14.65</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3155706.1300000013</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50">
        <v>0</v>
      </c>
      <c r="Q334" s="76"/>
      <c r="R334" s="154"/>
      <c r="S334" s="79" t="s">
        <v>22</v>
      </c>
      <c r="T334" s="80" t="s">
        <v>22</v>
      </c>
    </row>
    <row r="335" spans="2:20" ht="56">
      <c r="B335" s="5" t="s">
        <v>807</v>
      </c>
      <c r="C335" s="45" t="s">
        <v>135</v>
      </c>
      <c r="D335" s="45">
        <v>90443</v>
      </c>
      <c r="E335" s="6" t="s">
        <v>808</v>
      </c>
      <c r="F335" s="45" t="s">
        <v>187</v>
      </c>
      <c r="G335" s="46">
        <f t="shared" si="36"/>
        <v>270</v>
      </c>
      <c r="H335" s="46">
        <f>TRUNC(S335*(1-LOTE_03!$K$10),2)</f>
        <v>1.96</v>
      </c>
      <c r="I335" s="46">
        <f>TRUNC(T335*(1-LOTE_03!$K$10),2)</f>
        <v>6.91</v>
      </c>
      <c r="J335" s="100">
        <f t="shared" si="37"/>
        <v>0.22470000000000001</v>
      </c>
      <c r="K335" s="48">
        <f t="shared" si="31"/>
        <v>2.4</v>
      </c>
      <c r="L335" s="48">
        <f t="shared" si="32"/>
        <v>8.4600000000000009</v>
      </c>
      <c r="M335" s="48">
        <f t="shared" si="33"/>
        <v>648</v>
      </c>
      <c r="N335" s="48">
        <f t="shared" si="34"/>
        <v>2284.1999999999998</v>
      </c>
      <c r="O335" s="50">
        <f t="shared" si="35"/>
        <v>2932.2</v>
      </c>
      <c r="P335" s="50">
        <v>0</v>
      </c>
      <c r="Q335" s="76"/>
      <c r="R335" s="140">
        <f>30*S9+30*S10</f>
        <v>270</v>
      </c>
      <c r="S335" s="79">
        <v>1.9599999999999991</v>
      </c>
      <c r="T335" s="80">
        <v>6.91</v>
      </c>
    </row>
    <row r="336" spans="2:20" ht="70">
      <c r="B336" s="5" t="s">
        <v>809</v>
      </c>
      <c r="C336" s="45" t="s">
        <v>135</v>
      </c>
      <c r="D336" s="45">
        <v>90444</v>
      </c>
      <c r="E336" s="6" t="s">
        <v>810</v>
      </c>
      <c r="F336" s="45" t="s">
        <v>187</v>
      </c>
      <c r="G336" s="46">
        <f t="shared" si="36"/>
        <v>100</v>
      </c>
      <c r="H336" s="46">
        <f>TRUNC(S336*(1-LOTE_03!$K$10),2)</f>
        <v>3.59</v>
      </c>
      <c r="I336" s="46">
        <f>TRUNC(T336*(1-LOTE_03!$K$10),2)</f>
        <v>9.1300000000000008</v>
      </c>
      <c r="J336" s="100">
        <f t="shared" si="37"/>
        <v>0.22470000000000001</v>
      </c>
      <c r="K336" s="48">
        <f t="shared" ref="K336:K399" si="38">TRUNC(H336*(1+J336),2)</f>
        <v>4.3899999999999997</v>
      </c>
      <c r="L336" s="48">
        <f t="shared" ref="L336:L399" si="39">TRUNC(I336*(1+J336),2)</f>
        <v>11.18</v>
      </c>
      <c r="M336" s="48">
        <f t="shared" ref="M336:M399" si="40">TRUNC(K336*G336,2)</f>
        <v>439</v>
      </c>
      <c r="N336" s="48">
        <f t="shared" ref="N336:N399" si="41">TRUNC(L336*G336,2)</f>
        <v>1118</v>
      </c>
      <c r="O336" s="50">
        <f t="shared" ref="O336:O399" si="42">TRUNC(M336+N336,2)</f>
        <v>1557</v>
      </c>
      <c r="P336" s="50">
        <v>0</v>
      </c>
      <c r="Q336" s="76"/>
      <c r="R336" s="140">
        <f>IF((5*S9+30*S10)&gt;100,100,(5*S9+30*S10))</f>
        <v>100</v>
      </c>
      <c r="S336" s="79">
        <v>3.59</v>
      </c>
      <c r="T336" s="80">
        <v>9.1300000000000008</v>
      </c>
    </row>
    <row r="337" spans="2:20" ht="42">
      <c r="B337" s="5" t="s">
        <v>811</v>
      </c>
      <c r="C337" s="45" t="s">
        <v>135</v>
      </c>
      <c r="D337" s="45">
        <v>104795</v>
      </c>
      <c r="E337" s="6" t="s">
        <v>812</v>
      </c>
      <c r="F337" s="45" t="s">
        <v>187</v>
      </c>
      <c r="G337" s="46">
        <f t="shared" si="36"/>
        <v>4500</v>
      </c>
      <c r="H337" s="46">
        <f>TRUNC(S337*(1-LOTE_03!$K$10),2)</f>
        <v>0.43</v>
      </c>
      <c r="I337" s="46">
        <f>TRUNC(T337*(1-LOTE_03!$K$10),2)</f>
        <v>1.1200000000000001</v>
      </c>
      <c r="J337" s="100">
        <f t="shared" si="37"/>
        <v>0.22470000000000001</v>
      </c>
      <c r="K337" s="48">
        <f t="shared" si="38"/>
        <v>0.52</v>
      </c>
      <c r="L337" s="48">
        <f t="shared" si="39"/>
        <v>1.37</v>
      </c>
      <c r="M337" s="48">
        <f t="shared" si="40"/>
        <v>2340</v>
      </c>
      <c r="N337" s="48">
        <f t="shared" si="41"/>
        <v>6165</v>
      </c>
      <c r="O337" s="50">
        <f t="shared" si="42"/>
        <v>8505</v>
      </c>
      <c r="P337" s="50">
        <v>0</v>
      </c>
      <c r="Q337" s="76"/>
      <c r="R337" s="140">
        <f>500*S9+500*S10</f>
        <v>4500</v>
      </c>
      <c r="S337" s="79">
        <v>0.42999999999999994</v>
      </c>
      <c r="T337" s="80">
        <v>1.1200000000000001</v>
      </c>
    </row>
    <row r="338" spans="2:20" ht="56">
      <c r="B338" s="5" t="s">
        <v>813</v>
      </c>
      <c r="C338" s="45" t="s">
        <v>135</v>
      </c>
      <c r="D338" s="45">
        <v>104792</v>
      </c>
      <c r="E338" s="6" t="s">
        <v>814</v>
      </c>
      <c r="F338" s="45" t="s">
        <v>187</v>
      </c>
      <c r="G338" s="46">
        <f t="shared" ref="G338:G401" si="43">TRUNC(R338,2)</f>
        <v>4500</v>
      </c>
      <c r="H338" s="46">
        <f>TRUNC(S338*(1-LOTE_03!$K$10),2)</f>
        <v>0.13</v>
      </c>
      <c r="I338" s="46">
        <f>TRUNC(T338*(1-LOTE_03!$K$10),2)</f>
        <v>0.32</v>
      </c>
      <c r="J338" s="100">
        <f t="shared" ref="J338:J401" si="44">$J$4</f>
        <v>0.22470000000000001</v>
      </c>
      <c r="K338" s="48">
        <f t="shared" si="38"/>
        <v>0.15</v>
      </c>
      <c r="L338" s="48">
        <f t="shared" si="39"/>
        <v>0.39</v>
      </c>
      <c r="M338" s="48">
        <f t="shared" si="40"/>
        <v>675</v>
      </c>
      <c r="N338" s="48">
        <f t="shared" si="41"/>
        <v>1755</v>
      </c>
      <c r="O338" s="50">
        <f t="shared" si="42"/>
        <v>2430</v>
      </c>
      <c r="P338" s="50">
        <v>0</v>
      </c>
      <c r="Q338" s="76"/>
      <c r="R338" s="140">
        <f>500*S9+500*S10</f>
        <v>4500</v>
      </c>
      <c r="S338" s="79">
        <v>0.13</v>
      </c>
      <c r="T338" s="80">
        <v>0.32</v>
      </c>
    </row>
    <row r="339" spans="2:20" ht="42">
      <c r="B339" s="5" t="s">
        <v>815</v>
      </c>
      <c r="C339" s="45" t="s">
        <v>135</v>
      </c>
      <c r="D339" s="45">
        <v>97661</v>
      </c>
      <c r="E339" s="6" t="s">
        <v>816</v>
      </c>
      <c r="F339" s="45" t="s">
        <v>187</v>
      </c>
      <c r="G339" s="46">
        <f t="shared" si="43"/>
        <v>450</v>
      </c>
      <c r="H339" s="46">
        <f>TRUNC(S339*(1-LOTE_03!$K$10),2)</f>
        <v>0.22</v>
      </c>
      <c r="I339" s="46">
        <f>TRUNC(T339*(1-LOTE_03!$K$10),2)</f>
        <v>0.59</v>
      </c>
      <c r="J339" s="100">
        <f t="shared" si="44"/>
        <v>0.22470000000000001</v>
      </c>
      <c r="K339" s="48">
        <f t="shared" si="38"/>
        <v>0.26</v>
      </c>
      <c r="L339" s="48">
        <f t="shared" si="39"/>
        <v>0.72</v>
      </c>
      <c r="M339" s="48">
        <f t="shared" si="40"/>
        <v>117</v>
      </c>
      <c r="N339" s="48">
        <f t="shared" si="41"/>
        <v>324</v>
      </c>
      <c r="O339" s="50">
        <f t="shared" si="42"/>
        <v>441</v>
      </c>
      <c r="P339" s="50">
        <v>0</v>
      </c>
      <c r="Q339" s="76"/>
      <c r="R339" s="140">
        <f>50*S9+50*S10</f>
        <v>450</v>
      </c>
      <c r="S339" s="79">
        <v>0.22000000000000008</v>
      </c>
      <c r="T339" s="80">
        <v>0.59</v>
      </c>
    </row>
    <row r="340" spans="2:20" ht="28">
      <c r="B340" s="5" t="s">
        <v>817</v>
      </c>
      <c r="C340" s="45" t="s">
        <v>97</v>
      </c>
      <c r="D340" s="45" t="s">
        <v>818</v>
      </c>
      <c r="E340" s="6" t="s">
        <v>819</v>
      </c>
      <c r="F340" s="45" t="s">
        <v>187</v>
      </c>
      <c r="G340" s="46">
        <f t="shared" si="43"/>
        <v>900</v>
      </c>
      <c r="H340" s="46">
        <f>TRUNC(S340*(1-LOTE_03!$K$10),2)</f>
        <v>0.28000000000000003</v>
      </c>
      <c r="I340" s="46">
        <f>TRUNC(T340*(1-LOTE_03!$K$10),2)</f>
        <v>0.86</v>
      </c>
      <c r="J340" s="100">
        <f t="shared" si="44"/>
        <v>0.22470000000000001</v>
      </c>
      <c r="K340" s="48">
        <f t="shared" si="38"/>
        <v>0.34</v>
      </c>
      <c r="L340" s="48">
        <f t="shared" si="39"/>
        <v>1.05</v>
      </c>
      <c r="M340" s="48">
        <f t="shared" si="40"/>
        <v>306</v>
      </c>
      <c r="N340" s="48">
        <f t="shared" si="41"/>
        <v>945</v>
      </c>
      <c r="O340" s="50">
        <f t="shared" si="42"/>
        <v>1251</v>
      </c>
      <c r="P340" s="50">
        <v>0</v>
      </c>
      <c r="Q340" s="76"/>
      <c r="R340" s="140">
        <f>100*S9+100*S10</f>
        <v>900</v>
      </c>
      <c r="S340" s="79">
        <v>0.28000000000000003</v>
      </c>
      <c r="T340" s="80">
        <v>0.86</v>
      </c>
    </row>
    <row r="341" spans="2:20" ht="42">
      <c r="B341" s="5" t="s">
        <v>820</v>
      </c>
      <c r="C341" s="45" t="s">
        <v>97</v>
      </c>
      <c r="D341" s="45" t="s">
        <v>821</v>
      </c>
      <c r="E341" s="6" t="s">
        <v>822</v>
      </c>
      <c r="F341" s="45" t="s">
        <v>104</v>
      </c>
      <c r="G341" s="46">
        <f t="shared" si="43"/>
        <v>27</v>
      </c>
      <c r="H341" s="46">
        <f>TRUNC(S341*(1-LOTE_03!$K$10),2)</f>
        <v>53.07</v>
      </c>
      <c r="I341" s="46">
        <f>TRUNC(T341*(1-LOTE_03!$K$10),2)</f>
        <v>21</v>
      </c>
      <c r="J341" s="100">
        <f t="shared" si="44"/>
        <v>0.22470000000000001</v>
      </c>
      <c r="K341" s="48">
        <f t="shared" si="38"/>
        <v>64.989999999999995</v>
      </c>
      <c r="L341" s="48">
        <f t="shared" si="39"/>
        <v>25.71</v>
      </c>
      <c r="M341" s="48">
        <f t="shared" si="40"/>
        <v>1754.73</v>
      </c>
      <c r="N341" s="48">
        <f t="shared" si="41"/>
        <v>694.17</v>
      </c>
      <c r="O341" s="50">
        <f t="shared" si="42"/>
        <v>2448.9</v>
      </c>
      <c r="P341" s="50">
        <v>0</v>
      </c>
      <c r="Q341" s="76"/>
      <c r="R341" s="140">
        <f>3*(S9+S10)</f>
        <v>27</v>
      </c>
      <c r="S341" s="79">
        <v>53.07</v>
      </c>
      <c r="T341" s="80">
        <v>21</v>
      </c>
    </row>
    <row r="342" spans="2:20" ht="28">
      <c r="B342" s="5" t="s">
        <v>823</v>
      </c>
      <c r="C342" s="45" t="s">
        <v>165</v>
      </c>
      <c r="D342" s="45" t="s">
        <v>824</v>
      </c>
      <c r="E342" s="6" t="s">
        <v>825</v>
      </c>
      <c r="F342" s="45" t="s">
        <v>559</v>
      </c>
      <c r="G342" s="46">
        <f t="shared" si="43"/>
        <v>140</v>
      </c>
      <c r="H342" s="46">
        <f>TRUNC(S342*(1-LOTE_03!$K$10),2)</f>
        <v>268.51</v>
      </c>
      <c r="I342" s="46">
        <f>TRUNC(T342*(1-LOTE_03!$K$10),2)</f>
        <v>141.72</v>
      </c>
      <c r="J342" s="100">
        <f t="shared" si="44"/>
        <v>0.22470000000000001</v>
      </c>
      <c r="K342" s="48">
        <f t="shared" si="38"/>
        <v>328.84</v>
      </c>
      <c r="L342" s="48">
        <f t="shared" si="39"/>
        <v>173.56</v>
      </c>
      <c r="M342" s="48">
        <f t="shared" si="40"/>
        <v>46037.599999999999</v>
      </c>
      <c r="N342" s="48">
        <f t="shared" si="41"/>
        <v>24298.400000000001</v>
      </c>
      <c r="O342" s="50">
        <f t="shared" si="42"/>
        <v>70336</v>
      </c>
      <c r="P342" s="50">
        <v>0</v>
      </c>
      <c r="Q342" s="76"/>
      <c r="R342" s="140">
        <f>IF((10*S9+20*S10)&gt;500,500,(10*S9+20*S10))</f>
        <v>140</v>
      </c>
      <c r="S342" s="79">
        <v>268.51</v>
      </c>
      <c r="T342" s="80">
        <v>141.72</v>
      </c>
    </row>
    <row r="343" spans="2:20" ht="42">
      <c r="B343" s="5" t="s">
        <v>826</v>
      </c>
      <c r="C343" s="45" t="s">
        <v>165</v>
      </c>
      <c r="D343" s="45" t="s">
        <v>827</v>
      </c>
      <c r="E343" s="6" t="s">
        <v>828</v>
      </c>
      <c r="F343" s="45" t="s">
        <v>559</v>
      </c>
      <c r="G343" s="46">
        <f t="shared" si="43"/>
        <v>45</v>
      </c>
      <c r="H343" s="46">
        <f>TRUNC(S343*(1-LOTE_03!$K$10),2)</f>
        <v>161.55000000000001</v>
      </c>
      <c r="I343" s="46">
        <f>TRUNC(T343*(1-LOTE_03!$K$10),2)</f>
        <v>84.14</v>
      </c>
      <c r="J343" s="100">
        <f t="shared" si="44"/>
        <v>0.22470000000000001</v>
      </c>
      <c r="K343" s="48">
        <f t="shared" si="38"/>
        <v>197.85</v>
      </c>
      <c r="L343" s="48">
        <f t="shared" si="39"/>
        <v>103.04</v>
      </c>
      <c r="M343" s="48">
        <f t="shared" si="40"/>
        <v>8903.25</v>
      </c>
      <c r="N343" s="48">
        <f t="shared" si="41"/>
        <v>4636.8</v>
      </c>
      <c r="O343" s="50">
        <f t="shared" si="42"/>
        <v>13540.05</v>
      </c>
      <c r="P343" s="50">
        <v>0</v>
      </c>
      <c r="Q343" s="76"/>
      <c r="R343" s="140">
        <f>IF((5*S9+5*S10)&gt;200,200,(5*S9+5*S10))</f>
        <v>45</v>
      </c>
      <c r="S343" s="79">
        <v>161.55000000000001</v>
      </c>
      <c r="T343" s="80">
        <v>84.14</v>
      </c>
    </row>
    <row r="344" spans="2:20" ht="28">
      <c r="B344" s="5" t="s">
        <v>829</v>
      </c>
      <c r="C344" s="45" t="s">
        <v>165</v>
      </c>
      <c r="D344" s="45" t="s">
        <v>830</v>
      </c>
      <c r="E344" s="6" t="s">
        <v>831</v>
      </c>
      <c r="F344" s="45" t="s">
        <v>559</v>
      </c>
      <c r="G344" s="46">
        <f t="shared" si="43"/>
        <v>140</v>
      </c>
      <c r="H344" s="46">
        <f>TRUNC(S344*(1-LOTE_03!$K$10),2)</f>
        <v>256.14</v>
      </c>
      <c r="I344" s="46">
        <f>TRUNC(T344*(1-LOTE_03!$K$10),2)</f>
        <v>159.71</v>
      </c>
      <c r="J344" s="100">
        <f t="shared" si="44"/>
        <v>0.22470000000000001</v>
      </c>
      <c r="K344" s="48">
        <f t="shared" si="38"/>
        <v>313.69</v>
      </c>
      <c r="L344" s="48">
        <f t="shared" si="39"/>
        <v>195.59</v>
      </c>
      <c r="M344" s="48">
        <f t="shared" si="40"/>
        <v>43916.6</v>
      </c>
      <c r="N344" s="48">
        <f t="shared" si="41"/>
        <v>27382.6</v>
      </c>
      <c r="O344" s="50">
        <f t="shared" si="42"/>
        <v>71299.199999999997</v>
      </c>
      <c r="P344" s="50">
        <v>0</v>
      </c>
      <c r="Q344" s="76"/>
      <c r="R344" s="140">
        <f>IF((10*S9+20*S10)&gt;200,200,(10*S9+20*S10))</f>
        <v>140</v>
      </c>
      <c r="S344" s="79">
        <v>256.14</v>
      </c>
      <c r="T344" s="80">
        <v>159.71</v>
      </c>
    </row>
    <row r="345" spans="2:20" ht="28">
      <c r="B345" s="5" t="s">
        <v>832</v>
      </c>
      <c r="C345" s="45" t="s">
        <v>97</v>
      </c>
      <c r="D345" s="45" t="s">
        <v>833</v>
      </c>
      <c r="E345" s="6" t="s">
        <v>834</v>
      </c>
      <c r="F345" s="45" t="s">
        <v>104</v>
      </c>
      <c r="G345" s="46">
        <f t="shared" si="43"/>
        <v>90</v>
      </c>
      <c r="H345" s="46">
        <f>TRUNC(S345*(1-LOTE_03!$K$10),2)</f>
        <v>51.18</v>
      </c>
      <c r="I345" s="46">
        <f>TRUNC(T345*(1-LOTE_03!$K$10),2)</f>
        <v>12.1</v>
      </c>
      <c r="J345" s="100">
        <f t="shared" si="44"/>
        <v>0.22470000000000001</v>
      </c>
      <c r="K345" s="48">
        <f t="shared" si="38"/>
        <v>62.68</v>
      </c>
      <c r="L345" s="48">
        <f t="shared" si="39"/>
        <v>14.81</v>
      </c>
      <c r="M345" s="48">
        <f t="shared" si="40"/>
        <v>5641.2</v>
      </c>
      <c r="N345" s="48">
        <f t="shared" si="41"/>
        <v>1332.9</v>
      </c>
      <c r="O345" s="50">
        <f t="shared" si="42"/>
        <v>6974.1</v>
      </c>
      <c r="P345" s="50">
        <v>0</v>
      </c>
      <c r="Q345" s="76"/>
      <c r="R345" s="140">
        <f>IF((10*S9+10*S10)&gt;200,200,(10*S9+10*S10))</f>
        <v>90</v>
      </c>
      <c r="S345" s="79">
        <v>51.18</v>
      </c>
      <c r="T345" s="80">
        <v>12.1</v>
      </c>
    </row>
    <row r="346" spans="2:20" ht="70">
      <c r="B346" s="5" t="s">
        <v>835</v>
      </c>
      <c r="C346" s="45" t="s">
        <v>135</v>
      </c>
      <c r="D346" s="45">
        <v>91863</v>
      </c>
      <c r="E346" s="6" t="s">
        <v>836</v>
      </c>
      <c r="F346" s="45" t="s">
        <v>187</v>
      </c>
      <c r="G346" s="46">
        <f t="shared" si="43"/>
        <v>580</v>
      </c>
      <c r="H346" s="46">
        <f>TRUNC(S346*(1-LOTE_03!$K$10),2)</f>
        <v>7.4</v>
      </c>
      <c r="I346" s="46">
        <f>TRUNC(T346*(1-LOTE_03!$K$10),2)</f>
        <v>5.08</v>
      </c>
      <c r="J346" s="100">
        <f t="shared" si="44"/>
        <v>0.22470000000000001</v>
      </c>
      <c r="K346" s="48">
        <f t="shared" si="38"/>
        <v>9.06</v>
      </c>
      <c r="L346" s="48">
        <f t="shared" si="39"/>
        <v>6.22</v>
      </c>
      <c r="M346" s="48">
        <f t="shared" si="40"/>
        <v>5254.8</v>
      </c>
      <c r="N346" s="48">
        <f t="shared" si="41"/>
        <v>3607.6</v>
      </c>
      <c r="O346" s="50">
        <f t="shared" si="42"/>
        <v>8862.4</v>
      </c>
      <c r="P346" s="50">
        <v>0</v>
      </c>
      <c r="Q346" s="76"/>
      <c r="R346" s="140">
        <f>IF((20*S9+100*S10)&gt;1000,1000,(20*S9+100*S10))</f>
        <v>580</v>
      </c>
      <c r="S346" s="79">
        <v>7.4</v>
      </c>
      <c r="T346" s="80">
        <v>5.08</v>
      </c>
    </row>
    <row r="347" spans="2:20" ht="70">
      <c r="B347" s="5" t="s">
        <v>837</v>
      </c>
      <c r="C347" s="45" t="s">
        <v>135</v>
      </c>
      <c r="D347" s="45">
        <v>91864</v>
      </c>
      <c r="E347" s="6" t="s">
        <v>838</v>
      </c>
      <c r="F347" s="45" t="s">
        <v>187</v>
      </c>
      <c r="G347" s="46">
        <f t="shared" si="43"/>
        <v>500</v>
      </c>
      <c r="H347" s="46">
        <f>TRUNC(S347*(1-LOTE_03!$K$10),2)</f>
        <v>10.87</v>
      </c>
      <c r="I347" s="46">
        <f>TRUNC(T347*(1-LOTE_03!$K$10),2)</f>
        <v>5.9</v>
      </c>
      <c r="J347" s="100">
        <f t="shared" si="44"/>
        <v>0.22470000000000001</v>
      </c>
      <c r="K347" s="48">
        <f t="shared" si="38"/>
        <v>13.31</v>
      </c>
      <c r="L347" s="48">
        <f t="shared" si="39"/>
        <v>7.22</v>
      </c>
      <c r="M347" s="48">
        <f t="shared" si="40"/>
        <v>6655</v>
      </c>
      <c r="N347" s="48">
        <f t="shared" si="41"/>
        <v>3610</v>
      </c>
      <c r="O347" s="50">
        <f t="shared" si="42"/>
        <v>10265</v>
      </c>
      <c r="P347" s="50">
        <v>0</v>
      </c>
      <c r="Q347" s="76"/>
      <c r="R347" s="140">
        <f>IF((20*S9+100*S10)&gt;500,500,(20*S9+100*S10))</f>
        <v>500</v>
      </c>
      <c r="S347" s="79">
        <v>10.87</v>
      </c>
      <c r="T347" s="80">
        <v>5.9</v>
      </c>
    </row>
    <row r="348" spans="2:20" ht="56">
      <c r="B348" s="5" t="s">
        <v>839</v>
      </c>
      <c r="C348" s="45" t="s">
        <v>135</v>
      </c>
      <c r="D348" s="45">
        <v>91926</v>
      </c>
      <c r="E348" s="6" t="s">
        <v>840</v>
      </c>
      <c r="F348" s="45" t="s">
        <v>187</v>
      </c>
      <c r="G348" s="46">
        <f t="shared" si="43"/>
        <v>5400</v>
      </c>
      <c r="H348" s="46">
        <f>TRUNC(S348*(1-LOTE_03!$K$10),2)</f>
        <v>4.1100000000000003</v>
      </c>
      <c r="I348" s="46">
        <f>TRUNC(T348*(1-LOTE_03!$K$10),2)</f>
        <v>1.21</v>
      </c>
      <c r="J348" s="100">
        <f t="shared" si="44"/>
        <v>0.22470000000000001</v>
      </c>
      <c r="K348" s="48">
        <f t="shared" si="38"/>
        <v>5.03</v>
      </c>
      <c r="L348" s="48">
        <f t="shared" si="39"/>
        <v>1.48</v>
      </c>
      <c r="M348" s="48">
        <f t="shared" si="40"/>
        <v>27162</v>
      </c>
      <c r="N348" s="48">
        <f t="shared" si="41"/>
        <v>7992</v>
      </c>
      <c r="O348" s="50">
        <f t="shared" si="42"/>
        <v>35154</v>
      </c>
      <c r="P348" s="50">
        <v>0</v>
      </c>
      <c r="Q348" s="76"/>
      <c r="R348" s="140">
        <f>600*S9+600*S10</f>
        <v>5400</v>
      </c>
      <c r="S348" s="79">
        <v>4.1100000000000003</v>
      </c>
      <c r="T348" s="80">
        <v>1.21</v>
      </c>
    </row>
    <row r="349" spans="2:20" ht="56">
      <c r="B349" s="5" t="s">
        <v>841</v>
      </c>
      <c r="C349" s="45" t="s">
        <v>135</v>
      </c>
      <c r="D349" s="45">
        <v>91924</v>
      </c>
      <c r="E349" s="6" t="s">
        <v>842</v>
      </c>
      <c r="F349" s="45" t="s">
        <v>187</v>
      </c>
      <c r="G349" s="46">
        <f t="shared" si="43"/>
        <v>5400</v>
      </c>
      <c r="H349" s="46">
        <f>TRUNC(S349*(1-LOTE_03!$K$10),2)</f>
        <v>2.69</v>
      </c>
      <c r="I349" s="46">
        <f>TRUNC(T349*(1-LOTE_03!$K$10),2)</f>
        <v>0.95</v>
      </c>
      <c r="J349" s="100">
        <f t="shared" si="44"/>
        <v>0.22470000000000001</v>
      </c>
      <c r="K349" s="48">
        <f t="shared" si="38"/>
        <v>3.29</v>
      </c>
      <c r="L349" s="48">
        <f t="shared" si="39"/>
        <v>1.1599999999999999</v>
      </c>
      <c r="M349" s="48">
        <f t="shared" si="40"/>
        <v>17766</v>
      </c>
      <c r="N349" s="48">
        <f t="shared" si="41"/>
        <v>6264</v>
      </c>
      <c r="O349" s="50">
        <f t="shared" si="42"/>
        <v>24030</v>
      </c>
      <c r="P349" s="50">
        <v>0</v>
      </c>
      <c r="Q349" s="76"/>
      <c r="R349" s="140">
        <f>600*S9+600*S10</f>
        <v>5400</v>
      </c>
      <c r="S349" s="79">
        <v>2.6900000000000004</v>
      </c>
      <c r="T349" s="80">
        <v>0.95</v>
      </c>
    </row>
    <row r="350" spans="2:20" ht="56">
      <c r="B350" s="5" t="s">
        <v>843</v>
      </c>
      <c r="C350" s="45" t="s">
        <v>135</v>
      </c>
      <c r="D350" s="45">
        <v>91928</v>
      </c>
      <c r="E350" s="6" t="s">
        <v>844</v>
      </c>
      <c r="F350" s="45" t="s">
        <v>187</v>
      </c>
      <c r="G350" s="46">
        <f t="shared" si="43"/>
        <v>1800</v>
      </c>
      <c r="H350" s="46">
        <f>TRUNC(S350*(1-LOTE_03!$K$10),2)</f>
        <v>6.64</v>
      </c>
      <c r="I350" s="46">
        <f>TRUNC(T350*(1-LOTE_03!$K$10),2)</f>
        <v>1.63</v>
      </c>
      <c r="J350" s="100">
        <f t="shared" si="44"/>
        <v>0.22470000000000001</v>
      </c>
      <c r="K350" s="48">
        <f t="shared" si="38"/>
        <v>8.1300000000000008</v>
      </c>
      <c r="L350" s="48">
        <f t="shared" si="39"/>
        <v>1.99</v>
      </c>
      <c r="M350" s="48">
        <f t="shared" si="40"/>
        <v>14634</v>
      </c>
      <c r="N350" s="48">
        <f t="shared" si="41"/>
        <v>3582</v>
      </c>
      <c r="O350" s="50">
        <f t="shared" si="42"/>
        <v>18216</v>
      </c>
      <c r="P350" s="50">
        <v>0</v>
      </c>
      <c r="Q350" s="76"/>
      <c r="R350" s="140">
        <f>200*S9+200*S10</f>
        <v>1800</v>
      </c>
      <c r="S350" s="79">
        <v>6.64</v>
      </c>
      <c r="T350" s="80">
        <v>1.63</v>
      </c>
    </row>
    <row r="351" spans="2:20" ht="56">
      <c r="B351" s="5" t="s">
        <v>845</v>
      </c>
      <c r="C351" s="45" t="s">
        <v>135</v>
      </c>
      <c r="D351" s="45">
        <v>91952</v>
      </c>
      <c r="E351" s="6" t="s">
        <v>846</v>
      </c>
      <c r="F351" s="45" t="s">
        <v>210</v>
      </c>
      <c r="G351" s="46">
        <f t="shared" si="43"/>
        <v>225</v>
      </c>
      <c r="H351" s="46">
        <f>TRUNC(S351*(1-LOTE_03!$K$10),2)</f>
        <v>10.4</v>
      </c>
      <c r="I351" s="46">
        <f>TRUNC(T351*(1-LOTE_03!$K$10),2)</f>
        <v>9.73</v>
      </c>
      <c r="J351" s="100">
        <f t="shared" si="44"/>
        <v>0.22470000000000001</v>
      </c>
      <c r="K351" s="48">
        <f t="shared" si="38"/>
        <v>12.73</v>
      </c>
      <c r="L351" s="48">
        <f t="shared" si="39"/>
        <v>11.91</v>
      </c>
      <c r="M351" s="48">
        <f t="shared" si="40"/>
        <v>2864.25</v>
      </c>
      <c r="N351" s="48">
        <f t="shared" si="41"/>
        <v>2679.75</v>
      </c>
      <c r="O351" s="50">
        <f t="shared" si="42"/>
        <v>5544</v>
      </c>
      <c r="P351" s="50">
        <v>0</v>
      </c>
      <c r="Q351" s="76"/>
      <c r="R351" s="140">
        <f>25*S9+25*S10</f>
        <v>225</v>
      </c>
      <c r="S351" s="79">
        <v>10.399999999999999</v>
      </c>
      <c r="T351" s="80">
        <v>9.73</v>
      </c>
    </row>
    <row r="352" spans="2:20" ht="56">
      <c r="B352" s="5" t="s">
        <v>847</v>
      </c>
      <c r="C352" s="45" t="s">
        <v>135</v>
      </c>
      <c r="D352" s="45">
        <v>91959</v>
      </c>
      <c r="E352" s="6" t="s">
        <v>848</v>
      </c>
      <c r="F352" s="45" t="s">
        <v>210</v>
      </c>
      <c r="G352" s="46">
        <f t="shared" si="43"/>
        <v>90</v>
      </c>
      <c r="H352" s="46">
        <f>TRUNC(S352*(1-LOTE_03!$K$10),2)</f>
        <v>26.24</v>
      </c>
      <c r="I352" s="46">
        <f>TRUNC(T352*(1-LOTE_03!$K$10),2)</f>
        <v>22.14</v>
      </c>
      <c r="J352" s="100">
        <f t="shared" si="44"/>
        <v>0.22470000000000001</v>
      </c>
      <c r="K352" s="48">
        <f t="shared" si="38"/>
        <v>32.130000000000003</v>
      </c>
      <c r="L352" s="48">
        <f t="shared" si="39"/>
        <v>27.11</v>
      </c>
      <c r="M352" s="48">
        <f t="shared" si="40"/>
        <v>2891.7</v>
      </c>
      <c r="N352" s="48">
        <f t="shared" si="41"/>
        <v>2439.9</v>
      </c>
      <c r="O352" s="50">
        <f t="shared" si="42"/>
        <v>5331.6</v>
      </c>
      <c r="P352" s="50">
        <v>0</v>
      </c>
      <c r="Q352" s="76"/>
      <c r="R352" s="140">
        <f>10*S9+10*S10</f>
        <v>90</v>
      </c>
      <c r="S352" s="79">
        <v>26.240000000000002</v>
      </c>
      <c r="T352" s="80">
        <v>22.14</v>
      </c>
    </row>
    <row r="353" spans="2:20" ht="56">
      <c r="B353" s="5" t="s">
        <v>849</v>
      </c>
      <c r="C353" s="45" t="s">
        <v>135</v>
      </c>
      <c r="D353" s="45">
        <v>91967</v>
      </c>
      <c r="E353" s="6" t="s">
        <v>850</v>
      </c>
      <c r="F353" s="45" t="s">
        <v>210</v>
      </c>
      <c r="G353" s="46">
        <f t="shared" si="43"/>
        <v>90</v>
      </c>
      <c r="H353" s="46">
        <f>TRUNC(S353*(1-LOTE_03!$K$10),2)</f>
        <v>35.69</v>
      </c>
      <c r="I353" s="46">
        <f>TRUNC(T353*(1-LOTE_03!$K$10),2)</f>
        <v>29.22</v>
      </c>
      <c r="J353" s="100">
        <f t="shared" si="44"/>
        <v>0.22470000000000001</v>
      </c>
      <c r="K353" s="48">
        <f t="shared" si="38"/>
        <v>43.7</v>
      </c>
      <c r="L353" s="48">
        <f t="shared" si="39"/>
        <v>35.78</v>
      </c>
      <c r="M353" s="48">
        <f t="shared" si="40"/>
        <v>3933</v>
      </c>
      <c r="N353" s="48">
        <f t="shared" si="41"/>
        <v>3220.2</v>
      </c>
      <c r="O353" s="50">
        <f t="shared" si="42"/>
        <v>7153.2</v>
      </c>
      <c r="P353" s="50">
        <v>0</v>
      </c>
      <c r="Q353" s="76"/>
      <c r="R353" s="140">
        <f>10*S9+10*S10</f>
        <v>90</v>
      </c>
      <c r="S353" s="79">
        <v>35.69</v>
      </c>
      <c r="T353" s="80">
        <v>29.22</v>
      </c>
    </row>
    <row r="354" spans="2:20" ht="56">
      <c r="B354" s="5" t="s">
        <v>851</v>
      </c>
      <c r="C354" s="45" t="s">
        <v>135</v>
      </c>
      <c r="D354" s="45">
        <v>92005</v>
      </c>
      <c r="E354" s="6" t="s">
        <v>852</v>
      </c>
      <c r="F354" s="45" t="s">
        <v>210</v>
      </c>
      <c r="G354" s="46">
        <f t="shared" si="43"/>
        <v>140</v>
      </c>
      <c r="H354" s="46">
        <f>TRUNC(S354*(1-LOTE_03!$K$10),2)</f>
        <v>35.08</v>
      </c>
      <c r="I354" s="46">
        <f>TRUNC(T354*(1-LOTE_03!$K$10),2)</f>
        <v>29.26</v>
      </c>
      <c r="J354" s="100">
        <f t="shared" si="44"/>
        <v>0.22470000000000001</v>
      </c>
      <c r="K354" s="48">
        <f t="shared" si="38"/>
        <v>42.96</v>
      </c>
      <c r="L354" s="48">
        <f t="shared" si="39"/>
        <v>35.83</v>
      </c>
      <c r="M354" s="48">
        <f t="shared" si="40"/>
        <v>6014.4</v>
      </c>
      <c r="N354" s="48">
        <f t="shared" si="41"/>
        <v>5016.2</v>
      </c>
      <c r="O354" s="50">
        <f t="shared" si="42"/>
        <v>11030.6</v>
      </c>
      <c r="P354" s="50">
        <v>0</v>
      </c>
      <c r="Q354" s="76"/>
      <c r="R354" s="140">
        <f>IF((10*S9+20*S10)&gt;500,500,(10*S9+20*S10))</f>
        <v>140</v>
      </c>
      <c r="S354" s="79">
        <v>35.08</v>
      </c>
      <c r="T354" s="80">
        <v>29.26</v>
      </c>
    </row>
    <row r="355" spans="2:20" ht="56">
      <c r="B355" s="5" t="s">
        <v>853</v>
      </c>
      <c r="C355" s="45" t="s">
        <v>135</v>
      </c>
      <c r="D355" s="45">
        <v>92008</v>
      </c>
      <c r="E355" s="6" t="s">
        <v>854</v>
      </c>
      <c r="F355" s="45" t="s">
        <v>210</v>
      </c>
      <c r="G355" s="46">
        <f t="shared" si="43"/>
        <v>140</v>
      </c>
      <c r="H355" s="46">
        <f>TRUNC(S355*(1-LOTE_03!$K$10),2)</f>
        <v>28.41</v>
      </c>
      <c r="I355" s="46">
        <f>TRUNC(T355*(1-LOTE_03!$K$10),2)</f>
        <v>22.91</v>
      </c>
      <c r="J355" s="100">
        <f t="shared" si="44"/>
        <v>0.22470000000000001</v>
      </c>
      <c r="K355" s="48">
        <f t="shared" si="38"/>
        <v>34.79</v>
      </c>
      <c r="L355" s="48">
        <f t="shared" si="39"/>
        <v>28.05</v>
      </c>
      <c r="M355" s="48">
        <f t="shared" si="40"/>
        <v>4870.6000000000004</v>
      </c>
      <c r="N355" s="48">
        <f t="shared" si="41"/>
        <v>3927</v>
      </c>
      <c r="O355" s="50">
        <f t="shared" si="42"/>
        <v>8797.6</v>
      </c>
      <c r="P355" s="50">
        <v>0</v>
      </c>
      <c r="Q355" s="76"/>
      <c r="R355" s="140">
        <f>IF((10*S9+20*S10)&gt;500,500,(10*S9+20*S10))</f>
        <v>140</v>
      </c>
      <c r="S355" s="79">
        <v>28.41</v>
      </c>
      <c r="T355" s="80">
        <v>22.91</v>
      </c>
    </row>
    <row r="356" spans="2:20" ht="56">
      <c r="B356" s="5" t="s">
        <v>855</v>
      </c>
      <c r="C356" s="45" t="s">
        <v>135</v>
      </c>
      <c r="D356" s="45">
        <v>92000</v>
      </c>
      <c r="E356" s="6" t="s">
        <v>856</v>
      </c>
      <c r="F356" s="45" t="s">
        <v>210</v>
      </c>
      <c r="G356" s="46">
        <f t="shared" si="43"/>
        <v>270</v>
      </c>
      <c r="H356" s="46">
        <f>TRUNC(S356*(1-LOTE_03!$K$10),2)</f>
        <v>17.87</v>
      </c>
      <c r="I356" s="46">
        <f>TRUNC(T356*(1-LOTE_03!$K$10),2)</f>
        <v>15.48</v>
      </c>
      <c r="J356" s="100">
        <f t="shared" si="44"/>
        <v>0.22470000000000001</v>
      </c>
      <c r="K356" s="48">
        <f t="shared" si="38"/>
        <v>21.88</v>
      </c>
      <c r="L356" s="48">
        <f t="shared" si="39"/>
        <v>18.95</v>
      </c>
      <c r="M356" s="48">
        <f t="shared" si="40"/>
        <v>5907.6</v>
      </c>
      <c r="N356" s="48">
        <f t="shared" si="41"/>
        <v>5116.5</v>
      </c>
      <c r="O356" s="50">
        <f t="shared" si="42"/>
        <v>11024.1</v>
      </c>
      <c r="P356" s="50">
        <v>0</v>
      </c>
      <c r="Q356" s="76"/>
      <c r="R356" s="140">
        <f>30*S9+30*S10</f>
        <v>270</v>
      </c>
      <c r="S356" s="79">
        <v>17.87</v>
      </c>
      <c r="T356" s="80">
        <v>15.48</v>
      </c>
    </row>
    <row r="357" spans="2:20" ht="42">
      <c r="B357" s="5" t="s">
        <v>857</v>
      </c>
      <c r="C357" s="45" t="s">
        <v>97</v>
      </c>
      <c r="D357" s="45" t="s">
        <v>858</v>
      </c>
      <c r="E357" s="6" t="s">
        <v>859</v>
      </c>
      <c r="F357" s="45" t="s">
        <v>104</v>
      </c>
      <c r="G357" s="46">
        <f t="shared" si="43"/>
        <v>370</v>
      </c>
      <c r="H357" s="46">
        <f>TRUNC(S357*(1-LOTE_03!$K$10),2)</f>
        <v>11.09</v>
      </c>
      <c r="I357" s="46">
        <f>TRUNC(T357*(1-LOTE_03!$K$10),2)</f>
        <v>25.84</v>
      </c>
      <c r="J357" s="100">
        <f t="shared" si="44"/>
        <v>0.22470000000000001</v>
      </c>
      <c r="K357" s="48">
        <f t="shared" si="38"/>
        <v>13.58</v>
      </c>
      <c r="L357" s="48">
        <f t="shared" si="39"/>
        <v>31.64</v>
      </c>
      <c r="M357" s="48">
        <f t="shared" si="40"/>
        <v>5024.6000000000004</v>
      </c>
      <c r="N357" s="48">
        <f t="shared" si="41"/>
        <v>11706.8</v>
      </c>
      <c r="O357" s="50">
        <f t="shared" si="42"/>
        <v>16731.400000000001</v>
      </c>
      <c r="P357" s="50">
        <v>0</v>
      </c>
      <c r="Q357" s="76"/>
      <c r="R357" s="140">
        <f>30*S9+50*S10</f>
        <v>370</v>
      </c>
      <c r="S357" s="79">
        <v>11.09</v>
      </c>
      <c r="T357" s="80">
        <v>25.84</v>
      </c>
    </row>
    <row r="358" spans="2:20" ht="28">
      <c r="B358" s="5" t="s">
        <v>860</v>
      </c>
      <c r="C358" s="45" t="s">
        <v>97</v>
      </c>
      <c r="D358" s="45" t="s">
        <v>861</v>
      </c>
      <c r="E358" s="6" t="s">
        <v>862</v>
      </c>
      <c r="F358" s="45" t="s">
        <v>104</v>
      </c>
      <c r="G358" s="46">
        <f t="shared" si="43"/>
        <v>50</v>
      </c>
      <c r="H358" s="46">
        <f>TRUNC(S358*(1-LOTE_03!$K$10),2)</f>
        <v>24.6</v>
      </c>
      <c r="I358" s="46">
        <f>TRUNC(T358*(1-LOTE_03!$K$10),2)</f>
        <v>19.38</v>
      </c>
      <c r="J358" s="100">
        <f t="shared" si="44"/>
        <v>0.22470000000000001</v>
      </c>
      <c r="K358" s="48">
        <f t="shared" si="38"/>
        <v>30.12</v>
      </c>
      <c r="L358" s="48">
        <f t="shared" si="39"/>
        <v>23.73</v>
      </c>
      <c r="M358" s="48">
        <f t="shared" si="40"/>
        <v>1506</v>
      </c>
      <c r="N358" s="48">
        <f t="shared" si="41"/>
        <v>1186.5</v>
      </c>
      <c r="O358" s="50">
        <f t="shared" si="42"/>
        <v>2692.5</v>
      </c>
      <c r="P358" s="50">
        <v>0</v>
      </c>
      <c r="Q358" s="76"/>
      <c r="R358" s="140">
        <f>IF((10*S9+10*S10)&gt;50,50,(10*S9+10*S10))</f>
        <v>50</v>
      </c>
      <c r="S358" s="79">
        <v>24.6</v>
      </c>
      <c r="T358" s="80">
        <v>19.38</v>
      </c>
    </row>
    <row r="359" spans="2:20" ht="84">
      <c r="B359" s="5" t="s">
        <v>863</v>
      </c>
      <c r="C359" s="45" t="s">
        <v>97</v>
      </c>
      <c r="D359" s="45" t="s">
        <v>864</v>
      </c>
      <c r="E359" s="6" t="s">
        <v>865</v>
      </c>
      <c r="F359" s="45" t="s">
        <v>104</v>
      </c>
      <c r="G359" s="46">
        <f t="shared" si="43"/>
        <v>180</v>
      </c>
      <c r="H359" s="46">
        <f>TRUNC(S359*(1-LOTE_03!$K$10),2)</f>
        <v>190.16</v>
      </c>
      <c r="I359" s="46">
        <f>TRUNC(T359*(1-LOTE_03!$K$10),2)</f>
        <v>38.76</v>
      </c>
      <c r="J359" s="100">
        <f t="shared" si="44"/>
        <v>0.22470000000000001</v>
      </c>
      <c r="K359" s="48">
        <f t="shared" si="38"/>
        <v>232.88</v>
      </c>
      <c r="L359" s="48">
        <f t="shared" si="39"/>
        <v>47.46</v>
      </c>
      <c r="M359" s="48">
        <f t="shared" si="40"/>
        <v>41918.400000000001</v>
      </c>
      <c r="N359" s="48">
        <f t="shared" si="41"/>
        <v>8542.7999999999993</v>
      </c>
      <c r="O359" s="50">
        <f t="shared" si="42"/>
        <v>50461.2</v>
      </c>
      <c r="P359" s="50">
        <v>0</v>
      </c>
      <c r="Q359" s="76"/>
      <c r="R359" s="140">
        <f>IF((20*S9+20*S10)&gt;200,200,(20*S9+20*S10))</f>
        <v>180</v>
      </c>
      <c r="S359" s="79">
        <v>190.16</v>
      </c>
      <c r="T359" s="80">
        <v>38.76</v>
      </c>
    </row>
    <row r="360" spans="2:20" ht="98">
      <c r="B360" s="5" t="s">
        <v>866</v>
      </c>
      <c r="C360" s="45" t="s">
        <v>97</v>
      </c>
      <c r="D360" s="45" t="s">
        <v>867</v>
      </c>
      <c r="E360" s="6" t="s">
        <v>868</v>
      </c>
      <c r="F360" s="45" t="s">
        <v>104</v>
      </c>
      <c r="G360" s="46">
        <f t="shared" si="43"/>
        <v>18</v>
      </c>
      <c r="H360" s="46">
        <f>TRUNC(S360*(1-LOTE_03!$K$10),2)</f>
        <v>258.27999999999997</v>
      </c>
      <c r="I360" s="46">
        <f>TRUNC(T360*(1-LOTE_03!$K$10),2)</f>
        <v>82.84</v>
      </c>
      <c r="J360" s="100">
        <f t="shared" si="44"/>
        <v>0.22470000000000001</v>
      </c>
      <c r="K360" s="48">
        <f t="shared" si="38"/>
        <v>316.31</v>
      </c>
      <c r="L360" s="48">
        <f t="shared" si="39"/>
        <v>101.45</v>
      </c>
      <c r="M360" s="48">
        <f t="shared" si="40"/>
        <v>5693.58</v>
      </c>
      <c r="N360" s="48">
        <f t="shared" si="41"/>
        <v>1826.1</v>
      </c>
      <c r="O360" s="50">
        <f t="shared" si="42"/>
        <v>7519.68</v>
      </c>
      <c r="P360" s="50">
        <v>0</v>
      </c>
      <c r="Q360" s="76"/>
      <c r="R360" s="140">
        <f>IF((2*S9+2*S10)&gt;50,100,(2*S9+2*S10))</f>
        <v>18</v>
      </c>
      <c r="S360" s="79">
        <v>258.27999999999997</v>
      </c>
      <c r="T360" s="80">
        <v>82.84</v>
      </c>
    </row>
    <row r="361" spans="2:20" ht="56">
      <c r="B361" s="5" t="s">
        <v>869</v>
      </c>
      <c r="C361" s="45" t="s">
        <v>135</v>
      </c>
      <c r="D361" s="45">
        <v>97607</v>
      </c>
      <c r="E361" s="6" t="s">
        <v>870</v>
      </c>
      <c r="F361" s="45" t="s">
        <v>210</v>
      </c>
      <c r="G361" s="46">
        <f t="shared" si="43"/>
        <v>45</v>
      </c>
      <c r="H361" s="46">
        <f>TRUNC(S361*(1-LOTE_03!$K$10),2)</f>
        <v>99.55</v>
      </c>
      <c r="I361" s="46">
        <f>TRUNC(T361*(1-LOTE_03!$K$10),2)</f>
        <v>15.54</v>
      </c>
      <c r="J361" s="100">
        <f t="shared" si="44"/>
        <v>0.22470000000000001</v>
      </c>
      <c r="K361" s="48">
        <f t="shared" si="38"/>
        <v>121.91</v>
      </c>
      <c r="L361" s="48">
        <f t="shared" si="39"/>
        <v>19.03</v>
      </c>
      <c r="M361" s="48">
        <f t="shared" si="40"/>
        <v>5485.95</v>
      </c>
      <c r="N361" s="48">
        <f t="shared" si="41"/>
        <v>856.35</v>
      </c>
      <c r="O361" s="50">
        <f t="shared" si="42"/>
        <v>6342.3</v>
      </c>
      <c r="P361" s="50">
        <v>0</v>
      </c>
      <c r="Q361" s="76"/>
      <c r="R361" s="140">
        <f>IF((5*S9+5*S10)&gt;50,50,(5*S9+5*S10))</f>
        <v>45</v>
      </c>
      <c r="S361" s="79">
        <v>99.550000000000011</v>
      </c>
      <c r="T361" s="80">
        <v>15.54</v>
      </c>
    </row>
    <row r="362" spans="2:20" ht="28">
      <c r="B362" s="5" t="s">
        <v>871</v>
      </c>
      <c r="C362" s="45" t="s">
        <v>165</v>
      </c>
      <c r="D362" s="45" t="s">
        <v>872</v>
      </c>
      <c r="E362" s="6" t="s">
        <v>873</v>
      </c>
      <c r="F362" s="45" t="s">
        <v>559</v>
      </c>
      <c r="G362" s="46">
        <f t="shared" si="43"/>
        <v>45</v>
      </c>
      <c r="H362" s="46">
        <f>TRUNC(S362*(1-LOTE_03!$K$10),2)</f>
        <v>269.94</v>
      </c>
      <c r="I362" s="46">
        <f>TRUNC(T362*(1-LOTE_03!$K$10),2)</f>
        <v>53.98</v>
      </c>
      <c r="J362" s="100">
        <f t="shared" si="44"/>
        <v>0.22470000000000001</v>
      </c>
      <c r="K362" s="48">
        <f t="shared" si="38"/>
        <v>330.59</v>
      </c>
      <c r="L362" s="48">
        <f t="shared" si="39"/>
        <v>66.099999999999994</v>
      </c>
      <c r="M362" s="48">
        <f t="shared" si="40"/>
        <v>14876.55</v>
      </c>
      <c r="N362" s="48">
        <f t="shared" si="41"/>
        <v>2974.5</v>
      </c>
      <c r="O362" s="50">
        <f t="shared" si="42"/>
        <v>17851.05</v>
      </c>
      <c r="P362" s="50">
        <v>0</v>
      </c>
      <c r="Q362" s="76"/>
      <c r="R362" s="140">
        <f>IF((5*S9+5*S10)&gt;50,50,(5*S9+5*S10))</f>
        <v>45</v>
      </c>
      <c r="S362" s="79">
        <v>269.94</v>
      </c>
      <c r="T362" s="80">
        <v>53.98</v>
      </c>
    </row>
    <row r="363" spans="2:20" ht="42">
      <c r="B363" s="5" t="s">
        <v>874</v>
      </c>
      <c r="C363" s="45" t="s">
        <v>135</v>
      </c>
      <c r="D363" s="45">
        <v>100903</v>
      </c>
      <c r="E363" s="6" t="s">
        <v>875</v>
      </c>
      <c r="F363" s="45" t="s">
        <v>210</v>
      </c>
      <c r="G363" s="46">
        <f t="shared" si="43"/>
        <v>500</v>
      </c>
      <c r="H363" s="46">
        <f>TRUNC(S363*(1-LOTE_03!$K$10),2)</f>
        <v>17.940000000000001</v>
      </c>
      <c r="I363" s="46">
        <f>TRUNC(T363*(1-LOTE_03!$K$10),2)</f>
        <v>10.87</v>
      </c>
      <c r="J363" s="100">
        <f t="shared" si="44"/>
        <v>0.22470000000000001</v>
      </c>
      <c r="K363" s="48">
        <f t="shared" si="38"/>
        <v>21.97</v>
      </c>
      <c r="L363" s="48">
        <f t="shared" si="39"/>
        <v>13.31</v>
      </c>
      <c r="M363" s="48">
        <f t="shared" si="40"/>
        <v>10985</v>
      </c>
      <c r="N363" s="48">
        <f t="shared" si="41"/>
        <v>6655</v>
      </c>
      <c r="O363" s="50">
        <f t="shared" si="42"/>
        <v>17640</v>
      </c>
      <c r="P363" s="50">
        <v>0</v>
      </c>
      <c r="Q363" s="76"/>
      <c r="R363" s="140">
        <f>IF((100*S9+100*S10)&gt;500,500,(100*S9+100*S10))</f>
        <v>500</v>
      </c>
      <c r="S363" s="79">
        <v>17.939999999999998</v>
      </c>
      <c r="T363" s="80">
        <v>10.87</v>
      </c>
    </row>
    <row r="364" spans="2:20" ht="56">
      <c r="B364" s="5" t="s">
        <v>876</v>
      </c>
      <c r="C364" s="45" t="s">
        <v>135</v>
      </c>
      <c r="D364" s="45">
        <v>97599</v>
      </c>
      <c r="E364" s="6" t="s">
        <v>877</v>
      </c>
      <c r="F364" s="45" t="s">
        <v>210</v>
      </c>
      <c r="G364" s="46">
        <f t="shared" si="43"/>
        <v>100</v>
      </c>
      <c r="H364" s="46">
        <f>TRUNC(S364*(1-LOTE_03!$K$10),2)</f>
        <v>11.25</v>
      </c>
      <c r="I364" s="46">
        <f>TRUNC(T364*(1-LOTE_03!$K$10),2)</f>
        <v>4.55</v>
      </c>
      <c r="J364" s="100">
        <f t="shared" si="44"/>
        <v>0.22470000000000001</v>
      </c>
      <c r="K364" s="48">
        <f t="shared" si="38"/>
        <v>13.77</v>
      </c>
      <c r="L364" s="48">
        <f t="shared" si="39"/>
        <v>5.57</v>
      </c>
      <c r="M364" s="48">
        <f t="shared" si="40"/>
        <v>1377</v>
      </c>
      <c r="N364" s="48">
        <f t="shared" si="41"/>
        <v>557</v>
      </c>
      <c r="O364" s="50">
        <f t="shared" si="42"/>
        <v>1934</v>
      </c>
      <c r="P364" s="50">
        <v>0</v>
      </c>
      <c r="Q364" s="76"/>
      <c r="R364" s="140">
        <f>IF((20*S9+20*S10)&gt;100,100,(20*S9+20*S10))</f>
        <v>100</v>
      </c>
      <c r="S364" s="79">
        <v>11.25</v>
      </c>
      <c r="T364" s="80">
        <v>4.55</v>
      </c>
    </row>
    <row r="365" spans="2:20" ht="28">
      <c r="B365" s="5" t="s">
        <v>878</v>
      </c>
      <c r="C365" s="45" t="s">
        <v>97</v>
      </c>
      <c r="D365" s="45" t="s">
        <v>879</v>
      </c>
      <c r="E365" s="6" t="s">
        <v>880</v>
      </c>
      <c r="F365" s="45" t="s">
        <v>881</v>
      </c>
      <c r="G365" s="46">
        <f t="shared" si="43"/>
        <v>495</v>
      </c>
      <c r="H365" s="46">
        <f>TRUNC(S365*(1-LOTE_03!$K$10),2)</f>
        <v>113.45</v>
      </c>
      <c r="I365" s="46">
        <f>TRUNC(T365*(1-LOTE_03!$K$10),2)</f>
        <v>38.76</v>
      </c>
      <c r="J365" s="100">
        <f t="shared" si="44"/>
        <v>0.22470000000000001</v>
      </c>
      <c r="K365" s="48">
        <f t="shared" si="38"/>
        <v>138.94</v>
      </c>
      <c r="L365" s="48">
        <f t="shared" si="39"/>
        <v>47.46</v>
      </c>
      <c r="M365" s="48">
        <f t="shared" si="40"/>
        <v>68775.3</v>
      </c>
      <c r="N365" s="48">
        <f t="shared" si="41"/>
        <v>23492.7</v>
      </c>
      <c r="O365" s="50">
        <f t="shared" si="42"/>
        <v>92268</v>
      </c>
      <c r="P365" s="50">
        <v>0</v>
      </c>
      <c r="Q365" s="76"/>
      <c r="R365" s="141">
        <f>(6+6+3+2+2+6+4+2+2+4+6+6+6)*(S9+S10)</f>
        <v>495</v>
      </c>
      <c r="S365" s="79">
        <v>113.45</v>
      </c>
      <c r="T365" s="80">
        <v>38.76</v>
      </c>
    </row>
    <row r="366" spans="2:20" ht="28">
      <c r="B366" s="5" t="s">
        <v>882</v>
      </c>
      <c r="C366" s="45" t="s">
        <v>97</v>
      </c>
      <c r="D366" s="45" t="s">
        <v>883</v>
      </c>
      <c r="E366" s="6" t="s">
        <v>884</v>
      </c>
      <c r="F366" s="45" t="s">
        <v>104</v>
      </c>
      <c r="G366" s="46">
        <f t="shared" si="43"/>
        <v>297</v>
      </c>
      <c r="H366" s="46">
        <f>TRUNC(S366*(1-LOTE_03!$K$10),2)</f>
        <v>112.45</v>
      </c>
      <c r="I366" s="46">
        <f>TRUNC(T366*(1-LOTE_03!$K$10),2)</f>
        <v>38.76</v>
      </c>
      <c r="J366" s="100">
        <f t="shared" si="44"/>
        <v>0.22470000000000001</v>
      </c>
      <c r="K366" s="48">
        <f t="shared" si="38"/>
        <v>137.71</v>
      </c>
      <c r="L366" s="48">
        <f t="shared" si="39"/>
        <v>47.46</v>
      </c>
      <c r="M366" s="48">
        <f t="shared" si="40"/>
        <v>40899.870000000003</v>
      </c>
      <c r="N366" s="48">
        <f t="shared" si="41"/>
        <v>14095.62</v>
      </c>
      <c r="O366" s="50">
        <f t="shared" si="42"/>
        <v>54995.49</v>
      </c>
      <c r="P366" s="50">
        <v>0</v>
      </c>
      <c r="Q366" s="76"/>
      <c r="R366" s="141">
        <f>(3+9+14+7)*(S9+S10)</f>
        <v>297</v>
      </c>
      <c r="S366" s="79">
        <v>112.45</v>
      </c>
      <c r="T366" s="80">
        <v>38.76</v>
      </c>
    </row>
    <row r="367" spans="2:20" ht="42">
      <c r="B367" s="5" t="s">
        <v>885</v>
      </c>
      <c r="C367" s="45" t="s">
        <v>97</v>
      </c>
      <c r="D367" s="45" t="s">
        <v>886</v>
      </c>
      <c r="E367" s="6" t="s">
        <v>887</v>
      </c>
      <c r="F367" s="45" t="s">
        <v>104</v>
      </c>
      <c r="G367" s="46">
        <f t="shared" si="43"/>
        <v>90</v>
      </c>
      <c r="H367" s="46">
        <f>TRUNC(S367*(1-LOTE_03!$K$10),2)</f>
        <v>112.45</v>
      </c>
      <c r="I367" s="46">
        <f>TRUNC(T367*(1-LOTE_03!$K$10),2)</f>
        <v>38.76</v>
      </c>
      <c r="J367" s="100">
        <f t="shared" si="44"/>
        <v>0.22470000000000001</v>
      </c>
      <c r="K367" s="48">
        <f t="shared" si="38"/>
        <v>137.71</v>
      </c>
      <c r="L367" s="48">
        <f t="shared" si="39"/>
        <v>47.46</v>
      </c>
      <c r="M367" s="48">
        <f t="shared" si="40"/>
        <v>12393.9</v>
      </c>
      <c r="N367" s="48">
        <f t="shared" si="41"/>
        <v>4271.3999999999996</v>
      </c>
      <c r="O367" s="50">
        <f t="shared" si="42"/>
        <v>16665.3</v>
      </c>
      <c r="P367" s="50">
        <v>0</v>
      </c>
      <c r="Q367" s="76"/>
      <c r="R367" s="141">
        <f>10*(S9+S10)</f>
        <v>90</v>
      </c>
      <c r="S367" s="79">
        <v>112.45</v>
      </c>
      <c r="T367" s="80">
        <v>38.76</v>
      </c>
    </row>
    <row r="368" spans="2:20" ht="28">
      <c r="B368" s="5" t="s">
        <v>888</v>
      </c>
      <c r="C368" s="45" t="s">
        <v>97</v>
      </c>
      <c r="D368" s="45" t="s">
        <v>889</v>
      </c>
      <c r="E368" s="6" t="s">
        <v>890</v>
      </c>
      <c r="F368" s="45" t="s">
        <v>104</v>
      </c>
      <c r="G368" s="46">
        <f t="shared" si="43"/>
        <v>180</v>
      </c>
      <c r="H368" s="46">
        <f>TRUNC(S368*(1-LOTE_03!$K$10),2)</f>
        <v>2030.16</v>
      </c>
      <c r="I368" s="46">
        <f>TRUNC(T368*(1-LOTE_03!$K$10),2)</f>
        <v>43.07</v>
      </c>
      <c r="J368" s="100">
        <f t="shared" si="44"/>
        <v>0.22470000000000001</v>
      </c>
      <c r="K368" s="48">
        <f t="shared" si="38"/>
        <v>2486.33</v>
      </c>
      <c r="L368" s="48">
        <f t="shared" si="39"/>
        <v>52.74</v>
      </c>
      <c r="M368" s="48">
        <f t="shared" si="40"/>
        <v>447539.4</v>
      </c>
      <c r="N368" s="48">
        <f t="shared" si="41"/>
        <v>9493.2000000000007</v>
      </c>
      <c r="O368" s="50">
        <f t="shared" si="42"/>
        <v>457032.6</v>
      </c>
      <c r="P368" s="50">
        <v>0</v>
      </c>
      <c r="Q368" s="76"/>
      <c r="R368" s="141">
        <f>20*(S9+S10)</f>
        <v>180</v>
      </c>
      <c r="S368" s="79">
        <v>2030.16</v>
      </c>
      <c r="T368" s="80">
        <v>43.07</v>
      </c>
    </row>
    <row r="369" spans="2:20" ht="28">
      <c r="B369" s="5" t="s">
        <v>891</v>
      </c>
      <c r="C369" s="45" t="s">
        <v>97</v>
      </c>
      <c r="D369" s="45" t="s">
        <v>892</v>
      </c>
      <c r="E369" s="6" t="s">
        <v>893</v>
      </c>
      <c r="F369" s="45" t="s">
        <v>104</v>
      </c>
      <c r="G369" s="46">
        <f t="shared" si="43"/>
        <v>108</v>
      </c>
      <c r="H369" s="46">
        <f>TRUNC(S369*(1-LOTE_03!$K$10),2)</f>
        <v>1893.48</v>
      </c>
      <c r="I369" s="46">
        <f>TRUNC(T369*(1-LOTE_03!$K$10),2)</f>
        <v>43.07</v>
      </c>
      <c r="J369" s="100">
        <f t="shared" si="44"/>
        <v>0.22470000000000001</v>
      </c>
      <c r="K369" s="48">
        <f t="shared" si="38"/>
        <v>2318.94</v>
      </c>
      <c r="L369" s="48">
        <f t="shared" si="39"/>
        <v>52.74</v>
      </c>
      <c r="M369" s="48">
        <f t="shared" si="40"/>
        <v>250445.52</v>
      </c>
      <c r="N369" s="48">
        <f t="shared" si="41"/>
        <v>5695.92</v>
      </c>
      <c r="O369" s="50">
        <f t="shared" si="42"/>
        <v>256141.44</v>
      </c>
      <c r="P369" s="50">
        <v>0</v>
      </c>
      <c r="Q369" s="76"/>
      <c r="R369" s="141">
        <f>12*(S9+S10)</f>
        <v>108</v>
      </c>
      <c r="S369" s="79">
        <v>1893.48</v>
      </c>
      <c r="T369" s="80">
        <v>43.07</v>
      </c>
    </row>
    <row r="370" spans="2:20" ht="28">
      <c r="B370" s="5" t="s">
        <v>894</v>
      </c>
      <c r="C370" s="45" t="s">
        <v>97</v>
      </c>
      <c r="D370" s="45" t="s">
        <v>895</v>
      </c>
      <c r="E370" s="6" t="s">
        <v>896</v>
      </c>
      <c r="F370" s="45" t="s">
        <v>104</v>
      </c>
      <c r="G370" s="46">
        <f t="shared" si="43"/>
        <v>288</v>
      </c>
      <c r="H370" s="46">
        <f>TRUNC(S370*(1-LOTE_03!$K$10),2)</f>
        <v>863.31</v>
      </c>
      <c r="I370" s="46">
        <f>TRUNC(T370*(1-LOTE_03!$K$10),2)</f>
        <v>43.07</v>
      </c>
      <c r="J370" s="100">
        <f t="shared" si="44"/>
        <v>0.22470000000000001</v>
      </c>
      <c r="K370" s="48">
        <f t="shared" si="38"/>
        <v>1057.29</v>
      </c>
      <c r="L370" s="48">
        <f t="shared" si="39"/>
        <v>52.74</v>
      </c>
      <c r="M370" s="48">
        <f t="shared" si="40"/>
        <v>304499.52</v>
      </c>
      <c r="N370" s="48">
        <f t="shared" si="41"/>
        <v>15189.12</v>
      </c>
      <c r="O370" s="50">
        <f t="shared" si="42"/>
        <v>319688.64</v>
      </c>
      <c r="P370" s="50">
        <v>0</v>
      </c>
      <c r="Q370" s="76"/>
      <c r="R370" s="141">
        <f>(19+13)*(S9+S10)</f>
        <v>288</v>
      </c>
      <c r="S370" s="79">
        <v>863.31</v>
      </c>
      <c r="T370" s="80">
        <v>43.07</v>
      </c>
    </row>
    <row r="371" spans="2:20" ht="56">
      <c r="B371" s="5" t="s">
        <v>897</v>
      </c>
      <c r="C371" s="45" t="s">
        <v>97</v>
      </c>
      <c r="D371" s="45" t="s">
        <v>898</v>
      </c>
      <c r="E371" s="6" t="s">
        <v>899</v>
      </c>
      <c r="F371" s="45" t="s">
        <v>104</v>
      </c>
      <c r="G371" s="46">
        <f t="shared" si="43"/>
        <v>129.15</v>
      </c>
      <c r="H371" s="46">
        <f>TRUNC(S371*(1-LOTE_03!$K$10),2)</f>
        <v>154.97999999999999</v>
      </c>
      <c r="I371" s="46">
        <f>TRUNC(T371*(1-LOTE_03!$K$10),2)</f>
        <v>47.37</v>
      </c>
      <c r="J371" s="100">
        <f t="shared" si="44"/>
        <v>0.22470000000000001</v>
      </c>
      <c r="K371" s="48">
        <f t="shared" si="38"/>
        <v>189.8</v>
      </c>
      <c r="L371" s="48">
        <f t="shared" si="39"/>
        <v>58.01</v>
      </c>
      <c r="M371" s="48">
        <f t="shared" si="40"/>
        <v>24512.67</v>
      </c>
      <c r="N371" s="48">
        <f t="shared" si="41"/>
        <v>7491.99</v>
      </c>
      <c r="O371" s="50">
        <f t="shared" si="42"/>
        <v>32004.66</v>
      </c>
      <c r="P371" s="50">
        <v>0</v>
      </c>
      <c r="Q371" s="76"/>
      <c r="R371" s="141">
        <f>(4+4.85+5.5)*(S9+S10)</f>
        <v>129.15</v>
      </c>
      <c r="S371" s="79">
        <v>154.97999999999999</v>
      </c>
      <c r="T371" s="80">
        <v>47.37</v>
      </c>
    </row>
    <row r="372" spans="2:20" ht="28">
      <c r="B372" s="5" t="s">
        <v>900</v>
      </c>
      <c r="C372" s="45" t="s">
        <v>97</v>
      </c>
      <c r="D372" s="45" t="s">
        <v>901</v>
      </c>
      <c r="E372" s="6" t="s">
        <v>902</v>
      </c>
      <c r="F372" s="45" t="s">
        <v>187</v>
      </c>
      <c r="G372" s="46">
        <f t="shared" si="43"/>
        <v>129.15</v>
      </c>
      <c r="H372" s="46">
        <f>TRUNC(S372*(1-LOTE_03!$K$10),2)</f>
        <v>56.18</v>
      </c>
      <c r="I372" s="46">
        <f>TRUNC(T372*(1-LOTE_03!$K$10),2)</f>
        <v>20.420000000000002</v>
      </c>
      <c r="J372" s="100">
        <f t="shared" si="44"/>
        <v>0.22470000000000001</v>
      </c>
      <c r="K372" s="48">
        <f t="shared" si="38"/>
        <v>68.8</v>
      </c>
      <c r="L372" s="48">
        <f t="shared" si="39"/>
        <v>25</v>
      </c>
      <c r="M372" s="48">
        <f t="shared" si="40"/>
        <v>8885.52</v>
      </c>
      <c r="N372" s="48">
        <f t="shared" si="41"/>
        <v>3228.75</v>
      </c>
      <c r="O372" s="50">
        <f t="shared" si="42"/>
        <v>12114.27</v>
      </c>
      <c r="P372" s="50">
        <v>0</v>
      </c>
      <c r="Q372" s="76"/>
      <c r="R372" s="141">
        <f>R371</f>
        <v>129.15</v>
      </c>
      <c r="S372" s="79">
        <v>56.18</v>
      </c>
      <c r="T372" s="80">
        <v>20.420000000000002</v>
      </c>
    </row>
    <row r="373" spans="2:20" ht="42">
      <c r="B373" s="5" t="s">
        <v>903</v>
      </c>
      <c r="C373" s="45" t="s">
        <v>97</v>
      </c>
      <c r="D373" s="45" t="s">
        <v>904</v>
      </c>
      <c r="E373" s="6" t="s">
        <v>905</v>
      </c>
      <c r="F373" s="45" t="s">
        <v>104</v>
      </c>
      <c r="G373" s="46">
        <f t="shared" si="43"/>
        <v>36</v>
      </c>
      <c r="H373" s="46">
        <f>TRUNC(S373*(1-LOTE_03!$K$10),2)</f>
        <v>261.83</v>
      </c>
      <c r="I373" s="46">
        <f>TRUNC(T373*(1-LOTE_03!$K$10),2)</f>
        <v>8.61</v>
      </c>
      <c r="J373" s="100">
        <f t="shared" si="44"/>
        <v>0.22470000000000001</v>
      </c>
      <c r="K373" s="48">
        <f t="shared" si="38"/>
        <v>320.66000000000003</v>
      </c>
      <c r="L373" s="48">
        <f t="shared" si="39"/>
        <v>10.54</v>
      </c>
      <c r="M373" s="48">
        <f t="shared" si="40"/>
        <v>11543.76</v>
      </c>
      <c r="N373" s="48">
        <f t="shared" si="41"/>
        <v>379.44</v>
      </c>
      <c r="O373" s="50">
        <f t="shared" si="42"/>
        <v>11923.2</v>
      </c>
      <c r="P373" s="50">
        <v>0</v>
      </c>
      <c r="Q373" s="76"/>
      <c r="R373" s="140">
        <f>4*S9+4*S10</f>
        <v>36</v>
      </c>
      <c r="S373" s="79">
        <v>261.83</v>
      </c>
      <c r="T373" s="80">
        <v>8.61</v>
      </c>
    </row>
    <row r="374" spans="2:20" ht="28">
      <c r="B374" s="5" t="s">
        <v>906</v>
      </c>
      <c r="C374" s="45" t="s">
        <v>97</v>
      </c>
      <c r="D374" s="45" t="s">
        <v>907</v>
      </c>
      <c r="E374" s="6" t="s">
        <v>908</v>
      </c>
      <c r="F374" s="45" t="s">
        <v>104</v>
      </c>
      <c r="G374" s="46">
        <f t="shared" si="43"/>
        <v>36</v>
      </c>
      <c r="H374" s="46">
        <f>TRUNC(S374*(1-LOTE_03!$K$10),2)</f>
        <v>234.83</v>
      </c>
      <c r="I374" s="46">
        <f>TRUNC(T374*(1-LOTE_03!$K$10),2)</f>
        <v>8.61</v>
      </c>
      <c r="J374" s="100">
        <f t="shared" si="44"/>
        <v>0.22470000000000001</v>
      </c>
      <c r="K374" s="48">
        <f t="shared" si="38"/>
        <v>287.58999999999997</v>
      </c>
      <c r="L374" s="48">
        <f t="shared" si="39"/>
        <v>10.54</v>
      </c>
      <c r="M374" s="48">
        <f t="shared" si="40"/>
        <v>10353.24</v>
      </c>
      <c r="N374" s="48">
        <f t="shared" si="41"/>
        <v>379.44</v>
      </c>
      <c r="O374" s="50">
        <f t="shared" si="42"/>
        <v>10732.68</v>
      </c>
      <c r="P374" s="50">
        <v>0</v>
      </c>
      <c r="Q374" s="76"/>
      <c r="R374" s="140">
        <f>4*S9+4*S10</f>
        <v>36</v>
      </c>
      <c r="S374" s="79">
        <v>234.83</v>
      </c>
      <c r="T374" s="80">
        <v>8.61</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50">
        <v>0</v>
      </c>
      <c r="Q375" s="76"/>
      <c r="R375" s="154"/>
      <c r="S375" s="79" t="s">
        <v>22</v>
      </c>
      <c r="T375" s="80" t="s">
        <v>22</v>
      </c>
    </row>
    <row r="376" spans="2:20" ht="56">
      <c r="B376" s="5" t="s">
        <v>911</v>
      </c>
      <c r="C376" s="45" t="s">
        <v>135</v>
      </c>
      <c r="D376" s="45">
        <v>93661</v>
      </c>
      <c r="E376" s="6" t="s">
        <v>912</v>
      </c>
      <c r="F376" s="45" t="s">
        <v>210</v>
      </c>
      <c r="G376" s="46">
        <f t="shared" si="43"/>
        <v>18</v>
      </c>
      <c r="H376" s="46">
        <f>TRUNC(S376*(1-LOTE_03!$K$10),2)</f>
        <v>55.18</v>
      </c>
      <c r="I376" s="46">
        <f>TRUNC(T376*(1-LOTE_03!$K$10),2)</f>
        <v>2.6</v>
      </c>
      <c r="J376" s="100">
        <f t="shared" si="44"/>
        <v>0.22470000000000001</v>
      </c>
      <c r="K376" s="48">
        <f t="shared" si="38"/>
        <v>67.569999999999993</v>
      </c>
      <c r="L376" s="48">
        <f t="shared" si="39"/>
        <v>3.18</v>
      </c>
      <c r="M376" s="48">
        <f t="shared" si="40"/>
        <v>1216.26</v>
      </c>
      <c r="N376" s="48">
        <f t="shared" si="41"/>
        <v>57.24</v>
      </c>
      <c r="O376" s="50">
        <f t="shared" si="42"/>
        <v>1273.5</v>
      </c>
      <c r="P376" s="50">
        <v>0</v>
      </c>
      <c r="Q376" s="76"/>
      <c r="R376" s="140">
        <f>2*S9+2*S10</f>
        <v>18</v>
      </c>
      <c r="S376" s="79">
        <v>55.18</v>
      </c>
      <c r="T376" s="80">
        <v>2.6</v>
      </c>
    </row>
    <row r="377" spans="2:20" ht="56">
      <c r="B377" s="5" t="s">
        <v>913</v>
      </c>
      <c r="C377" s="45" t="s">
        <v>135</v>
      </c>
      <c r="D377" s="45">
        <v>93662</v>
      </c>
      <c r="E377" s="6" t="s">
        <v>914</v>
      </c>
      <c r="F377" s="45" t="s">
        <v>210</v>
      </c>
      <c r="G377" s="46">
        <f t="shared" si="43"/>
        <v>18</v>
      </c>
      <c r="H377" s="46">
        <f>TRUNC(S377*(1-LOTE_03!$K$10),2)</f>
        <v>56.42</v>
      </c>
      <c r="I377" s="46">
        <f>TRUNC(T377*(1-LOTE_03!$K$10),2)</f>
        <v>3.46</v>
      </c>
      <c r="J377" s="100">
        <f t="shared" si="44"/>
        <v>0.22470000000000001</v>
      </c>
      <c r="K377" s="48">
        <f t="shared" si="38"/>
        <v>69.09</v>
      </c>
      <c r="L377" s="48">
        <f t="shared" si="39"/>
        <v>4.2300000000000004</v>
      </c>
      <c r="M377" s="48">
        <f t="shared" si="40"/>
        <v>1243.6199999999999</v>
      </c>
      <c r="N377" s="48">
        <f t="shared" si="41"/>
        <v>76.14</v>
      </c>
      <c r="O377" s="50">
        <f t="shared" si="42"/>
        <v>1319.76</v>
      </c>
      <c r="P377" s="50">
        <v>0</v>
      </c>
      <c r="Q377" s="76"/>
      <c r="R377" s="140">
        <f>2*S9+2*S10</f>
        <v>18</v>
      </c>
      <c r="S377" s="79">
        <v>56.42</v>
      </c>
      <c r="T377" s="80">
        <v>3.46</v>
      </c>
    </row>
    <row r="378" spans="2:20" ht="56">
      <c r="B378" s="5" t="s">
        <v>915</v>
      </c>
      <c r="C378" s="45" t="s">
        <v>135</v>
      </c>
      <c r="D378" s="45">
        <v>93663</v>
      </c>
      <c r="E378" s="6" t="s">
        <v>916</v>
      </c>
      <c r="F378" s="45" t="s">
        <v>210</v>
      </c>
      <c r="G378" s="46">
        <f t="shared" si="43"/>
        <v>50</v>
      </c>
      <c r="H378" s="46">
        <f>TRUNC(S378*(1-LOTE_03!$K$10),2)</f>
        <v>57.12</v>
      </c>
      <c r="I378" s="46">
        <f>TRUNC(T378*(1-LOTE_03!$K$10),2)</f>
        <v>4.76</v>
      </c>
      <c r="J378" s="100">
        <f t="shared" si="44"/>
        <v>0.22470000000000001</v>
      </c>
      <c r="K378" s="48">
        <f t="shared" si="38"/>
        <v>69.95</v>
      </c>
      <c r="L378" s="48">
        <f t="shared" si="39"/>
        <v>5.82</v>
      </c>
      <c r="M378" s="48">
        <f t="shared" si="40"/>
        <v>3497.5</v>
      </c>
      <c r="N378" s="48">
        <f t="shared" si="41"/>
        <v>291</v>
      </c>
      <c r="O378" s="50">
        <f t="shared" si="42"/>
        <v>3788.5</v>
      </c>
      <c r="P378" s="50">
        <v>0</v>
      </c>
      <c r="Q378" s="76"/>
      <c r="R378" s="140">
        <f>IF((10*S9+10*S10)&gt;50,50,(10*S9+10*S10))</f>
        <v>50</v>
      </c>
      <c r="S378" s="79">
        <v>57.120000000000005</v>
      </c>
      <c r="T378" s="80">
        <v>4.76</v>
      </c>
    </row>
    <row r="379" spans="2:20" ht="56">
      <c r="B379" s="5" t="s">
        <v>917</v>
      </c>
      <c r="C379" s="45" t="s">
        <v>135</v>
      </c>
      <c r="D379" s="45">
        <v>101896</v>
      </c>
      <c r="E379" s="6" t="s">
        <v>918</v>
      </c>
      <c r="F379" s="45" t="s">
        <v>210</v>
      </c>
      <c r="G379" s="46">
        <f t="shared" si="43"/>
        <v>5</v>
      </c>
      <c r="H379" s="46">
        <f>TRUNC(S379*(1-LOTE_03!$K$10),2)</f>
        <v>601.33000000000004</v>
      </c>
      <c r="I379" s="46">
        <f>TRUNC(T379*(1-LOTE_03!$K$10),2)</f>
        <v>45.46</v>
      </c>
      <c r="J379" s="100">
        <f t="shared" si="44"/>
        <v>0.22470000000000001</v>
      </c>
      <c r="K379" s="48">
        <f t="shared" si="38"/>
        <v>736.44</v>
      </c>
      <c r="L379" s="48">
        <f t="shared" si="39"/>
        <v>55.67</v>
      </c>
      <c r="M379" s="48">
        <f t="shared" si="40"/>
        <v>3682.2</v>
      </c>
      <c r="N379" s="48">
        <f t="shared" si="41"/>
        <v>278.35000000000002</v>
      </c>
      <c r="O379" s="50">
        <f t="shared" si="42"/>
        <v>3960.55</v>
      </c>
      <c r="P379" s="50">
        <v>0</v>
      </c>
      <c r="Q379" s="76"/>
      <c r="R379" s="140">
        <f>IF((1*S9+1*S10)&gt;5,5,(1*S9+1*S10))</f>
        <v>5</v>
      </c>
      <c r="S379" s="79">
        <v>601.32999999999993</v>
      </c>
      <c r="T379" s="80">
        <v>45.46</v>
      </c>
    </row>
    <row r="380" spans="2:20" ht="42">
      <c r="B380" s="5" t="s">
        <v>919</v>
      </c>
      <c r="C380" s="45" t="s">
        <v>165</v>
      </c>
      <c r="D380" s="45" t="s">
        <v>920</v>
      </c>
      <c r="E380" s="6" t="s">
        <v>921</v>
      </c>
      <c r="F380" s="45" t="s">
        <v>559</v>
      </c>
      <c r="G380" s="46">
        <f t="shared" si="43"/>
        <v>5</v>
      </c>
      <c r="H380" s="46">
        <f>TRUNC(S380*(1-LOTE_03!$K$10),2)</f>
        <v>1082</v>
      </c>
      <c r="I380" s="46">
        <f>TRUNC(T380*(1-LOTE_03!$K$10),2)</f>
        <v>71.97</v>
      </c>
      <c r="J380" s="100">
        <f t="shared" si="44"/>
        <v>0.22470000000000001</v>
      </c>
      <c r="K380" s="48">
        <f t="shared" si="38"/>
        <v>1325.12</v>
      </c>
      <c r="L380" s="48">
        <f t="shared" si="39"/>
        <v>88.14</v>
      </c>
      <c r="M380" s="48">
        <f t="shared" si="40"/>
        <v>6625.6</v>
      </c>
      <c r="N380" s="48">
        <f t="shared" si="41"/>
        <v>440.7</v>
      </c>
      <c r="O380" s="50">
        <f t="shared" si="42"/>
        <v>7066.3</v>
      </c>
      <c r="P380" s="50">
        <v>0</v>
      </c>
      <c r="Q380" s="76"/>
      <c r="R380" s="140">
        <f>IF((1*S9+1*S10)&gt;5,5,(1*S9+1*S10))</f>
        <v>5</v>
      </c>
      <c r="S380" s="79">
        <v>1082</v>
      </c>
      <c r="T380" s="80">
        <v>71.97</v>
      </c>
    </row>
    <row r="381" spans="2:20" ht="56">
      <c r="B381" s="5" t="s">
        <v>922</v>
      </c>
      <c r="C381" s="45" t="s">
        <v>97</v>
      </c>
      <c r="D381" s="45" t="s">
        <v>923</v>
      </c>
      <c r="E381" s="6" t="s">
        <v>924</v>
      </c>
      <c r="F381" s="45" t="s">
        <v>925</v>
      </c>
      <c r="G381" s="46">
        <f t="shared" si="43"/>
        <v>180</v>
      </c>
      <c r="H381" s="46">
        <f>TRUNC(S381*(1-LOTE_03!$K$10),2)</f>
        <v>51.27</v>
      </c>
      <c r="I381" s="46">
        <f>TRUNC(T381*(1-LOTE_03!$K$10),2)</f>
        <v>12.92</v>
      </c>
      <c r="J381" s="100">
        <f t="shared" si="44"/>
        <v>0.22470000000000001</v>
      </c>
      <c r="K381" s="48">
        <f t="shared" si="38"/>
        <v>62.79</v>
      </c>
      <c r="L381" s="48">
        <f t="shared" si="39"/>
        <v>15.82</v>
      </c>
      <c r="M381" s="48">
        <f t="shared" si="40"/>
        <v>11302.2</v>
      </c>
      <c r="N381" s="48">
        <f t="shared" si="41"/>
        <v>2847.6</v>
      </c>
      <c r="O381" s="50">
        <f t="shared" si="42"/>
        <v>14149.8</v>
      </c>
      <c r="P381" s="50">
        <v>0</v>
      </c>
      <c r="Q381" s="76"/>
      <c r="R381" s="140">
        <f>IF((20*S9+20*S10)&gt;200,200,(20*S9+20*S10))</f>
        <v>180</v>
      </c>
      <c r="S381" s="79">
        <v>51.27</v>
      </c>
      <c r="T381" s="80">
        <v>12.92</v>
      </c>
    </row>
    <row r="382" spans="2:20" ht="70">
      <c r="B382" s="5" t="s">
        <v>926</v>
      </c>
      <c r="C382" s="45" t="s">
        <v>135</v>
      </c>
      <c r="D382" s="45">
        <v>91867</v>
      </c>
      <c r="E382" s="6" t="s">
        <v>927</v>
      </c>
      <c r="F382" s="45" t="s">
        <v>187</v>
      </c>
      <c r="G382" s="46">
        <f t="shared" si="43"/>
        <v>450</v>
      </c>
      <c r="H382" s="46">
        <f>TRUNC(S382*(1-LOTE_03!$K$10),2)</f>
        <v>7.07</v>
      </c>
      <c r="I382" s="46">
        <f>TRUNC(T382*(1-LOTE_03!$K$10),2)</f>
        <v>3.99</v>
      </c>
      <c r="J382" s="100">
        <f t="shared" si="44"/>
        <v>0.22470000000000001</v>
      </c>
      <c r="K382" s="48">
        <f t="shared" si="38"/>
        <v>8.65</v>
      </c>
      <c r="L382" s="48">
        <f t="shared" si="39"/>
        <v>4.88</v>
      </c>
      <c r="M382" s="48">
        <f t="shared" si="40"/>
        <v>3892.5</v>
      </c>
      <c r="N382" s="48">
        <f t="shared" si="41"/>
        <v>2196</v>
      </c>
      <c r="O382" s="50">
        <f t="shared" si="42"/>
        <v>6088.5</v>
      </c>
      <c r="P382" s="50">
        <v>0</v>
      </c>
      <c r="Q382" s="76"/>
      <c r="R382" s="140">
        <f>IF((50*S9+50*S10)&gt;500,500,(50*S9+50*S10))</f>
        <v>450</v>
      </c>
      <c r="S382" s="79">
        <v>7.07</v>
      </c>
      <c r="T382" s="80">
        <v>3.99</v>
      </c>
    </row>
    <row r="383" spans="2:20" ht="70">
      <c r="B383" s="5" t="s">
        <v>928</v>
      </c>
      <c r="C383" s="45" t="s">
        <v>135</v>
      </c>
      <c r="D383" s="45">
        <v>91864</v>
      </c>
      <c r="E383" s="6" t="s">
        <v>838</v>
      </c>
      <c r="F383" s="45" t="s">
        <v>187</v>
      </c>
      <c r="G383" s="46">
        <f t="shared" si="43"/>
        <v>100</v>
      </c>
      <c r="H383" s="46">
        <f>TRUNC(S383*(1-LOTE_03!$K$10),2)</f>
        <v>10.87</v>
      </c>
      <c r="I383" s="46">
        <f>TRUNC(T383*(1-LOTE_03!$K$10),2)</f>
        <v>5.9</v>
      </c>
      <c r="J383" s="100">
        <f t="shared" si="44"/>
        <v>0.22470000000000001</v>
      </c>
      <c r="K383" s="48">
        <f t="shared" si="38"/>
        <v>13.31</v>
      </c>
      <c r="L383" s="48">
        <f t="shared" si="39"/>
        <v>7.22</v>
      </c>
      <c r="M383" s="48">
        <f t="shared" si="40"/>
        <v>1331</v>
      </c>
      <c r="N383" s="48">
        <f t="shared" si="41"/>
        <v>722</v>
      </c>
      <c r="O383" s="50">
        <f t="shared" si="42"/>
        <v>2053</v>
      </c>
      <c r="P383" s="50">
        <v>0</v>
      </c>
      <c r="Q383" s="76"/>
      <c r="R383" s="140">
        <f>IF((20*S9+20*S10)&gt;100,100,(20*S9+20*S10))</f>
        <v>100</v>
      </c>
      <c r="S383" s="79">
        <v>10.87</v>
      </c>
      <c r="T383" s="80">
        <v>5.9</v>
      </c>
    </row>
    <row r="384" spans="2:20" ht="42">
      <c r="B384" s="5" t="s">
        <v>929</v>
      </c>
      <c r="C384" s="45" t="s">
        <v>165</v>
      </c>
      <c r="D384" s="45" t="s">
        <v>930</v>
      </c>
      <c r="E384" s="6" t="s">
        <v>931</v>
      </c>
      <c r="F384" s="45" t="s">
        <v>531</v>
      </c>
      <c r="G384" s="46">
        <f t="shared" si="43"/>
        <v>180</v>
      </c>
      <c r="H384" s="46">
        <f>TRUNC(S384*(1-LOTE_03!$K$10),2)</f>
        <v>40.700000000000003</v>
      </c>
      <c r="I384" s="46">
        <f>TRUNC(T384*(1-LOTE_03!$K$10),2)</f>
        <v>17.399999999999999</v>
      </c>
      <c r="J384" s="100">
        <f t="shared" si="44"/>
        <v>0.22470000000000001</v>
      </c>
      <c r="K384" s="48">
        <f t="shared" si="38"/>
        <v>49.84</v>
      </c>
      <c r="L384" s="48">
        <f t="shared" si="39"/>
        <v>21.3</v>
      </c>
      <c r="M384" s="48">
        <f t="shared" si="40"/>
        <v>8971.2000000000007</v>
      </c>
      <c r="N384" s="48">
        <f t="shared" si="41"/>
        <v>3834</v>
      </c>
      <c r="O384" s="50">
        <f t="shared" si="42"/>
        <v>12805.2</v>
      </c>
      <c r="P384" s="50">
        <v>0</v>
      </c>
      <c r="Q384" s="76"/>
      <c r="R384" s="140">
        <f>IF((20*S9+20*S10)&gt;200,200,(20*S9+20*S10))</f>
        <v>180</v>
      </c>
      <c r="S384" s="79">
        <v>40.700000000000003</v>
      </c>
      <c r="T384" s="80">
        <v>17.399999999999999</v>
      </c>
    </row>
    <row r="385" spans="2:20" ht="56">
      <c r="B385" s="5" t="s">
        <v>932</v>
      </c>
      <c r="C385" s="45" t="s">
        <v>135</v>
      </c>
      <c r="D385" s="45">
        <v>95778</v>
      </c>
      <c r="E385" s="6" t="s">
        <v>1814</v>
      </c>
      <c r="F385" s="45" t="s">
        <v>210</v>
      </c>
      <c r="G385" s="46">
        <f t="shared" si="43"/>
        <v>100</v>
      </c>
      <c r="H385" s="46">
        <f>TRUNC(S385*(1-LOTE_03!$K$10),2)</f>
        <v>19.809999999999999</v>
      </c>
      <c r="I385" s="46">
        <f>TRUNC(T385*(1-LOTE_03!$K$10),2)</f>
        <v>10.97</v>
      </c>
      <c r="J385" s="100">
        <f t="shared" si="44"/>
        <v>0.22470000000000001</v>
      </c>
      <c r="K385" s="48">
        <f t="shared" si="38"/>
        <v>24.26</v>
      </c>
      <c r="L385" s="48">
        <f t="shared" si="39"/>
        <v>13.43</v>
      </c>
      <c r="M385" s="48">
        <f t="shared" si="40"/>
        <v>2426</v>
      </c>
      <c r="N385" s="48">
        <f t="shared" si="41"/>
        <v>1343</v>
      </c>
      <c r="O385" s="50">
        <f t="shared" si="42"/>
        <v>3769</v>
      </c>
      <c r="P385" s="50">
        <v>0</v>
      </c>
      <c r="Q385" s="76"/>
      <c r="R385" s="140">
        <f>IF((10*S9+15*S10)&gt;100,100,(10*S9+15*S10))</f>
        <v>100</v>
      </c>
      <c r="S385" s="79">
        <v>19.810000000000002</v>
      </c>
      <c r="T385" s="80">
        <v>10.97</v>
      </c>
    </row>
    <row r="386" spans="2:20" ht="56">
      <c r="B386" s="5" t="s">
        <v>933</v>
      </c>
      <c r="C386" s="45" t="s">
        <v>135</v>
      </c>
      <c r="D386" s="45">
        <v>95780</v>
      </c>
      <c r="E386" s="6" t="s">
        <v>1815</v>
      </c>
      <c r="F386" s="45" t="s">
        <v>210</v>
      </c>
      <c r="G386" s="46">
        <f t="shared" si="43"/>
        <v>100</v>
      </c>
      <c r="H386" s="46">
        <f>TRUNC(S386*(1-LOTE_03!$K$10),2)</f>
        <v>21.33</v>
      </c>
      <c r="I386" s="46">
        <f>TRUNC(T386*(1-LOTE_03!$K$10),2)</f>
        <v>9.56</v>
      </c>
      <c r="J386" s="100">
        <f t="shared" si="44"/>
        <v>0.22470000000000001</v>
      </c>
      <c r="K386" s="48">
        <f t="shared" si="38"/>
        <v>26.12</v>
      </c>
      <c r="L386" s="48">
        <f t="shared" si="39"/>
        <v>11.7</v>
      </c>
      <c r="M386" s="48">
        <f t="shared" si="40"/>
        <v>2612</v>
      </c>
      <c r="N386" s="48">
        <f t="shared" si="41"/>
        <v>1170</v>
      </c>
      <c r="O386" s="50">
        <f t="shared" si="42"/>
        <v>3782</v>
      </c>
      <c r="P386" s="50">
        <v>0</v>
      </c>
      <c r="Q386" s="76"/>
      <c r="R386" s="140">
        <f>IF((10*S9+15*S10)&gt;100,100,(10*S9+15*S10))</f>
        <v>100</v>
      </c>
      <c r="S386" s="79">
        <v>21.33</v>
      </c>
      <c r="T386" s="80">
        <v>9.56</v>
      </c>
    </row>
    <row r="387" spans="2:20" ht="56">
      <c r="B387" s="5" t="s">
        <v>934</v>
      </c>
      <c r="C387" s="45" t="s">
        <v>135</v>
      </c>
      <c r="D387" s="45">
        <v>91944</v>
      </c>
      <c r="E387" s="6" t="s">
        <v>935</v>
      </c>
      <c r="F387" s="45" t="s">
        <v>210</v>
      </c>
      <c r="G387" s="46">
        <f t="shared" si="43"/>
        <v>100</v>
      </c>
      <c r="H387" s="46">
        <f>TRUNC(S387*(1-LOTE_03!$K$10),2)</f>
        <v>9.44</v>
      </c>
      <c r="I387" s="46">
        <f>TRUNC(T387*(1-LOTE_03!$K$10),2)</f>
        <v>7.62</v>
      </c>
      <c r="J387" s="100">
        <f t="shared" si="44"/>
        <v>0.22470000000000001</v>
      </c>
      <c r="K387" s="48">
        <f t="shared" si="38"/>
        <v>11.56</v>
      </c>
      <c r="L387" s="48">
        <f t="shared" si="39"/>
        <v>9.33</v>
      </c>
      <c r="M387" s="48">
        <f t="shared" si="40"/>
        <v>1156</v>
      </c>
      <c r="N387" s="48">
        <f t="shared" si="41"/>
        <v>933</v>
      </c>
      <c r="O387" s="50">
        <f t="shared" si="42"/>
        <v>2089</v>
      </c>
      <c r="P387" s="50">
        <v>0</v>
      </c>
      <c r="Q387" s="76"/>
      <c r="R387" s="140">
        <f>IF((10*S9+15*S10)&gt;100,100,(10*S9+15*S10))</f>
        <v>100</v>
      </c>
      <c r="S387" s="79">
        <v>9.4399999999999977</v>
      </c>
      <c r="T387" s="80">
        <v>7.62</v>
      </c>
    </row>
    <row r="388" spans="2:20" ht="56">
      <c r="B388" s="5" t="s">
        <v>936</v>
      </c>
      <c r="C388" s="45" t="s">
        <v>135</v>
      </c>
      <c r="D388" s="45">
        <v>91926</v>
      </c>
      <c r="E388" s="6" t="s">
        <v>840</v>
      </c>
      <c r="F388" s="45" t="s">
        <v>187</v>
      </c>
      <c r="G388" s="46">
        <f t="shared" si="43"/>
        <v>2400</v>
      </c>
      <c r="H388" s="46">
        <f>TRUNC(S388*(1-LOTE_03!$K$10),2)</f>
        <v>4.1100000000000003</v>
      </c>
      <c r="I388" s="46">
        <f>TRUNC(T388*(1-LOTE_03!$K$10),2)</f>
        <v>1.21</v>
      </c>
      <c r="J388" s="100">
        <f t="shared" si="44"/>
        <v>0.22470000000000001</v>
      </c>
      <c r="K388" s="48">
        <f t="shared" si="38"/>
        <v>5.03</v>
      </c>
      <c r="L388" s="48">
        <f t="shared" si="39"/>
        <v>1.48</v>
      </c>
      <c r="M388" s="48">
        <f t="shared" si="40"/>
        <v>12072</v>
      </c>
      <c r="N388" s="48">
        <f t="shared" si="41"/>
        <v>3552</v>
      </c>
      <c r="O388" s="50">
        <f t="shared" si="42"/>
        <v>15624</v>
      </c>
      <c r="P388" s="50">
        <v>0</v>
      </c>
      <c r="Q388" s="76"/>
      <c r="R388" s="140">
        <f>100*S9+400*S10</f>
        <v>2400</v>
      </c>
      <c r="S388" s="79">
        <v>4.1100000000000003</v>
      </c>
      <c r="T388" s="80">
        <v>1.21</v>
      </c>
    </row>
    <row r="389" spans="2:20" ht="56">
      <c r="B389" s="5" t="s">
        <v>937</v>
      </c>
      <c r="C389" s="45" t="s">
        <v>135</v>
      </c>
      <c r="D389" s="45">
        <v>91928</v>
      </c>
      <c r="E389" s="6" t="s">
        <v>844</v>
      </c>
      <c r="F389" s="45" t="s">
        <v>187</v>
      </c>
      <c r="G389" s="46">
        <f t="shared" si="43"/>
        <v>1400</v>
      </c>
      <c r="H389" s="46">
        <f>TRUNC(S389*(1-LOTE_03!$K$10),2)</f>
        <v>6.64</v>
      </c>
      <c r="I389" s="46">
        <f>TRUNC(T389*(1-LOTE_03!$K$10),2)</f>
        <v>1.63</v>
      </c>
      <c r="J389" s="100">
        <f t="shared" si="44"/>
        <v>0.22470000000000001</v>
      </c>
      <c r="K389" s="48">
        <f t="shared" si="38"/>
        <v>8.1300000000000008</v>
      </c>
      <c r="L389" s="48">
        <f t="shared" si="39"/>
        <v>1.99</v>
      </c>
      <c r="M389" s="48">
        <f t="shared" si="40"/>
        <v>11382</v>
      </c>
      <c r="N389" s="48">
        <f t="shared" si="41"/>
        <v>2786</v>
      </c>
      <c r="O389" s="50">
        <f t="shared" si="42"/>
        <v>14168</v>
      </c>
      <c r="P389" s="50">
        <v>0</v>
      </c>
      <c r="Q389" s="76"/>
      <c r="R389" s="140">
        <f>100*S9+200*S10</f>
        <v>1400</v>
      </c>
      <c r="S389" s="79">
        <v>6.64</v>
      </c>
      <c r="T389" s="80">
        <v>1.63</v>
      </c>
    </row>
    <row r="390" spans="2:20" ht="56">
      <c r="B390" s="5" t="s">
        <v>938</v>
      </c>
      <c r="C390" s="45" t="s">
        <v>135</v>
      </c>
      <c r="D390" s="45">
        <v>91930</v>
      </c>
      <c r="E390" s="6" t="s">
        <v>939</v>
      </c>
      <c r="F390" s="45" t="s">
        <v>187</v>
      </c>
      <c r="G390" s="46">
        <f t="shared" si="43"/>
        <v>1200</v>
      </c>
      <c r="H390" s="46">
        <f>TRUNC(S390*(1-LOTE_03!$K$10),2)</f>
        <v>9.43</v>
      </c>
      <c r="I390" s="46">
        <f>TRUNC(T390*(1-LOTE_03!$K$10),2)</f>
        <v>2.14</v>
      </c>
      <c r="J390" s="100">
        <f t="shared" si="44"/>
        <v>0.22470000000000001</v>
      </c>
      <c r="K390" s="48">
        <f t="shared" si="38"/>
        <v>11.54</v>
      </c>
      <c r="L390" s="48">
        <f t="shared" si="39"/>
        <v>2.62</v>
      </c>
      <c r="M390" s="48">
        <f t="shared" si="40"/>
        <v>13848</v>
      </c>
      <c r="N390" s="48">
        <f t="shared" si="41"/>
        <v>3144</v>
      </c>
      <c r="O390" s="50">
        <f t="shared" si="42"/>
        <v>16992</v>
      </c>
      <c r="P390" s="50">
        <v>0</v>
      </c>
      <c r="Q390" s="76"/>
      <c r="R390" s="140">
        <f>50*S9+200*S10</f>
        <v>1200</v>
      </c>
      <c r="S390" s="79">
        <v>9.43</v>
      </c>
      <c r="T390" s="80">
        <v>2.14</v>
      </c>
    </row>
    <row r="391" spans="2:20" ht="42">
      <c r="B391" s="5" t="s">
        <v>940</v>
      </c>
      <c r="C391" s="45" t="s">
        <v>97</v>
      </c>
      <c r="D391" s="45" t="s">
        <v>904</v>
      </c>
      <c r="E391" s="6" t="s">
        <v>905</v>
      </c>
      <c r="F391" s="45" t="s">
        <v>104</v>
      </c>
      <c r="G391" s="46">
        <f t="shared" si="43"/>
        <v>36</v>
      </c>
      <c r="H391" s="46">
        <f>TRUNC(S391*(1-LOTE_03!$K$10),2)</f>
        <v>261.83</v>
      </c>
      <c r="I391" s="46">
        <f>TRUNC(T391*(1-LOTE_03!$K$10),2)</f>
        <v>8.61</v>
      </c>
      <c r="J391" s="100">
        <f t="shared" si="44"/>
        <v>0.22470000000000001</v>
      </c>
      <c r="K391" s="48">
        <f t="shared" si="38"/>
        <v>320.66000000000003</v>
      </c>
      <c r="L391" s="48">
        <f t="shared" si="39"/>
        <v>10.54</v>
      </c>
      <c r="M391" s="48">
        <f t="shared" si="40"/>
        <v>11543.76</v>
      </c>
      <c r="N391" s="48">
        <f t="shared" si="41"/>
        <v>379.44</v>
      </c>
      <c r="O391" s="50">
        <f t="shared" si="42"/>
        <v>11923.2</v>
      </c>
      <c r="P391" s="50">
        <v>0</v>
      </c>
      <c r="Q391" s="76"/>
      <c r="R391" s="140">
        <f>4*S9+4*S10</f>
        <v>36</v>
      </c>
      <c r="S391" s="79">
        <v>261.83</v>
      </c>
      <c r="T391" s="80">
        <v>8.61</v>
      </c>
    </row>
    <row r="392" spans="2:20" ht="28">
      <c r="B392" s="5" t="s">
        <v>941</v>
      </c>
      <c r="C392" s="45" t="s">
        <v>97</v>
      </c>
      <c r="D392" s="45" t="s">
        <v>907</v>
      </c>
      <c r="E392" s="6" t="s">
        <v>908</v>
      </c>
      <c r="F392" s="45" t="s">
        <v>104</v>
      </c>
      <c r="G392" s="46">
        <f t="shared" si="43"/>
        <v>18</v>
      </c>
      <c r="H392" s="46">
        <f>TRUNC(S392*(1-LOTE_03!$K$10),2)</f>
        <v>234.83</v>
      </c>
      <c r="I392" s="46">
        <f>TRUNC(T392*(1-LOTE_03!$K$10),2)</f>
        <v>8.61</v>
      </c>
      <c r="J392" s="100">
        <f t="shared" si="44"/>
        <v>0.22470000000000001</v>
      </c>
      <c r="K392" s="48">
        <f t="shared" si="38"/>
        <v>287.58999999999997</v>
      </c>
      <c r="L392" s="48">
        <f t="shared" si="39"/>
        <v>10.54</v>
      </c>
      <c r="M392" s="48">
        <f t="shared" si="40"/>
        <v>5176.62</v>
      </c>
      <c r="N392" s="48">
        <f t="shared" si="41"/>
        <v>189.72</v>
      </c>
      <c r="O392" s="50">
        <f t="shared" si="42"/>
        <v>5366.34</v>
      </c>
      <c r="P392" s="50">
        <v>0</v>
      </c>
      <c r="Q392" s="76"/>
      <c r="R392" s="140">
        <f>2*S9+2*S10</f>
        <v>18</v>
      </c>
      <c r="S392" s="79">
        <v>234.83</v>
      </c>
      <c r="T392" s="80">
        <v>8.61</v>
      </c>
    </row>
    <row r="393" spans="2:20" ht="42">
      <c r="B393" s="5" t="s">
        <v>942</v>
      </c>
      <c r="C393" s="45" t="s">
        <v>135</v>
      </c>
      <c r="D393" s="45">
        <v>101903</v>
      </c>
      <c r="E393" s="6" t="s">
        <v>943</v>
      </c>
      <c r="F393" s="45" t="s">
        <v>210</v>
      </c>
      <c r="G393" s="46">
        <f t="shared" si="43"/>
        <v>18</v>
      </c>
      <c r="H393" s="46">
        <f>TRUNC(S393*(1-LOTE_03!$K$10),2)</f>
        <v>365.52</v>
      </c>
      <c r="I393" s="46">
        <f>TRUNC(T393*(1-LOTE_03!$K$10),2)</f>
        <v>9.98</v>
      </c>
      <c r="J393" s="100">
        <f t="shared" si="44"/>
        <v>0.22470000000000001</v>
      </c>
      <c r="K393" s="48">
        <f t="shared" si="38"/>
        <v>447.65</v>
      </c>
      <c r="L393" s="48">
        <f t="shared" si="39"/>
        <v>12.22</v>
      </c>
      <c r="M393" s="48">
        <f t="shared" si="40"/>
        <v>8057.7</v>
      </c>
      <c r="N393" s="48">
        <f t="shared" si="41"/>
        <v>219.96</v>
      </c>
      <c r="O393" s="50">
        <f t="shared" si="42"/>
        <v>8277.66</v>
      </c>
      <c r="P393" s="50">
        <v>0</v>
      </c>
      <c r="Q393" s="76"/>
      <c r="R393" s="140">
        <f>2*S9+2*S10</f>
        <v>18</v>
      </c>
      <c r="S393" s="79">
        <v>365.52</v>
      </c>
      <c r="T393" s="80">
        <v>9.98</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50">
        <v>0</v>
      </c>
      <c r="Q394" s="76"/>
      <c r="R394" s="154"/>
      <c r="S394" s="79" t="s">
        <v>22</v>
      </c>
      <c r="T394" s="80" t="s">
        <v>22</v>
      </c>
    </row>
    <row r="395" spans="2:20" ht="56">
      <c r="B395" s="5" t="s">
        <v>946</v>
      </c>
      <c r="C395" s="45" t="s">
        <v>135</v>
      </c>
      <c r="D395" s="45">
        <v>96984</v>
      </c>
      <c r="E395" s="6" t="s">
        <v>947</v>
      </c>
      <c r="F395" s="45" t="s">
        <v>210</v>
      </c>
      <c r="G395" s="46">
        <f t="shared" si="43"/>
        <v>90</v>
      </c>
      <c r="H395" s="46">
        <f>TRUNC(S395*(1-LOTE_03!$K$10),2)</f>
        <v>31.92</v>
      </c>
      <c r="I395" s="46">
        <f>TRUNC(T395*(1-LOTE_03!$K$10),2)</f>
        <v>32.020000000000003</v>
      </c>
      <c r="J395" s="100">
        <f t="shared" si="44"/>
        <v>0.22470000000000001</v>
      </c>
      <c r="K395" s="48">
        <f t="shared" si="38"/>
        <v>39.090000000000003</v>
      </c>
      <c r="L395" s="48">
        <f t="shared" si="39"/>
        <v>39.21</v>
      </c>
      <c r="M395" s="48">
        <f t="shared" si="40"/>
        <v>3518.1</v>
      </c>
      <c r="N395" s="48">
        <f t="shared" si="41"/>
        <v>3528.9</v>
      </c>
      <c r="O395" s="50">
        <f t="shared" si="42"/>
        <v>7047</v>
      </c>
      <c r="P395" s="50">
        <v>0</v>
      </c>
      <c r="Q395" s="76"/>
      <c r="R395" s="140">
        <f>10*S9+10*S10</f>
        <v>90</v>
      </c>
      <c r="S395" s="79">
        <v>31.919999999999995</v>
      </c>
      <c r="T395" s="80">
        <v>32.020000000000003</v>
      </c>
    </row>
    <row r="396" spans="2:20" ht="42">
      <c r="B396" s="5" t="s">
        <v>948</v>
      </c>
      <c r="C396" s="45" t="s">
        <v>97</v>
      </c>
      <c r="D396" s="45" t="s">
        <v>949</v>
      </c>
      <c r="E396" s="6" t="s">
        <v>950</v>
      </c>
      <c r="F396" s="45" t="s">
        <v>104</v>
      </c>
      <c r="G396" s="46">
        <f t="shared" si="43"/>
        <v>54</v>
      </c>
      <c r="H396" s="46">
        <f>TRUNC(S396*(1-LOTE_03!$K$10),2)</f>
        <v>2.57</v>
      </c>
      <c r="I396" s="46">
        <f>TRUNC(T396*(1-LOTE_03!$K$10),2)</f>
        <v>1.07</v>
      </c>
      <c r="J396" s="100">
        <f t="shared" si="44"/>
        <v>0.22470000000000001</v>
      </c>
      <c r="K396" s="48">
        <f t="shared" si="38"/>
        <v>3.14</v>
      </c>
      <c r="L396" s="48">
        <f t="shared" si="39"/>
        <v>1.31</v>
      </c>
      <c r="M396" s="48">
        <f t="shared" si="40"/>
        <v>169.56</v>
      </c>
      <c r="N396" s="48">
        <f t="shared" si="41"/>
        <v>70.739999999999995</v>
      </c>
      <c r="O396" s="50">
        <f t="shared" si="42"/>
        <v>240.3</v>
      </c>
      <c r="P396" s="50">
        <v>0</v>
      </c>
      <c r="Q396" s="76"/>
      <c r="R396" s="140">
        <f>6*S9+6*S10</f>
        <v>54</v>
      </c>
      <c r="S396" s="79">
        <v>2.57</v>
      </c>
      <c r="T396" s="80">
        <v>1.07</v>
      </c>
    </row>
    <row r="397" spans="2:20" ht="42">
      <c r="B397" s="5" t="s">
        <v>951</v>
      </c>
      <c r="C397" s="45" t="s">
        <v>135</v>
      </c>
      <c r="D397" s="45">
        <v>96985</v>
      </c>
      <c r="E397" s="6" t="s">
        <v>952</v>
      </c>
      <c r="F397" s="45" t="s">
        <v>210</v>
      </c>
      <c r="G397" s="46">
        <f t="shared" si="43"/>
        <v>90</v>
      </c>
      <c r="H397" s="46">
        <f>TRUNC(S397*(1-LOTE_03!$K$10),2)</f>
        <v>63.92</v>
      </c>
      <c r="I397" s="46">
        <f>TRUNC(T397*(1-LOTE_03!$K$10),2)</f>
        <v>9.61</v>
      </c>
      <c r="J397" s="100">
        <f t="shared" si="44"/>
        <v>0.22470000000000001</v>
      </c>
      <c r="K397" s="48">
        <f t="shared" si="38"/>
        <v>78.28</v>
      </c>
      <c r="L397" s="48">
        <f t="shared" si="39"/>
        <v>11.76</v>
      </c>
      <c r="M397" s="48">
        <f t="shared" si="40"/>
        <v>7045.2</v>
      </c>
      <c r="N397" s="48">
        <f t="shared" si="41"/>
        <v>1058.4000000000001</v>
      </c>
      <c r="O397" s="50">
        <f t="shared" si="42"/>
        <v>8103.6</v>
      </c>
      <c r="P397" s="50">
        <v>0</v>
      </c>
      <c r="Q397" s="76"/>
      <c r="R397" s="140">
        <f>10*S9+10*S10</f>
        <v>90</v>
      </c>
      <c r="S397" s="79">
        <v>63.92</v>
      </c>
      <c r="T397" s="80">
        <v>9.61</v>
      </c>
    </row>
    <row r="398" spans="2:20" ht="56">
      <c r="B398" s="5" t="s">
        <v>953</v>
      </c>
      <c r="C398" s="45" t="s">
        <v>135</v>
      </c>
      <c r="D398" s="45">
        <v>98111</v>
      </c>
      <c r="E398" s="6" t="s">
        <v>954</v>
      </c>
      <c r="F398" s="45" t="s">
        <v>210</v>
      </c>
      <c r="G398" s="46">
        <f t="shared" si="43"/>
        <v>27</v>
      </c>
      <c r="H398" s="46">
        <f>TRUNC(S398*(1-LOTE_03!$K$10),2)</f>
        <v>53.12</v>
      </c>
      <c r="I398" s="46">
        <f>TRUNC(T398*(1-LOTE_03!$K$10),2)</f>
        <v>6.3</v>
      </c>
      <c r="J398" s="100">
        <f t="shared" si="44"/>
        <v>0.22470000000000001</v>
      </c>
      <c r="K398" s="48">
        <f t="shared" si="38"/>
        <v>65.05</v>
      </c>
      <c r="L398" s="48">
        <f t="shared" si="39"/>
        <v>7.71</v>
      </c>
      <c r="M398" s="48">
        <f t="shared" si="40"/>
        <v>1756.35</v>
      </c>
      <c r="N398" s="48">
        <f t="shared" si="41"/>
        <v>208.17</v>
      </c>
      <c r="O398" s="50">
        <f t="shared" si="42"/>
        <v>1964.52</v>
      </c>
      <c r="P398" s="50">
        <v>0</v>
      </c>
      <c r="Q398" s="76"/>
      <c r="R398" s="140">
        <f>3*S9+3*S10</f>
        <v>27</v>
      </c>
      <c r="S398" s="79">
        <v>53.120000000000005</v>
      </c>
      <c r="T398" s="80">
        <v>6.3</v>
      </c>
    </row>
    <row r="399" spans="2:20" ht="28">
      <c r="B399" s="5" t="s">
        <v>955</v>
      </c>
      <c r="C399" s="45" t="s">
        <v>97</v>
      </c>
      <c r="D399" s="45" t="s">
        <v>956</v>
      </c>
      <c r="E399" s="6" t="s">
        <v>957</v>
      </c>
      <c r="F399" s="45" t="s">
        <v>187</v>
      </c>
      <c r="G399" s="46">
        <f t="shared" si="43"/>
        <v>450</v>
      </c>
      <c r="H399" s="46">
        <f>TRUNC(S399*(1-LOTE_03!$K$10),2)</f>
        <v>69.48</v>
      </c>
      <c r="I399" s="46">
        <f>TRUNC(T399*(1-LOTE_03!$K$10),2)</f>
        <v>4.3</v>
      </c>
      <c r="J399" s="100">
        <f t="shared" si="44"/>
        <v>0.22470000000000001</v>
      </c>
      <c r="K399" s="48">
        <f t="shared" si="38"/>
        <v>85.09</v>
      </c>
      <c r="L399" s="48">
        <f t="shared" si="39"/>
        <v>5.26</v>
      </c>
      <c r="M399" s="48">
        <f t="shared" si="40"/>
        <v>38290.5</v>
      </c>
      <c r="N399" s="48">
        <f t="shared" si="41"/>
        <v>2367</v>
      </c>
      <c r="O399" s="50">
        <f t="shared" si="42"/>
        <v>40657.5</v>
      </c>
      <c r="P399" s="50">
        <v>0</v>
      </c>
      <c r="Q399" s="76"/>
      <c r="R399" s="140">
        <f>50*S9+50*S10</f>
        <v>450</v>
      </c>
      <c r="S399" s="79">
        <v>69.48</v>
      </c>
      <c r="T399" s="80">
        <v>4.3</v>
      </c>
    </row>
    <row r="400" spans="2:20" ht="42">
      <c r="B400" s="5" t="s">
        <v>958</v>
      </c>
      <c r="C400" s="45" t="s">
        <v>135</v>
      </c>
      <c r="D400" s="45">
        <v>96977</v>
      </c>
      <c r="E400" s="6" t="s">
        <v>959</v>
      </c>
      <c r="F400" s="45" t="s">
        <v>187</v>
      </c>
      <c r="G400" s="46">
        <f t="shared" si="43"/>
        <v>450</v>
      </c>
      <c r="H400" s="46">
        <f>TRUNC(S400*(1-LOTE_03!$K$10),2)</f>
        <v>72.010000000000005</v>
      </c>
      <c r="I400" s="46">
        <f>TRUNC(T400*(1-LOTE_03!$K$10),2)</f>
        <v>1.37</v>
      </c>
      <c r="J400" s="100">
        <f t="shared" si="44"/>
        <v>0.22470000000000001</v>
      </c>
      <c r="K400" s="48">
        <f t="shared" ref="K400:K463" si="45">TRUNC(H400*(1+J400),2)</f>
        <v>88.19</v>
      </c>
      <c r="L400" s="48">
        <f t="shared" ref="L400:L463" si="46">TRUNC(I400*(1+J400),2)</f>
        <v>1.67</v>
      </c>
      <c r="M400" s="48">
        <f t="shared" ref="M400:M463" si="47">TRUNC(K400*G400,2)</f>
        <v>39685.5</v>
      </c>
      <c r="N400" s="48">
        <f t="shared" ref="N400:N463" si="48">TRUNC(L400*G400,2)</f>
        <v>751.5</v>
      </c>
      <c r="O400" s="50">
        <f t="shared" ref="O400:O463" si="49">TRUNC(M400+N400,2)</f>
        <v>40437</v>
      </c>
      <c r="P400" s="50">
        <v>0</v>
      </c>
      <c r="Q400" s="76"/>
      <c r="R400" s="140">
        <f>50*S9+50*S10</f>
        <v>450</v>
      </c>
      <c r="S400" s="79">
        <v>72.009999999999991</v>
      </c>
      <c r="T400" s="80">
        <v>1.37</v>
      </c>
    </row>
    <row r="401" spans="2:20" ht="28">
      <c r="B401" s="5" t="s">
        <v>960</v>
      </c>
      <c r="C401" s="45" t="s">
        <v>97</v>
      </c>
      <c r="D401" s="45" t="s">
        <v>961</v>
      </c>
      <c r="E401" s="6" t="s">
        <v>962</v>
      </c>
      <c r="F401" s="45" t="s">
        <v>187</v>
      </c>
      <c r="G401" s="46">
        <f t="shared" si="43"/>
        <v>1620</v>
      </c>
      <c r="H401" s="46">
        <f>TRUNC(S401*(1-LOTE_03!$K$10),2)</f>
        <v>13.6</v>
      </c>
      <c r="I401" s="46">
        <f>TRUNC(T401*(1-LOTE_03!$K$10),2)</f>
        <v>4.4000000000000004</v>
      </c>
      <c r="J401" s="100">
        <f t="shared" si="44"/>
        <v>0.22470000000000001</v>
      </c>
      <c r="K401" s="48">
        <f t="shared" si="45"/>
        <v>16.649999999999999</v>
      </c>
      <c r="L401" s="48">
        <f t="shared" si="46"/>
        <v>5.38</v>
      </c>
      <c r="M401" s="48">
        <f t="shared" si="47"/>
        <v>26973</v>
      </c>
      <c r="N401" s="48">
        <f t="shared" si="48"/>
        <v>8715.6</v>
      </c>
      <c r="O401" s="50">
        <f t="shared" si="49"/>
        <v>35688.6</v>
      </c>
      <c r="P401" s="50">
        <v>0</v>
      </c>
      <c r="Q401" s="76"/>
      <c r="R401" s="140">
        <f>60*3*S9+180*S10</f>
        <v>1620</v>
      </c>
      <c r="S401" s="79">
        <v>13.6</v>
      </c>
      <c r="T401" s="80">
        <v>4.4000000000000004</v>
      </c>
    </row>
    <row r="402" spans="2:20" ht="42">
      <c r="B402" s="5" t="s">
        <v>963</v>
      </c>
      <c r="C402" s="45" t="s">
        <v>97</v>
      </c>
      <c r="D402" s="45" t="s">
        <v>964</v>
      </c>
      <c r="E402" s="6" t="s">
        <v>965</v>
      </c>
      <c r="F402" s="45" t="s">
        <v>104</v>
      </c>
      <c r="G402" s="46">
        <f t="shared" ref="G402:G465" si="50">TRUNC(R402,2)</f>
        <v>45</v>
      </c>
      <c r="H402" s="46">
        <f>TRUNC(S402*(1-LOTE_03!$K$10),2)</f>
        <v>19.22</v>
      </c>
      <c r="I402" s="46">
        <f>TRUNC(T402*(1-LOTE_03!$K$10),2)</f>
        <v>2.02</v>
      </c>
      <c r="J402" s="100">
        <f t="shared" ref="J402:J465" si="51">$J$4</f>
        <v>0.22470000000000001</v>
      </c>
      <c r="K402" s="48">
        <f t="shared" si="45"/>
        <v>23.53</v>
      </c>
      <c r="L402" s="48">
        <f t="shared" si="46"/>
        <v>2.4700000000000002</v>
      </c>
      <c r="M402" s="48">
        <f t="shared" si="47"/>
        <v>1058.8499999999999</v>
      </c>
      <c r="N402" s="48">
        <f t="shared" si="48"/>
        <v>111.15</v>
      </c>
      <c r="O402" s="50">
        <f t="shared" si="49"/>
        <v>1170</v>
      </c>
      <c r="P402" s="50">
        <v>0</v>
      </c>
      <c r="Q402" s="76"/>
      <c r="R402" s="140">
        <f>5*S9+5*S10</f>
        <v>45</v>
      </c>
      <c r="S402" s="79">
        <v>19.22</v>
      </c>
      <c r="T402" s="80">
        <v>2.02</v>
      </c>
    </row>
    <row r="403" spans="2:20" ht="28">
      <c r="B403" s="5" t="s">
        <v>966</v>
      </c>
      <c r="C403" s="45" t="s">
        <v>97</v>
      </c>
      <c r="D403" s="45" t="s">
        <v>967</v>
      </c>
      <c r="E403" s="6" t="s">
        <v>968</v>
      </c>
      <c r="F403" s="45" t="s">
        <v>104</v>
      </c>
      <c r="G403" s="46">
        <f t="shared" si="50"/>
        <v>90</v>
      </c>
      <c r="H403" s="46">
        <f>TRUNC(S403*(1-LOTE_03!$K$10),2)</f>
        <v>24.59</v>
      </c>
      <c r="I403" s="46">
        <f>TRUNC(T403*(1-LOTE_03!$K$10),2)</f>
        <v>34.450000000000003</v>
      </c>
      <c r="J403" s="100">
        <f t="shared" si="51"/>
        <v>0.22470000000000001</v>
      </c>
      <c r="K403" s="48">
        <f t="shared" si="45"/>
        <v>30.11</v>
      </c>
      <c r="L403" s="48">
        <f t="shared" si="46"/>
        <v>42.19</v>
      </c>
      <c r="M403" s="48">
        <f t="shared" si="47"/>
        <v>2709.9</v>
      </c>
      <c r="N403" s="48">
        <f t="shared" si="48"/>
        <v>3797.1</v>
      </c>
      <c r="O403" s="50">
        <f t="shared" si="49"/>
        <v>6507</v>
      </c>
      <c r="P403" s="50">
        <v>0</v>
      </c>
      <c r="Q403" s="76"/>
      <c r="R403" s="140">
        <f>10*S9+10*S10</f>
        <v>90</v>
      </c>
      <c r="S403" s="79">
        <v>24.59</v>
      </c>
      <c r="T403" s="80">
        <v>34.450000000000003</v>
      </c>
    </row>
    <row r="404" spans="2:20" ht="56">
      <c r="B404" s="5" t="s">
        <v>969</v>
      </c>
      <c r="C404" s="45" t="s">
        <v>97</v>
      </c>
      <c r="D404" s="45" t="s">
        <v>970</v>
      </c>
      <c r="E404" s="6" t="s">
        <v>971</v>
      </c>
      <c r="F404" s="45" t="s">
        <v>104</v>
      </c>
      <c r="G404" s="46">
        <f t="shared" si="50"/>
        <v>45</v>
      </c>
      <c r="H404" s="46">
        <f>TRUNC(S404*(1-LOTE_03!$K$10),2)</f>
        <v>129.24</v>
      </c>
      <c r="I404" s="46">
        <f>TRUNC(T404*(1-LOTE_03!$K$10),2)</f>
        <v>12.25</v>
      </c>
      <c r="J404" s="100">
        <f t="shared" si="51"/>
        <v>0.22470000000000001</v>
      </c>
      <c r="K404" s="48">
        <f t="shared" si="45"/>
        <v>158.28</v>
      </c>
      <c r="L404" s="48">
        <f t="shared" si="46"/>
        <v>15</v>
      </c>
      <c r="M404" s="48">
        <f t="shared" si="47"/>
        <v>7122.6</v>
      </c>
      <c r="N404" s="48">
        <f t="shared" si="48"/>
        <v>675</v>
      </c>
      <c r="O404" s="50">
        <f t="shared" si="49"/>
        <v>7797.6</v>
      </c>
      <c r="P404" s="50">
        <v>0</v>
      </c>
      <c r="Q404" s="76"/>
      <c r="R404" s="140">
        <f>5*S9+5*S10</f>
        <v>45</v>
      </c>
      <c r="S404" s="79">
        <v>129.24</v>
      </c>
      <c r="T404" s="80">
        <v>12.25</v>
      </c>
    </row>
    <row r="405" spans="2:20" ht="56">
      <c r="B405" s="5" t="s">
        <v>972</v>
      </c>
      <c r="C405" s="45" t="s">
        <v>97</v>
      </c>
      <c r="D405" s="45" t="s">
        <v>973</v>
      </c>
      <c r="E405" s="6" t="s">
        <v>974</v>
      </c>
      <c r="F405" s="45" t="s">
        <v>104</v>
      </c>
      <c r="G405" s="46">
        <f t="shared" si="50"/>
        <v>9</v>
      </c>
      <c r="H405" s="46">
        <f>TRUNC(S405*(1-LOTE_03!$K$10),2)</f>
        <v>78.72</v>
      </c>
      <c r="I405" s="46">
        <f>TRUNC(T405*(1-LOTE_03!$K$10),2)</f>
        <v>306.14999999999998</v>
      </c>
      <c r="J405" s="100">
        <f t="shared" si="51"/>
        <v>0.22470000000000001</v>
      </c>
      <c r="K405" s="48">
        <f t="shared" si="45"/>
        <v>96.4</v>
      </c>
      <c r="L405" s="48">
        <f t="shared" si="46"/>
        <v>374.94</v>
      </c>
      <c r="M405" s="48">
        <f t="shared" si="47"/>
        <v>867.6</v>
      </c>
      <c r="N405" s="48">
        <f t="shared" si="48"/>
        <v>3374.46</v>
      </c>
      <c r="O405" s="50">
        <f t="shared" si="49"/>
        <v>4242.0600000000004</v>
      </c>
      <c r="P405" s="50">
        <v>0</v>
      </c>
      <c r="Q405" s="76"/>
      <c r="R405" s="140">
        <f>1*S9+1*S10</f>
        <v>9</v>
      </c>
      <c r="S405" s="79">
        <v>78.72</v>
      </c>
      <c r="T405" s="80">
        <v>306.14999999999998</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50">
        <v>0</v>
      </c>
      <c r="Q406" s="76"/>
      <c r="R406" s="154"/>
      <c r="S406" s="79" t="s">
        <v>22</v>
      </c>
      <c r="T406" s="80" t="s">
        <v>22</v>
      </c>
    </row>
    <row r="407" spans="2:20" ht="98">
      <c r="B407" s="5" t="s">
        <v>977</v>
      </c>
      <c r="C407" s="45" t="s">
        <v>97</v>
      </c>
      <c r="D407" s="45" t="s">
        <v>978</v>
      </c>
      <c r="E407" s="6" t="s">
        <v>979</v>
      </c>
      <c r="F407" s="45" t="s">
        <v>104</v>
      </c>
      <c r="G407" s="46">
        <f t="shared" si="50"/>
        <v>5</v>
      </c>
      <c r="H407" s="46">
        <f>TRUNC(S407*(1-LOTE_03!$K$10),2)</f>
        <v>3293.32</v>
      </c>
      <c r="I407" s="46">
        <f>TRUNC(T407*(1-LOTE_03!$K$10),2)</f>
        <v>516.84</v>
      </c>
      <c r="J407" s="100">
        <f t="shared" si="51"/>
        <v>0.22470000000000001</v>
      </c>
      <c r="K407" s="48">
        <f t="shared" si="45"/>
        <v>4033.32</v>
      </c>
      <c r="L407" s="48">
        <f t="shared" si="46"/>
        <v>632.97</v>
      </c>
      <c r="M407" s="48">
        <f t="shared" si="47"/>
        <v>20166.599999999999</v>
      </c>
      <c r="N407" s="48">
        <f t="shared" si="48"/>
        <v>3164.85</v>
      </c>
      <c r="O407" s="50">
        <f t="shared" si="49"/>
        <v>23331.45</v>
      </c>
      <c r="P407" s="50">
        <v>0</v>
      </c>
      <c r="Q407" s="76"/>
      <c r="R407" s="140">
        <f>IF((1*S9+1*S10)&gt;5,5,(1*S9+1*S10))</f>
        <v>5</v>
      </c>
      <c r="S407" s="79">
        <v>3293.32</v>
      </c>
      <c r="T407" s="80">
        <v>516.84</v>
      </c>
    </row>
    <row r="408" spans="2:20" ht="56">
      <c r="B408" s="5" t="s">
        <v>980</v>
      </c>
      <c r="C408" s="45" t="s">
        <v>97</v>
      </c>
      <c r="D408" s="45" t="s">
        <v>981</v>
      </c>
      <c r="E408" s="6" t="s">
        <v>982</v>
      </c>
      <c r="F408" s="45" t="s">
        <v>104</v>
      </c>
      <c r="G408" s="46">
        <f t="shared" si="50"/>
        <v>9</v>
      </c>
      <c r="H408" s="46">
        <f>TRUNC(S408*(1-LOTE_03!$K$10),2)</f>
        <v>113.28</v>
      </c>
      <c r="I408" s="46">
        <f>TRUNC(T408*(1-LOTE_03!$K$10),2)</f>
        <v>344.56</v>
      </c>
      <c r="J408" s="100">
        <f t="shared" si="51"/>
        <v>0.22470000000000001</v>
      </c>
      <c r="K408" s="48">
        <f t="shared" si="45"/>
        <v>138.72999999999999</v>
      </c>
      <c r="L408" s="48">
        <f t="shared" si="46"/>
        <v>421.98</v>
      </c>
      <c r="M408" s="48">
        <f t="shared" si="47"/>
        <v>1248.57</v>
      </c>
      <c r="N408" s="48">
        <f t="shared" si="48"/>
        <v>3797.82</v>
      </c>
      <c r="O408" s="50">
        <f t="shared" si="49"/>
        <v>5046.3900000000003</v>
      </c>
      <c r="P408" s="50">
        <v>0</v>
      </c>
      <c r="Q408" s="76"/>
      <c r="R408" s="140">
        <f>1*S9+1*S10</f>
        <v>9</v>
      </c>
      <c r="S408" s="79">
        <v>113.28</v>
      </c>
      <c r="T408" s="80">
        <v>344.56</v>
      </c>
    </row>
    <row r="409" spans="2:20" ht="28">
      <c r="B409" s="5" t="s">
        <v>983</v>
      </c>
      <c r="C409" s="45" t="s">
        <v>97</v>
      </c>
      <c r="D409" s="45" t="s">
        <v>984</v>
      </c>
      <c r="E409" s="6" t="s">
        <v>985</v>
      </c>
      <c r="F409" s="45" t="s">
        <v>104</v>
      </c>
      <c r="G409" s="46">
        <f t="shared" si="50"/>
        <v>9</v>
      </c>
      <c r="H409" s="46">
        <f>TRUNC(S409*(1-LOTE_03!$K$10),2)</f>
        <v>113.28</v>
      </c>
      <c r="I409" s="46">
        <f>TRUNC(T409*(1-LOTE_03!$K$10),2)</f>
        <v>344.56</v>
      </c>
      <c r="J409" s="100">
        <f t="shared" si="51"/>
        <v>0.22470000000000001</v>
      </c>
      <c r="K409" s="48">
        <f t="shared" si="45"/>
        <v>138.72999999999999</v>
      </c>
      <c r="L409" s="48">
        <f t="shared" si="46"/>
        <v>421.98</v>
      </c>
      <c r="M409" s="48">
        <f t="shared" si="47"/>
        <v>1248.57</v>
      </c>
      <c r="N409" s="48">
        <f t="shared" si="48"/>
        <v>3797.82</v>
      </c>
      <c r="O409" s="50">
        <f t="shared" si="49"/>
        <v>5046.3900000000003</v>
      </c>
      <c r="P409" s="50">
        <v>0</v>
      </c>
      <c r="Q409" s="76"/>
      <c r="R409" s="140">
        <f>IF((1*S9+1*S10)&gt;10,10,(1*S9+1*S10))</f>
        <v>9</v>
      </c>
      <c r="S409" s="79">
        <v>113.28</v>
      </c>
      <c r="T409" s="80">
        <v>344.56</v>
      </c>
    </row>
    <row r="410" spans="2:20" ht="28">
      <c r="B410" s="5" t="s">
        <v>986</v>
      </c>
      <c r="C410" s="45" t="s">
        <v>97</v>
      </c>
      <c r="D410" s="45" t="s">
        <v>987</v>
      </c>
      <c r="E410" s="6" t="s">
        <v>988</v>
      </c>
      <c r="F410" s="45" t="s">
        <v>104</v>
      </c>
      <c r="G410" s="46">
        <f t="shared" si="50"/>
        <v>45</v>
      </c>
      <c r="H410" s="46">
        <f>TRUNC(S410*(1-LOTE_03!$K$10),2)</f>
        <v>165.43</v>
      </c>
      <c r="I410" s="46">
        <f>TRUNC(T410*(1-LOTE_03!$K$10),2)</f>
        <v>4.3</v>
      </c>
      <c r="J410" s="100">
        <f t="shared" si="51"/>
        <v>0.22470000000000001</v>
      </c>
      <c r="K410" s="48">
        <f t="shared" si="45"/>
        <v>202.6</v>
      </c>
      <c r="L410" s="48">
        <f t="shared" si="46"/>
        <v>5.26</v>
      </c>
      <c r="M410" s="48">
        <f t="shared" si="47"/>
        <v>9117</v>
      </c>
      <c r="N410" s="48">
        <f t="shared" si="48"/>
        <v>236.7</v>
      </c>
      <c r="O410" s="50">
        <f t="shared" si="49"/>
        <v>9353.7000000000007</v>
      </c>
      <c r="P410" s="50">
        <v>0</v>
      </c>
      <c r="Q410" s="76"/>
      <c r="R410" s="140">
        <f>5*S9+5*S10</f>
        <v>45</v>
      </c>
      <c r="S410" s="79">
        <v>165.43</v>
      </c>
      <c r="T410" s="80">
        <v>4.3</v>
      </c>
    </row>
    <row r="411" spans="2:20" ht="28">
      <c r="B411" s="5" t="s">
        <v>989</v>
      </c>
      <c r="C411" s="45" t="s">
        <v>97</v>
      </c>
      <c r="D411" s="45" t="s">
        <v>990</v>
      </c>
      <c r="E411" s="6" t="s">
        <v>991</v>
      </c>
      <c r="F411" s="45" t="s">
        <v>104</v>
      </c>
      <c r="G411" s="46">
        <f t="shared" si="50"/>
        <v>45</v>
      </c>
      <c r="H411" s="46">
        <f>TRUNC(S411*(1-LOTE_03!$K$10),2)</f>
        <v>39.799999999999997</v>
      </c>
      <c r="I411" s="46">
        <f>TRUNC(T411*(1-LOTE_03!$K$10),2)</f>
        <v>33.74</v>
      </c>
      <c r="J411" s="100">
        <f t="shared" si="51"/>
        <v>0.22470000000000001</v>
      </c>
      <c r="K411" s="48">
        <f t="shared" si="45"/>
        <v>48.74</v>
      </c>
      <c r="L411" s="48">
        <f t="shared" si="46"/>
        <v>41.32</v>
      </c>
      <c r="M411" s="48">
        <f t="shared" si="47"/>
        <v>2193.3000000000002</v>
      </c>
      <c r="N411" s="48">
        <f t="shared" si="48"/>
        <v>1859.4</v>
      </c>
      <c r="O411" s="50">
        <f t="shared" si="49"/>
        <v>4052.7</v>
      </c>
      <c r="P411" s="50">
        <v>0</v>
      </c>
      <c r="Q411" s="76"/>
      <c r="R411" s="140">
        <f>5*S9+5*S10</f>
        <v>45</v>
      </c>
      <c r="S411" s="79">
        <v>39.799999999999997</v>
      </c>
      <c r="T411" s="80">
        <v>33.74</v>
      </c>
    </row>
    <row r="412" spans="2:20" ht="84">
      <c r="B412" s="5" t="s">
        <v>992</v>
      </c>
      <c r="C412" s="45" t="s">
        <v>135</v>
      </c>
      <c r="D412" s="45">
        <v>100561</v>
      </c>
      <c r="E412" s="6" t="s">
        <v>993</v>
      </c>
      <c r="F412" s="45" t="s">
        <v>210</v>
      </c>
      <c r="G412" s="46">
        <f t="shared" si="50"/>
        <v>9</v>
      </c>
      <c r="H412" s="46">
        <f>TRUNC(S412*(1-LOTE_03!$K$10),2)</f>
        <v>139.79</v>
      </c>
      <c r="I412" s="46">
        <f>TRUNC(T412*(1-LOTE_03!$K$10),2)</f>
        <v>31.52</v>
      </c>
      <c r="J412" s="100">
        <f t="shared" si="51"/>
        <v>0.22470000000000001</v>
      </c>
      <c r="K412" s="48">
        <f t="shared" si="45"/>
        <v>171.2</v>
      </c>
      <c r="L412" s="48">
        <f t="shared" si="46"/>
        <v>38.6</v>
      </c>
      <c r="M412" s="48">
        <f t="shared" si="47"/>
        <v>1540.8</v>
      </c>
      <c r="N412" s="48">
        <f t="shared" si="48"/>
        <v>347.4</v>
      </c>
      <c r="O412" s="50">
        <f t="shared" si="49"/>
        <v>1888.2</v>
      </c>
      <c r="P412" s="50">
        <v>0</v>
      </c>
      <c r="Q412" s="76"/>
      <c r="R412" s="140">
        <f>IF((1*S9+1*S10)&gt;10,10,(1*S9+1*S10))</f>
        <v>9</v>
      </c>
      <c r="S412" s="79">
        <v>139.79</v>
      </c>
      <c r="T412" s="80">
        <v>31.52</v>
      </c>
    </row>
    <row r="413" spans="2:20" ht="84">
      <c r="B413" s="5" t="s">
        <v>994</v>
      </c>
      <c r="C413" s="45" t="s">
        <v>135</v>
      </c>
      <c r="D413" s="45">
        <v>101875</v>
      </c>
      <c r="E413" s="6" t="s">
        <v>995</v>
      </c>
      <c r="F413" s="45" t="s">
        <v>210</v>
      </c>
      <c r="G413" s="46">
        <f t="shared" si="50"/>
        <v>9</v>
      </c>
      <c r="H413" s="46">
        <f>TRUNC(S413*(1-LOTE_03!$K$10),2)</f>
        <v>398.59</v>
      </c>
      <c r="I413" s="46">
        <f>TRUNC(T413*(1-LOTE_03!$K$10),2)</f>
        <v>53.12</v>
      </c>
      <c r="J413" s="100">
        <f t="shared" si="51"/>
        <v>0.22470000000000001</v>
      </c>
      <c r="K413" s="48">
        <f t="shared" si="45"/>
        <v>488.15</v>
      </c>
      <c r="L413" s="48">
        <f t="shared" si="46"/>
        <v>65.05</v>
      </c>
      <c r="M413" s="48">
        <f t="shared" si="47"/>
        <v>4393.3500000000004</v>
      </c>
      <c r="N413" s="48">
        <f t="shared" si="48"/>
        <v>585.45000000000005</v>
      </c>
      <c r="O413" s="50">
        <f t="shared" si="49"/>
        <v>4978.8</v>
      </c>
      <c r="P413" s="50">
        <v>0</v>
      </c>
      <c r="Q413" s="76"/>
      <c r="R413" s="140">
        <f>IF((1*S10+1*S9)&gt;10,10,(1*S10+1*S9))</f>
        <v>9</v>
      </c>
      <c r="S413" s="79">
        <v>398.59</v>
      </c>
      <c r="T413" s="80">
        <v>53.12</v>
      </c>
    </row>
    <row r="414" spans="2:20" ht="56">
      <c r="B414" s="5" t="s">
        <v>996</v>
      </c>
      <c r="C414" s="45" t="s">
        <v>97</v>
      </c>
      <c r="D414" s="45" t="s">
        <v>997</v>
      </c>
      <c r="E414" s="6" t="s">
        <v>998</v>
      </c>
      <c r="F414" s="45" t="s">
        <v>999</v>
      </c>
      <c r="G414" s="46">
        <f t="shared" si="50"/>
        <v>100</v>
      </c>
      <c r="H414" s="46">
        <f>TRUNC(S414*(1-LOTE_03!$K$10),2)</f>
        <v>376.85</v>
      </c>
      <c r="I414" s="46">
        <f>TRUNC(T414*(1-LOTE_03!$K$10),2)</f>
        <v>349.44</v>
      </c>
      <c r="J414" s="100">
        <f t="shared" si="51"/>
        <v>0.22470000000000001</v>
      </c>
      <c r="K414" s="48">
        <f t="shared" si="45"/>
        <v>461.52</v>
      </c>
      <c r="L414" s="48">
        <f t="shared" si="46"/>
        <v>427.95</v>
      </c>
      <c r="M414" s="48">
        <f t="shared" si="47"/>
        <v>46152</v>
      </c>
      <c r="N414" s="48">
        <f t="shared" si="48"/>
        <v>42795</v>
      </c>
      <c r="O414" s="50">
        <f t="shared" si="49"/>
        <v>88947</v>
      </c>
      <c r="P414" s="50">
        <v>0</v>
      </c>
      <c r="Q414" s="76"/>
      <c r="R414" s="140">
        <f>IF((5*S9+20*S10)&gt;100,100,(5*S9+20*S10))</f>
        <v>100</v>
      </c>
      <c r="S414" s="79">
        <v>376.85</v>
      </c>
      <c r="T414" s="80">
        <v>349.44</v>
      </c>
    </row>
    <row r="415" spans="2:20" ht="56">
      <c r="B415" s="5" t="s">
        <v>1000</v>
      </c>
      <c r="C415" s="45" t="s">
        <v>135</v>
      </c>
      <c r="D415" s="45">
        <v>98295</v>
      </c>
      <c r="E415" s="6" t="s">
        <v>1001</v>
      </c>
      <c r="F415" s="45" t="s">
        <v>187</v>
      </c>
      <c r="G415" s="46">
        <f t="shared" si="50"/>
        <v>7000</v>
      </c>
      <c r="H415" s="46">
        <f>TRUNC(S415*(1-LOTE_03!$K$10),2)</f>
        <v>7.17</v>
      </c>
      <c r="I415" s="46">
        <f>TRUNC(T415*(1-LOTE_03!$K$10),2)</f>
        <v>0.08</v>
      </c>
      <c r="J415" s="100">
        <f t="shared" si="51"/>
        <v>0.22470000000000001</v>
      </c>
      <c r="K415" s="48">
        <f t="shared" si="45"/>
        <v>8.7799999999999994</v>
      </c>
      <c r="L415" s="48">
        <f t="shared" si="46"/>
        <v>0.09</v>
      </c>
      <c r="M415" s="48">
        <f t="shared" si="47"/>
        <v>61460</v>
      </c>
      <c r="N415" s="48">
        <f t="shared" si="48"/>
        <v>630</v>
      </c>
      <c r="O415" s="50">
        <f t="shared" si="49"/>
        <v>62090</v>
      </c>
      <c r="P415" s="50">
        <v>0</v>
      </c>
      <c r="Q415" s="76"/>
      <c r="R415" s="140">
        <f>IF((500*S9+1000*S10)&gt;15000,15000,(500*S9+1000*S10))</f>
        <v>7000</v>
      </c>
      <c r="S415" s="79">
        <v>7.17</v>
      </c>
      <c r="T415" s="80">
        <v>0.08</v>
      </c>
    </row>
    <row r="416" spans="2:20" ht="42">
      <c r="B416" s="5" t="s">
        <v>1002</v>
      </c>
      <c r="C416" s="45" t="s">
        <v>135</v>
      </c>
      <c r="D416" s="45">
        <v>98301</v>
      </c>
      <c r="E416" s="6" t="s">
        <v>1003</v>
      </c>
      <c r="F416" s="45" t="s">
        <v>210</v>
      </c>
      <c r="G416" s="46">
        <f t="shared" si="50"/>
        <v>45</v>
      </c>
      <c r="H416" s="46">
        <f>TRUNC(S416*(1-LOTE_03!$K$10),2)</f>
        <v>374.13</v>
      </c>
      <c r="I416" s="46">
        <f>TRUNC(T416*(1-LOTE_03!$K$10),2)</f>
        <v>209.07</v>
      </c>
      <c r="J416" s="100">
        <f t="shared" si="51"/>
        <v>0.22470000000000001</v>
      </c>
      <c r="K416" s="48">
        <f t="shared" si="45"/>
        <v>458.19</v>
      </c>
      <c r="L416" s="48">
        <f t="shared" si="46"/>
        <v>256.04000000000002</v>
      </c>
      <c r="M416" s="48">
        <f t="shared" si="47"/>
        <v>20618.55</v>
      </c>
      <c r="N416" s="48">
        <f t="shared" si="48"/>
        <v>11521.8</v>
      </c>
      <c r="O416" s="50">
        <f t="shared" si="49"/>
        <v>32140.35</v>
      </c>
      <c r="P416" s="50">
        <v>0</v>
      </c>
      <c r="Q416" s="76"/>
      <c r="R416" s="140">
        <f>5*S9+5*S10</f>
        <v>45</v>
      </c>
      <c r="S416" s="79">
        <v>374.13000000000005</v>
      </c>
      <c r="T416" s="80">
        <v>209.07</v>
      </c>
    </row>
    <row r="417" spans="2:20" ht="28">
      <c r="B417" s="5" t="s">
        <v>1004</v>
      </c>
      <c r="C417" s="45" t="s">
        <v>97</v>
      </c>
      <c r="D417" s="45" t="s">
        <v>1005</v>
      </c>
      <c r="E417" s="6" t="s">
        <v>1006</v>
      </c>
      <c r="F417" s="45" t="s">
        <v>104</v>
      </c>
      <c r="G417" s="46">
        <f t="shared" si="50"/>
        <v>470</v>
      </c>
      <c r="H417" s="46">
        <f>TRUNC(S417*(1-LOTE_03!$K$10),2)</f>
        <v>28.35</v>
      </c>
      <c r="I417" s="46">
        <f>TRUNC(T417*(1-LOTE_03!$K$10),2)</f>
        <v>16.88</v>
      </c>
      <c r="J417" s="100">
        <f t="shared" si="51"/>
        <v>0.22470000000000001</v>
      </c>
      <c r="K417" s="48">
        <f t="shared" si="45"/>
        <v>34.72</v>
      </c>
      <c r="L417" s="48">
        <f t="shared" si="46"/>
        <v>20.67</v>
      </c>
      <c r="M417" s="48">
        <f t="shared" si="47"/>
        <v>16318.4</v>
      </c>
      <c r="N417" s="48">
        <f t="shared" si="48"/>
        <v>9714.9</v>
      </c>
      <c r="O417" s="50">
        <f t="shared" si="49"/>
        <v>26033.3</v>
      </c>
      <c r="P417" s="50">
        <v>0</v>
      </c>
      <c r="Q417" s="76"/>
      <c r="R417" s="140">
        <f>30*S9+70*S10</f>
        <v>470</v>
      </c>
      <c r="S417" s="79">
        <v>28.35</v>
      </c>
      <c r="T417" s="80">
        <v>16.88</v>
      </c>
    </row>
    <row r="418" spans="2:20" ht="28">
      <c r="B418" s="5" t="s">
        <v>1007</v>
      </c>
      <c r="C418" s="45" t="s">
        <v>97</v>
      </c>
      <c r="D418" s="45" t="s">
        <v>1008</v>
      </c>
      <c r="E418" s="6" t="s">
        <v>1009</v>
      </c>
      <c r="F418" s="45" t="s">
        <v>104</v>
      </c>
      <c r="G418" s="46">
        <f t="shared" si="50"/>
        <v>470</v>
      </c>
      <c r="H418" s="46">
        <f>TRUNC(S418*(1-LOTE_03!$K$10),2)</f>
        <v>51.36</v>
      </c>
      <c r="I418" s="46">
        <f>TRUNC(T418*(1-LOTE_03!$K$10),2)</f>
        <v>16.88</v>
      </c>
      <c r="J418" s="100">
        <f t="shared" si="51"/>
        <v>0.22470000000000001</v>
      </c>
      <c r="K418" s="48">
        <f t="shared" si="45"/>
        <v>62.9</v>
      </c>
      <c r="L418" s="48">
        <f t="shared" si="46"/>
        <v>20.67</v>
      </c>
      <c r="M418" s="48">
        <f t="shared" si="47"/>
        <v>29563</v>
      </c>
      <c r="N418" s="48">
        <f t="shared" si="48"/>
        <v>9714.9</v>
      </c>
      <c r="O418" s="50">
        <f t="shared" si="49"/>
        <v>39277.9</v>
      </c>
      <c r="P418" s="50">
        <v>0</v>
      </c>
      <c r="Q418" s="76"/>
      <c r="R418" s="140">
        <f>30*S9+70*S10</f>
        <v>470</v>
      </c>
      <c r="S418" s="79">
        <v>51.36</v>
      </c>
      <c r="T418" s="80">
        <v>16.88</v>
      </c>
    </row>
    <row r="419" spans="2:20" ht="28">
      <c r="B419" s="5" t="s">
        <v>1010</v>
      </c>
      <c r="C419" s="45" t="s">
        <v>97</v>
      </c>
      <c r="D419" s="45" t="s">
        <v>1011</v>
      </c>
      <c r="E419" s="6" t="s">
        <v>1012</v>
      </c>
      <c r="F419" s="45" t="s">
        <v>999</v>
      </c>
      <c r="G419" s="46">
        <f t="shared" si="50"/>
        <v>180</v>
      </c>
      <c r="H419" s="46">
        <f>TRUNC(S419*(1-LOTE_03!$K$10),2)</f>
        <v>42.01</v>
      </c>
      <c r="I419" s="46">
        <f>TRUNC(T419*(1-LOTE_03!$K$10),2)</f>
        <v>0.48</v>
      </c>
      <c r="J419" s="100">
        <f t="shared" si="51"/>
        <v>0.22470000000000001</v>
      </c>
      <c r="K419" s="48">
        <f t="shared" si="45"/>
        <v>51.44</v>
      </c>
      <c r="L419" s="48">
        <f t="shared" si="46"/>
        <v>0.57999999999999996</v>
      </c>
      <c r="M419" s="48">
        <f t="shared" si="47"/>
        <v>9259.2000000000007</v>
      </c>
      <c r="N419" s="48">
        <f t="shared" si="48"/>
        <v>104.4</v>
      </c>
      <c r="O419" s="50">
        <f t="shared" si="49"/>
        <v>9363.6</v>
      </c>
      <c r="P419" s="50">
        <v>0</v>
      </c>
      <c r="Q419" s="76"/>
      <c r="R419" s="140">
        <f>20*S9+20*S10</f>
        <v>180</v>
      </c>
      <c r="S419" s="79">
        <v>42.01</v>
      </c>
      <c r="T419" s="80">
        <v>0.48</v>
      </c>
    </row>
    <row r="420" spans="2:20" ht="56">
      <c r="B420" s="5" t="s">
        <v>1013</v>
      </c>
      <c r="C420" s="45" t="s">
        <v>135</v>
      </c>
      <c r="D420" s="45">
        <v>98268</v>
      </c>
      <c r="E420" s="6" t="s">
        <v>1014</v>
      </c>
      <c r="F420" s="45" t="s">
        <v>187</v>
      </c>
      <c r="G420" s="46">
        <f t="shared" si="50"/>
        <v>240</v>
      </c>
      <c r="H420" s="46">
        <f>TRUNC(S420*(1-LOTE_03!$K$10),2)</f>
        <v>15.86</v>
      </c>
      <c r="I420" s="46">
        <f>TRUNC(T420*(1-LOTE_03!$K$10),2)</f>
        <v>3.46</v>
      </c>
      <c r="J420" s="100">
        <f t="shared" si="51"/>
        <v>0.22470000000000001</v>
      </c>
      <c r="K420" s="48">
        <f t="shared" si="45"/>
        <v>19.420000000000002</v>
      </c>
      <c r="L420" s="48">
        <f t="shared" si="46"/>
        <v>4.2300000000000004</v>
      </c>
      <c r="M420" s="48">
        <f t="shared" si="47"/>
        <v>4660.8</v>
      </c>
      <c r="N420" s="48">
        <f t="shared" si="48"/>
        <v>1015.2</v>
      </c>
      <c r="O420" s="50">
        <f t="shared" si="49"/>
        <v>5676</v>
      </c>
      <c r="P420" s="50">
        <v>0</v>
      </c>
      <c r="Q420" s="76"/>
      <c r="R420" s="140">
        <f>10*S9+40*S10</f>
        <v>240</v>
      </c>
      <c r="S420" s="79">
        <v>15.86</v>
      </c>
      <c r="T420" s="80">
        <v>3.46</v>
      </c>
    </row>
    <row r="421" spans="2:20" ht="28">
      <c r="B421" s="5" t="s">
        <v>1015</v>
      </c>
      <c r="C421" s="45" t="s">
        <v>135</v>
      </c>
      <c r="D421" s="45">
        <v>98307</v>
      </c>
      <c r="E421" s="6" t="s">
        <v>1016</v>
      </c>
      <c r="F421" s="45" t="s">
        <v>210</v>
      </c>
      <c r="G421" s="46">
        <f t="shared" si="50"/>
        <v>470</v>
      </c>
      <c r="H421" s="46">
        <f>TRUNC(S421*(1-LOTE_03!$K$10),2)</f>
        <v>46.79</v>
      </c>
      <c r="I421" s="46">
        <f>TRUNC(T421*(1-LOTE_03!$K$10),2)</f>
        <v>10.07</v>
      </c>
      <c r="J421" s="100">
        <f t="shared" si="51"/>
        <v>0.22470000000000001</v>
      </c>
      <c r="K421" s="48">
        <f t="shared" si="45"/>
        <v>57.3</v>
      </c>
      <c r="L421" s="48">
        <f t="shared" si="46"/>
        <v>12.33</v>
      </c>
      <c r="M421" s="48">
        <f t="shared" si="47"/>
        <v>26931</v>
      </c>
      <c r="N421" s="48">
        <f t="shared" si="48"/>
        <v>5795.1</v>
      </c>
      <c r="O421" s="50">
        <f t="shared" si="49"/>
        <v>32726.1</v>
      </c>
      <c r="P421" s="50">
        <v>0</v>
      </c>
      <c r="Q421" s="76"/>
      <c r="R421" s="140">
        <f>30*S9+70*S10</f>
        <v>470</v>
      </c>
      <c r="S421" s="79">
        <v>46.79</v>
      </c>
      <c r="T421" s="80">
        <v>10.07</v>
      </c>
    </row>
    <row r="422" spans="2:20" ht="28">
      <c r="B422" s="5" t="s">
        <v>1017</v>
      </c>
      <c r="C422" s="45" t="s">
        <v>97</v>
      </c>
      <c r="D422" s="45" t="s">
        <v>1018</v>
      </c>
      <c r="E422" s="6" t="s">
        <v>1019</v>
      </c>
      <c r="F422" s="45" t="s">
        <v>104</v>
      </c>
      <c r="G422" s="46">
        <f t="shared" si="50"/>
        <v>45</v>
      </c>
      <c r="H422" s="46">
        <f>TRUNC(S422*(1-LOTE_03!$K$10),2)</f>
        <v>210.21</v>
      </c>
      <c r="I422" s="46">
        <f>TRUNC(T422*(1-LOTE_03!$K$10),2)</f>
        <v>8.6</v>
      </c>
      <c r="J422" s="100">
        <f t="shared" si="51"/>
        <v>0.22470000000000001</v>
      </c>
      <c r="K422" s="48">
        <f t="shared" si="45"/>
        <v>257.44</v>
      </c>
      <c r="L422" s="48">
        <f t="shared" si="46"/>
        <v>10.53</v>
      </c>
      <c r="M422" s="48">
        <f t="shared" si="47"/>
        <v>11584.8</v>
      </c>
      <c r="N422" s="48">
        <f t="shared" si="48"/>
        <v>473.85</v>
      </c>
      <c r="O422" s="50">
        <f t="shared" si="49"/>
        <v>12058.65</v>
      </c>
      <c r="P422" s="50">
        <v>0</v>
      </c>
      <c r="Q422" s="76"/>
      <c r="R422" s="140">
        <f>5*S9+5*S10</f>
        <v>45</v>
      </c>
      <c r="S422" s="79">
        <v>210.21</v>
      </c>
      <c r="T422" s="80">
        <v>8.6</v>
      </c>
    </row>
    <row r="423" spans="2:20" ht="56">
      <c r="B423" s="5" t="s">
        <v>1020</v>
      </c>
      <c r="C423" s="45" t="s">
        <v>135</v>
      </c>
      <c r="D423" s="45">
        <v>91941</v>
      </c>
      <c r="E423" s="6" t="s">
        <v>1021</v>
      </c>
      <c r="F423" s="45" t="s">
        <v>210</v>
      </c>
      <c r="G423" s="46">
        <f t="shared" si="50"/>
        <v>200</v>
      </c>
      <c r="H423" s="46">
        <f>TRUNC(S423*(1-LOTE_03!$K$10),2)</f>
        <v>6.11</v>
      </c>
      <c r="I423" s="46">
        <f>TRUNC(T423*(1-LOTE_03!$K$10),2)</f>
        <v>7.31</v>
      </c>
      <c r="J423" s="100">
        <f t="shared" si="51"/>
        <v>0.22470000000000001</v>
      </c>
      <c r="K423" s="48">
        <f t="shared" si="45"/>
        <v>7.48</v>
      </c>
      <c r="L423" s="48">
        <f t="shared" si="46"/>
        <v>8.9499999999999993</v>
      </c>
      <c r="M423" s="48">
        <f t="shared" si="47"/>
        <v>1496</v>
      </c>
      <c r="N423" s="48">
        <f t="shared" si="48"/>
        <v>1790</v>
      </c>
      <c r="O423" s="50">
        <f t="shared" si="49"/>
        <v>3286</v>
      </c>
      <c r="P423" s="50">
        <v>0</v>
      </c>
      <c r="Q423" s="76"/>
      <c r="R423" s="140">
        <f>IF((10*S9+50*S10)&gt;200,200,(10*S9+50*S10))</f>
        <v>200</v>
      </c>
      <c r="S423" s="79">
        <v>6.11</v>
      </c>
      <c r="T423" s="80">
        <v>7.31</v>
      </c>
    </row>
    <row r="424" spans="2:20" ht="56">
      <c r="B424" s="5" t="s">
        <v>1022</v>
      </c>
      <c r="C424" s="45" t="s">
        <v>135</v>
      </c>
      <c r="D424" s="45">
        <v>91944</v>
      </c>
      <c r="E424" s="6" t="s">
        <v>935</v>
      </c>
      <c r="F424" s="45" t="s">
        <v>210</v>
      </c>
      <c r="G424" s="46">
        <f t="shared" si="50"/>
        <v>200</v>
      </c>
      <c r="H424" s="46">
        <f>TRUNC(S424*(1-LOTE_03!$K$10),2)</f>
        <v>9.44</v>
      </c>
      <c r="I424" s="46">
        <f>TRUNC(T424*(1-LOTE_03!$K$10),2)</f>
        <v>7.62</v>
      </c>
      <c r="J424" s="100">
        <f t="shared" si="51"/>
        <v>0.22470000000000001</v>
      </c>
      <c r="K424" s="48">
        <f t="shared" si="45"/>
        <v>11.56</v>
      </c>
      <c r="L424" s="48">
        <f t="shared" si="46"/>
        <v>9.33</v>
      </c>
      <c r="M424" s="48">
        <f t="shared" si="47"/>
        <v>2312</v>
      </c>
      <c r="N424" s="48">
        <f t="shared" si="48"/>
        <v>1866</v>
      </c>
      <c r="O424" s="50">
        <f t="shared" si="49"/>
        <v>4178</v>
      </c>
      <c r="P424" s="50">
        <v>0</v>
      </c>
      <c r="Q424" s="76"/>
      <c r="R424" s="140">
        <f>IF((10*S9+50*S10)&gt;200,200,(10*S9+50*S10))</f>
        <v>200</v>
      </c>
      <c r="S424" s="79">
        <v>9.4399999999999977</v>
      </c>
      <c r="T424" s="80">
        <v>7.62</v>
      </c>
    </row>
    <row r="425" spans="2:20" ht="70">
      <c r="B425" s="5" t="s">
        <v>1023</v>
      </c>
      <c r="C425" s="45" t="s">
        <v>135</v>
      </c>
      <c r="D425" s="45">
        <v>97887</v>
      </c>
      <c r="E425" s="6" t="s">
        <v>1024</v>
      </c>
      <c r="F425" s="45" t="s">
        <v>210</v>
      </c>
      <c r="G425" s="46">
        <f t="shared" si="50"/>
        <v>45</v>
      </c>
      <c r="H425" s="46">
        <f>TRUNC(S425*(1-LOTE_03!$K$10),2)</f>
        <v>177.71</v>
      </c>
      <c r="I425" s="46">
        <f>TRUNC(T425*(1-LOTE_03!$K$10),2)</f>
        <v>126.47</v>
      </c>
      <c r="J425" s="100">
        <f t="shared" si="51"/>
        <v>0.22470000000000001</v>
      </c>
      <c r="K425" s="48">
        <f t="shared" si="45"/>
        <v>217.64</v>
      </c>
      <c r="L425" s="48">
        <f t="shared" si="46"/>
        <v>154.88</v>
      </c>
      <c r="M425" s="48">
        <f t="shared" si="47"/>
        <v>9793.7999999999993</v>
      </c>
      <c r="N425" s="48">
        <f t="shared" si="48"/>
        <v>6969.6</v>
      </c>
      <c r="O425" s="50">
        <f t="shared" si="49"/>
        <v>16763.400000000001</v>
      </c>
      <c r="P425" s="50">
        <v>0</v>
      </c>
      <c r="Q425" s="76"/>
      <c r="R425" s="140">
        <f>5*S9+5*S10</f>
        <v>45</v>
      </c>
      <c r="S425" s="79">
        <v>177.71</v>
      </c>
      <c r="T425" s="80">
        <v>126.47</v>
      </c>
    </row>
    <row r="426" spans="2:20" ht="70">
      <c r="B426" s="5" t="s">
        <v>1025</v>
      </c>
      <c r="C426" s="45" t="s">
        <v>135</v>
      </c>
      <c r="D426" s="45">
        <v>93009</v>
      </c>
      <c r="E426" s="6" t="s">
        <v>1026</v>
      </c>
      <c r="F426" s="45" t="s">
        <v>187</v>
      </c>
      <c r="G426" s="46">
        <f t="shared" si="50"/>
        <v>290</v>
      </c>
      <c r="H426" s="46">
        <f>TRUNC(S426*(1-LOTE_03!$K$10),2)</f>
        <v>24.58</v>
      </c>
      <c r="I426" s="46">
        <f>TRUNC(T426*(1-LOTE_03!$K$10),2)</f>
        <v>5.42</v>
      </c>
      <c r="J426" s="100">
        <f t="shared" si="51"/>
        <v>0.22470000000000001</v>
      </c>
      <c r="K426" s="48">
        <f t="shared" si="45"/>
        <v>30.1</v>
      </c>
      <c r="L426" s="48">
        <f t="shared" si="46"/>
        <v>6.63</v>
      </c>
      <c r="M426" s="48">
        <f t="shared" si="47"/>
        <v>8729</v>
      </c>
      <c r="N426" s="48">
        <f t="shared" si="48"/>
        <v>1922.7</v>
      </c>
      <c r="O426" s="50">
        <f t="shared" si="49"/>
        <v>10651.7</v>
      </c>
      <c r="P426" s="50">
        <v>0</v>
      </c>
      <c r="Q426" s="76"/>
      <c r="R426" s="140">
        <f>10*S9+50*S10</f>
        <v>290</v>
      </c>
      <c r="S426" s="79">
        <v>24.58</v>
      </c>
      <c r="T426" s="80">
        <v>5.42</v>
      </c>
    </row>
    <row r="427" spans="2:20" ht="42">
      <c r="B427" s="5" t="s">
        <v>1027</v>
      </c>
      <c r="C427" s="45" t="s">
        <v>165</v>
      </c>
      <c r="D427" s="45" t="s">
        <v>1028</v>
      </c>
      <c r="E427" s="6" t="s">
        <v>1029</v>
      </c>
      <c r="F427" s="45" t="s">
        <v>531</v>
      </c>
      <c r="G427" s="46">
        <f t="shared" si="50"/>
        <v>70</v>
      </c>
      <c r="H427" s="46">
        <f>TRUNC(S427*(1-LOTE_03!$K$10),2)</f>
        <v>21.87</v>
      </c>
      <c r="I427" s="46">
        <f>TRUNC(T427*(1-LOTE_03!$K$10),2)</f>
        <v>26.99</v>
      </c>
      <c r="J427" s="100">
        <f t="shared" si="51"/>
        <v>0.22470000000000001</v>
      </c>
      <c r="K427" s="48">
        <f t="shared" si="45"/>
        <v>26.78</v>
      </c>
      <c r="L427" s="48">
        <f t="shared" si="46"/>
        <v>33.049999999999997</v>
      </c>
      <c r="M427" s="48">
        <f t="shared" si="47"/>
        <v>1874.6</v>
      </c>
      <c r="N427" s="48">
        <f t="shared" si="48"/>
        <v>2313.5</v>
      </c>
      <c r="O427" s="50">
        <f t="shared" si="49"/>
        <v>4188.1000000000004</v>
      </c>
      <c r="P427" s="50">
        <v>0</v>
      </c>
      <c r="Q427" s="76"/>
      <c r="R427" s="140">
        <f>5*S9+10*S10</f>
        <v>70</v>
      </c>
      <c r="S427" s="79">
        <v>21.87</v>
      </c>
      <c r="T427" s="80">
        <v>26.99</v>
      </c>
    </row>
    <row r="428" spans="2:20" ht="70">
      <c r="B428" s="5" t="s">
        <v>1030</v>
      </c>
      <c r="C428" s="45" t="s">
        <v>135</v>
      </c>
      <c r="D428" s="45">
        <v>91864</v>
      </c>
      <c r="E428" s="6" t="s">
        <v>838</v>
      </c>
      <c r="F428" s="45" t="s">
        <v>187</v>
      </c>
      <c r="G428" s="46">
        <f t="shared" si="50"/>
        <v>280</v>
      </c>
      <c r="H428" s="46">
        <f>TRUNC(S428*(1-LOTE_03!$K$10),2)</f>
        <v>10.87</v>
      </c>
      <c r="I428" s="46">
        <f>TRUNC(T428*(1-LOTE_03!$K$10),2)</f>
        <v>5.9</v>
      </c>
      <c r="J428" s="100">
        <f t="shared" si="51"/>
        <v>0.22470000000000001</v>
      </c>
      <c r="K428" s="48">
        <f t="shared" si="45"/>
        <v>13.31</v>
      </c>
      <c r="L428" s="48">
        <f t="shared" si="46"/>
        <v>7.22</v>
      </c>
      <c r="M428" s="48">
        <f t="shared" si="47"/>
        <v>3726.8</v>
      </c>
      <c r="N428" s="48">
        <f t="shared" si="48"/>
        <v>2021.6</v>
      </c>
      <c r="O428" s="50">
        <f t="shared" si="49"/>
        <v>5748.4</v>
      </c>
      <c r="P428" s="50">
        <v>0</v>
      </c>
      <c r="Q428" s="76"/>
      <c r="R428" s="140">
        <f>20*S9+40*S10</f>
        <v>280</v>
      </c>
      <c r="S428" s="79">
        <v>10.87</v>
      </c>
      <c r="T428" s="80">
        <v>5.9</v>
      </c>
    </row>
    <row r="429" spans="2:20" ht="70">
      <c r="B429" s="5" t="s">
        <v>1031</v>
      </c>
      <c r="C429" s="45" t="s">
        <v>135</v>
      </c>
      <c r="D429" s="45">
        <v>91867</v>
      </c>
      <c r="E429" s="6" t="s">
        <v>927</v>
      </c>
      <c r="F429" s="45" t="s">
        <v>187</v>
      </c>
      <c r="G429" s="46">
        <f t="shared" si="50"/>
        <v>45</v>
      </c>
      <c r="H429" s="46">
        <f>TRUNC(S429*(1-LOTE_03!$K$10),2)</f>
        <v>7.07</v>
      </c>
      <c r="I429" s="46">
        <f>TRUNC(T429*(1-LOTE_03!$K$10),2)</f>
        <v>3.99</v>
      </c>
      <c r="J429" s="100">
        <f t="shared" si="51"/>
        <v>0.22470000000000001</v>
      </c>
      <c r="K429" s="48">
        <f t="shared" si="45"/>
        <v>8.65</v>
      </c>
      <c r="L429" s="48">
        <f t="shared" si="46"/>
        <v>4.88</v>
      </c>
      <c r="M429" s="48">
        <f t="shared" si="47"/>
        <v>389.25</v>
      </c>
      <c r="N429" s="48">
        <f t="shared" si="48"/>
        <v>219.6</v>
      </c>
      <c r="O429" s="50">
        <f t="shared" si="49"/>
        <v>608.85</v>
      </c>
      <c r="P429" s="50">
        <v>0</v>
      </c>
      <c r="Q429" s="76"/>
      <c r="R429" s="140">
        <f>5*S9+5*S10</f>
        <v>45</v>
      </c>
      <c r="S429" s="79">
        <v>7.07</v>
      </c>
      <c r="T429" s="80">
        <v>3.99</v>
      </c>
    </row>
    <row r="430" spans="2:20" ht="42">
      <c r="B430" s="5" t="s">
        <v>1032</v>
      </c>
      <c r="C430" s="45" t="s">
        <v>165</v>
      </c>
      <c r="D430" s="45" t="s">
        <v>1033</v>
      </c>
      <c r="E430" s="6" t="s">
        <v>1034</v>
      </c>
      <c r="F430" s="45" t="s">
        <v>531</v>
      </c>
      <c r="G430" s="46">
        <f>IF($S$11=0,0,TRUNC(R430,2))</f>
        <v>155</v>
      </c>
      <c r="H430" s="46">
        <f>TRUNC(S430*(1-LOTE_03!$K$10),2)</f>
        <v>25.9</v>
      </c>
      <c r="I430" s="46">
        <f>TRUNC(T430*(1-LOTE_03!$K$10),2)</f>
        <v>17.989999999999998</v>
      </c>
      <c r="J430" s="100">
        <f t="shared" si="51"/>
        <v>0.22470000000000001</v>
      </c>
      <c r="K430" s="48">
        <f t="shared" si="45"/>
        <v>31.71</v>
      </c>
      <c r="L430" s="48">
        <f t="shared" si="46"/>
        <v>22.03</v>
      </c>
      <c r="M430" s="48">
        <f t="shared" si="47"/>
        <v>4915.05</v>
      </c>
      <c r="N430" s="48">
        <f t="shared" si="48"/>
        <v>3414.65</v>
      </c>
      <c r="O430" s="50">
        <f t="shared" si="49"/>
        <v>8329.7000000000007</v>
      </c>
      <c r="P430" s="50">
        <v>0</v>
      </c>
      <c r="Q430" s="76"/>
      <c r="R430" s="140">
        <f>5*S9+25*S10+10</f>
        <v>155</v>
      </c>
      <c r="S430" s="79">
        <v>25.9</v>
      </c>
      <c r="T430" s="80">
        <v>17.989999999999998</v>
      </c>
    </row>
    <row r="431" spans="2:20" ht="42">
      <c r="B431" s="5" t="s">
        <v>1035</v>
      </c>
      <c r="C431" s="45" t="s">
        <v>165</v>
      </c>
      <c r="D431" s="45" t="s">
        <v>1036</v>
      </c>
      <c r="E431" s="6" t="s">
        <v>1037</v>
      </c>
      <c r="F431" s="45" t="s">
        <v>531</v>
      </c>
      <c r="G431" s="46">
        <f t="shared" si="50"/>
        <v>70</v>
      </c>
      <c r="H431" s="46">
        <f>TRUNC(S431*(1-LOTE_03!$K$10),2)</f>
        <v>19.43</v>
      </c>
      <c r="I431" s="46">
        <f>TRUNC(T431*(1-LOTE_03!$K$10),2)</f>
        <v>17.989999999999998</v>
      </c>
      <c r="J431" s="100">
        <f t="shared" si="51"/>
        <v>0.22470000000000001</v>
      </c>
      <c r="K431" s="48">
        <f t="shared" si="45"/>
        <v>23.79</v>
      </c>
      <c r="L431" s="48">
        <f t="shared" si="46"/>
        <v>22.03</v>
      </c>
      <c r="M431" s="48">
        <f t="shared" si="47"/>
        <v>1665.3</v>
      </c>
      <c r="N431" s="48">
        <f t="shared" si="48"/>
        <v>1542.1</v>
      </c>
      <c r="O431" s="50">
        <f t="shared" si="49"/>
        <v>3207.4</v>
      </c>
      <c r="P431" s="50">
        <v>0</v>
      </c>
      <c r="Q431" s="76"/>
      <c r="R431" s="140">
        <f>5*S9+10*S10</f>
        <v>70</v>
      </c>
      <c r="S431" s="79">
        <v>19.43</v>
      </c>
      <c r="T431" s="80">
        <v>17.989999999999998</v>
      </c>
    </row>
    <row r="432" spans="2:20" ht="56">
      <c r="B432" s="5" t="s">
        <v>1038</v>
      </c>
      <c r="C432" s="45" t="s">
        <v>97</v>
      </c>
      <c r="D432" s="45" t="s">
        <v>1039</v>
      </c>
      <c r="E432" s="6" t="s">
        <v>1040</v>
      </c>
      <c r="F432" s="45" t="s">
        <v>925</v>
      </c>
      <c r="G432" s="46">
        <f t="shared" si="50"/>
        <v>120</v>
      </c>
      <c r="H432" s="46">
        <f>TRUNC(S432*(1-LOTE_03!$K$10),2)</f>
        <v>33.07</v>
      </c>
      <c r="I432" s="46">
        <f>TRUNC(T432*(1-LOTE_03!$K$10),2)</f>
        <v>21.53</v>
      </c>
      <c r="J432" s="100">
        <f t="shared" si="51"/>
        <v>0.22470000000000001</v>
      </c>
      <c r="K432" s="48">
        <f t="shared" si="45"/>
        <v>40.5</v>
      </c>
      <c r="L432" s="48">
        <f t="shared" si="46"/>
        <v>26.36</v>
      </c>
      <c r="M432" s="48">
        <f t="shared" si="47"/>
        <v>4860</v>
      </c>
      <c r="N432" s="48">
        <f t="shared" si="48"/>
        <v>3163.2</v>
      </c>
      <c r="O432" s="50">
        <f t="shared" si="49"/>
        <v>8023.2</v>
      </c>
      <c r="P432" s="50">
        <v>0</v>
      </c>
      <c r="Q432" s="76"/>
      <c r="R432" s="140">
        <f>5*S9+20*S10</f>
        <v>120</v>
      </c>
      <c r="S432" s="79">
        <v>33.07</v>
      </c>
      <c r="T432" s="80">
        <v>21.53</v>
      </c>
    </row>
    <row r="433" spans="2:20" ht="42">
      <c r="B433" s="5" t="s">
        <v>1041</v>
      </c>
      <c r="C433" s="45" t="s">
        <v>165</v>
      </c>
      <c r="D433" s="45" t="s">
        <v>1042</v>
      </c>
      <c r="E433" s="6" t="s">
        <v>1043</v>
      </c>
      <c r="F433" s="45" t="s">
        <v>531</v>
      </c>
      <c r="G433" s="46">
        <f t="shared" si="50"/>
        <v>45</v>
      </c>
      <c r="H433" s="46">
        <f>TRUNC(S433*(1-LOTE_03!$K$10),2)</f>
        <v>41.13</v>
      </c>
      <c r="I433" s="46">
        <f>TRUNC(T433*(1-LOTE_03!$K$10),2)</f>
        <v>17.399999999999999</v>
      </c>
      <c r="J433" s="100">
        <f t="shared" si="51"/>
        <v>0.22470000000000001</v>
      </c>
      <c r="K433" s="48">
        <f t="shared" si="45"/>
        <v>50.37</v>
      </c>
      <c r="L433" s="48">
        <f t="shared" si="46"/>
        <v>21.3</v>
      </c>
      <c r="M433" s="48">
        <f t="shared" si="47"/>
        <v>2266.65</v>
      </c>
      <c r="N433" s="48">
        <f t="shared" si="48"/>
        <v>958.5</v>
      </c>
      <c r="O433" s="50">
        <f t="shared" si="49"/>
        <v>3225.15</v>
      </c>
      <c r="P433" s="50">
        <v>0</v>
      </c>
      <c r="Q433" s="76"/>
      <c r="R433" s="140">
        <f>5*S9+5*S10</f>
        <v>45</v>
      </c>
      <c r="S433" s="79">
        <v>41.13</v>
      </c>
      <c r="T433" s="80">
        <v>17.399999999999999</v>
      </c>
    </row>
    <row r="434" spans="2:20" ht="28">
      <c r="B434" s="5" t="s">
        <v>1044</v>
      </c>
      <c r="C434" s="45" t="s">
        <v>97</v>
      </c>
      <c r="D434" s="45" t="s">
        <v>1045</v>
      </c>
      <c r="E434" s="6" t="s">
        <v>1046</v>
      </c>
      <c r="F434" s="45" t="s">
        <v>187</v>
      </c>
      <c r="G434" s="46">
        <f t="shared" si="50"/>
        <v>270</v>
      </c>
      <c r="H434" s="46">
        <f>TRUNC(S434*(1-LOTE_03!$K$10),2)</f>
        <v>52.23</v>
      </c>
      <c r="I434" s="46">
        <f>TRUNC(T434*(1-LOTE_03!$K$10),2)</f>
        <v>32.26</v>
      </c>
      <c r="J434" s="100">
        <f t="shared" si="51"/>
        <v>0.22470000000000001</v>
      </c>
      <c r="K434" s="48">
        <f t="shared" si="45"/>
        <v>63.96</v>
      </c>
      <c r="L434" s="48">
        <f t="shared" si="46"/>
        <v>39.5</v>
      </c>
      <c r="M434" s="48">
        <f t="shared" si="47"/>
        <v>17269.2</v>
      </c>
      <c r="N434" s="48">
        <f t="shared" si="48"/>
        <v>10665</v>
      </c>
      <c r="O434" s="50">
        <f t="shared" si="49"/>
        <v>27934.2</v>
      </c>
      <c r="P434" s="50">
        <v>0</v>
      </c>
      <c r="Q434" s="76"/>
      <c r="R434" s="140">
        <f>30*S9+30*S10</f>
        <v>270</v>
      </c>
      <c r="S434" s="79">
        <v>52.23</v>
      </c>
      <c r="T434" s="80">
        <v>32.26</v>
      </c>
    </row>
    <row r="435" spans="2:20">
      <c r="B435" s="5" t="s">
        <v>1047</v>
      </c>
      <c r="C435" s="45" t="s">
        <v>97</v>
      </c>
      <c r="D435" s="45" t="s">
        <v>1048</v>
      </c>
      <c r="E435" s="6" t="s">
        <v>1049</v>
      </c>
      <c r="F435" s="45" t="s">
        <v>104</v>
      </c>
      <c r="G435" s="46">
        <f t="shared" si="50"/>
        <v>45</v>
      </c>
      <c r="H435" s="46">
        <f>TRUNC(S435*(1-LOTE_03!$K$10),2)</f>
        <v>121.26</v>
      </c>
      <c r="I435" s="46">
        <f>TRUNC(T435*(1-LOTE_03!$K$10),2)</f>
        <v>10.29</v>
      </c>
      <c r="J435" s="100">
        <f t="shared" si="51"/>
        <v>0.22470000000000001</v>
      </c>
      <c r="K435" s="48">
        <f t="shared" si="45"/>
        <v>148.5</v>
      </c>
      <c r="L435" s="48">
        <f t="shared" si="46"/>
        <v>12.6</v>
      </c>
      <c r="M435" s="48">
        <f t="shared" si="47"/>
        <v>6682.5</v>
      </c>
      <c r="N435" s="48">
        <f t="shared" si="48"/>
        <v>567</v>
      </c>
      <c r="O435" s="50">
        <f t="shared" si="49"/>
        <v>7249.5</v>
      </c>
      <c r="P435" s="50">
        <v>0</v>
      </c>
      <c r="Q435" s="76"/>
      <c r="R435" s="140">
        <f>5*S9+5*S10</f>
        <v>45</v>
      </c>
      <c r="S435" s="79">
        <v>121.26</v>
      </c>
      <c r="T435" s="80">
        <v>10.29</v>
      </c>
    </row>
    <row r="436" spans="2:20">
      <c r="B436" s="5" t="s">
        <v>1050</v>
      </c>
      <c r="C436" s="45" t="s">
        <v>97</v>
      </c>
      <c r="D436" s="45" t="s">
        <v>1051</v>
      </c>
      <c r="E436" s="6" t="s">
        <v>1052</v>
      </c>
      <c r="F436" s="45" t="s">
        <v>104</v>
      </c>
      <c r="G436" s="46">
        <f t="shared" si="50"/>
        <v>45</v>
      </c>
      <c r="H436" s="46">
        <f>TRUNC(S436*(1-LOTE_03!$K$10),2)</f>
        <v>19.41</v>
      </c>
      <c r="I436" s="46">
        <f>TRUNC(T436*(1-LOTE_03!$K$10),2)</f>
        <v>10.29</v>
      </c>
      <c r="J436" s="100">
        <f t="shared" si="51"/>
        <v>0.22470000000000001</v>
      </c>
      <c r="K436" s="48">
        <f t="shared" si="45"/>
        <v>23.77</v>
      </c>
      <c r="L436" s="48">
        <f t="shared" si="46"/>
        <v>12.6</v>
      </c>
      <c r="M436" s="48">
        <f t="shared" si="47"/>
        <v>1069.6500000000001</v>
      </c>
      <c r="N436" s="48">
        <f t="shared" si="48"/>
        <v>567</v>
      </c>
      <c r="O436" s="50">
        <f t="shared" si="49"/>
        <v>1636.65</v>
      </c>
      <c r="P436" s="50">
        <v>0</v>
      </c>
      <c r="Q436" s="76"/>
      <c r="R436" s="140">
        <f>5*S9+5*S10</f>
        <v>45</v>
      </c>
      <c r="S436" s="79">
        <v>19.41</v>
      </c>
      <c r="T436" s="80">
        <v>10.29</v>
      </c>
    </row>
    <row r="437" spans="2:20">
      <c r="B437" s="5" t="s">
        <v>1053</v>
      </c>
      <c r="C437" s="45" t="s">
        <v>97</v>
      </c>
      <c r="D437" s="45" t="s">
        <v>1054</v>
      </c>
      <c r="E437" s="6" t="s">
        <v>1055</v>
      </c>
      <c r="F437" s="45" t="s">
        <v>104</v>
      </c>
      <c r="G437" s="46">
        <f t="shared" si="50"/>
        <v>45</v>
      </c>
      <c r="H437" s="46">
        <f>TRUNC(S437*(1-LOTE_03!$K$10),2)</f>
        <v>81.819999999999993</v>
      </c>
      <c r="I437" s="46">
        <f>TRUNC(T437*(1-LOTE_03!$K$10),2)</f>
        <v>10.29</v>
      </c>
      <c r="J437" s="100">
        <f t="shared" si="51"/>
        <v>0.22470000000000001</v>
      </c>
      <c r="K437" s="48">
        <f t="shared" si="45"/>
        <v>100.2</v>
      </c>
      <c r="L437" s="48">
        <f t="shared" si="46"/>
        <v>12.6</v>
      </c>
      <c r="M437" s="48">
        <f t="shared" si="47"/>
        <v>4509</v>
      </c>
      <c r="N437" s="48">
        <f t="shared" si="48"/>
        <v>567</v>
      </c>
      <c r="O437" s="50">
        <f t="shared" si="49"/>
        <v>5076</v>
      </c>
      <c r="P437" s="50">
        <v>0</v>
      </c>
      <c r="Q437" s="76"/>
      <c r="R437" s="140">
        <f>5*S9+5*S10</f>
        <v>45</v>
      </c>
      <c r="S437" s="79">
        <v>81.819999999999993</v>
      </c>
      <c r="T437" s="80">
        <v>10.29</v>
      </c>
    </row>
    <row r="438" spans="2:20">
      <c r="B438" s="5" t="s">
        <v>1056</v>
      </c>
      <c r="C438" s="45" t="s">
        <v>97</v>
      </c>
      <c r="D438" s="45" t="s">
        <v>1057</v>
      </c>
      <c r="E438" s="6" t="s">
        <v>1058</v>
      </c>
      <c r="F438" s="45" t="s">
        <v>1059</v>
      </c>
      <c r="G438" s="46">
        <f t="shared" si="50"/>
        <v>33</v>
      </c>
      <c r="H438" s="46">
        <f>TRUNC(S438*(1-LOTE_03!$K$10),2)</f>
        <v>26.53</v>
      </c>
      <c r="I438" s="46">
        <f>TRUNC(T438*(1-LOTE_03!$K$10),2)</f>
        <v>8.61</v>
      </c>
      <c r="J438" s="100">
        <f t="shared" si="51"/>
        <v>0.22470000000000001</v>
      </c>
      <c r="K438" s="48">
        <f t="shared" si="45"/>
        <v>32.49</v>
      </c>
      <c r="L438" s="48">
        <f t="shared" si="46"/>
        <v>10.54</v>
      </c>
      <c r="M438" s="48">
        <f t="shared" si="47"/>
        <v>1072.17</v>
      </c>
      <c r="N438" s="48">
        <f t="shared" si="48"/>
        <v>347.82</v>
      </c>
      <c r="O438" s="50">
        <f t="shared" si="49"/>
        <v>1419.99</v>
      </c>
      <c r="P438" s="50">
        <v>0</v>
      </c>
      <c r="Q438" s="76"/>
      <c r="R438" s="140">
        <f>2*S9+5*S10</f>
        <v>33</v>
      </c>
      <c r="S438" s="79">
        <v>26.53</v>
      </c>
      <c r="T438" s="80">
        <v>8.61</v>
      </c>
    </row>
    <row r="439" spans="2:20" ht="28">
      <c r="B439" s="5" t="s">
        <v>1060</v>
      </c>
      <c r="C439" s="45" t="s">
        <v>97</v>
      </c>
      <c r="D439" s="45" t="s">
        <v>1061</v>
      </c>
      <c r="E439" s="6" t="s">
        <v>1062</v>
      </c>
      <c r="F439" s="45" t="s">
        <v>104</v>
      </c>
      <c r="G439" s="46">
        <f t="shared" si="50"/>
        <v>180</v>
      </c>
      <c r="H439" s="46">
        <f>TRUNC(S439*(1-LOTE_03!$K$10),2)</f>
        <v>48.13</v>
      </c>
      <c r="I439" s="46">
        <f>TRUNC(T439*(1-LOTE_03!$K$10),2)</f>
        <v>33.770000000000003</v>
      </c>
      <c r="J439" s="100">
        <f t="shared" si="51"/>
        <v>0.22470000000000001</v>
      </c>
      <c r="K439" s="48">
        <f t="shared" si="45"/>
        <v>58.94</v>
      </c>
      <c r="L439" s="48">
        <f t="shared" si="46"/>
        <v>41.35</v>
      </c>
      <c r="M439" s="48">
        <f t="shared" si="47"/>
        <v>10609.2</v>
      </c>
      <c r="N439" s="48">
        <f t="shared" si="48"/>
        <v>7443</v>
      </c>
      <c r="O439" s="50">
        <f t="shared" si="49"/>
        <v>18052.2</v>
      </c>
      <c r="P439" s="50">
        <v>0</v>
      </c>
      <c r="Q439" s="76"/>
      <c r="R439" s="140">
        <f>20*S9+20*S10</f>
        <v>180</v>
      </c>
      <c r="S439" s="79">
        <v>48.13</v>
      </c>
      <c r="T439" s="80">
        <v>33.770000000000003</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50">
        <v>0</v>
      </c>
      <c r="Q440" s="76"/>
      <c r="R440" s="154"/>
      <c r="S440" s="79" t="s">
        <v>22</v>
      </c>
      <c r="T440" s="80" t="s">
        <v>22</v>
      </c>
    </row>
    <row r="441" spans="2:20" ht="84">
      <c r="B441" s="5" t="s">
        <v>1065</v>
      </c>
      <c r="C441" s="45" t="s">
        <v>135</v>
      </c>
      <c r="D441" s="45">
        <v>101878</v>
      </c>
      <c r="E441" s="6" t="s">
        <v>1066</v>
      </c>
      <c r="F441" s="45" t="s">
        <v>210</v>
      </c>
      <c r="G441" s="46">
        <f t="shared" si="50"/>
        <v>9</v>
      </c>
      <c r="H441" s="46">
        <f>TRUNC(S441*(1-LOTE_03!$K$10),2)</f>
        <v>471.19</v>
      </c>
      <c r="I441" s="46">
        <f>TRUNC(T441*(1-LOTE_03!$K$10),2)</f>
        <v>10.74</v>
      </c>
      <c r="J441" s="100">
        <f t="shared" si="51"/>
        <v>0.22470000000000001</v>
      </c>
      <c r="K441" s="48">
        <f t="shared" si="45"/>
        <v>577.05999999999995</v>
      </c>
      <c r="L441" s="48">
        <f t="shared" si="46"/>
        <v>13.15</v>
      </c>
      <c r="M441" s="48">
        <f t="shared" si="47"/>
        <v>5193.54</v>
      </c>
      <c r="N441" s="48">
        <f t="shared" si="48"/>
        <v>118.35</v>
      </c>
      <c r="O441" s="50">
        <f t="shared" si="49"/>
        <v>5311.89</v>
      </c>
      <c r="P441" s="50">
        <v>0</v>
      </c>
      <c r="Q441" s="76"/>
      <c r="R441" s="140">
        <f>IF((1*S9+1*S10)&gt;10,10,(1*S9+1*S10))</f>
        <v>9</v>
      </c>
      <c r="S441" s="79">
        <v>471.19</v>
      </c>
      <c r="T441" s="80">
        <v>10.74</v>
      </c>
    </row>
    <row r="442" spans="2:20" ht="84">
      <c r="B442" s="5" t="s">
        <v>1067</v>
      </c>
      <c r="C442" s="45" t="s">
        <v>135</v>
      </c>
      <c r="D442" s="45">
        <v>101879</v>
      </c>
      <c r="E442" s="6" t="s">
        <v>1068</v>
      </c>
      <c r="F442" s="45" t="s">
        <v>210</v>
      </c>
      <c r="G442" s="46">
        <f t="shared" si="50"/>
        <v>9</v>
      </c>
      <c r="H442" s="46">
        <f>TRUNC(S442*(1-LOTE_03!$K$10),2)</f>
        <v>574.65</v>
      </c>
      <c r="I442" s="46">
        <f>TRUNC(T442*(1-LOTE_03!$K$10),2)</f>
        <v>60.25</v>
      </c>
      <c r="J442" s="100">
        <f t="shared" si="51"/>
        <v>0.22470000000000001</v>
      </c>
      <c r="K442" s="48">
        <f t="shared" si="45"/>
        <v>703.77</v>
      </c>
      <c r="L442" s="48">
        <f t="shared" si="46"/>
        <v>73.78</v>
      </c>
      <c r="M442" s="48">
        <f t="shared" si="47"/>
        <v>6333.93</v>
      </c>
      <c r="N442" s="48">
        <f t="shared" si="48"/>
        <v>664.02</v>
      </c>
      <c r="O442" s="50">
        <f t="shared" si="49"/>
        <v>6997.95</v>
      </c>
      <c r="P442" s="50">
        <v>0</v>
      </c>
      <c r="Q442" s="76"/>
      <c r="R442" s="140">
        <f>IF((1*S9+1*S10)&gt;10,10,(1*S9+1*S10))</f>
        <v>9</v>
      </c>
      <c r="S442" s="79">
        <v>574.65</v>
      </c>
      <c r="T442" s="80">
        <v>60.25</v>
      </c>
    </row>
    <row r="443" spans="2:20" ht="84">
      <c r="B443" s="5" t="s">
        <v>1069</v>
      </c>
      <c r="C443" s="45" t="s">
        <v>135</v>
      </c>
      <c r="D443" s="45">
        <v>101880</v>
      </c>
      <c r="E443" s="6" t="s">
        <v>1070</v>
      </c>
      <c r="F443" s="45" t="s">
        <v>210</v>
      </c>
      <c r="G443" s="46">
        <f t="shared" si="50"/>
        <v>9</v>
      </c>
      <c r="H443" s="46">
        <f>TRUNC(S443*(1-LOTE_03!$K$10),2)</f>
        <v>663.9</v>
      </c>
      <c r="I443" s="46">
        <f>TRUNC(T443*(1-LOTE_03!$K$10),2)</f>
        <v>74.5</v>
      </c>
      <c r="J443" s="100">
        <f t="shared" si="51"/>
        <v>0.22470000000000001</v>
      </c>
      <c r="K443" s="48">
        <f t="shared" si="45"/>
        <v>813.07</v>
      </c>
      <c r="L443" s="48">
        <f t="shared" si="46"/>
        <v>91.24</v>
      </c>
      <c r="M443" s="48">
        <f t="shared" si="47"/>
        <v>7317.63</v>
      </c>
      <c r="N443" s="48">
        <f t="shared" si="48"/>
        <v>821.16</v>
      </c>
      <c r="O443" s="50">
        <f t="shared" si="49"/>
        <v>8138.79</v>
      </c>
      <c r="P443" s="50">
        <v>0</v>
      </c>
      <c r="Q443" s="76"/>
      <c r="R443" s="140">
        <f>IF((1*S9+1*S10)&gt;10,10,(1*S9+1*S10))</f>
        <v>9</v>
      </c>
      <c r="S443" s="79">
        <v>663.9</v>
      </c>
      <c r="T443" s="80">
        <v>74.5</v>
      </c>
    </row>
    <row r="444" spans="2:20" ht="84">
      <c r="B444" s="5" t="s">
        <v>1071</v>
      </c>
      <c r="C444" s="45" t="s">
        <v>135</v>
      </c>
      <c r="D444" s="45">
        <v>101882</v>
      </c>
      <c r="E444" s="6" t="s">
        <v>1072</v>
      </c>
      <c r="F444" s="45" t="s">
        <v>210</v>
      </c>
      <c r="G444" s="46">
        <f t="shared" si="50"/>
        <v>9</v>
      </c>
      <c r="H444" s="46">
        <f>TRUNC(S444*(1-LOTE_03!$K$10),2)</f>
        <v>1336.28</v>
      </c>
      <c r="I444" s="46">
        <f>TRUNC(T444*(1-LOTE_03!$K$10),2)</f>
        <v>73.14</v>
      </c>
      <c r="J444" s="100">
        <f t="shared" si="51"/>
        <v>0.22470000000000001</v>
      </c>
      <c r="K444" s="48">
        <f t="shared" si="45"/>
        <v>1636.54</v>
      </c>
      <c r="L444" s="48">
        <f t="shared" si="46"/>
        <v>89.57</v>
      </c>
      <c r="M444" s="48">
        <f t="shared" si="47"/>
        <v>14728.86</v>
      </c>
      <c r="N444" s="48">
        <f t="shared" si="48"/>
        <v>806.13</v>
      </c>
      <c r="O444" s="50">
        <f t="shared" si="49"/>
        <v>15534.99</v>
      </c>
      <c r="P444" s="50">
        <v>0</v>
      </c>
      <c r="Q444" s="76"/>
      <c r="R444" s="140">
        <f>IF((1*S9+1*S10)&gt;10,10,(1*S9+1*S10))</f>
        <v>9</v>
      </c>
      <c r="S444" s="79">
        <v>1336.28</v>
      </c>
      <c r="T444" s="80">
        <v>73.14</v>
      </c>
    </row>
    <row r="445" spans="2:20" ht="84">
      <c r="B445" s="5" t="s">
        <v>1073</v>
      </c>
      <c r="C445" s="45" t="s">
        <v>135</v>
      </c>
      <c r="D445" s="45">
        <v>101881</v>
      </c>
      <c r="E445" s="6" t="s">
        <v>1074</v>
      </c>
      <c r="F445" s="45" t="s">
        <v>210</v>
      </c>
      <c r="G445" s="46">
        <f t="shared" si="50"/>
        <v>9</v>
      </c>
      <c r="H445" s="46">
        <f>TRUNC(S445*(1-LOTE_03!$K$10),2)</f>
        <v>947.03</v>
      </c>
      <c r="I445" s="46">
        <f>TRUNC(T445*(1-LOTE_03!$K$10),2)</f>
        <v>74.239999999999995</v>
      </c>
      <c r="J445" s="100">
        <f t="shared" si="51"/>
        <v>0.22470000000000001</v>
      </c>
      <c r="K445" s="48">
        <f t="shared" si="45"/>
        <v>1159.82</v>
      </c>
      <c r="L445" s="48">
        <f t="shared" si="46"/>
        <v>90.92</v>
      </c>
      <c r="M445" s="48">
        <f t="shared" si="47"/>
        <v>10438.379999999999</v>
      </c>
      <c r="N445" s="48">
        <f t="shared" si="48"/>
        <v>818.28</v>
      </c>
      <c r="O445" s="50">
        <f t="shared" si="49"/>
        <v>11256.66</v>
      </c>
      <c r="P445" s="50">
        <v>0</v>
      </c>
      <c r="Q445" s="76"/>
      <c r="R445" s="140">
        <f>IF((1*S9+1*S10)&gt;10,10,(1*S9+1*S10))</f>
        <v>9</v>
      </c>
      <c r="S445" s="79">
        <v>947.03</v>
      </c>
      <c r="T445" s="80">
        <v>74.239999999999995</v>
      </c>
    </row>
    <row r="446" spans="2:20" ht="56">
      <c r="B446" s="5" t="s">
        <v>1075</v>
      </c>
      <c r="C446" s="45" t="s">
        <v>135</v>
      </c>
      <c r="D446" s="45">
        <v>93653</v>
      </c>
      <c r="E446" s="6" t="s">
        <v>1076</v>
      </c>
      <c r="F446" s="45" t="s">
        <v>210</v>
      </c>
      <c r="G446" s="46">
        <f t="shared" si="50"/>
        <v>190</v>
      </c>
      <c r="H446" s="46">
        <f>TRUNC(S446*(1-LOTE_03!$K$10),2)</f>
        <v>10.93</v>
      </c>
      <c r="I446" s="46">
        <f>TRUNC(T446*(1-LOTE_03!$K$10),2)</f>
        <v>1.33</v>
      </c>
      <c r="J446" s="100">
        <f t="shared" si="51"/>
        <v>0.22470000000000001</v>
      </c>
      <c r="K446" s="48">
        <f t="shared" si="45"/>
        <v>13.38</v>
      </c>
      <c r="L446" s="48">
        <f t="shared" si="46"/>
        <v>1.62</v>
      </c>
      <c r="M446" s="48">
        <f t="shared" si="47"/>
        <v>2542.1999999999998</v>
      </c>
      <c r="N446" s="48">
        <f t="shared" si="48"/>
        <v>307.8</v>
      </c>
      <c r="O446" s="50">
        <f t="shared" si="49"/>
        <v>2850</v>
      </c>
      <c r="P446" s="50">
        <v>0</v>
      </c>
      <c r="Q446" s="76"/>
      <c r="R446" s="140">
        <f>10*S9+30*S10</f>
        <v>190</v>
      </c>
      <c r="S446" s="79">
        <v>10.93</v>
      </c>
      <c r="T446" s="80">
        <v>1.33</v>
      </c>
    </row>
    <row r="447" spans="2:20" ht="56">
      <c r="B447" s="5" t="s">
        <v>1077</v>
      </c>
      <c r="C447" s="45" t="s">
        <v>135</v>
      </c>
      <c r="D447" s="45">
        <v>93654</v>
      </c>
      <c r="E447" s="6" t="s">
        <v>1078</v>
      </c>
      <c r="F447" s="45" t="s">
        <v>210</v>
      </c>
      <c r="G447" s="46">
        <f t="shared" si="50"/>
        <v>190</v>
      </c>
      <c r="H447" s="46">
        <f>TRUNC(S447*(1-LOTE_03!$K$10),2)</f>
        <v>10.93</v>
      </c>
      <c r="I447" s="46">
        <f>TRUNC(T447*(1-LOTE_03!$K$10),2)</f>
        <v>1.33</v>
      </c>
      <c r="J447" s="100">
        <f t="shared" si="51"/>
        <v>0.22470000000000001</v>
      </c>
      <c r="K447" s="48">
        <f t="shared" si="45"/>
        <v>13.38</v>
      </c>
      <c r="L447" s="48">
        <f t="shared" si="46"/>
        <v>1.62</v>
      </c>
      <c r="M447" s="48">
        <f t="shared" si="47"/>
        <v>2542.1999999999998</v>
      </c>
      <c r="N447" s="48">
        <f t="shared" si="48"/>
        <v>307.8</v>
      </c>
      <c r="O447" s="50">
        <f t="shared" si="49"/>
        <v>2850</v>
      </c>
      <c r="P447" s="50">
        <v>0</v>
      </c>
      <c r="Q447" s="76"/>
      <c r="R447" s="140">
        <f>10*S9+30*S10</f>
        <v>190</v>
      </c>
      <c r="S447" s="79">
        <v>10.93</v>
      </c>
      <c r="T447" s="80">
        <v>1.33</v>
      </c>
    </row>
    <row r="448" spans="2:20" ht="56">
      <c r="B448" s="5" t="s">
        <v>1079</v>
      </c>
      <c r="C448" s="45" t="s">
        <v>135</v>
      </c>
      <c r="D448" s="45">
        <v>93655</v>
      </c>
      <c r="E448" s="6" t="s">
        <v>1080</v>
      </c>
      <c r="F448" s="45" t="s">
        <v>210</v>
      </c>
      <c r="G448" s="46">
        <f t="shared" si="50"/>
        <v>45</v>
      </c>
      <c r="H448" s="46">
        <f>TRUNC(S448*(1-LOTE_03!$K$10),2)</f>
        <v>11.53</v>
      </c>
      <c r="I448" s="46">
        <f>TRUNC(T448*(1-LOTE_03!$K$10),2)</f>
        <v>1.78</v>
      </c>
      <c r="J448" s="100">
        <f t="shared" si="51"/>
        <v>0.22470000000000001</v>
      </c>
      <c r="K448" s="48">
        <f t="shared" si="45"/>
        <v>14.12</v>
      </c>
      <c r="L448" s="48">
        <f t="shared" si="46"/>
        <v>2.17</v>
      </c>
      <c r="M448" s="48">
        <f t="shared" si="47"/>
        <v>635.4</v>
      </c>
      <c r="N448" s="48">
        <f t="shared" si="48"/>
        <v>97.65</v>
      </c>
      <c r="O448" s="50">
        <f t="shared" si="49"/>
        <v>733.05</v>
      </c>
      <c r="P448" s="50">
        <v>0</v>
      </c>
      <c r="Q448" s="76"/>
      <c r="R448" s="140">
        <f>5*S9+5*S10</f>
        <v>45</v>
      </c>
      <c r="S448" s="79">
        <v>11.530000000000001</v>
      </c>
      <c r="T448" s="80">
        <v>1.78</v>
      </c>
    </row>
    <row r="449" spans="2:20" ht="56">
      <c r="B449" s="5" t="s">
        <v>1081</v>
      </c>
      <c r="C449" s="45" t="s">
        <v>135</v>
      </c>
      <c r="D449" s="45">
        <v>93661</v>
      </c>
      <c r="E449" s="6" t="s">
        <v>912</v>
      </c>
      <c r="F449" s="45" t="s">
        <v>210</v>
      </c>
      <c r="G449" s="46">
        <f t="shared" si="50"/>
        <v>9</v>
      </c>
      <c r="H449" s="46">
        <f>TRUNC(S449*(1-LOTE_03!$K$10),2)</f>
        <v>55.18</v>
      </c>
      <c r="I449" s="46">
        <f>TRUNC(T449*(1-LOTE_03!$K$10),2)</f>
        <v>2.6</v>
      </c>
      <c r="J449" s="100">
        <f t="shared" si="51"/>
        <v>0.22470000000000001</v>
      </c>
      <c r="K449" s="48">
        <f t="shared" si="45"/>
        <v>67.569999999999993</v>
      </c>
      <c r="L449" s="48">
        <f t="shared" si="46"/>
        <v>3.18</v>
      </c>
      <c r="M449" s="48">
        <f t="shared" si="47"/>
        <v>608.13</v>
      </c>
      <c r="N449" s="48">
        <f t="shared" si="48"/>
        <v>28.62</v>
      </c>
      <c r="O449" s="50">
        <f t="shared" si="49"/>
        <v>636.75</v>
      </c>
      <c r="P449" s="50">
        <v>0</v>
      </c>
      <c r="Q449" s="76"/>
      <c r="R449" s="140">
        <f>1*S9+1*S10</f>
        <v>9</v>
      </c>
      <c r="S449" s="79">
        <v>55.18</v>
      </c>
      <c r="T449" s="80">
        <v>2.6</v>
      </c>
    </row>
    <row r="450" spans="2:20" ht="56">
      <c r="B450" s="5" t="s">
        <v>1082</v>
      </c>
      <c r="C450" s="45" t="s">
        <v>135</v>
      </c>
      <c r="D450" s="45">
        <v>93666</v>
      </c>
      <c r="E450" s="6" t="s">
        <v>1083</v>
      </c>
      <c r="F450" s="45" t="s">
        <v>210</v>
      </c>
      <c r="G450" s="46">
        <f t="shared" si="50"/>
        <v>9</v>
      </c>
      <c r="H450" s="46">
        <f>TRUNC(S450*(1-LOTE_03!$K$10),2)</f>
        <v>62.45</v>
      </c>
      <c r="I450" s="46">
        <f>TRUNC(T450*(1-LOTE_03!$K$10),2)</f>
        <v>13.55</v>
      </c>
      <c r="J450" s="100">
        <f t="shared" si="51"/>
        <v>0.22470000000000001</v>
      </c>
      <c r="K450" s="48">
        <f t="shared" si="45"/>
        <v>76.48</v>
      </c>
      <c r="L450" s="48">
        <f t="shared" si="46"/>
        <v>16.59</v>
      </c>
      <c r="M450" s="48">
        <f t="shared" si="47"/>
        <v>688.32</v>
      </c>
      <c r="N450" s="48">
        <f t="shared" si="48"/>
        <v>149.31</v>
      </c>
      <c r="O450" s="50">
        <f t="shared" si="49"/>
        <v>837.63</v>
      </c>
      <c r="P450" s="50">
        <v>0</v>
      </c>
      <c r="Q450" s="76"/>
      <c r="R450" s="140">
        <f>1*S9+1*S10</f>
        <v>9</v>
      </c>
      <c r="S450" s="79">
        <v>62.45</v>
      </c>
      <c r="T450" s="80">
        <v>13.55</v>
      </c>
    </row>
    <row r="451" spans="2:20" ht="56">
      <c r="B451" s="5" t="s">
        <v>1084</v>
      </c>
      <c r="C451" s="45" t="s">
        <v>135</v>
      </c>
      <c r="D451" s="45">
        <v>93672</v>
      </c>
      <c r="E451" s="6" t="s">
        <v>1085</v>
      </c>
      <c r="F451" s="45" t="s">
        <v>210</v>
      </c>
      <c r="G451" s="46">
        <f t="shared" si="50"/>
        <v>9</v>
      </c>
      <c r="H451" s="46">
        <f>TRUNC(S451*(1-LOTE_03!$K$10),2)</f>
        <v>76.73</v>
      </c>
      <c r="I451" s="46">
        <f>TRUNC(T451*(1-LOTE_03!$K$10),2)</f>
        <v>14.55</v>
      </c>
      <c r="J451" s="100">
        <f t="shared" si="51"/>
        <v>0.22470000000000001</v>
      </c>
      <c r="K451" s="48">
        <f t="shared" si="45"/>
        <v>93.97</v>
      </c>
      <c r="L451" s="48">
        <f t="shared" si="46"/>
        <v>17.809999999999999</v>
      </c>
      <c r="M451" s="48">
        <f t="shared" si="47"/>
        <v>845.73</v>
      </c>
      <c r="N451" s="48">
        <f t="shared" si="48"/>
        <v>160.29</v>
      </c>
      <c r="O451" s="50">
        <f t="shared" si="49"/>
        <v>1006.02</v>
      </c>
      <c r="P451" s="50">
        <v>0</v>
      </c>
      <c r="Q451" s="76"/>
      <c r="R451" s="140">
        <f>1*S9+1*S10</f>
        <v>9</v>
      </c>
      <c r="S451" s="79">
        <v>76.73</v>
      </c>
      <c r="T451" s="80">
        <v>14.55</v>
      </c>
    </row>
    <row r="452" spans="2:20" ht="56">
      <c r="B452" s="5" t="s">
        <v>1086</v>
      </c>
      <c r="C452" s="45" t="s">
        <v>135</v>
      </c>
      <c r="D452" s="45">
        <v>101894</v>
      </c>
      <c r="E452" s="6" t="s">
        <v>1087</v>
      </c>
      <c r="F452" s="45" t="s">
        <v>210</v>
      </c>
      <c r="G452" s="46">
        <f t="shared" si="50"/>
        <v>9</v>
      </c>
      <c r="H452" s="46">
        <f>TRUNC(S452*(1-LOTE_03!$K$10),2)</f>
        <v>134.32</v>
      </c>
      <c r="I452" s="46">
        <f>TRUNC(T452*(1-LOTE_03!$K$10),2)</f>
        <v>27.84</v>
      </c>
      <c r="J452" s="100">
        <f t="shared" si="51"/>
        <v>0.22470000000000001</v>
      </c>
      <c r="K452" s="48">
        <f t="shared" si="45"/>
        <v>164.5</v>
      </c>
      <c r="L452" s="48">
        <f t="shared" si="46"/>
        <v>34.090000000000003</v>
      </c>
      <c r="M452" s="48">
        <f t="shared" si="47"/>
        <v>1480.5</v>
      </c>
      <c r="N452" s="48">
        <f t="shared" si="48"/>
        <v>306.81</v>
      </c>
      <c r="O452" s="50">
        <f t="shared" si="49"/>
        <v>1787.31</v>
      </c>
      <c r="P452" s="50">
        <v>0</v>
      </c>
      <c r="Q452" s="76"/>
      <c r="R452" s="140">
        <f>1*S9+1*S10</f>
        <v>9</v>
      </c>
      <c r="S452" s="79">
        <v>134.32</v>
      </c>
      <c r="T452" s="80">
        <v>27.84</v>
      </c>
    </row>
    <row r="453" spans="2:20" ht="56">
      <c r="B453" s="5" t="s">
        <v>1088</v>
      </c>
      <c r="C453" s="45" t="s">
        <v>135</v>
      </c>
      <c r="D453" s="45">
        <v>91932</v>
      </c>
      <c r="E453" s="6" t="s">
        <v>1089</v>
      </c>
      <c r="F453" s="45" t="s">
        <v>187</v>
      </c>
      <c r="G453" s="46">
        <f t="shared" si="50"/>
        <v>230</v>
      </c>
      <c r="H453" s="46">
        <f>TRUNC(S453*(1-LOTE_03!$K$10),2)</f>
        <v>17.64</v>
      </c>
      <c r="I453" s="46">
        <f>TRUNC(T453*(1-LOTE_03!$K$10),2)</f>
        <v>3.19</v>
      </c>
      <c r="J453" s="100">
        <f t="shared" si="51"/>
        <v>0.22470000000000001</v>
      </c>
      <c r="K453" s="48">
        <f t="shared" si="45"/>
        <v>21.6</v>
      </c>
      <c r="L453" s="48">
        <f t="shared" si="46"/>
        <v>3.9</v>
      </c>
      <c r="M453" s="48">
        <f t="shared" si="47"/>
        <v>4968</v>
      </c>
      <c r="N453" s="48">
        <f t="shared" si="48"/>
        <v>897</v>
      </c>
      <c r="O453" s="50">
        <f t="shared" si="49"/>
        <v>5865</v>
      </c>
      <c r="P453" s="50">
        <v>0</v>
      </c>
      <c r="Q453" s="76"/>
      <c r="R453" s="140">
        <f>20*S9+30*S10</f>
        <v>230</v>
      </c>
      <c r="S453" s="79">
        <v>17.639999999999997</v>
      </c>
      <c r="T453" s="80">
        <v>3.19</v>
      </c>
    </row>
    <row r="454" spans="2:20" ht="56">
      <c r="B454" s="5" t="s">
        <v>1090</v>
      </c>
      <c r="C454" s="45" t="s">
        <v>135</v>
      </c>
      <c r="D454" s="45">
        <v>91928</v>
      </c>
      <c r="E454" s="6" t="s">
        <v>844</v>
      </c>
      <c r="F454" s="45" t="s">
        <v>187</v>
      </c>
      <c r="G454" s="46">
        <f t="shared" si="50"/>
        <v>230</v>
      </c>
      <c r="H454" s="46">
        <f>TRUNC(S454*(1-LOTE_03!$K$10),2)</f>
        <v>6.64</v>
      </c>
      <c r="I454" s="46">
        <f>TRUNC(T454*(1-LOTE_03!$K$10),2)</f>
        <v>1.63</v>
      </c>
      <c r="J454" s="100">
        <f t="shared" si="51"/>
        <v>0.22470000000000001</v>
      </c>
      <c r="K454" s="48">
        <f t="shared" si="45"/>
        <v>8.1300000000000008</v>
      </c>
      <c r="L454" s="48">
        <f t="shared" si="46"/>
        <v>1.99</v>
      </c>
      <c r="M454" s="48">
        <f t="shared" si="47"/>
        <v>1869.9</v>
      </c>
      <c r="N454" s="48">
        <f t="shared" si="48"/>
        <v>457.7</v>
      </c>
      <c r="O454" s="50">
        <f t="shared" si="49"/>
        <v>2327.6</v>
      </c>
      <c r="P454" s="50">
        <v>0</v>
      </c>
      <c r="Q454" s="76"/>
      <c r="R454" s="140">
        <f>20*S9+30*S10</f>
        <v>230</v>
      </c>
      <c r="S454" s="79">
        <v>6.64</v>
      </c>
      <c r="T454" s="80">
        <v>1.63</v>
      </c>
    </row>
    <row r="455" spans="2:20" ht="56">
      <c r="B455" s="5" t="s">
        <v>1091</v>
      </c>
      <c r="C455" s="45" t="s">
        <v>135</v>
      </c>
      <c r="D455" s="45">
        <v>91926</v>
      </c>
      <c r="E455" s="6" t="s">
        <v>840</v>
      </c>
      <c r="F455" s="45" t="s">
        <v>187</v>
      </c>
      <c r="G455" s="46">
        <f t="shared" si="50"/>
        <v>5800</v>
      </c>
      <c r="H455" s="46">
        <f>TRUNC(S455*(1-LOTE_03!$K$10),2)</f>
        <v>4.1100000000000003</v>
      </c>
      <c r="I455" s="46">
        <f>TRUNC(T455*(1-LOTE_03!$K$10),2)</f>
        <v>1.21</v>
      </c>
      <c r="J455" s="100">
        <f t="shared" si="51"/>
        <v>0.22470000000000001</v>
      </c>
      <c r="K455" s="48">
        <f t="shared" si="45"/>
        <v>5.03</v>
      </c>
      <c r="L455" s="48">
        <f t="shared" si="46"/>
        <v>1.48</v>
      </c>
      <c r="M455" s="48">
        <f t="shared" si="47"/>
        <v>29174</v>
      </c>
      <c r="N455" s="48">
        <f t="shared" si="48"/>
        <v>8584</v>
      </c>
      <c r="O455" s="50">
        <f t="shared" si="49"/>
        <v>37758</v>
      </c>
      <c r="P455" s="50">
        <v>0</v>
      </c>
      <c r="Q455" s="76"/>
      <c r="R455" s="140">
        <f>1000*S10+200*S9</f>
        <v>5800</v>
      </c>
      <c r="S455" s="79">
        <v>4.1100000000000003</v>
      </c>
      <c r="T455" s="80">
        <v>1.21</v>
      </c>
    </row>
    <row r="456" spans="2:20" ht="56">
      <c r="B456" s="5" t="s">
        <v>1092</v>
      </c>
      <c r="C456" s="45" t="s">
        <v>135</v>
      </c>
      <c r="D456" s="45">
        <v>91927</v>
      </c>
      <c r="E456" s="6" t="s">
        <v>1093</v>
      </c>
      <c r="F456" s="45" t="s">
        <v>187</v>
      </c>
      <c r="G456" s="46">
        <f t="shared" si="50"/>
        <v>5800</v>
      </c>
      <c r="H456" s="46">
        <f>TRUNC(S456*(1-LOTE_03!$K$10),2)</f>
        <v>4.79</v>
      </c>
      <c r="I456" s="46">
        <f>TRUNC(T456*(1-LOTE_03!$K$10),2)</f>
        <v>1.2</v>
      </c>
      <c r="J456" s="100">
        <f t="shared" si="51"/>
        <v>0.22470000000000001</v>
      </c>
      <c r="K456" s="48">
        <f t="shared" si="45"/>
        <v>5.86</v>
      </c>
      <c r="L456" s="48">
        <f t="shared" si="46"/>
        <v>1.46</v>
      </c>
      <c r="M456" s="48">
        <f t="shared" si="47"/>
        <v>33988</v>
      </c>
      <c r="N456" s="48">
        <f t="shared" si="48"/>
        <v>8468</v>
      </c>
      <c r="O456" s="50">
        <f t="shared" si="49"/>
        <v>42456</v>
      </c>
      <c r="P456" s="50">
        <v>0</v>
      </c>
      <c r="Q456" s="76"/>
      <c r="R456" s="140">
        <f>1000*S10+200*S9</f>
        <v>5800</v>
      </c>
      <c r="S456" s="79">
        <v>4.79</v>
      </c>
      <c r="T456" s="80">
        <v>1.2</v>
      </c>
    </row>
    <row r="457" spans="2:20" ht="28">
      <c r="B457" s="5" t="s">
        <v>1094</v>
      </c>
      <c r="C457" s="45" t="s">
        <v>97</v>
      </c>
      <c r="D457" s="45" t="s">
        <v>1095</v>
      </c>
      <c r="E457" s="6" t="s">
        <v>1096</v>
      </c>
      <c r="F457" s="45" t="s">
        <v>104</v>
      </c>
      <c r="G457" s="46">
        <f t="shared" si="50"/>
        <v>9</v>
      </c>
      <c r="H457" s="46">
        <f>TRUNC(S457*(1-LOTE_03!$K$10),2)</f>
        <v>16.989999999999998</v>
      </c>
      <c r="I457" s="46">
        <f>TRUNC(T457*(1-LOTE_03!$K$10),2)</f>
        <v>51.68</v>
      </c>
      <c r="J457" s="100">
        <f t="shared" si="51"/>
        <v>0.22470000000000001</v>
      </c>
      <c r="K457" s="48">
        <f t="shared" si="45"/>
        <v>20.8</v>
      </c>
      <c r="L457" s="48">
        <f t="shared" si="46"/>
        <v>63.29</v>
      </c>
      <c r="M457" s="48">
        <f t="shared" si="47"/>
        <v>187.2</v>
      </c>
      <c r="N457" s="48">
        <f t="shared" si="48"/>
        <v>569.61</v>
      </c>
      <c r="O457" s="50">
        <f t="shared" si="49"/>
        <v>756.81</v>
      </c>
      <c r="P457" s="50">
        <v>0</v>
      </c>
      <c r="Q457" s="76"/>
      <c r="R457" s="140">
        <f>IF((1*S9+1*S10)&gt;10,10,(1*S9+1*S10))</f>
        <v>9</v>
      </c>
      <c r="S457" s="79">
        <v>16.989999999999998</v>
      </c>
      <c r="T457" s="80">
        <v>51.68</v>
      </c>
    </row>
    <row r="458" spans="2:20" ht="42">
      <c r="B458" s="5" t="s">
        <v>1097</v>
      </c>
      <c r="C458" s="45" t="s">
        <v>165</v>
      </c>
      <c r="D458" s="45" t="s">
        <v>1098</v>
      </c>
      <c r="E458" s="6" t="s">
        <v>1099</v>
      </c>
      <c r="F458" s="45" t="s">
        <v>559</v>
      </c>
      <c r="G458" s="46">
        <f t="shared" si="50"/>
        <v>9</v>
      </c>
      <c r="H458" s="46">
        <f>TRUNC(S458*(1-LOTE_03!$K$10),2)</f>
        <v>206.22</v>
      </c>
      <c r="I458" s="46">
        <f>TRUNC(T458*(1-LOTE_03!$K$10),2)</f>
        <v>111.56</v>
      </c>
      <c r="J458" s="100">
        <f t="shared" si="51"/>
        <v>0.22470000000000001</v>
      </c>
      <c r="K458" s="48">
        <f t="shared" si="45"/>
        <v>252.55</v>
      </c>
      <c r="L458" s="48">
        <f t="shared" si="46"/>
        <v>136.62</v>
      </c>
      <c r="M458" s="48">
        <f t="shared" si="47"/>
        <v>2272.9499999999998</v>
      </c>
      <c r="N458" s="48">
        <f t="shared" si="48"/>
        <v>1229.58</v>
      </c>
      <c r="O458" s="50">
        <f t="shared" si="49"/>
        <v>3502.53</v>
      </c>
      <c r="P458" s="50">
        <v>0</v>
      </c>
      <c r="Q458" s="76"/>
      <c r="R458" s="140">
        <f>IF((1*S9+1*S10)&gt;10,10,(1*S9+1*S10))</f>
        <v>9</v>
      </c>
      <c r="S458" s="79">
        <v>206.22</v>
      </c>
      <c r="T458" s="80">
        <v>111.56</v>
      </c>
    </row>
    <row r="459" spans="2:20" ht="42">
      <c r="B459" s="5" t="s">
        <v>1100</v>
      </c>
      <c r="C459" s="45" t="s">
        <v>165</v>
      </c>
      <c r="D459" s="45" t="s">
        <v>1101</v>
      </c>
      <c r="E459" s="6" t="s">
        <v>1102</v>
      </c>
      <c r="F459" s="45" t="s">
        <v>559</v>
      </c>
      <c r="G459" s="46">
        <f t="shared" si="50"/>
        <v>9</v>
      </c>
      <c r="H459" s="46">
        <f>TRUNC(S459*(1-LOTE_03!$K$10),2)</f>
        <v>149.25</v>
      </c>
      <c r="I459" s="46">
        <f>TRUNC(T459*(1-LOTE_03!$K$10),2)</f>
        <v>104.36</v>
      </c>
      <c r="J459" s="100">
        <f t="shared" si="51"/>
        <v>0.22470000000000001</v>
      </c>
      <c r="K459" s="48">
        <f t="shared" si="45"/>
        <v>182.78</v>
      </c>
      <c r="L459" s="48">
        <f t="shared" si="46"/>
        <v>127.8</v>
      </c>
      <c r="M459" s="48">
        <f t="shared" si="47"/>
        <v>1645.02</v>
      </c>
      <c r="N459" s="48">
        <f t="shared" si="48"/>
        <v>1150.2</v>
      </c>
      <c r="O459" s="50">
        <f t="shared" si="49"/>
        <v>2795.22</v>
      </c>
      <c r="P459" s="50">
        <v>0</v>
      </c>
      <c r="Q459" s="76"/>
      <c r="R459" s="140">
        <f>IF((1*S9+1*S10)&gt;10,10,(1*S9+1*S10))</f>
        <v>9</v>
      </c>
      <c r="S459" s="79">
        <v>149.25</v>
      </c>
      <c r="T459" s="80">
        <v>104.36</v>
      </c>
    </row>
    <row r="460" spans="2:20" ht="42">
      <c r="B460" s="5" t="s">
        <v>1103</v>
      </c>
      <c r="C460" s="45" t="s">
        <v>165</v>
      </c>
      <c r="D460" s="45" t="s">
        <v>1104</v>
      </c>
      <c r="E460" s="6" t="s">
        <v>1105</v>
      </c>
      <c r="F460" s="45" t="s">
        <v>559</v>
      </c>
      <c r="G460" s="46">
        <f t="shared" si="50"/>
        <v>9</v>
      </c>
      <c r="H460" s="46">
        <f>TRUNC(S460*(1-LOTE_03!$K$10),2)</f>
        <v>79.81</v>
      </c>
      <c r="I460" s="46">
        <f>TRUNC(T460*(1-LOTE_03!$K$10),2)</f>
        <v>93.56</v>
      </c>
      <c r="J460" s="100">
        <f t="shared" si="51"/>
        <v>0.22470000000000001</v>
      </c>
      <c r="K460" s="48">
        <f t="shared" si="45"/>
        <v>97.74</v>
      </c>
      <c r="L460" s="48">
        <f t="shared" si="46"/>
        <v>114.58</v>
      </c>
      <c r="M460" s="48">
        <f t="shared" si="47"/>
        <v>879.66</v>
      </c>
      <c r="N460" s="48">
        <f t="shared" si="48"/>
        <v>1031.22</v>
      </c>
      <c r="O460" s="50">
        <f t="shared" si="49"/>
        <v>1910.88</v>
      </c>
      <c r="P460" s="50">
        <v>0</v>
      </c>
      <c r="Q460" s="76"/>
      <c r="R460" s="140">
        <f>IF((1*S9+1*S10)&gt;10,10,(1*S9+1*S10))</f>
        <v>9</v>
      </c>
      <c r="S460" s="79">
        <v>79.81</v>
      </c>
      <c r="T460" s="80">
        <v>93.56</v>
      </c>
    </row>
    <row r="461" spans="2:20" ht="28">
      <c r="B461" s="5" t="s">
        <v>1106</v>
      </c>
      <c r="C461" s="45" t="s">
        <v>97</v>
      </c>
      <c r="D461" s="45" t="s">
        <v>1107</v>
      </c>
      <c r="E461" s="6" t="s">
        <v>1108</v>
      </c>
      <c r="F461" s="45" t="s">
        <v>104</v>
      </c>
      <c r="G461" s="46">
        <f t="shared" si="50"/>
        <v>9</v>
      </c>
      <c r="H461" s="46">
        <f>TRUNC(S461*(1-LOTE_03!$K$10),2)</f>
        <v>198.92</v>
      </c>
      <c r="I461" s="46">
        <f>TRUNC(T461*(1-LOTE_03!$K$10),2)</f>
        <v>12.92</v>
      </c>
      <c r="J461" s="100">
        <f t="shared" si="51"/>
        <v>0.22470000000000001</v>
      </c>
      <c r="K461" s="48">
        <f t="shared" si="45"/>
        <v>243.61</v>
      </c>
      <c r="L461" s="48">
        <f t="shared" si="46"/>
        <v>15.82</v>
      </c>
      <c r="M461" s="48">
        <f t="shared" si="47"/>
        <v>2192.4899999999998</v>
      </c>
      <c r="N461" s="48">
        <f t="shared" si="48"/>
        <v>142.38</v>
      </c>
      <c r="O461" s="50">
        <f t="shared" si="49"/>
        <v>2334.87</v>
      </c>
      <c r="P461" s="50">
        <v>0</v>
      </c>
      <c r="Q461" s="76"/>
      <c r="R461" s="140">
        <f>1*S9+1*S10</f>
        <v>9</v>
      </c>
      <c r="S461" s="79">
        <v>198.92</v>
      </c>
      <c r="T461" s="80">
        <v>12.92</v>
      </c>
    </row>
    <row r="462" spans="2:20" ht="42">
      <c r="B462" s="5" t="s">
        <v>1109</v>
      </c>
      <c r="C462" s="45" t="s">
        <v>97</v>
      </c>
      <c r="D462" s="45" t="s">
        <v>1110</v>
      </c>
      <c r="E462" s="6" t="s">
        <v>1111</v>
      </c>
      <c r="F462" s="45" t="s">
        <v>104</v>
      </c>
      <c r="G462" s="46">
        <f t="shared" si="50"/>
        <v>28</v>
      </c>
      <c r="H462" s="46">
        <f>TRUNC(S462*(1-LOTE_03!$K$10),2)</f>
        <v>103.02</v>
      </c>
      <c r="I462" s="46">
        <f>TRUNC(T462*(1-LOTE_03!$K$10),2)</f>
        <v>21.53</v>
      </c>
      <c r="J462" s="100">
        <f t="shared" si="51"/>
        <v>0.22470000000000001</v>
      </c>
      <c r="K462" s="48">
        <f t="shared" si="45"/>
        <v>126.16</v>
      </c>
      <c r="L462" s="48">
        <f t="shared" si="46"/>
        <v>26.36</v>
      </c>
      <c r="M462" s="48">
        <f t="shared" si="47"/>
        <v>3532.48</v>
      </c>
      <c r="N462" s="48">
        <f t="shared" si="48"/>
        <v>738.08</v>
      </c>
      <c r="O462" s="50">
        <f t="shared" si="49"/>
        <v>4270.5600000000004</v>
      </c>
      <c r="P462" s="50">
        <v>0</v>
      </c>
      <c r="Q462" s="76"/>
      <c r="R462" s="140">
        <f>IF((2*S9+4*S10)&gt;50,50,(2*S9+4*S10))</f>
        <v>28</v>
      </c>
      <c r="S462" s="79">
        <v>103.02</v>
      </c>
      <c r="T462" s="80">
        <v>21.53</v>
      </c>
    </row>
    <row r="463" spans="2:20" ht="42">
      <c r="B463" s="5" t="s">
        <v>1112</v>
      </c>
      <c r="C463" s="45" t="s">
        <v>97</v>
      </c>
      <c r="D463" s="45" t="s">
        <v>1113</v>
      </c>
      <c r="E463" s="6" t="s">
        <v>1114</v>
      </c>
      <c r="F463" s="45" t="s">
        <v>104</v>
      </c>
      <c r="G463" s="46">
        <f t="shared" si="50"/>
        <v>9</v>
      </c>
      <c r="H463" s="46">
        <f>TRUNC(S463*(1-LOTE_03!$K$10),2)</f>
        <v>272.08</v>
      </c>
      <c r="I463" s="46">
        <f>TRUNC(T463*(1-LOTE_03!$K$10),2)</f>
        <v>21.53</v>
      </c>
      <c r="J463" s="100">
        <f t="shared" si="51"/>
        <v>0.22470000000000001</v>
      </c>
      <c r="K463" s="48">
        <f t="shared" si="45"/>
        <v>333.21</v>
      </c>
      <c r="L463" s="48">
        <f t="shared" si="46"/>
        <v>26.36</v>
      </c>
      <c r="M463" s="48">
        <f t="shared" si="47"/>
        <v>2998.89</v>
      </c>
      <c r="N463" s="48">
        <f t="shared" si="48"/>
        <v>237.24</v>
      </c>
      <c r="O463" s="50">
        <f t="shared" si="49"/>
        <v>3236.13</v>
      </c>
      <c r="P463" s="50">
        <v>0</v>
      </c>
      <c r="Q463" s="76"/>
      <c r="R463" s="140">
        <f>1*S9+1*S10</f>
        <v>9</v>
      </c>
      <c r="S463" s="79">
        <v>272.08</v>
      </c>
      <c r="T463" s="80">
        <v>21.53</v>
      </c>
    </row>
    <row r="464" spans="2:20" ht="42">
      <c r="B464" s="5" t="s">
        <v>1115</v>
      </c>
      <c r="C464" s="45" t="s">
        <v>97</v>
      </c>
      <c r="D464" s="45" t="s">
        <v>1116</v>
      </c>
      <c r="E464" s="6" t="s">
        <v>1117</v>
      </c>
      <c r="F464" s="45" t="s">
        <v>104</v>
      </c>
      <c r="G464" s="46">
        <f t="shared" si="50"/>
        <v>9</v>
      </c>
      <c r="H464" s="46">
        <f>TRUNC(S464*(1-LOTE_03!$K$10),2)</f>
        <v>241.64</v>
      </c>
      <c r="I464" s="46">
        <f>TRUNC(T464*(1-LOTE_03!$K$10),2)</f>
        <v>15.07</v>
      </c>
      <c r="J464" s="100">
        <f t="shared" si="51"/>
        <v>0.22470000000000001</v>
      </c>
      <c r="K464" s="48">
        <f t="shared" ref="K464:K527" si="52">TRUNC(H464*(1+J464),2)</f>
        <v>295.93</v>
      </c>
      <c r="L464" s="48">
        <f t="shared" ref="L464:L527" si="53">TRUNC(I464*(1+J464),2)</f>
        <v>18.45</v>
      </c>
      <c r="M464" s="48">
        <f t="shared" ref="M464:M527" si="54">TRUNC(K464*G464,2)</f>
        <v>2663.37</v>
      </c>
      <c r="N464" s="48">
        <f t="shared" ref="N464:N527" si="55">TRUNC(L464*G464,2)</f>
        <v>166.05</v>
      </c>
      <c r="O464" s="50">
        <f t="shared" ref="O464:O527" si="56">TRUNC(M464+N464,2)</f>
        <v>2829.42</v>
      </c>
      <c r="P464" s="50">
        <v>0</v>
      </c>
      <c r="Q464" s="76"/>
      <c r="R464" s="140">
        <f>1*S9+1*S10</f>
        <v>9</v>
      </c>
      <c r="S464" s="79">
        <v>241.64</v>
      </c>
      <c r="T464" s="80">
        <v>15.07</v>
      </c>
    </row>
    <row r="465" spans="2:20">
      <c r="B465" s="5" t="s">
        <v>1118</v>
      </c>
      <c r="C465" s="45" t="s">
        <v>97</v>
      </c>
      <c r="D465" s="45" t="s">
        <v>1119</v>
      </c>
      <c r="E465" s="6" t="s">
        <v>1120</v>
      </c>
      <c r="F465" s="45" t="s">
        <v>104</v>
      </c>
      <c r="G465" s="46">
        <f t="shared" si="50"/>
        <v>9</v>
      </c>
      <c r="H465" s="46">
        <f>TRUNC(S465*(1-LOTE_03!$K$10),2)</f>
        <v>129.94999999999999</v>
      </c>
      <c r="I465" s="46">
        <f>TRUNC(T465*(1-LOTE_03!$K$10),2)</f>
        <v>15.07</v>
      </c>
      <c r="J465" s="100">
        <f t="shared" si="51"/>
        <v>0.22470000000000001</v>
      </c>
      <c r="K465" s="48">
        <f t="shared" si="52"/>
        <v>159.13999999999999</v>
      </c>
      <c r="L465" s="48">
        <f t="shared" si="53"/>
        <v>18.45</v>
      </c>
      <c r="M465" s="48">
        <f t="shared" si="54"/>
        <v>1432.26</v>
      </c>
      <c r="N465" s="48">
        <f t="shared" si="55"/>
        <v>166.05</v>
      </c>
      <c r="O465" s="50">
        <f t="shared" si="56"/>
        <v>1598.31</v>
      </c>
      <c r="P465" s="50">
        <v>0</v>
      </c>
      <c r="Q465" s="76"/>
      <c r="R465" s="140">
        <f>1*S9+1*S10</f>
        <v>9</v>
      </c>
      <c r="S465" s="79">
        <v>129.94999999999999</v>
      </c>
      <c r="T465" s="80">
        <v>15.07</v>
      </c>
    </row>
    <row r="466" spans="2:20">
      <c r="B466" s="5" t="s">
        <v>1121</v>
      </c>
      <c r="C466" s="45" t="s">
        <v>97</v>
      </c>
      <c r="D466" s="45" t="s">
        <v>1122</v>
      </c>
      <c r="E466" s="6" t="s">
        <v>1123</v>
      </c>
      <c r="F466" s="45" t="s">
        <v>104</v>
      </c>
      <c r="G466" s="46">
        <f t="shared" ref="G466:G529" si="57">TRUNC(R466,2)</f>
        <v>9</v>
      </c>
      <c r="H466" s="46">
        <f>TRUNC(S466*(1-LOTE_03!$K$10),2)</f>
        <v>345.02</v>
      </c>
      <c r="I466" s="46">
        <f>TRUNC(T466*(1-LOTE_03!$K$10),2)</f>
        <v>39.619999999999997</v>
      </c>
      <c r="J466" s="100">
        <f t="shared" ref="J466:J529" si="58">$J$4</f>
        <v>0.22470000000000001</v>
      </c>
      <c r="K466" s="48">
        <f t="shared" si="52"/>
        <v>422.54</v>
      </c>
      <c r="L466" s="48">
        <f t="shared" si="53"/>
        <v>48.52</v>
      </c>
      <c r="M466" s="48">
        <f t="shared" si="54"/>
        <v>3802.86</v>
      </c>
      <c r="N466" s="48">
        <f t="shared" si="55"/>
        <v>436.68</v>
      </c>
      <c r="O466" s="50">
        <f t="shared" si="56"/>
        <v>4239.54</v>
      </c>
      <c r="P466" s="50">
        <v>0</v>
      </c>
      <c r="Q466" s="76"/>
      <c r="R466" s="140">
        <f>1*S9+1*S10</f>
        <v>9</v>
      </c>
      <c r="S466" s="79">
        <v>345.02</v>
      </c>
      <c r="T466" s="80">
        <v>39.619999999999997</v>
      </c>
    </row>
    <row r="467" spans="2:20" ht="56">
      <c r="B467" s="5" t="s">
        <v>1124</v>
      </c>
      <c r="C467" s="45" t="s">
        <v>97</v>
      </c>
      <c r="D467" s="45" t="s">
        <v>1039</v>
      </c>
      <c r="E467" s="6" t="s">
        <v>1040</v>
      </c>
      <c r="F467" s="45" t="s">
        <v>925</v>
      </c>
      <c r="G467" s="46">
        <f t="shared" si="57"/>
        <v>450</v>
      </c>
      <c r="H467" s="46">
        <f>TRUNC(S467*(1-LOTE_03!$K$10),2)</f>
        <v>33.07</v>
      </c>
      <c r="I467" s="46">
        <f>TRUNC(T467*(1-LOTE_03!$K$10),2)</f>
        <v>21.53</v>
      </c>
      <c r="J467" s="100">
        <f t="shared" si="58"/>
        <v>0.22470000000000001</v>
      </c>
      <c r="K467" s="48">
        <f t="shared" si="52"/>
        <v>40.5</v>
      </c>
      <c r="L467" s="48">
        <f t="shared" si="53"/>
        <v>26.36</v>
      </c>
      <c r="M467" s="48">
        <f t="shared" si="54"/>
        <v>18225</v>
      </c>
      <c r="N467" s="48">
        <f t="shared" si="55"/>
        <v>11862</v>
      </c>
      <c r="O467" s="50">
        <f t="shared" si="56"/>
        <v>30087</v>
      </c>
      <c r="P467" s="50">
        <v>0</v>
      </c>
      <c r="Q467" s="76"/>
      <c r="R467" s="140">
        <f>50*S9+50*S10</f>
        <v>450</v>
      </c>
      <c r="S467" s="79">
        <v>33.07</v>
      </c>
      <c r="T467" s="80">
        <v>21.53</v>
      </c>
    </row>
    <row r="468" spans="2:20" ht="70">
      <c r="B468" s="5" t="s">
        <v>1125</v>
      </c>
      <c r="C468" s="45" t="s">
        <v>135</v>
      </c>
      <c r="D468" s="45">
        <v>91867</v>
      </c>
      <c r="E468" s="6" t="s">
        <v>927</v>
      </c>
      <c r="F468" s="45" t="s">
        <v>187</v>
      </c>
      <c r="G468" s="46">
        <f t="shared" si="57"/>
        <v>450</v>
      </c>
      <c r="H468" s="46">
        <f>TRUNC(S468*(1-LOTE_03!$K$10),2)</f>
        <v>7.07</v>
      </c>
      <c r="I468" s="46">
        <f>TRUNC(T468*(1-LOTE_03!$K$10),2)</f>
        <v>3.99</v>
      </c>
      <c r="J468" s="100">
        <f t="shared" si="58"/>
        <v>0.22470000000000001</v>
      </c>
      <c r="K468" s="48">
        <f t="shared" si="52"/>
        <v>8.65</v>
      </c>
      <c r="L468" s="48">
        <f t="shared" si="53"/>
        <v>4.88</v>
      </c>
      <c r="M468" s="48">
        <f t="shared" si="54"/>
        <v>3892.5</v>
      </c>
      <c r="N468" s="48">
        <f t="shared" si="55"/>
        <v>2196</v>
      </c>
      <c r="O468" s="50">
        <f t="shared" si="56"/>
        <v>6088.5</v>
      </c>
      <c r="P468" s="50">
        <v>0</v>
      </c>
      <c r="Q468" s="76"/>
      <c r="R468" s="140">
        <f>50*S9+50*S10</f>
        <v>450</v>
      </c>
      <c r="S468" s="79">
        <v>7.07</v>
      </c>
      <c r="T468" s="80">
        <v>3.99</v>
      </c>
    </row>
    <row r="469" spans="2:20" ht="70">
      <c r="B469" s="5" t="s">
        <v>1126</v>
      </c>
      <c r="C469" s="45" t="s">
        <v>135</v>
      </c>
      <c r="D469" s="45">
        <v>91864</v>
      </c>
      <c r="E469" s="6" t="s">
        <v>838</v>
      </c>
      <c r="F469" s="45" t="s">
        <v>187</v>
      </c>
      <c r="G469" s="46">
        <f t="shared" si="57"/>
        <v>45</v>
      </c>
      <c r="H469" s="46">
        <f>TRUNC(S469*(1-LOTE_03!$K$10),2)</f>
        <v>10.87</v>
      </c>
      <c r="I469" s="46">
        <f>TRUNC(T469*(1-LOTE_03!$K$10),2)</f>
        <v>5.9</v>
      </c>
      <c r="J469" s="100">
        <f t="shared" si="58"/>
        <v>0.22470000000000001</v>
      </c>
      <c r="K469" s="48">
        <f t="shared" si="52"/>
        <v>13.31</v>
      </c>
      <c r="L469" s="48">
        <f t="shared" si="53"/>
        <v>7.22</v>
      </c>
      <c r="M469" s="48">
        <f t="shared" si="54"/>
        <v>598.95000000000005</v>
      </c>
      <c r="N469" s="48">
        <f t="shared" si="55"/>
        <v>324.89999999999998</v>
      </c>
      <c r="O469" s="50">
        <f t="shared" si="56"/>
        <v>923.85</v>
      </c>
      <c r="P469" s="50">
        <v>0</v>
      </c>
      <c r="Q469" s="76"/>
      <c r="R469" s="140">
        <f>5*S9+5*S10</f>
        <v>45</v>
      </c>
      <c r="S469" s="79">
        <v>10.87</v>
      </c>
      <c r="T469" s="80">
        <v>5.9</v>
      </c>
    </row>
    <row r="470" spans="2:20" ht="42">
      <c r="B470" s="5" t="s">
        <v>1127</v>
      </c>
      <c r="C470" s="45" t="s">
        <v>165</v>
      </c>
      <c r="D470" s="45" t="s">
        <v>1036</v>
      </c>
      <c r="E470" s="6" t="s">
        <v>1037</v>
      </c>
      <c r="F470" s="45" t="s">
        <v>531</v>
      </c>
      <c r="G470" s="46">
        <f t="shared" si="57"/>
        <v>45</v>
      </c>
      <c r="H470" s="46">
        <f>TRUNC(S470*(1-LOTE_03!$K$10),2)</f>
        <v>19.43</v>
      </c>
      <c r="I470" s="46">
        <f>TRUNC(T470*(1-LOTE_03!$K$10),2)</f>
        <v>17.989999999999998</v>
      </c>
      <c r="J470" s="100">
        <f t="shared" si="58"/>
        <v>0.22470000000000001</v>
      </c>
      <c r="K470" s="48">
        <f t="shared" si="52"/>
        <v>23.79</v>
      </c>
      <c r="L470" s="48">
        <f t="shared" si="53"/>
        <v>22.03</v>
      </c>
      <c r="M470" s="48">
        <f t="shared" si="54"/>
        <v>1070.55</v>
      </c>
      <c r="N470" s="48">
        <f t="shared" si="55"/>
        <v>991.35</v>
      </c>
      <c r="O470" s="50">
        <f t="shared" si="56"/>
        <v>2061.9</v>
      </c>
      <c r="P470" s="50">
        <v>0</v>
      </c>
      <c r="Q470" s="76"/>
      <c r="R470" s="140">
        <f>5*S9+5*S10</f>
        <v>45</v>
      </c>
      <c r="S470" s="79">
        <v>19.43</v>
      </c>
      <c r="T470" s="80">
        <v>17.989999999999998</v>
      </c>
    </row>
    <row r="471" spans="2:20" ht="28">
      <c r="B471" s="5" t="s">
        <v>1128</v>
      </c>
      <c r="C471" s="45" t="s">
        <v>165</v>
      </c>
      <c r="D471" s="45" t="s">
        <v>1129</v>
      </c>
      <c r="E471" s="6" t="s">
        <v>1130</v>
      </c>
      <c r="F471" s="45" t="s">
        <v>531</v>
      </c>
      <c r="G471" s="46">
        <f t="shared" si="57"/>
        <v>90</v>
      </c>
      <c r="H471" s="46">
        <f>TRUNC(S471*(1-LOTE_03!$K$10),2)</f>
        <v>34.29</v>
      </c>
      <c r="I471" s="46">
        <f>TRUNC(T471*(1-LOTE_03!$K$10),2)</f>
        <v>6.48</v>
      </c>
      <c r="J471" s="100">
        <f t="shared" si="58"/>
        <v>0.22470000000000001</v>
      </c>
      <c r="K471" s="48">
        <f t="shared" si="52"/>
        <v>41.99</v>
      </c>
      <c r="L471" s="48">
        <f t="shared" si="53"/>
        <v>7.93</v>
      </c>
      <c r="M471" s="48">
        <f t="shared" si="54"/>
        <v>3779.1</v>
      </c>
      <c r="N471" s="48">
        <f t="shared" si="55"/>
        <v>713.7</v>
      </c>
      <c r="O471" s="50">
        <f t="shared" si="56"/>
        <v>4492.8</v>
      </c>
      <c r="P471" s="50">
        <v>0</v>
      </c>
      <c r="Q471" s="76"/>
      <c r="R471" s="140">
        <f>10*S9+10*S10</f>
        <v>90</v>
      </c>
      <c r="S471" s="79">
        <v>34.29</v>
      </c>
      <c r="T471" s="80">
        <v>6.48</v>
      </c>
    </row>
    <row r="472" spans="2:20" ht="28">
      <c r="B472" s="5" t="s">
        <v>1131</v>
      </c>
      <c r="C472" s="45" t="s">
        <v>97</v>
      </c>
      <c r="D472" s="45" t="s">
        <v>1132</v>
      </c>
      <c r="E472" s="6" t="s">
        <v>1133</v>
      </c>
      <c r="F472" s="45" t="s">
        <v>187</v>
      </c>
      <c r="G472" s="46">
        <f t="shared" si="57"/>
        <v>90</v>
      </c>
      <c r="H472" s="46">
        <f>TRUNC(S472*(1-LOTE_03!$K$10),2)</f>
        <v>12.44</v>
      </c>
      <c r="I472" s="46">
        <f>TRUNC(T472*(1-LOTE_03!$K$10),2)</f>
        <v>1.72</v>
      </c>
      <c r="J472" s="100">
        <f t="shared" si="58"/>
        <v>0.22470000000000001</v>
      </c>
      <c r="K472" s="48">
        <f t="shared" si="52"/>
        <v>15.23</v>
      </c>
      <c r="L472" s="48">
        <f t="shared" si="53"/>
        <v>2.1</v>
      </c>
      <c r="M472" s="48">
        <f t="shared" si="54"/>
        <v>1370.7</v>
      </c>
      <c r="N472" s="48">
        <f t="shared" si="55"/>
        <v>189</v>
      </c>
      <c r="O472" s="50">
        <f t="shared" si="56"/>
        <v>1559.7</v>
      </c>
      <c r="P472" s="50">
        <v>0</v>
      </c>
      <c r="Q472" s="76"/>
      <c r="R472" s="140">
        <f>10*S9+10*S10</f>
        <v>90</v>
      </c>
      <c r="S472" s="79">
        <v>12.44</v>
      </c>
      <c r="T472" s="80">
        <v>1.72</v>
      </c>
    </row>
    <row r="473" spans="2:20" ht="56">
      <c r="B473" s="5" t="s">
        <v>1134</v>
      </c>
      <c r="C473" s="45" t="s">
        <v>135</v>
      </c>
      <c r="D473" s="45">
        <v>95778</v>
      </c>
      <c r="E473" s="6" t="s">
        <v>1814</v>
      </c>
      <c r="F473" s="45" t="s">
        <v>210</v>
      </c>
      <c r="G473" s="46">
        <f t="shared" si="57"/>
        <v>45</v>
      </c>
      <c r="H473" s="46">
        <f>TRUNC(S473*(1-LOTE_03!$K$10),2)</f>
        <v>19.809999999999999</v>
      </c>
      <c r="I473" s="46">
        <f>TRUNC(T473*(1-LOTE_03!$K$10),2)</f>
        <v>10.97</v>
      </c>
      <c r="J473" s="100">
        <f t="shared" si="58"/>
        <v>0.22470000000000001</v>
      </c>
      <c r="K473" s="48">
        <f t="shared" si="52"/>
        <v>24.26</v>
      </c>
      <c r="L473" s="48">
        <f t="shared" si="53"/>
        <v>13.43</v>
      </c>
      <c r="M473" s="48">
        <f t="shared" si="54"/>
        <v>1091.7</v>
      </c>
      <c r="N473" s="48">
        <f t="shared" si="55"/>
        <v>604.35</v>
      </c>
      <c r="O473" s="50">
        <f t="shared" si="56"/>
        <v>1696.05</v>
      </c>
      <c r="P473" s="50">
        <v>0</v>
      </c>
      <c r="Q473" s="76"/>
      <c r="R473" s="140">
        <f>5*S9+5*S10</f>
        <v>45</v>
      </c>
      <c r="S473" s="79">
        <v>19.810000000000002</v>
      </c>
      <c r="T473" s="80">
        <v>10.97</v>
      </c>
    </row>
    <row r="474" spans="2:20" ht="56">
      <c r="B474" s="5" t="s">
        <v>1135</v>
      </c>
      <c r="C474" s="45" t="s">
        <v>135</v>
      </c>
      <c r="D474" s="45">
        <v>91941</v>
      </c>
      <c r="E474" s="6" t="s">
        <v>1021</v>
      </c>
      <c r="F474" s="45" t="s">
        <v>210</v>
      </c>
      <c r="G474" s="46">
        <f t="shared" si="57"/>
        <v>45</v>
      </c>
      <c r="H474" s="46">
        <f>TRUNC(S474*(1-LOTE_03!$K$10),2)</f>
        <v>6.11</v>
      </c>
      <c r="I474" s="46">
        <f>TRUNC(T474*(1-LOTE_03!$K$10),2)</f>
        <v>7.31</v>
      </c>
      <c r="J474" s="100">
        <f t="shared" si="58"/>
        <v>0.22470000000000001</v>
      </c>
      <c r="K474" s="48">
        <f t="shared" si="52"/>
        <v>7.48</v>
      </c>
      <c r="L474" s="48">
        <f t="shared" si="53"/>
        <v>8.9499999999999993</v>
      </c>
      <c r="M474" s="48">
        <f t="shared" si="54"/>
        <v>336.6</v>
      </c>
      <c r="N474" s="48">
        <f t="shared" si="55"/>
        <v>402.75</v>
      </c>
      <c r="O474" s="50">
        <f t="shared" si="56"/>
        <v>739.35</v>
      </c>
      <c r="P474" s="50">
        <v>0</v>
      </c>
      <c r="Q474" s="76"/>
      <c r="R474" s="140">
        <f>5*S9+5*S10</f>
        <v>45</v>
      </c>
      <c r="S474" s="79">
        <v>6.11</v>
      </c>
      <c r="T474" s="80">
        <v>7.31</v>
      </c>
    </row>
    <row r="475" spans="2:20" ht="56">
      <c r="B475" s="5" t="s">
        <v>1136</v>
      </c>
      <c r="C475" s="45" t="s">
        <v>135</v>
      </c>
      <c r="D475" s="45">
        <v>91944</v>
      </c>
      <c r="E475" s="6" t="s">
        <v>935</v>
      </c>
      <c r="F475" s="45" t="s">
        <v>210</v>
      </c>
      <c r="G475" s="46">
        <f t="shared" si="57"/>
        <v>45</v>
      </c>
      <c r="H475" s="46">
        <f>TRUNC(S475*(1-LOTE_03!$K$10),2)</f>
        <v>9.44</v>
      </c>
      <c r="I475" s="46">
        <f>TRUNC(T475*(1-LOTE_03!$K$10),2)</f>
        <v>7.62</v>
      </c>
      <c r="J475" s="100">
        <f t="shared" si="58"/>
        <v>0.22470000000000001</v>
      </c>
      <c r="K475" s="48">
        <f t="shared" si="52"/>
        <v>11.56</v>
      </c>
      <c r="L475" s="48">
        <f t="shared" si="53"/>
        <v>9.33</v>
      </c>
      <c r="M475" s="48">
        <f t="shared" si="54"/>
        <v>520.20000000000005</v>
      </c>
      <c r="N475" s="48">
        <f t="shared" si="55"/>
        <v>419.85</v>
      </c>
      <c r="O475" s="50">
        <f t="shared" si="56"/>
        <v>940.05</v>
      </c>
      <c r="P475" s="50">
        <v>0</v>
      </c>
      <c r="Q475" s="76"/>
      <c r="R475" s="140">
        <f>10*S9+1*S10</f>
        <v>45</v>
      </c>
      <c r="S475" s="79">
        <v>9.4399999999999977</v>
      </c>
      <c r="T475" s="80">
        <v>7.62</v>
      </c>
    </row>
    <row r="476" spans="2:20" ht="56">
      <c r="B476" s="5" t="s">
        <v>1137</v>
      </c>
      <c r="C476" s="45" t="s">
        <v>135</v>
      </c>
      <c r="D476" s="45">
        <v>92000</v>
      </c>
      <c r="E476" s="6" t="s">
        <v>856</v>
      </c>
      <c r="F476" s="45" t="s">
        <v>210</v>
      </c>
      <c r="G476" s="46">
        <f t="shared" si="57"/>
        <v>180</v>
      </c>
      <c r="H476" s="46">
        <f>TRUNC(S476*(1-LOTE_03!$K$10),2)</f>
        <v>17.87</v>
      </c>
      <c r="I476" s="46">
        <f>TRUNC(T476*(1-LOTE_03!$K$10),2)</f>
        <v>15.48</v>
      </c>
      <c r="J476" s="100">
        <f t="shared" si="58"/>
        <v>0.22470000000000001</v>
      </c>
      <c r="K476" s="48">
        <f t="shared" si="52"/>
        <v>21.88</v>
      </c>
      <c r="L476" s="48">
        <f t="shared" si="53"/>
        <v>18.95</v>
      </c>
      <c r="M476" s="48">
        <f t="shared" si="54"/>
        <v>3938.4</v>
      </c>
      <c r="N476" s="48">
        <f t="shared" si="55"/>
        <v>3411</v>
      </c>
      <c r="O476" s="50">
        <f t="shared" si="56"/>
        <v>7349.4</v>
      </c>
      <c r="P476" s="50">
        <v>0</v>
      </c>
      <c r="Q476" s="76"/>
      <c r="R476" s="140">
        <f>20*S9+20*S10</f>
        <v>180</v>
      </c>
      <c r="S476" s="79">
        <v>17.87</v>
      </c>
      <c r="T476" s="80">
        <v>15.48</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50">
        <v>0</v>
      </c>
      <c r="Q477" s="76"/>
      <c r="R477" s="154"/>
      <c r="S477" s="79" t="s">
        <v>22</v>
      </c>
      <c r="T477" s="80" t="s">
        <v>22</v>
      </c>
    </row>
    <row r="478" spans="2:20" ht="56">
      <c r="B478" s="5" t="s">
        <v>1139</v>
      </c>
      <c r="C478" s="45" t="s">
        <v>97</v>
      </c>
      <c r="D478" s="45" t="s">
        <v>1140</v>
      </c>
      <c r="E478" s="6" t="s">
        <v>1141</v>
      </c>
      <c r="F478" s="45" t="s">
        <v>104</v>
      </c>
      <c r="G478" s="46">
        <f t="shared" si="57"/>
        <v>9</v>
      </c>
      <c r="H478" s="46">
        <f>TRUNC(S478*(1-LOTE_03!$K$10),2)</f>
        <v>148.55000000000001</v>
      </c>
      <c r="I478" s="46">
        <f>TRUNC(T478*(1-LOTE_03!$K$10),2)</f>
        <v>284.26</v>
      </c>
      <c r="J478" s="100">
        <f t="shared" si="58"/>
        <v>0.22470000000000001</v>
      </c>
      <c r="K478" s="48">
        <f t="shared" si="52"/>
        <v>181.92</v>
      </c>
      <c r="L478" s="48">
        <f t="shared" si="53"/>
        <v>348.13</v>
      </c>
      <c r="M478" s="48">
        <f t="shared" si="54"/>
        <v>1637.28</v>
      </c>
      <c r="N478" s="48">
        <f t="shared" si="55"/>
        <v>3133.17</v>
      </c>
      <c r="O478" s="50">
        <f t="shared" si="56"/>
        <v>4770.45</v>
      </c>
      <c r="P478" s="50">
        <v>0</v>
      </c>
      <c r="Q478" s="76"/>
      <c r="R478" s="140">
        <f>1*S9+1*S10</f>
        <v>9</v>
      </c>
      <c r="S478" s="79">
        <v>148.55000000000001</v>
      </c>
      <c r="T478" s="80">
        <v>284.26</v>
      </c>
    </row>
    <row r="479" spans="2:20" ht="28">
      <c r="B479" s="5" t="s">
        <v>1142</v>
      </c>
      <c r="C479" s="45" t="s">
        <v>97</v>
      </c>
      <c r="D479" s="45" t="s">
        <v>1143</v>
      </c>
      <c r="E479" s="6" t="s">
        <v>1144</v>
      </c>
      <c r="F479" s="45" t="s">
        <v>104</v>
      </c>
      <c r="G479" s="46">
        <f t="shared" si="57"/>
        <v>9</v>
      </c>
      <c r="H479" s="46">
        <f>TRUNC(S479*(1-LOTE_03!$K$10),2)</f>
        <v>14.16</v>
      </c>
      <c r="I479" s="46">
        <f>TRUNC(T479*(1-LOTE_03!$K$10),2)</f>
        <v>43.07</v>
      </c>
      <c r="J479" s="100">
        <f t="shared" si="58"/>
        <v>0.22470000000000001</v>
      </c>
      <c r="K479" s="48">
        <f t="shared" si="52"/>
        <v>17.34</v>
      </c>
      <c r="L479" s="48">
        <f t="shared" si="53"/>
        <v>52.74</v>
      </c>
      <c r="M479" s="48">
        <f t="shared" si="54"/>
        <v>156.06</v>
      </c>
      <c r="N479" s="48">
        <f t="shared" si="55"/>
        <v>474.66</v>
      </c>
      <c r="O479" s="50">
        <f t="shared" si="56"/>
        <v>630.72</v>
      </c>
      <c r="P479" s="50">
        <v>0</v>
      </c>
      <c r="Q479" s="76"/>
      <c r="R479" s="140">
        <f>IF((1*S9+1*S10)&gt;10,10,(1*S9+1*S10))</f>
        <v>9</v>
      </c>
      <c r="S479" s="79">
        <v>14.16</v>
      </c>
      <c r="T479" s="80">
        <v>43.07</v>
      </c>
    </row>
    <row r="480" spans="2:20">
      <c r="B480" s="5" t="s">
        <v>1145</v>
      </c>
      <c r="C480" s="45" t="s">
        <v>97</v>
      </c>
      <c r="D480" s="45" t="s">
        <v>1146</v>
      </c>
      <c r="E480" s="6" t="s">
        <v>1147</v>
      </c>
      <c r="F480" s="45" t="s">
        <v>104</v>
      </c>
      <c r="G480" s="46">
        <f t="shared" si="57"/>
        <v>9</v>
      </c>
      <c r="H480" s="46">
        <f>TRUNC(S480*(1-LOTE_03!$K$10),2)</f>
        <v>113.28</v>
      </c>
      <c r="I480" s="46">
        <f>TRUNC(T480*(1-LOTE_03!$K$10),2)</f>
        <v>344.56</v>
      </c>
      <c r="J480" s="100">
        <f t="shared" si="58"/>
        <v>0.22470000000000001</v>
      </c>
      <c r="K480" s="48">
        <f t="shared" si="52"/>
        <v>138.72999999999999</v>
      </c>
      <c r="L480" s="48">
        <f t="shared" si="53"/>
        <v>421.98</v>
      </c>
      <c r="M480" s="48">
        <f t="shared" si="54"/>
        <v>1248.57</v>
      </c>
      <c r="N480" s="48">
        <f t="shared" si="55"/>
        <v>3797.82</v>
      </c>
      <c r="O480" s="50">
        <f t="shared" si="56"/>
        <v>5046.3900000000003</v>
      </c>
      <c r="P480" s="50">
        <v>0</v>
      </c>
      <c r="Q480" s="76"/>
      <c r="R480" s="140">
        <f>IF((1*S9+1*S10)&gt;10,10,(1*S9+1*S10))</f>
        <v>9</v>
      </c>
      <c r="S480" s="79">
        <v>113.28</v>
      </c>
      <c r="T480" s="80">
        <v>344.56</v>
      </c>
    </row>
    <row r="481" spans="2:20" ht="28">
      <c r="B481" s="5" t="s">
        <v>1148</v>
      </c>
      <c r="C481" s="45" t="s">
        <v>97</v>
      </c>
      <c r="D481" s="45" t="s">
        <v>1149</v>
      </c>
      <c r="E481" s="6" t="s">
        <v>1150</v>
      </c>
      <c r="F481" s="45" t="s">
        <v>104</v>
      </c>
      <c r="G481" s="46">
        <f t="shared" si="57"/>
        <v>9</v>
      </c>
      <c r="H481" s="46">
        <f>TRUNC(S481*(1-LOTE_03!$K$10),2)</f>
        <v>172.64</v>
      </c>
      <c r="I481" s="46">
        <f>TRUNC(T481*(1-LOTE_03!$K$10),2)</f>
        <v>595.6</v>
      </c>
      <c r="J481" s="100">
        <f t="shared" si="58"/>
        <v>0.22470000000000001</v>
      </c>
      <c r="K481" s="48">
        <f t="shared" si="52"/>
        <v>211.43</v>
      </c>
      <c r="L481" s="48">
        <f t="shared" si="53"/>
        <v>729.43</v>
      </c>
      <c r="M481" s="48">
        <f t="shared" si="54"/>
        <v>1902.87</v>
      </c>
      <c r="N481" s="48">
        <f t="shared" si="55"/>
        <v>6564.87</v>
      </c>
      <c r="O481" s="50">
        <f t="shared" si="56"/>
        <v>8467.74</v>
      </c>
      <c r="P481" s="50">
        <v>0</v>
      </c>
      <c r="Q481" s="76"/>
      <c r="R481" s="140">
        <f>IF((1*S9+1*S10)&gt;10,10,(1*S9+1*S10))</f>
        <v>9</v>
      </c>
      <c r="S481" s="79">
        <v>172.64</v>
      </c>
      <c r="T481" s="80">
        <v>595.6</v>
      </c>
    </row>
    <row r="482" spans="2:20">
      <c r="B482" s="5" t="s">
        <v>1151</v>
      </c>
      <c r="C482" s="45" t="s">
        <v>97</v>
      </c>
      <c r="D482" s="45" t="s">
        <v>1152</v>
      </c>
      <c r="E482" s="6" t="s">
        <v>1153</v>
      </c>
      <c r="F482" s="45" t="s">
        <v>104</v>
      </c>
      <c r="G482" s="46">
        <f t="shared" si="57"/>
        <v>9</v>
      </c>
      <c r="H482" s="46">
        <f>TRUNC(S482*(1-LOTE_03!$K$10),2)</f>
        <v>28.32</v>
      </c>
      <c r="I482" s="46">
        <f>TRUNC(T482*(1-LOTE_03!$K$10),2)</f>
        <v>86.14</v>
      </c>
      <c r="J482" s="100">
        <f t="shared" si="58"/>
        <v>0.22470000000000001</v>
      </c>
      <c r="K482" s="48">
        <f t="shared" si="52"/>
        <v>34.68</v>
      </c>
      <c r="L482" s="48">
        <f t="shared" si="53"/>
        <v>105.49</v>
      </c>
      <c r="M482" s="48">
        <f t="shared" si="54"/>
        <v>312.12</v>
      </c>
      <c r="N482" s="48">
        <f t="shared" si="55"/>
        <v>949.41</v>
      </c>
      <c r="O482" s="50">
        <f t="shared" si="56"/>
        <v>1261.53</v>
      </c>
      <c r="P482" s="50">
        <v>0</v>
      </c>
      <c r="Q482" s="76"/>
      <c r="R482" s="140">
        <f>IF((1*S9+1*S10)&gt;10,10,(1*S9+1*S10))</f>
        <v>9</v>
      </c>
      <c r="S482" s="79">
        <v>28.32</v>
      </c>
      <c r="T482" s="80">
        <v>86.14</v>
      </c>
    </row>
    <row r="483" spans="2:20" ht="56">
      <c r="B483" s="5" t="s">
        <v>1154</v>
      </c>
      <c r="C483" s="45" t="s">
        <v>97</v>
      </c>
      <c r="D483" s="45" t="s">
        <v>1155</v>
      </c>
      <c r="E483" s="6" t="s">
        <v>1156</v>
      </c>
      <c r="F483" s="45" t="s">
        <v>104</v>
      </c>
      <c r="G483" s="46">
        <f t="shared" si="57"/>
        <v>9</v>
      </c>
      <c r="H483" s="46">
        <f>TRUNC(S483*(1-LOTE_03!$K$10),2)</f>
        <v>120.36</v>
      </c>
      <c r="I483" s="46">
        <f>TRUNC(T483*(1-LOTE_03!$K$10),2)</f>
        <v>366.09</v>
      </c>
      <c r="J483" s="100">
        <f t="shared" si="58"/>
        <v>0.22470000000000001</v>
      </c>
      <c r="K483" s="48">
        <f t="shared" si="52"/>
        <v>147.4</v>
      </c>
      <c r="L483" s="48">
        <f t="shared" si="53"/>
        <v>448.35</v>
      </c>
      <c r="M483" s="48">
        <f t="shared" si="54"/>
        <v>1326.6</v>
      </c>
      <c r="N483" s="48">
        <f t="shared" si="55"/>
        <v>4035.15</v>
      </c>
      <c r="O483" s="50">
        <f t="shared" si="56"/>
        <v>5361.75</v>
      </c>
      <c r="P483" s="50">
        <v>0</v>
      </c>
      <c r="Q483" s="76"/>
      <c r="R483" s="140">
        <f>IF((1*S9+1*S10)&gt;10,10,(1*S9+1*S10))</f>
        <v>9</v>
      </c>
      <c r="S483" s="79">
        <v>120.36</v>
      </c>
      <c r="T483" s="80">
        <v>366.09</v>
      </c>
    </row>
    <row r="484" spans="2:20" ht="56">
      <c r="B484" s="5" t="s">
        <v>1157</v>
      </c>
      <c r="C484" s="45" t="s">
        <v>97</v>
      </c>
      <c r="D484" s="45" t="s">
        <v>1158</v>
      </c>
      <c r="E484" s="6" t="s">
        <v>1159</v>
      </c>
      <c r="F484" s="45" t="s">
        <v>104</v>
      </c>
      <c r="G484" s="46">
        <f t="shared" si="57"/>
        <v>9</v>
      </c>
      <c r="H484" s="46">
        <f>TRUNC(S484*(1-LOTE_03!$K$10),2)</f>
        <v>1761.94</v>
      </c>
      <c r="I484" s="46">
        <f>TRUNC(T484*(1-LOTE_03!$K$10),2)</f>
        <v>5308.42</v>
      </c>
      <c r="J484" s="100">
        <f t="shared" si="58"/>
        <v>0.22470000000000001</v>
      </c>
      <c r="K484" s="48">
        <f t="shared" si="52"/>
        <v>2157.84</v>
      </c>
      <c r="L484" s="48">
        <f t="shared" si="53"/>
        <v>6501.22</v>
      </c>
      <c r="M484" s="48">
        <f t="shared" si="54"/>
        <v>19420.560000000001</v>
      </c>
      <c r="N484" s="48">
        <f t="shared" si="55"/>
        <v>58510.98</v>
      </c>
      <c r="O484" s="50">
        <f t="shared" si="56"/>
        <v>77931.539999999994</v>
      </c>
      <c r="P484" s="50">
        <v>0</v>
      </c>
      <c r="Q484" s="76"/>
      <c r="R484" s="140">
        <f>IF((1*S9+1*S10)&gt;10,10,(1*S9+1*S10))</f>
        <v>9</v>
      </c>
      <c r="S484" s="79">
        <v>1761.94</v>
      </c>
      <c r="T484" s="80">
        <v>5308.42</v>
      </c>
    </row>
    <row r="485" spans="2:20" ht="70">
      <c r="B485" s="5" t="s">
        <v>1160</v>
      </c>
      <c r="C485" s="45" t="s">
        <v>97</v>
      </c>
      <c r="D485" s="45" t="s">
        <v>1161</v>
      </c>
      <c r="E485" s="6" t="s">
        <v>1162</v>
      </c>
      <c r="F485" s="45" t="s">
        <v>104</v>
      </c>
      <c r="G485" s="46">
        <f t="shared" si="57"/>
        <v>9</v>
      </c>
      <c r="H485" s="46">
        <f>TRUNC(S485*(1-LOTE_03!$K$10),2)</f>
        <v>1952.12</v>
      </c>
      <c r="I485" s="46">
        <f>TRUNC(T485*(1-LOTE_03!$K$10),2)</f>
        <v>1139.8599999999999</v>
      </c>
      <c r="J485" s="100">
        <f t="shared" si="58"/>
        <v>0.22470000000000001</v>
      </c>
      <c r="K485" s="48">
        <f t="shared" si="52"/>
        <v>2390.7600000000002</v>
      </c>
      <c r="L485" s="48">
        <f t="shared" si="53"/>
        <v>1395.98</v>
      </c>
      <c r="M485" s="48">
        <f t="shared" si="54"/>
        <v>21516.84</v>
      </c>
      <c r="N485" s="48">
        <f t="shared" si="55"/>
        <v>12563.82</v>
      </c>
      <c r="O485" s="50">
        <f t="shared" si="56"/>
        <v>34080.660000000003</v>
      </c>
      <c r="P485" s="50">
        <v>0</v>
      </c>
      <c r="Q485" s="76"/>
      <c r="R485" s="140">
        <f>IF((1*S9+1*S10)&gt;10,10,(1*S9+1*S10))</f>
        <v>9</v>
      </c>
      <c r="S485" s="79">
        <v>1952.12</v>
      </c>
      <c r="T485" s="80">
        <v>1139.8599999999999</v>
      </c>
    </row>
    <row r="486" spans="2:20" ht="28">
      <c r="B486" s="5" t="s">
        <v>1163</v>
      </c>
      <c r="C486" s="45" t="s">
        <v>97</v>
      </c>
      <c r="D486" s="45" t="s">
        <v>1164</v>
      </c>
      <c r="E486" s="6" t="s">
        <v>1165</v>
      </c>
      <c r="F486" s="45" t="s">
        <v>104</v>
      </c>
      <c r="G486" s="46">
        <f t="shared" si="57"/>
        <v>144</v>
      </c>
      <c r="H486" s="46">
        <f>TRUNC(S486*(1-LOTE_03!$K$10),2)</f>
        <v>163.5</v>
      </c>
      <c r="I486" s="46">
        <f>TRUNC(T486*(1-LOTE_03!$K$10),2)</f>
        <v>15.71</v>
      </c>
      <c r="J486" s="100">
        <f t="shared" si="58"/>
        <v>0.22470000000000001</v>
      </c>
      <c r="K486" s="48">
        <f t="shared" si="52"/>
        <v>200.23</v>
      </c>
      <c r="L486" s="48">
        <f t="shared" si="53"/>
        <v>19.239999999999998</v>
      </c>
      <c r="M486" s="48">
        <f t="shared" si="54"/>
        <v>28833.119999999999</v>
      </c>
      <c r="N486" s="48">
        <f t="shared" si="55"/>
        <v>2770.56</v>
      </c>
      <c r="O486" s="50">
        <f t="shared" si="56"/>
        <v>31603.68</v>
      </c>
      <c r="P486" s="50">
        <v>0</v>
      </c>
      <c r="Q486" s="76"/>
      <c r="R486" s="140">
        <f>16*S10+16*S9</f>
        <v>144</v>
      </c>
      <c r="S486" s="79">
        <v>163.5</v>
      </c>
      <c r="T486" s="80">
        <v>15.71</v>
      </c>
    </row>
    <row r="487" spans="2:20" ht="28">
      <c r="B487" s="5" t="s">
        <v>1166</v>
      </c>
      <c r="C487" s="45" t="s">
        <v>97</v>
      </c>
      <c r="D487" s="45" t="s">
        <v>1167</v>
      </c>
      <c r="E487" s="6" t="s">
        <v>1168</v>
      </c>
      <c r="F487" s="45" t="s">
        <v>104</v>
      </c>
      <c r="G487" s="46">
        <f t="shared" si="57"/>
        <v>144</v>
      </c>
      <c r="H487" s="46">
        <f>TRUNC(S487*(1-LOTE_03!$K$10),2)</f>
        <v>179.1</v>
      </c>
      <c r="I487" s="46">
        <f>TRUNC(T487*(1-LOTE_03!$K$10),2)</f>
        <v>15.71</v>
      </c>
      <c r="J487" s="100">
        <f t="shared" si="58"/>
        <v>0.22470000000000001</v>
      </c>
      <c r="K487" s="48">
        <f t="shared" si="52"/>
        <v>219.34</v>
      </c>
      <c r="L487" s="48">
        <f t="shared" si="53"/>
        <v>19.239999999999998</v>
      </c>
      <c r="M487" s="48">
        <f t="shared" si="54"/>
        <v>31584.959999999999</v>
      </c>
      <c r="N487" s="48">
        <f t="shared" si="55"/>
        <v>2770.56</v>
      </c>
      <c r="O487" s="50">
        <f t="shared" si="56"/>
        <v>34355.519999999997</v>
      </c>
      <c r="P487" s="50">
        <v>0</v>
      </c>
      <c r="Q487" s="76"/>
      <c r="R487" s="140">
        <f>16*S10+16*S9</f>
        <v>144</v>
      </c>
      <c r="S487" s="79">
        <v>179.1</v>
      </c>
      <c r="T487" s="80">
        <v>15.71</v>
      </c>
    </row>
    <row r="488" spans="2:20" ht="28">
      <c r="B488" s="5" t="s">
        <v>1169</v>
      </c>
      <c r="C488" s="45" t="s">
        <v>97</v>
      </c>
      <c r="D488" s="45" t="s">
        <v>1170</v>
      </c>
      <c r="E488" s="6" t="s">
        <v>1171</v>
      </c>
      <c r="F488" s="45" t="s">
        <v>104</v>
      </c>
      <c r="G488" s="46">
        <f t="shared" si="57"/>
        <v>144</v>
      </c>
      <c r="H488" s="46">
        <f>TRUNC(S488*(1-LOTE_03!$K$10),2)</f>
        <v>332.6</v>
      </c>
      <c r="I488" s="46">
        <f>TRUNC(T488*(1-LOTE_03!$K$10),2)</f>
        <v>15.71</v>
      </c>
      <c r="J488" s="100">
        <f t="shared" si="58"/>
        <v>0.22470000000000001</v>
      </c>
      <c r="K488" s="48">
        <f t="shared" si="52"/>
        <v>407.33</v>
      </c>
      <c r="L488" s="48">
        <f t="shared" si="53"/>
        <v>19.239999999999998</v>
      </c>
      <c r="M488" s="48">
        <f t="shared" si="54"/>
        <v>58655.519999999997</v>
      </c>
      <c r="N488" s="48">
        <f t="shared" si="55"/>
        <v>2770.56</v>
      </c>
      <c r="O488" s="50">
        <f t="shared" si="56"/>
        <v>61426.080000000002</v>
      </c>
      <c r="P488" s="50">
        <v>0</v>
      </c>
      <c r="Q488" s="76"/>
      <c r="R488" s="140">
        <f>16*S10+16*S9</f>
        <v>144</v>
      </c>
      <c r="S488" s="79">
        <v>332.6</v>
      </c>
      <c r="T488" s="80">
        <v>15.71</v>
      </c>
    </row>
    <row r="489" spans="2:20" ht="56">
      <c r="B489" s="5" t="s">
        <v>1172</v>
      </c>
      <c r="C489" s="45" t="s">
        <v>97</v>
      </c>
      <c r="D489" s="45" t="s">
        <v>1173</v>
      </c>
      <c r="E489" s="6" t="s">
        <v>1174</v>
      </c>
      <c r="F489" s="45" t="s">
        <v>104</v>
      </c>
      <c r="G489" s="46">
        <f t="shared" si="57"/>
        <v>9</v>
      </c>
      <c r="H489" s="46">
        <f>TRUNC(S489*(1-LOTE_03!$K$10),2)</f>
        <v>749.54</v>
      </c>
      <c r="I489" s="46">
        <f>TRUNC(T489*(1-LOTE_03!$K$10),2)</f>
        <v>157.15</v>
      </c>
      <c r="J489" s="100">
        <f t="shared" si="58"/>
        <v>0.22470000000000001</v>
      </c>
      <c r="K489" s="48">
        <f t="shared" si="52"/>
        <v>917.96</v>
      </c>
      <c r="L489" s="48">
        <f t="shared" si="53"/>
        <v>192.46</v>
      </c>
      <c r="M489" s="48">
        <f t="shared" si="54"/>
        <v>8261.64</v>
      </c>
      <c r="N489" s="48">
        <f t="shared" si="55"/>
        <v>1732.14</v>
      </c>
      <c r="O489" s="50">
        <f t="shared" si="56"/>
        <v>9993.7800000000007</v>
      </c>
      <c r="P489" s="50">
        <v>0</v>
      </c>
      <c r="Q489" s="76"/>
      <c r="R489" s="140">
        <f>S10+S9</f>
        <v>9</v>
      </c>
      <c r="S489" s="79">
        <v>749.54</v>
      </c>
      <c r="T489" s="80">
        <v>157.15</v>
      </c>
    </row>
    <row r="490" spans="2:20" ht="56">
      <c r="B490" s="5" t="s">
        <v>1175</v>
      </c>
      <c r="C490" s="45" t="s">
        <v>97</v>
      </c>
      <c r="D490" s="45" t="s">
        <v>1176</v>
      </c>
      <c r="E490" s="6" t="s">
        <v>1177</v>
      </c>
      <c r="F490" s="45" t="s">
        <v>104</v>
      </c>
      <c r="G490" s="46">
        <f t="shared" si="57"/>
        <v>9</v>
      </c>
      <c r="H490" s="46">
        <f>TRUNC(S490*(1-LOTE_03!$K$10),2)</f>
        <v>1965.2</v>
      </c>
      <c r="I490" s="46">
        <f>TRUNC(T490*(1-LOTE_03!$K$10),2)</f>
        <v>502.88</v>
      </c>
      <c r="J490" s="100">
        <f t="shared" si="58"/>
        <v>0.22470000000000001</v>
      </c>
      <c r="K490" s="48">
        <f t="shared" si="52"/>
        <v>2406.7800000000002</v>
      </c>
      <c r="L490" s="48">
        <f t="shared" si="53"/>
        <v>615.87</v>
      </c>
      <c r="M490" s="48">
        <f t="shared" si="54"/>
        <v>21661.02</v>
      </c>
      <c r="N490" s="48">
        <f t="shared" si="55"/>
        <v>5542.83</v>
      </c>
      <c r="O490" s="50">
        <f t="shared" si="56"/>
        <v>27203.85</v>
      </c>
      <c r="P490" s="50">
        <v>0</v>
      </c>
      <c r="Q490" s="76"/>
      <c r="R490" s="140">
        <f>S10+S9</f>
        <v>9</v>
      </c>
      <c r="S490" s="79">
        <v>1965.2</v>
      </c>
      <c r="T490" s="80">
        <v>502.88</v>
      </c>
    </row>
    <row r="491" spans="2:20" ht="56">
      <c r="B491" s="5" t="s">
        <v>1178</v>
      </c>
      <c r="C491" s="45" t="s">
        <v>97</v>
      </c>
      <c r="D491" s="45" t="s">
        <v>1179</v>
      </c>
      <c r="E491" s="6" t="s">
        <v>1180</v>
      </c>
      <c r="F491" s="45" t="s">
        <v>104</v>
      </c>
      <c r="G491" s="46">
        <f t="shared" si="57"/>
        <v>9</v>
      </c>
      <c r="H491" s="46">
        <f>TRUNC(S491*(1-LOTE_03!$K$10),2)</f>
        <v>2215.1999999999998</v>
      </c>
      <c r="I491" s="46">
        <f>TRUNC(T491*(1-LOTE_03!$K$10),2)</f>
        <v>502.88</v>
      </c>
      <c r="J491" s="100">
        <f t="shared" si="58"/>
        <v>0.22470000000000001</v>
      </c>
      <c r="K491" s="48">
        <f t="shared" si="52"/>
        <v>2712.95</v>
      </c>
      <c r="L491" s="48">
        <f t="shared" si="53"/>
        <v>615.87</v>
      </c>
      <c r="M491" s="48">
        <f t="shared" si="54"/>
        <v>24416.55</v>
      </c>
      <c r="N491" s="48">
        <f t="shared" si="55"/>
        <v>5542.83</v>
      </c>
      <c r="O491" s="50">
        <f t="shared" si="56"/>
        <v>29959.38</v>
      </c>
      <c r="P491" s="50">
        <v>0</v>
      </c>
      <c r="Q491" s="76"/>
      <c r="R491" s="140">
        <f>S10+S9</f>
        <v>9</v>
      </c>
      <c r="S491" s="79">
        <v>2215.1999999999998</v>
      </c>
      <c r="T491" s="80">
        <v>502.88</v>
      </c>
    </row>
    <row r="492" spans="2:20" ht="56">
      <c r="B492" s="5" t="s">
        <v>1181</v>
      </c>
      <c r="C492" s="45" t="s">
        <v>97</v>
      </c>
      <c r="D492" s="45" t="s">
        <v>1182</v>
      </c>
      <c r="E492" s="6" t="s">
        <v>1183</v>
      </c>
      <c r="F492" s="45" t="s">
        <v>104</v>
      </c>
      <c r="G492" s="46">
        <f t="shared" si="57"/>
        <v>9</v>
      </c>
      <c r="H492" s="46">
        <f>TRUNC(S492*(1-LOTE_03!$K$10),2)</f>
        <v>3694</v>
      </c>
      <c r="I492" s="46">
        <f>TRUNC(T492*(1-LOTE_03!$K$10),2)</f>
        <v>628.6</v>
      </c>
      <c r="J492" s="100">
        <f t="shared" si="58"/>
        <v>0.22470000000000001</v>
      </c>
      <c r="K492" s="48">
        <f t="shared" si="52"/>
        <v>4524.04</v>
      </c>
      <c r="L492" s="48">
        <f t="shared" si="53"/>
        <v>769.84</v>
      </c>
      <c r="M492" s="48">
        <f t="shared" si="54"/>
        <v>40716.36</v>
      </c>
      <c r="N492" s="48">
        <f t="shared" si="55"/>
        <v>6928.56</v>
      </c>
      <c r="O492" s="50">
        <f t="shared" si="56"/>
        <v>47644.92</v>
      </c>
      <c r="P492" s="50">
        <v>0</v>
      </c>
      <c r="Q492" s="76"/>
      <c r="R492" s="140">
        <f>S10+S9</f>
        <v>9</v>
      </c>
      <c r="S492" s="79">
        <v>3694</v>
      </c>
      <c r="T492" s="80">
        <v>628.6</v>
      </c>
    </row>
    <row r="493" spans="2:20" ht="56">
      <c r="B493" s="5" t="s">
        <v>1184</v>
      </c>
      <c r="C493" s="45" t="s">
        <v>97</v>
      </c>
      <c r="D493" s="45" t="s">
        <v>1185</v>
      </c>
      <c r="E493" s="6" t="s">
        <v>1186</v>
      </c>
      <c r="F493" s="45" t="s">
        <v>104</v>
      </c>
      <c r="G493" s="46">
        <f t="shared" si="57"/>
        <v>9</v>
      </c>
      <c r="H493" s="46">
        <f>TRUNC(S493*(1-LOTE_03!$K$10),2)</f>
        <v>3994</v>
      </c>
      <c r="I493" s="46">
        <f>TRUNC(T493*(1-LOTE_03!$K$10),2)</f>
        <v>628.6</v>
      </c>
      <c r="J493" s="100">
        <f t="shared" si="58"/>
        <v>0.22470000000000001</v>
      </c>
      <c r="K493" s="48">
        <f t="shared" si="52"/>
        <v>4891.45</v>
      </c>
      <c r="L493" s="48">
        <f t="shared" si="53"/>
        <v>769.84</v>
      </c>
      <c r="M493" s="48">
        <f t="shared" si="54"/>
        <v>44023.05</v>
      </c>
      <c r="N493" s="48">
        <f t="shared" si="55"/>
        <v>6928.56</v>
      </c>
      <c r="O493" s="50">
        <f t="shared" si="56"/>
        <v>50951.61</v>
      </c>
      <c r="P493" s="50">
        <v>0</v>
      </c>
      <c r="Q493" s="76"/>
      <c r="R493" s="140">
        <f>S10+S9</f>
        <v>9</v>
      </c>
      <c r="S493" s="79">
        <v>3994</v>
      </c>
      <c r="T493" s="80">
        <v>628.6</v>
      </c>
    </row>
    <row r="494" spans="2:20" ht="28">
      <c r="B494" s="5" t="s">
        <v>1187</v>
      </c>
      <c r="C494" s="45" t="s">
        <v>97</v>
      </c>
      <c r="D494" s="45" t="s">
        <v>1188</v>
      </c>
      <c r="E494" s="6" t="s">
        <v>1189</v>
      </c>
      <c r="F494" s="45" t="s">
        <v>104</v>
      </c>
      <c r="G494" s="46">
        <f t="shared" si="57"/>
        <v>45</v>
      </c>
      <c r="H494" s="46">
        <f>TRUNC(S494*(1-LOTE_03!$K$10),2)</f>
        <v>28.92</v>
      </c>
      <c r="I494" s="46">
        <f>TRUNC(T494*(1-LOTE_03!$K$10),2)</f>
        <v>33.770000000000003</v>
      </c>
      <c r="J494" s="100">
        <f t="shared" si="58"/>
        <v>0.22470000000000001</v>
      </c>
      <c r="K494" s="48">
        <f t="shared" si="52"/>
        <v>35.409999999999997</v>
      </c>
      <c r="L494" s="48">
        <f t="shared" si="53"/>
        <v>41.35</v>
      </c>
      <c r="M494" s="48">
        <f t="shared" si="54"/>
        <v>1593.45</v>
      </c>
      <c r="N494" s="48">
        <f t="shared" si="55"/>
        <v>1860.75</v>
      </c>
      <c r="O494" s="50">
        <f t="shared" si="56"/>
        <v>3454.2</v>
      </c>
      <c r="P494" s="50">
        <v>0</v>
      </c>
      <c r="Q494" s="76"/>
      <c r="R494" s="140">
        <f>5*S9+5*S10</f>
        <v>45</v>
      </c>
      <c r="S494" s="79">
        <v>28.92</v>
      </c>
      <c r="T494" s="80">
        <v>33.770000000000003</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405402.27</v>
      </c>
      <c r="Q495" s="76"/>
      <c r="R495" s="154"/>
      <c r="S495" s="79" t="s">
        <v>22</v>
      </c>
      <c r="T495" s="80" t="s">
        <v>22</v>
      </c>
    </row>
    <row r="496" spans="2:20" ht="42">
      <c r="B496" s="5" t="s">
        <v>1190</v>
      </c>
      <c r="C496" s="45" t="s">
        <v>135</v>
      </c>
      <c r="D496" s="45">
        <v>90447</v>
      </c>
      <c r="E496" s="6" t="s">
        <v>1191</v>
      </c>
      <c r="F496" s="45" t="s">
        <v>187</v>
      </c>
      <c r="G496" s="46">
        <f t="shared" si="57"/>
        <v>450</v>
      </c>
      <c r="H496" s="46">
        <f>TRUNC(S496*(1-LOTE_03!$K$10),2)</f>
        <v>2.1800000000000002</v>
      </c>
      <c r="I496" s="46">
        <f>TRUNC(T496*(1-LOTE_03!$K$10),2)</f>
        <v>7</v>
      </c>
      <c r="J496" s="100">
        <f t="shared" si="58"/>
        <v>0.22470000000000001</v>
      </c>
      <c r="K496" s="48">
        <f t="shared" si="52"/>
        <v>2.66</v>
      </c>
      <c r="L496" s="48">
        <f t="shared" si="53"/>
        <v>8.57</v>
      </c>
      <c r="M496" s="48">
        <f t="shared" si="54"/>
        <v>1197</v>
      </c>
      <c r="N496" s="48">
        <f t="shared" si="55"/>
        <v>3856.5</v>
      </c>
      <c r="O496" s="50">
        <f t="shared" si="56"/>
        <v>5053.5</v>
      </c>
      <c r="P496" s="50">
        <v>0</v>
      </c>
      <c r="Q496" s="76"/>
      <c r="R496" s="140">
        <f>50*S9+50*S10</f>
        <v>450</v>
      </c>
      <c r="S496" s="79">
        <v>2.1799999999999997</v>
      </c>
      <c r="T496" s="80">
        <v>7</v>
      </c>
    </row>
    <row r="497" spans="2:20" ht="70">
      <c r="B497" s="5" t="s">
        <v>1192</v>
      </c>
      <c r="C497" s="45" t="s">
        <v>135</v>
      </c>
      <c r="D497" s="45">
        <v>91222</v>
      </c>
      <c r="E497" s="6" t="s">
        <v>1193</v>
      </c>
      <c r="F497" s="45" t="s">
        <v>187</v>
      </c>
      <c r="G497" s="46">
        <f t="shared" si="57"/>
        <v>170</v>
      </c>
      <c r="H497" s="46">
        <f>TRUNC(S497*(1-LOTE_03!$K$10),2)</f>
        <v>2.1800000000000002</v>
      </c>
      <c r="I497" s="46">
        <f>TRUNC(T497*(1-LOTE_03!$K$10),2)</f>
        <v>7.68</v>
      </c>
      <c r="J497" s="100">
        <f t="shared" si="58"/>
        <v>0.22470000000000001</v>
      </c>
      <c r="K497" s="48">
        <f t="shared" si="52"/>
        <v>2.66</v>
      </c>
      <c r="L497" s="48">
        <f t="shared" si="53"/>
        <v>9.4</v>
      </c>
      <c r="M497" s="48">
        <f t="shared" si="54"/>
        <v>452.2</v>
      </c>
      <c r="N497" s="48">
        <f t="shared" si="55"/>
        <v>1598</v>
      </c>
      <c r="O497" s="50">
        <f t="shared" si="56"/>
        <v>2050.1999999999998</v>
      </c>
      <c r="P497" s="50">
        <v>0</v>
      </c>
      <c r="Q497" s="76"/>
      <c r="R497" s="140">
        <f>IF((5*S9+30*S10)&gt;200,200,(5*S9+30*S10))</f>
        <v>170</v>
      </c>
      <c r="S497" s="79">
        <v>2.1799999999999997</v>
      </c>
      <c r="T497" s="80">
        <v>7.68</v>
      </c>
    </row>
    <row r="498" spans="2:20" ht="84">
      <c r="B498" s="5" t="s">
        <v>1194</v>
      </c>
      <c r="C498" s="45" t="s">
        <v>135</v>
      </c>
      <c r="D498" s="45">
        <v>90445</v>
      </c>
      <c r="E498" s="6" t="s">
        <v>1195</v>
      </c>
      <c r="F498" s="45" t="s">
        <v>187</v>
      </c>
      <c r="G498" s="46">
        <f t="shared" si="57"/>
        <v>100</v>
      </c>
      <c r="H498" s="46">
        <f>TRUNC(S498*(1-LOTE_03!$K$10),2)</f>
        <v>4.7699999999999996</v>
      </c>
      <c r="I498" s="46">
        <f>TRUNC(T498*(1-LOTE_03!$K$10),2)</f>
        <v>12.1</v>
      </c>
      <c r="J498" s="100">
        <f t="shared" si="58"/>
        <v>0.22470000000000001</v>
      </c>
      <c r="K498" s="48">
        <f t="shared" si="52"/>
        <v>5.84</v>
      </c>
      <c r="L498" s="48">
        <f t="shared" si="53"/>
        <v>14.81</v>
      </c>
      <c r="M498" s="48">
        <f t="shared" si="54"/>
        <v>584</v>
      </c>
      <c r="N498" s="48">
        <f t="shared" si="55"/>
        <v>1481</v>
      </c>
      <c r="O498" s="50">
        <f t="shared" si="56"/>
        <v>2065</v>
      </c>
      <c r="P498" s="50">
        <v>0</v>
      </c>
      <c r="Q498" s="76"/>
      <c r="R498" s="140">
        <f>IF((5*S9+30*S10)&gt;100,100,(5*S9+30*S10))</f>
        <v>100</v>
      </c>
      <c r="S498" s="79">
        <v>4.7700000000000014</v>
      </c>
      <c r="T498" s="80">
        <v>12.1</v>
      </c>
    </row>
    <row r="499" spans="2:20" ht="28">
      <c r="B499" s="5" t="s">
        <v>1196</v>
      </c>
      <c r="C499" s="45" t="s">
        <v>97</v>
      </c>
      <c r="D499" s="45" t="s">
        <v>1197</v>
      </c>
      <c r="E499" s="6" t="s">
        <v>1198</v>
      </c>
      <c r="F499" s="45" t="s">
        <v>999</v>
      </c>
      <c r="G499" s="46">
        <f t="shared" si="57"/>
        <v>50</v>
      </c>
      <c r="H499" s="46">
        <f>TRUNC(S499*(1-LOTE_03!$K$10),2)</f>
        <v>253.75</v>
      </c>
      <c r="I499" s="46">
        <f>TRUNC(T499*(1-LOTE_03!$K$10),2)</f>
        <v>388.7</v>
      </c>
      <c r="J499" s="100">
        <f t="shared" si="58"/>
        <v>0.22470000000000001</v>
      </c>
      <c r="K499" s="48">
        <f t="shared" si="52"/>
        <v>310.76</v>
      </c>
      <c r="L499" s="48">
        <f t="shared" si="53"/>
        <v>476.04</v>
      </c>
      <c r="M499" s="48">
        <f t="shared" si="54"/>
        <v>15538</v>
      </c>
      <c r="N499" s="48">
        <f t="shared" si="55"/>
        <v>23802</v>
      </c>
      <c r="O499" s="50">
        <f t="shared" si="56"/>
        <v>39340</v>
      </c>
      <c r="P499" s="50">
        <v>0</v>
      </c>
      <c r="Q499" s="76"/>
      <c r="R499" s="140">
        <f>IF((5*S9+10*S10)&gt;50,50,(5*S9+10*S10))</f>
        <v>50</v>
      </c>
      <c r="S499" s="79">
        <v>253.75</v>
      </c>
      <c r="T499" s="80">
        <v>388.7</v>
      </c>
    </row>
    <row r="500" spans="2:20" ht="28">
      <c r="B500" s="5" t="s">
        <v>1199</v>
      </c>
      <c r="C500" s="45" t="s">
        <v>97</v>
      </c>
      <c r="D500" s="45" t="s">
        <v>1200</v>
      </c>
      <c r="E500" s="6" t="s">
        <v>1201</v>
      </c>
      <c r="F500" s="45" t="s">
        <v>999</v>
      </c>
      <c r="G500" s="46">
        <f t="shared" si="57"/>
        <v>50</v>
      </c>
      <c r="H500" s="46">
        <f>TRUNC(S500*(1-LOTE_03!$K$10),2)</f>
        <v>129.1</v>
      </c>
      <c r="I500" s="46">
        <f>TRUNC(T500*(1-LOTE_03!$K$10),2)</f>
        <v>84.12</v>
      </c>
      <c r="J500" s="100">
        <f t="shared" si="58"/>
        <v>0.22470000000000001</v>
      </c>
      <c r="K500" s="48">
        <f t="shared" si="52"/>
        <v>158.1</v>
      </c>
      <c r="L500" s="48">
        <f t="shared" si="53"/>
        <v>103.02</v>
      </c>
      <c r="M500" s="48">
        <f t="shared" si="54"/>
        <v>7905</v>
      </c>
      <c r="N500" s="48">
        <f t="shared" si="55"/>
        <v>5151</v>
      </c>
      <c r="O500" s="50">
        <f t="shared" si="56"/>
        <v>13056</v>
      </c>
      <c r="P500" s="50">
        <v>0</v>
      </c>
      <c r="Q500" s="76"/>
      <c r="R500" s="140">
        <f>IF((5*S9+10*S10)&gt;50,50,(5*S9+10*S10))</f>
        <v>50</v>
      </c>
      <c r="S500" s="79">
        <v>129.1</v>
      </c>
      <c r="T500" s="80">
        <v>84.12</v>
      </c>
    </row>
    <row r="501" spans="2:20" ht="84">
      <c r="B501" s="5" t="s">
        <v>1202</v>
      </c>
      <c r="C501" s="45" t="s">
        <v>97</v>
      </c>
      <c r="D501" s="45" t="s">
        <v>1203</v>
      </c>
      <c r="E501" s="6" t="s">
        <v>1204</v>
      </c>
      <c r="F501" s="45" t="s">
        <v>104</v>
      </c>
      <c r="G501" s="46">
        <f t="shared" si="57"/>
        <v>50</v>
      </c>
      <c r="H501" s="46">
        <f>TRUNC(S501*(1-LOTE_03!$K$10),2)</f>
        <v>726.3</v>
      </c>
      <c r="I501" s="46">
        <f>TRUNC(T501*(1-LOTE_03!$K$10),2)</f>
        <v>688.88</v>
      </c>
      <c r="J501" s="100">
        <f t="shared" si="58"/>
        <v>0.22470000000000001</v>
      </c>
      <c r="K501" s="48">
        <f t="shared" si="52"/>
        <v>889.49</v>
      </c>
      <c r="L501" s="48">
        <f t="shared" si="53"/>
        <v>843.67</v>
      </c>
      <c r="M501" s="48">
        <f t="shared" si="54"/>
        <v>44474.5</v>
      </c>
      <c r="N501" s="48">
        <f t="shared" si="55"/>
        <v>42183.5</v>
      </c>
      <c r="O501" s="50">
        <f t="shared" si="56"/>
        <v>86658</v>
      </c>
      <c r="P501" s="50">
        <v>0</v>
      </c>
      <c r="Q501" s="76"/>
      <c r="R501" s="140">
        <f>IF((5*S9+10*S10)&gt;50,50,(5*S9+10*S10))</f>
        <v>50</v>
      </c>
      <c r="S501" s="79">
        <v>726.3</v>
      </c>
      <c r="T501" s="80">
        <v>688.88</v>
      </c>
    </row>
    <row r="502" spans="2:20" ht="42">
      <c r="B502" s="5" t="s">
        <v>1205</v>
      </c>
      <c r="C502" s="45" t="s">
        <v>135</v>
      </c>
      <c r="D502" s="45">
        <v>86886</v>
      </c>
      <c r="E502" s="6" t="s">
        <v>1816</v>
      </c>
      <c r="F502" s="45" t="s">
        <v>210</v>
      </c>
      <c r="G502" s="46">
        <f t="shared" si="57"/>
        <v>50</v>
      </c>
      <c r="H502" s="46">
        <f>TRUNC(S502*(1-LOTE_03!$K$10),2)</f>
        <v>48.77</v>
      </c>
      <c r="I502" s="46">
        <f>TRUNC(T502*(1-LOTE_03!$K$10),2)</f>
        <v>4.46</v>
      </c>
      <c r="J502" s="100">
        <f t="shared" si="58"/>
        <v>0.22470000000000001</v>
      </c>
      <c r="K502" s="48">
        <f t="shared" si="52"/>
        <v>59.72</v>
      </c>
      <c r="L502" s="48">
        <f t="shared" si="53"/>
        <v>5.46</v>
      </c>
      <c r="M502" s="48">
        <f t="shared" si="54"/>
        <v>2986</v>
      </c>
      <c r="N502" s="48">
        <f t="shared" si="55"/>
        <v>273</v>
      </c>
      <c r="O502" s="50">
        <f t="shared" si="56"/>
        <v>3259</v>
      </c>
      <c r="P502" s="50">
        <v>0</v>
      </c>
      <c r="Q502" s="76"/>
      <c r="R502" s="140">
        <f>IF((5*S9+10*S10)&gt;50,50,(5*S9+10*S10))</f>
        <v>50</v>
      </c>
      <c r="S502" s="79">
        <v>48.769999999999996</v>
      </c>
      <c r="T502" s="80">
        <v>4.46</v>
      </c>
    </row>
    <row r="503" spans="2:20" ht="28">
      <c r="B503" s="5" t="s">
        <v>1206</v>
      </c>
      <c r="C503" s="45" t="s">
        <v>165</v>
      </c>
      <c r="D503" s="45" t="s">
        <v>1207</v>
      </c>
      <c r="E503" s="6" t="s">
        <v>1208</v>
      </c>
      <c r="F503" s="45" t="s">
        <v>559</v>
      </c>
      <c r="G503" s="46">
        <f t="shared" si="57"/>
        <v>50</v>
      </c>
      <c r="H503" s="46">
        <f>TRUNC(S503*(1-LOTE_03!$K$10),2)</f>
        <v>132.51</v>
      </c>
      <c r="I503" s="46">
        <f>TRUNC(T503*(1-LOTE_03!$K$10),2)</f>
        <v>21.95</v>
      </c>
      <c r="J503" s="100">
        <f t="shared" si="58"/>
        <v>0.22470000000000001</v>
      </c>
      <c r="K503" s="48">
        <f t="shared" si="52"/>
        <v>162.28</v>
      </c>
      <c r="L503" s="48">
        <f t="shared" si="53"/>
        <v>26.88</v>
      </c>
      <c r="M503" s="48">
        <f t="shared" si="54"/>
        <v>8114</v>
      </c>
      <c r="N503" s="48">
        <f t="shared" si="55"/>
        <v>1344</v>
      </c>
      <c r="O503" s="50">
        <f t="shared" si="56"/>
        <v>9458</v>
      </c>
      <c r="P503" s="50">
        <v>0</v>
      </c>
      <c r="Q503" s="76"/>
      <c r="R503" s="140">
        <f>IF((5*S9+10*S10)&gt;50,50,(5*S9+10*S10))</f>
        <v>50</v>
      </c>
      <c r="S503" s="79">
        <v>132.51</v>
      </c>
      <c r="T503" s="80">
        <v>21.95</v>
      </c>
    </row>
    <row r="504" spans="2:20" ht="28">
      <c r="B504" s="5" t="s">
        <v>1209</v>
      </c>
      <c r="C504" s="45" t="s">
        <v>165</v>
      </c>
      <c r="D504" s="45" t="s">
        <v>1210</v>
      </c>
      <c r="E504" s="6" t="s">
        <v>1211</v>
      </c>
      <c r="F504" s="45" t="s">
        <v>559</v>
      </c>
      <c r="G504" s="46">
        <f t="shared" si="57"/>
        <v>50</v>
      </c>
      <c r="H504" s="46">
        <f>TRUNC(S504*(1-LOTE_03!$K$10),2)</f>
        <v>86.6</v>
      </c>
      <c r="I504" s="46">
        <f>TRUNC(T504*(1-LOTE_03!$K$10),2)</f>
        <v>21.95</v>
      </c>
      <c r="J504" s="100">
        <f t="shared" si="58"/>
        <v>0.22470000000000001</v>
      </c>
      <c r="K504" s="48">
        <f t="shared" si="52"/>
        <v>106.05</v>
      </c>
      <c r="L504" s="48">
        <f t="shared" si="53"/>
        <v>26.88</v>
      </c>
      <c r="M504" s="48">
        <f t="shared" si="54"/>
        <v>5302.5</v>
      </c>
      <c r="N504" s="48">
        <f t="shared" si="55"/>
        <v>1344</v>
      </c>
      <c r="O504" s="50">
        <f t="shared" si="56"/>
        <v>6646.5</v>
      </c>
      <c r="P504" s="50">
        <v>0</v>
      </c>
      <c r="Q504" s="76"/>
      <c r="R504" s="140">
        <f>IF((5*S9+10*S10)&gt;50,50,(5*S9+10*S10))</f>
        <v>50</v>
      </c>
      <c r="S504" s="79">
        <v>86.6</v>
      </c>
      <c r="T504" s="80">
        <v>21.95</v>
      </c>
    </row>
    <row r="505" spans="2:20" ht="56">
      <c r="B505" s="5" t="s">
        <v>1212</v>
      </c>
      <c r="C505" s="45" t="s">
        <v>135</v>
      </c>
      <c r="D505" s="45">
        <v>89358</v>
      </c>
      <c r="E505" s="6" t="s">
        <v>1213</v>
      </c>
      <c r="F505" s="45" t="s">
        <v>210</v>
      </c>
      <c r="G505" s="46">
        <f t="shared" si="57"/>
        <v>50</v>
      </c>
      <c r="H505" s="46">
        <f>TRUNC(S505*(1-LOTE_03!$K$10),2)</f>
        <v>3.45</v>
      </c>
      <c r="I505" s="46">
        <f>TRUNC(T505*(1-LOTE_03!$K$10),2)</f>
        <v>5.58</v>
      </c>
      <c r="J505" s="100">
        <f t="shared" si="58"/>
        <v>0.22470000000000001</v>
      </c>
      <c r="K505" s="48">
        <f t="shared" si="52"/>
        <v>4.22</v>
      </c>
      <c r="L505" s="48">
        <f t="shared" si="53"/>
        <v>6.83</v>
      </c>
      <c r="M505" s="48">
        <f t="shared" si="54"/>
        <v>211</v>
      </c>
      <c r="N505" s="48">
        <f t="shared" si="55"/>
        <v>341.5</v>
      </c>
      <c r="O505" s="50">
        <f t="shared" si="56"/>
        <v>552.5</v>
      </c>
      <c r="P505" s="50">
        <v>0</v>
      </c>
      <c r="Q505" s="76"/>
      <c r="R505" s="140">
        <f>IF((5*S9+10*S10)&gt;50,50,(5*S9+10*S10))</f>
        <v>50</v>
      </c>
      <c r="S505" s="79">
        <v>3.4499999999999993</v>
      </c>
      <c r="T505" s="80">
        <v>5.58</v>
      </c>
    </row>
    <row r="506" spans="2:20" ht="56">
      <c r="B506" s="5" t="s">
        <v>1214</v>
      </c>
      <c r="C506" s="45" t="s">
        <v>135</v>
      </c>
      <c r="D506" s="45">
        <v>89362</v>
      </c>
      <c r="E506" s="6" t="s">
        <v>1215</v>
      </c>
      <c r="F506" s="45" t="s">
        <v>210</v>
      </c>
      <c r="G506" s="46">
        <f t="shared" si="57"/>
        <v>50</v>
      </c>
      <c r="H506" s="46">
        <f>TRUNC(S506*(1-LOTE_03!$K$10),2)</f>
        <v>4.29</v>
      </c>
      <c r="I506" s="46">
        <f>TRUNC(T506*(1-LOTE_03!$K$10),2)</f>
        <v>6.48</v>
      </c>
      <c r="J506" s="100">
        <f t="shared" si="58"/>
        <v>0.22470000000000001</v>
      </c>
      <c r="K506" s="48">
        <f t="shared" si="52"/>
        <v>5.25</v>
      </c>
      <c r="L506" s="48">
        <f t="shared" si="53"/>
        <v>7.93</v>
      </c>
      <c r="M506" s="48">
        <f t="shared" si="54"/>
        <v>262.5</v>
      </c>
      <c r="N506" s="48">
        <f t="shared" si="55"/>
        <v>396.5</v>
      </c>
      <c r="O506" s="50">
        <f t="shared" si="56"/>
        <v>659</v>
      </c>
      <c r="P506" s="50">
        <v>0</v>
      </c>
      <c r="Q506" s="76"/>
      <c r="R506" s="140">
        <f>IF((5*S9+10*S10)&gt;50,50,(5*S9+10*S10))</f>
        <v>50</v>
      </c>
      <c r="S506" s="79">
        <v>4.2899999999999991</v>
      </c>
      <c r="T506" s="80">
        <v>6.48</v>
      </c>
    </row>
    <row r="507" spans="2:20" ht="70">
      <c r="B507" s="5" t="s">
        <v>1216</v>
      </c>
      <c r="C507" s="45" t="s">
        <v>135</v>
      </c>
      <c r="D507" s="45">
        <v>89366</v>
      </c>
      <c r="E507" s="6" t="s">
        <v>1217</v>
      </c>
      <c r="F507" s="45" t="s">
        <v>210</v>
      </c>
      <c r="G507" s="46">
        <f t="shared" si="57"/>
        <v>50</v>
      </c>
      <c r="H507" s="46">
        <f>TRUNC(S507*(1-LOTE_03!$K$10),2)</f>
        <v>11.28</v>
      </c>
      <c r="I507" s="46">
        <f>TRUNC(T507*(1-LOTE_03!$K$10),2)</f>
        <v>5.64</v>
      </c>
      <c r="J507" s="100">
        <f t="shared" si="58"/>
        <v>0.22470000000000001</v>
      </c>
      <c r="K507" s="48">
        <f t="shared" si="52"/>
        <v>13.81</v>
      </c>
      <c r="L507" s="48">
        <f t="shared" si="53"/>
        <v>6.9</v>
      </c>
      <c r="M507" s="48">
        <f t="shared" si="54"/>
        <v>690.5</v>
      </c>
      <c r="N507" s="48">
        <f t="shared" si="55"/>
        <v>345</v>
      </c>
      <c r="O507" s="50">
        <f t="shared" si="56"/>
        <v>1035.5</v>
      </c>
      <c r="P507" s="50">
        <v>0</v>
      </c>
      <c r="Q507" s="76"/>
      <c r="R507" s="140">
        <f>IF((5*S9+10*S10)&gt;50,50,(5*S9+10*S10))</f>
        <v>50</v>
      </c>
      <c r="S507" s="79">
        <v>11.280000000000001</v>
      </c>
      <c r="T507" s="80">
        <v>5.64</v>
      </c>
    </row>
    <row r="508" spans="2:20" ht="70">
      <c r="B508" s="5" t="s">
        <v>1218</v>
      </c>
      <c r="C508" s="45" t="s">
        <v>135</v>
      </c>
      <c r="D508" s="45">
        <v>89366</v>
      </c>
      <c r="E508" s="6" t="s">
        <v>1217</v>
      </c>
      <c r="F508" s="45" t="s">
        <v>210</v>
      </c>
      <c r="G508" s="46">
        <f t="shared" si="57"/>
        <v>50</v>
      </c>
      <c r="H508" s="46">
        <f>TRUNC(S508*(1-LOTE_03!$K$10),2)</f>
        <v>11.28</v>
      </c>
      <c r="I508" s="46">
        <f>TRUNC(T508*(1-LOTE_03!$K$10),2)</f>
        <v>5.64</v>
      </c>
      <c r="J508" s="100">
        <f t="shared" si="58"/>
        <v>0.22470000000000001</v>
      </c>
      <c r="K508" s="48">
        <f t="shared" si="52"/>
        <v>13.81</v>
      </c>
      <c r="L508" s="48">
        <f t="shared" si="53"/>
        <v>6.9</v>
      </c>
      <c r="M508" s="48">
        <f t="shared" si="54"/>
        <v>690.5</v>
      </c>
      <c r="N508" s="48">
        <f t="shared" si="55"/>
        <v>345</v>
      </c>
      <c r="O508" s="50">
        <f t="shared" si="56"/>
        <v>1035.5</v>
      </c>
      <c r="P508" s="50">
        <v>0</v>
      </c>
      <c r="Q508" s="76"/>
      <c r="R508" s="140">
        <f>IF((5*S9+10*S10)&gt;50,50,(5*S9+10*S10))</f>
        <v>50</v>
      </c>
      <c r="S508" s="79">
        <v>11.280000000000001</v>
      </c>
      <c r="T508" s="80">
        <v>5.64</v>
      </c>
    </row>
    <row r="509" spans="2:20" ht="56">
      <c r="B509" s="5" t="s">
        <v>1219</v>
      </c>
      <c r="C509" s="45" t="s">
        <v>135</v>
      </c>
      <c r="D509" s="45">
        <v>89367</v>
      </c>
      <c r="E509" s="6" t="s">
        <v>1220</v>
      </c>
      <c r="F509" s="45" t="s">
        <v>210</v>
      </c>
      <c r="G509" s="46">
        <f t="shared" si="57"/>
        <v>50</v>
      </c>
      <c r="H509" s="46">
        <f>TRUNC(S509*(1-LOTE_03!$K$10),2)</f>
        <v>6.95</v>
      </c>
      <c r="I509" s="46">
        <f>TRUNC(T509*(1-LOTE_03!$K$10),2)</f>
        <v>7.61</v>
      </c>
      <c r="J509" s="100">
        <f t="shared" si="58"/>
        <v>0.22470000000000001</v>
      </c>
      <c r="K509" s="48">
        <f t="shared" si="52"/>
        <v>8.51</v>
      </c>
      <c r="L509" s="48">
        <f t="shared" si="53"/>
        <v>9.31</v>
      </c>
      <c r="M509" s="48">
        <f t="shared" si="54"/>
        <v>425.5</v>
      </c>
      <c r="N509" s="48">
        <f t="shared" si="55"/>
        <v>465.5</v>
      </c>
      <c r="O509" s="50">
        <f t="shared" si="56"/>
        <v>891</v>
      </c>
      <c r="P509" s="50">
        <v>0</v>
      </c>
      <c r="Q509" s="76"/>
      <c r="R509" s="140">
        <f>IF((5*S9+10*S10)&gt;50,50,(5*S9+10*S10))</f>
        <v>50</v>
      </c>
      <c r="S509" s="79">
        <v>6.95</v>
      </c>
      <c r="T509" s="80">
        <v>7.61</v>
      </c>
    </row>
    <row r="510" spans="2:20" ht="56">
      <c r="B510" s="5" t="s">
        <v>1221</v>
      </c>
      <c r="C510" s="45" t="s">
        <v>135</v>
      </c>
      <c r="D510" s="45">
        <v>89497</v>
      </c>
      <c r="E510" s="6" t="s">
        <v>1222</v>
      </c>
      <c r="F510" s="45" t="s">
        <v>210</v>
      </c>
      <c r="G510" s="46">
        <f t="shared" si="57"/>
        <v>50</v>
      </c>
      <c r="H510" s="46">
        <f>TRUNC(S510*(1-LOTE_03!$K$10),2)</f>
        <v>9.82</v>
      </c>
      <c r="I510" s="46">
        <f>TRUNC(T510*(1-LOTE_03!$K$10),2)</f>
        <v>4.2</v>
      </c>
      <c r="J510" s="100">
        <f t="shared" si="58"/>
        <v>0.22470000000000001</v>
      </c>
      <c r="K510" s="48">
        <f t="shared" si="52"/>
        <v>12.02</v>
      </c>
      <c r="L510" s="48">
        <f t="shared" si="53"/>
        <v>5.14</v>
      </c>
      <c r="M510" s="48">
        <f t="shared" si="54"/>
        <v>601</v>
      </c>
      <c r="N510" s="48">
        <f t="shared" si="55"/>
        <v>257</v>
      </c>
      <c r="O510" s="50">
        <f t="shared" si="56"/>
        <v>858</v>
      </c>
      <c r="P510" s="50">
        <v>0</v>
      </c>
      <c r="Q510" s="76"/>
      <c r="R510" s="140">
        <f>IF((5*S9+10*S10)&gt;50,50,(5*S9+10*S10))</f>
        <v>50</v>
      </c>
      <c r="S510" s="79">
        <v>9.82</v>
      </c>
      <c r="T510" s="80">
        <v>4.2</v>
      </c>
    </row>
    <row r="511" spans="2:20" ht="70">
      <c r="B511" s="5" t="s">
        <v>1223</v>
      </c>
      <c r="C511" s="45" t="s">
        <v>135</v>
      </c>
      <c r="D511" s="45">
        <v>96853</v>
      </c>
      <c r="E511" s="6" t="s">
        <v>1224</v>
      </c>
      <c r="F511" s="45" t="s">
        <v>210</v>
      </c>
      <c r="G511" s="46">
        <f t="shared" si="57"/>
        <v>50</v>
      </c>
      <c r="H511" s="46">
        <f>TRUNC(S511*(1-LOTE_03!$K$10),2)</f>
        <v>16.670000000000002</v>
      </c>
      <c r="I511" s="46">
        <f>TRUNC(T511*(1-LOTE_03!$K$10),2)</f>
        <v>9.74</v>
      </c>
      <c r="J511" s="100">
        <f t="shared" si="58"/>
        <v>0.22470000000000001</v>
      </c>
      <c r="K511" s="48">
        <f t="shared" si="52"/>
        <v>20.41</v>
      </c>
      <c r="L511" s="48">
        <f t="shared" si="53"/>
        <v>11.92</v>
      </c>
      <c r="M511" s="48">
        <f t="shared" si="54"/>
        <v>1020.5</v>
      </c>
      <c r="N511" s="48">
        <f t="shared" si="55"/>
        <v>596</v>
      </c>
      <c r="O511" s="50">
        <f t="shared" si="56"/>
        <v>1616.5</v>
      </c>
      <c r="P511" s="50">
        <v>0</v>
      </c>
      <c r="Q511" s="76"/>
      <c r="R511" s="140">
        <f>IF((5*S9+10*S10)&gt;50,50,(5*S9+10*S10))</f>
        <v>50</v>
      </c>
      <c r="S511" s="79">
        <v>16.670000000000002</v>
      </c>
      <c r="T511" s="80">
        <v>9.74</v>
      </c>
    </row>
    <row r="512" spans="2:20" ht="70">
      <c r="B512" s="5" t="s">
        <v>1225</v>
      </c>
      <c r="C512" s="45" t="s">
        <v>135</v>
      </c>
      <c r="D512" s="45">
        <v>90373</v>
      </c>
      <c r="E512" s="6" t="s">
        <v>1226</v>
      </c>
      <c r="F512" s="45" t="s">
        <v>210</v>
      </c>
      <c r="G512" s="46">
        <f t="shared" si="57"/>
        <v>50</v>
      </c>
      <c r="H512" s="46">
        <f>TRUNC(S512*(1-LOTE_03!$K$10),2)</f>
        <v>8.4700000000000006</v>
      </c>
      <c r="I512" s="46">
        <f>TRUNC(T512*(1-LOTE_03!$K$10),2)</f>
        <v>5.31</v>
      </c>
      <c r="J512" s="100">
        <f t="shared" si="58"/>
        <v>0.22470000000000001</v>
      </c>
      <c r="K512" s="48">
        <f t="shared" si="52"/>
        <v>10.37</v>
      </c>
      <c r="L512" s="48">
        <f t="shared" si="53"/>
        <v>6.5</v>
      </c>
      <c r="M512" s="48">
        <f t="shared" si="54"/>
        <v>518.5</v>
      </c>
      <c r="N512" s="48">
        <f t="shared" si="55"/>
        <v>325</v>
      </c>
      <c r="O512" s="50">
        <f t="shared" si="56"/>
        <v>843.5</v>
      </c>
      <c r="P512" s="50">
        <v>0</v>
      </c>
      <c r="Q512" s="76"/>
      <c r="R512" s="140">
        <f>IF((5*S9+10*S10)&gt;50,50,(5*S9+10*S10))</f>
        <v>50</v>
      </c>
      <c r="S512" s="79">
        <v>8.4699999999999989</v>
      </c>
      <c r="T512" s="80">
        <v>5.31</v>
      </c>
    </row>
    <row r="513" spans="2:20" ht="56">
      <c r="B513" s="5" t="s">
        <v>1227</v>
      </c>
      <c r="C513" s="45" t="s">
        <v>135</v>
      </c>
      <c r="D513" s="45">
        <v>89369</v>
      </c>
      <c r="E513" s="6" t="s">
        <v>1228</v>
      </c>
      <c r="F513" s="45" t="s">
        <v>210</v>
      </c>
      <c r="G513" s="46">
        <f t="shared" si="57"/>
        <v>50</v>
      </c>
      <c r="H513" s="46">
        <f>TRUNC(S513*(1-LOTE_03!$K$10),2)</f>
        <v>11</v>
      </c>
      <c r="I513" s="46">
        <f>TRUNC(T513*(1-LOTE_03!$K$10),2)</f>
        <v>7.38</v>
      </c>
      <c r="J513" s="100">
        <f t="shared" si="58"/>
        <v>0.22470000000000001</v>
      </c>
      <c r="K513" s="48">
        <f t="shared" si="52"/>
        <v>13.47</v>
      </c>
      <c r="L513" s="48">
        <f t="shared" si="53"/>
        <v>9.0299999999999994</v>
      </c>
      <c r="M513" s="48">
        <f t="shared" si="54"/>
        <v>673.5</v>
      </c>
      <c r="N513" s="48">
        <f t="shared" si="55"/>
        <v>451.5</v>
      </c>
      <c r="O513" s="50">
        <f t="shared" si="56"/>
        <v>1125</v>
      </c>
      <c r="P513" s="50">
        <v>0</v>
      </c>
      <c r="Q513" s="76"/>
      <c r="R513" s="140">
        <f>IF((5*S9+10*S10)&gt;50,50,(5*S9+10*S10))</f>
        <v>50</v>
      </c>
      <c r="S513" s="79">
        <v>11</v>
      </c>
      <c r="T513" s="80">
        <v>7.38</v>
      </c>
    </row>
    <row r="514" spans="2:20" ht="84">
      <c r="B514" s="5" t="s">
        <v>1229</v>
      </c>
      <c r="C514" s="45" t="s">
        <v>135</v>
      </c>
      <c r="D514" s="45">
        <v>89391</v>
      </c>
      <c r="E514" s="6" t="s">
        <v>1230</v>
      </c>
      <c r="F514" s="45" t="s">
        <v>210</v>
      </c>
      <c r="G514" s="46">
        <f t="shared" si="57"/>
        <v>50</v>
      </c>
      <c r="H514" s="46">
        <f>TRUNC(S514*(1-LOTE_03!$K$10),2)</f>
        <v>5.1100000000000003</v>
      </c>
      <c r="I514" s="46">
        <f>TRUNC(T514*(1-LOTE_03!$K$10),2)</f>
        <v>4.6399999999999997</v>
      </c>
      <c r="J514" s="100">
        <f t="shared" si="58"/>
        <v>0.22470000000000001</v>
      </c>
      <c r="K514" s="48">
        <f t="shared" si="52"/>
        <v>6.25</v>
      </c>
      <c r="L514" s="48">
        <f t="shared" si="53"/>
        <v>5.68</v>
      </c>
      <c r="M514" s="48">
        <f t="shared" si="54"/>
        <v>312.5</v>
      </c>
      <c r="N514" s="48">
        <f t="shared" si="55"/>
        <v>284</v>
      </c>
      <c r="O514" s="50">
        <f t="shared" si="56"/>
        <v>596.5</v>
      </c>
      <c r="P514" s="50">
        <v>0</v>
      </c>
      <c r="Q514" s="76"/>
      <c r="R514" s="140">
        <f>IF((5*S9+10*S10)&gt;50,50,(5*S9+10*S10))</f>
        <v>50</v>
      </c>
      <c r="S514" s="79">
        <v>5.1100000000000003</v>
      </c>
      <c r="T514" s="80">
        <v>4.6399999999999997</v>
      </c>
    </row>
    <row r="515" spans="2:20" ht="56">
      <c r="B515" s="5" t="s">
        <v>1231</v>
      </c>
      <c r="C515" s="45" t="s">
        <v>135</v>
      </c>
      <c r="D515" s="45">
        <v>89401</v>
      </c>
      <c r="E515" s="6" t="s">
        <v>1232</v>
      </c>
      <c r="F515" s="45" t="s">
        <v>187</v>
      </c>
      <c r="G515" s="46">
        <f t="shared" si="57"/>
        <v>100</v>
      </c>
      <c r="H515" s="46">
        <f>TRUNC(S515*(1-LOTE_03!$K$10),2)</f>
        <v>5.84</v>
      </c>
      <c r="I515" s="46">
        <f>TRUNC(T515*(1-LOTE_03!$K$10),2)</f>
        <v>5.55</v>
      </c>
      <c r="J515" s="100">
        <f t="shared" si="58"/>
        <v>0.22470000000000001</v>
      </c>
      <c r="K515" s="48">
        <f t="shared" si="52"/>
        <v>7.15</v>
      </c>
      <c r="L515" s="48">
        <f t="shared" si="53"/>
        <v>6.79</v>
      </c>
      <c r="M515" s="48">
        <f t="shared" si="54"/>
        <v>715</v>
      </c>
      <c r="N515" s="48">
        <f t="shared" si="55"/>
        <v>679</v>
      </c>
      <c r="O515" s="50">
        <f t="shared" si="56"/>
        <v>1394</v>
      </c>
      <c r="P515" s="50">
        <v>0</v>
      </c>
      <c r="Q515" s="76"/>
      <c r="R515" s="140">
        <f>IF((10*S9+20*S10)&gt;100,100,(10*S9+20*S10))</f>
        <v>100</v>
      </c>
      <c r="S515" s="79">
        <v>5.8400000000000007</v>
      </c>
      <c r="T515" s="80">
        <v>5.55</v>
      </c>
    </row>
    <row r="516" spans="2:20" ht="56">
      <c r="B516" s="5" t="s">
        <v>1233</v>
      </c>
      <c r="C516" s="45" t="s">
        <v>135</v>
      </c>
      <c r="D516" s="45">
        <v>89402</v>
      </c>
      <c r="E516" s="6" t="s">
        <v>1234</v>
      </c>
      <c r="F516" s="45" t="s">
        <v>187</v>
      </c>
      <c r="G516" s="46">
        <f t="shared" si="57"/>
        <v>100</v>
      </c>
      <c r="H516" s="46">
        <f>TRUNC(S516*(1-LOTE_03!$K$10),2)</f>
        <v>6.65</v>
      </c>
      <c r="I516" s="46">
        <f>TRUNC(T516*(1-LOTE_03!$K$10),2)</f>
        <v>6.46</v>
      </c>
      <c r="J516" s="100">
        <f t="shared" si="58"/>
        <v>0.22470000000000001</v>
      </c>
      <c r="K516" s="48">
        <f t="shared" si="52"/>
        <v>8.14</v>
      </c>
      <c r="L516" s="48">
        <f t="shared" si="53"/>
        <v>7.91</v>
      </c>
      <c r="M516" s="48">
        <f t="shared" si="54"/>
        <v>814</v>
      </c>
      <c r="N516" s="48">
        <f t="shared" si="55"/>
        <v>791</v>
      </c>
      <c r="O516" s="50">
        <f t="shared" si="56"/>
        <v>1605</v>
      </c>
      <c r="P516" s="50">
        <v>0</v>
      </c>
      <c r="Q516" s="76"/>
      <c r="R516" s="140">
        <f>IF((10*S9+20*S10)&gt;100,100,(10*S9+20*S10))</f>
        <v>100</v>
      </c>
      <c r="S516" s="79">
        <v>6.6499999999999995</v>
      </c>
      <c r="T516" s="80">
        <v>6.46</v>
      </c>
    </row>
    <row r="517" spans="2:20" ht="56">
      <c r="B517" s="5" t="s">
        <v>1235</v>
      </c>
      <c r="C517" s="45" t="s">
        <v>135</v>
      </c>
      <c r="D517" s="45">
        <v>89403</v>
      </c>
      <c r="E517" s="6" t="s">
        <v>1236</v>
      </c>
      <c r="F517" s="45" t="s">
        <v>187</v>
      </c>
      <c r="G517" s="46">
        <f t="shared" si="57"/>
        <v>100</v>
      </c>
      <c r="H517" s="46">
        <f>TRUNC(S517*(1-LOTE_03!$K$10),2)</f>
        <v>12.09</v>
      </c>
      <c r="I517" s="46">
        <f>TRUNC(T517*(1-LOTE_03!$K$10),2)</f>
        <v>7.52</v>
      </c>
      <c r="J517" s="100">
        <f t="shared" si="58"/>
        <v>0.22470000000000001</v>
      </c>
      <c r="K517" s="48">
        <f t="shared" si="52"/>
        <v>14.8</v>
      </c>
      <c r="L517" s="48">
        <f t="shared" si="53"/>
        <v>9.1999999999999993</v>
      </c>
      <c r="M517" s="48">
        <f t="shared" si="54"/>
        <v>1480</v>
      </c>
      <c r="N517" s="48">
        <f t="shared" si="55"/>
        <v>920</v>
      </c>
      <c r="O517" s="50">
        <f t="shared" si="56"/>
        <v>2400</v>
      </c>
      <c r="P517" s="50">
        <v>0</v>
      </c>
      <c r="Q517" s="76"/>
      <c r="R517" s="140">
        <f>IF((10*S9+20*S10)&gt;100,100,(10*S9+20*S10))</f>
        <v>100</v>
      </c>
      <c r="S517" s="79">
        <v>12.09</v>
      </c>
      <c r="T517" s="80">
        <v>7.52</v>
      </c>
    </row>
    <row r="518" spans="2:20" ht="56">
      <c r="B518" s="5" t="s">
        <v>1237</v>
      </c>
      <c r="C518" s="45" t="s">
        <v>135</v>
      </c>
      <c r="D518" s="45">
        <v>89448</v>
      </c>
      <c r="E518" s="6" t="s">
        <v>1238</v>
      </c>
      <c r="F518" s="45" t="s">
        <v>187</v>
      </c>
      <c r="G518" s="46">
        <f t="shared" si="57"/>
        <v>100</v>
      </c>
      <c r="H518" s="46">
        <f>TRUNC(S518*(1-LOTE_03!$K$10),2)</f>
        <v>14.52</v>
      </c>
      <c r="I518" s="46">
        <f>TRUNC(T518*(1-LOTE_03!$K$10),2)</f>
        <v>1.03</v>
      </c>
      <c r="J518" s="100">
        <f t="shared" si="58"/>
        <v>0.22470000000000001</v>
      </c>
      <c r="K518" s="48">
        <f t="shared" si="52"/>
        <v>17.78</v>
      </c>
      <c r="L518" s="48">
        <f t="shared" si="53"/>
        <v>1.26</v>
      </c>
      <c r="M518" s="48">
        <f t="shared" si="54"/>
        <v>1778</v>
      </c>
      <c r="N518" s="48">
        <f t="shared" si="55"/>
        <v>126</v>
      </c>
      <c r="O518" s="50">
        <f t="shared" si="56"/>
        <v>1904</v>
      </c>
      <c r="P518" s="50">
        <v>0</v>
      </c>
      <c r="Q518" s="76"/>
      <c r="R518" s="140">
        <f>IF((10*S9+20*S10)&gt;100,100,(10*S9+20*S10))</f>
        <v>100</v>
      </c>
      <c r="S518" s="79">
        <v>14.520000000000001</v>
      </c>
      <c r="T518" s="80">
        <v>1.03</v>
      </c>
    </row>
    <row r="519" spans="2:20" ht="70">
      <c r="B519" s="5" t="s">
        <v>1239</v>
      </c>
      <c r="C519" s="45" t="s">
        <v>135</v>
      </c>
      <c r="D519" s="45">
        <v>89711</v>
      </c>
      <c r="E519" s="6" t="s">
        <v>1240</v>
      </c>
      <c r="F519" s="45" t="s">
        <v>187</v>
      </c>
      <c r="G519" s="46">
        <f t="shared" si="57"/>
        <v>100</v>
      </c>
      <c r="H519" s="46">
        <f>TRUNC(S519*(1-LOTE_03!$K$10),2)</f>
        <v>11.86</v>
      </c>
      <c r="I519" s="46">
        <f>TRUNC(T519*(1-LOTE_03!$K$10),2)</f>
        <v>12.22</v>
      </c>
      <c r="J519" s="100">
        <f t="shared" si="58"/>
        <v>0.22470000000000001</v>
      </c>
      <c r="K519" s="48">
        <f t="shared" si="52"/>
        <v>14.52</v>
      </c>
      <c r="L519" s="48">
        <f t="shared" si="53"/>
        <v>14.96</v>
      </c>
      <c r="M519" s="48">
        <f t="shared" si="54"/>
        <v>1452</v>
      </c>
      <c r="N519" s="48">
        <f t="shared" si="55"/>
        <v>1496</v>
      </c>
      <c r="O519" s="50">
        <f t="shared" si="56"/>
        <v>2948</v>
      </c>
      <c r="P519" s="50">
        <v>0</v>
      </c>
      <c r="Q519" s="76"/>
      <c r="R519" s="140">
        <f>IF((10*S9+20*S10)&gt;100,100,(10*S9+20*S10))</f>
        <v>100</v>
      </c>
      <c r="S519" s="79">
        <v>11.859999999999998</v>
      </c>
      <c r="T519" s="80">
        <v>12.22</v>
      </c>
    </row>
    <row r="520" spans="2:20" ht="70">
      <c r="B520" s="5" t="s">
        <v>1241</v>
      </c>
      <c r="C520" s="45" t="s">
        <v>135</v>
      </c>
      <c r="D520" s="45">
        <v>89712</v>
      </c>
      <c r="E520" s="6" t="s">
        <v>1242</v>
      </c>
      <c r="F520" s="45" t="s">
        <v>187</v>
      </c>
      <c r="G520" s="46">
        <f t="shared" si="57"/>
        <v>100</v>
      </c>
      <c r="H520" s="46">
        <f>TRUNC(S520*(1-LOTE_03!$K$10),2)</f>
        <v>17.29</v>
      </c>
      <c r="I520" s="46">
        <f>TRUNC(T520*(1-LOTE_03!$K$10),2)</f>
        <v>13.17</v>
      </c>
      <c r="J520" s="100">
        <f t="shared" si="58"/>
        <v>0.22470000000000001</v>
      </c>
      <c r="K520" s="48">
        <f t="shared" si="52"/>
        <v>21.17</v>
      </c>
      <c r="L520" s="48">
        <f t="shared" si="53"/>
        <v>16.12</v>
      </c>
      <c r="M520" s="48">
        <f t="shared" si="54"/>
        <v>2117</v>
      </c>
      <c r="N520" s="48">
        <f t="shared" si="55"/>
        <v>1612</v>
      </c>
      <c r="O520" s="50">
        <f t="shared" si="56"/>
        <v>3729</v>
      </c>
      <c r="P520" s="50">
        <v>0</v>
      </c>
      <c r="Q520" s="76"/>
      <c r="R520" s="140">
        <f>IF((10*S9+20*S10)&gt;100,100,(10*S9+20*S10))</f>
        <v>100</v>
      </c>
      <c r="S520" s="79">
        <v>17.29</v>
      </c>
      <c r="T520" s="80">
        <v>13.17</v>
      </c>
    </row>
    <row r="521" spans="2:20" ht="70">
      <c r="B521" s="5" t="s">
        <v>1243</v>
      </c>
      <c r="C521" s="45" t="s">
        <v>135</v>
      </c>
      <c r="D521" s="45">
        <v>89714</v>
      </c>
      <c r="E521" s="6" t="s">
        <v>1244</v>
      </c>
      <c r="F521" s="45" t="s">
        <v>187</v>
      </c>
      <c r="G521" s="46">
        <f t="shared" si="57"/>
        <v>190</v>
      </c>
      <c r="H521" s="46">
        <f>TRUNC(S521*(1-LOTE_03!$K$10),2)</f>
        <v>24.03</v>
      </c>
      <c r="I521" s="46">
        <f>TRUNC(T521*(1-LOTE_03!$K$10),2)</f>
        <v>18.38</v>
      </c>
      <c r="J521" s="100">
        <f t="shared" si="58"/>
        <v>0.22470000000000001</v>
      </c>
      <c r="K521" s="48">
        <f t="shared" si="52"/>
        <v>29.42</v>
      </c>
      <c r="L521" s="48">
        <f t="shared" si="53"/>
        <v>22.5</v>
      </c>
      <c r="M521" s="48">
        <f t="shared" si="54"/>
        <v>5589.8</v>
      </c>
      <c r="N521" s="48">
        <f t="shared" si="55"/>
        <v>4275</v>
      </c>
      <c r="O521" s="50">
        <f t="shared" si="56"/>
        <v>9864.7999999999993</v>
      </c>
      <c r="P521" s="50">
        <v>0</v>
      </c>
      <c r="Q521" s="76"/>
      <c r="R521" s="140">
        <f>IF((10*S9+30*S10)&gt;200,200,(10*S9+30*S10))</f>
        <v>190</v>
      </c>
      <c r="S521" s="79">
        <v>24.029999999999998</v>
      </c>
      <c r="T521" s="80">
        <v>18.38</v>
      </c>
    </row>
    <row r="522" spans="2:20" ht="70">
      <c r="B522" s="5" t="s">
        <v>1245</v>
      </c>
      <c r="C522" s="45" t="s">
        <v>135</v>
      </c>
      <c r="D522" s="45">
        <v>89689</v>
      </c>
      <c r="E522" s="6" t="s">
        <v>1246</v>
      </c>
      <c r="F522" s="45" t="s">
        <v>210</v>
      </c>
      <c r="G522" s="46">
        <f t="shared" si="57"/>
        <v>50</v>
      </c>
      <c r="H522" s="46">
        <f>TRUNC(S522*(1-LOTE_03!$K$10),2)</f>
        <v>38.880000000000003</v>
      </c>
      <c r="I522" s="46">
        <f>TRUNC(T522*(1-LOTE_03!$K$10),2)</f>
        <v>4.76</v>
      </c>
      <c r="J522" s="100">
        <f t="shared" si="58"/>
        <v>0.22470000000000001</v>
      </c>
      <c r="K522" s="48">
        <f t="shared" si="52"/>
        <v>47.61</v>
      </c>
      <c r="L522" s="48">
        <f t="shared" si="53"/>
        <v>5.82</v>
      </c>
      <c r="M522" s="48">
        <f t="shared" si="54"/>
        <v>2380.5</v>
      </c>
      <c r="N522" s="48">
        <f t="shared" si="55"/>
        <v>291</v>
      </c>
      <c r="O522" s="50">
        <f t="shared" si="56"/>
        <v>2671.5</v>
      </c>
      <c r="P522" s="50">
        <v>0</v>
      </c>
      <c r="Q522" s="76"/>
      <c r="R522" s="140">
        <f>IF((5*S9+10*S10)&gt;50,50,(5*S9+10*S10))</f>
        <v>50</v>
      </c>
      <c r="S522" s="79">
        <v>38.880000000000003</v>
      </c>
      <c r="T522" s="80">
        <v>4.76</v>
      </c>
    </row>
    <row r="523" spans="2:20" ht="70">
      <c r="B523" s="5" t="s">
        <v>1247</v>
      </c>
      <c r="C523" s="45" t="s">
        <v>135</v>
      </c>
      <c r="D523" s="45">
        <v>89759</v>
      </c>
      <c r="E523" s="6" t="s">
        <v>1248</v>
      </c>
      <c r="F523" s="45" t="s">
        <v>210</v>
      </c>
      <c r="G523" s="46">
        <f t="shared" si="57"/>
        <v>50</v>
      </c>
      <c r="H523" s="46">
        <f>TRUNC(S523*(1-LOTE_03!$K$10),2)</f>
        <v>10.28</v>
      </c>
      <c r="I523" s="46">
        <f>TRUNC(T523*(1-LOTE_03!$K$10),2)</f>
        <v>3.78</v>
      </c>
      <c r="J523" s="100">
        <f t="shared" si="58"/>
        <v>0.22470000000000001</v>
      </c>
      <c r="K523" s="48">
        <f t="shared" si="52"/>
        <v>12.58</v>
      </c>
      <c r="L523" s="48">
        <f t="shared" si="53"/>
        <v>4.62</v>
      </c>
      <c r="M523" s="48">
        <f t="shared" si="54"/>
        <v>629</v>
      </c>
      <c r="N523" s="48">
        <f t="shared" si="55"/>
        <v>231</v>
      </c>
      <c r="O523" s="50">
        <f t="shared" si="56"/>
        <v>860</v>
      </c>
      <c r="P523" s="50">
        <v>0</v>
      </c>
      <c r="Q523" s="76"/>
      <c r="R523" s="140">
        <f>IF((5*S9+10*S10)&gt;50,50,(5*S9+10*S10))</f>
        <v>50</v>
      </c>
      <c r="S523" s="79">
        <v>10.280000000000001</v>
      </c>
      <c r="T523" s="80">
        <v>3.78</v>
      </c>
    </row>
    <row r="524" spans="2:20" ht="56">
      <c r="B524" s="5" t="s">
        <v>1249</v>
      </c>
      <c r="C524" s="45" t="s">
        <v>135</v>
      </c>
      <c r="D524" s="45">
        <v>103964</v>
      </c>
      <c r="E524" s="6" t="s">
        <v>1250</v>
      </c>
      <c r="F524" s="45" t="s">
        <v>210</v>
      </c>
      <c r="G524" s="46">
        <f t="shared" si="57"/>
        <v>50</v>
      </c>
      <c r="H524" s="46">
        <f>TRUNC(S524*(1-LOTE_03!$K$10),2)</f>
        <v>6.4</v>
      </c>
      <c r="I524" s="46">
        <f>TRUNC(T524*(1-LOTE_03!$K$10),2)</f>
        <v>2.35</v>
      </c>
      <c r="J524" s="100">
        <f t="shared" si="58"/>
        <v>0.22470000000000001</v>
      </c>
      <c r="K524" s="48">
        <f t="shared" si="52"/>
        <v>7.83</v>
      </c>
      <c r="L524" s="48">
        <f t="shared" si="53"/>
        <v>2.87</v>
      </c>
      <c r="M524" s="48">
        <f t="shared" si="54"/>
        <v>391.5</v>
      </c>
      <c r="N524" s="48">
        <f t="shared" si="55"/>
        <v>143.5</v>
      </c>
      <c r="O524" s="50">
        <f t="shared" si="56"/>
        <v>535</v>
      </c>
      <c r="P524" s="50">
        <v>0</v>
      </c>
      <c r="Q524" s="76"/>
      <c r="R524" s="140">
        <f>IF((5*S9+10*S10)&gt;50,50,(5*S9+10*S10))</f>
        <v>50</v>
      </c>
      <c r="S524" s="79">
        <v>6.4</v>
      </c>
      <c r="T524" s="80">
        <v>2.35</v>
      </c>
    </row>
    <row r="525" spans="2:20" ht="70">
      <c r="B525" s="5" t="s">
        <v>1251</v>
      </c>
      <c r="C525" s="45" t="s">
        <v>135</v>
      </c>
      <c r="D525" s="45">
        <v>89709</v>
      </c>
      <c r="E525" s="6" t="s">
        <v>1252</v>
      </c>
      <c r="F525" s="45" t="s">
        <v>210</v>
      </c>
      <c r="G525" s="46">
        <f t="shared" si="57"/>
        <v>33</v>
      </c>
      <c r="H525" s="46">
        <f>TRUNC(S525*(1-LOTE_03!$K$10),2)</f>
        <v>17.059999999999999</v>
      </c>
      <c r="I525" s="46">
        <f>TRUNC(T525*(1-LOTE_03!$K$10),2)</f>
        <v>6.93</v>
      </c>
      <c r="J525" s="100">
        <f t="shared" si="58"/>
        <v>0.22470000000000001</v>
      </c>
      <c r="K525" s="48">
        <f t="shared" si="52"/>
        <v>20.89</v>
      </c>
      <c r="L525" s="48">
        <f t="shared" si="53"/>
        <v>8.48</v>
      </c>
      <c r="M525" s="48">
        <f t="shared" si="54"/>
        <v>689.37</v>
      </c>
      <c r="N525" s="48">
        <f t="shared" si="55"/>
        <v>279.83999999999997</v>
      </c>
      <c r="O525" s="50">
        <f t="shared" si="56"/>
        <v>969.21</v>
      </c>
      <c r="P525" s="50">
        <v>0</v>
      </c>
      <c r="Q525" s="76"/>
      <c r="R525" s="140">
        <f>IF((2*S9+5*S10)&gt;50,50,(2*S9+5*S10))</f>
        <v>33</v>
      </c>
      <c r="S525" s="79">
        <v>17.059999999999999</v>
      </c>
      <c r="T525" s="80">
        <v>6.93</v>
      </c>
    </row>
    <row r="526" spans="2:20" ht="56">
      <c r="B526" s="5" t="s">
        <v>1253</v>
      </c>
      <c r="C526" s="45" t="s">
        <v>135</v>
      </c>
      <c r="D526" s="45">
        <v>89491</v>
      </c>
      <c r="E526" s="6" t="s">
        <v>1254</v>
      </c>
      <c r="F526" s="45" t="s">
        <v>210</v>
      </c>
      <c r="G526" s="46">
        <f t="shared" si="57"/>
        <v>33</v>
      </c>
      <c r="H526" s="46">
        <f>TRUNC(S526*(1-LOTE_03!$K$10),2)</f>
        <v>102.41</v>
      </c>
      <c r="I526" s="46">
        <f>TRUNC(T526*(1-LOTE_03!$K$10),2)</f>
        <v>14.09</v>
      </c>
      <c r="J526" s="100">
        <f t="shared" si="58"/>
        <v>0.22470000000000001</v>
      </c>
      <c r="K526" s="48">
        <f t="shared" si="52"/>
        <v>125.42</v>
      </c>
      <c r="L526" s="48">
        <f t="shared" si="53"/>
        <v>17.25</v>
      </c>
      <c r="M526" s="48">
        <f t="shared" si="54"/>
        <v>4138.8599999999997</v>
      </c>
      <c r="N526" s="48">
        <f t="shared" si="55"/>
        <v>569.25</v>
      </c>
      <c r="O526" s="50">
        <f t="shared" si="56"/>
        <v>4708.1099999999997</v>
      </c>
      <c r="P526" s="50">
        <v>0</v>
      </c>
      <c r="Q526" s="76"/>
      <c r="R526" s="140">
        <f>IF((2*S9+5*S10)&gt;50,50,(2*S9+5*S10))</f>
        <v>33</v>
      </c>
      <c r="S526" s="79">
        <v>102.41</v>
      </c>
      <c r="T526" s="80">
        <v>14.09</v>
      </c>
    </row>
    <row r="527" spans="2:20" ht="28">
      <c r="B527" s="5" t="s">
        <v>1255</v>
      </c>
      <c r="C527" s="45" t="s">
        <v>165</v>
      </c>
      <c r="D527" s="45" t="s">
        <v>1210</v>
      </c>
      <c r="E527" s="6" t="s">
        <v>1211</v>
      </c>
      <c r="F527" s="45" t="s">
        <v>559</v>
      </c>
      <c r="G527" s="46">
        <f t="shared" si="57"/>
        <v>50</v>
      </c>
      <c r="H527" s="46">
        <f>TRUNC(S527*(1-LOTE_03!$K$10),2)</f>
        <v>86.6</v>
      </c>
      <c r="I527" s="46">
        <f>TRUNC(T527*(1-LOTE_03!$K$10),2)</f>
        <v>21.95</v>
      </c>
      <c r="J527" s="100">
        <f t="shared" si="58"/>
        <v>0.22470000000000001</v>
      </c>
      <c r="K527" s="48">
        <f t="shared" si="52"/>
        <v>106.05</v>
      </c>
      <c r="L527" s="48">
        <f t="shared" si="53"/>
        <v>26.88</v>
      </c>
      <c r="M527" s="48">
        <f t="shared" si="54"/>
        <v>5302.5</v>
      </c>
      <c r="N527" s="48">
        <f t="shared" si="55"/>
        <v>1344</v>
      </c>
      <c r="O527" s="50">
        <f t="shared" si="56"/>
        <v>6646.5</v>
      </c>
      <c r="P527" s="50">
        <v>0</v>
      </c>
      <c r="Q527" s="76"/>
      <c r="R527" s="140">
        <f>IF((5*S9+10*S10)&gt;50,50,(5*S9+10*S10))</f>
        <v>50</v>
      </c>
      <c r="S527" s="79">
        <v>86.6</v>
      </c>
      <c r="T527" s="80">
        <v>21.95</v>
      </c>
    </row>
    <row r="528" spans="2:20" ht="56">
      <c r="B528" s="5" t="s">
        <v>1256</v>
      </c>
      <c r="C528" s="45" t="s">
        <v>135</v>
      </c>
      <c r="D528" s="45">
        <v>89986</v>
      </c>
      <c r="E528" s="6" t="s">
        <v>1257</v>
      </c>
      <c r="F528" s="45" t="s">
        <v>210</v>
      </c>
      <c r="G528" s="46">
        <f t="shared" si="57"/>
        <v>50</v>
      </c>
      <c r="H528" s="46">
        <f>TRUNC(S528*(1-LOTE_03!$K$10),2)</f>
        <v>64.06</v>
      </c>
      <c r="I528" s="46">
        <f>TRUNC(T528*(1-LOTE_03!$K$10),2)</f>
        <v>6.14</v>
      </c>
      <c r="J528" s="100">
        <f t="shared" si="58"/>
        <v>0.22470000000000001</v>
      </c>
      <c r="K528" s="48">
        <f t="shared" ref="K528:K591" si="59">TRUNC(H528*(1+J528),2)</f>
        <v>78.45</v>
      </c>
      <c r="L528" s="48">
        <f t="shared" ref="L528:L591" si="60">TRUNC(I528*(1+J528),2)</f>
        <v>7.51</v>
      </c>
      <c r="M528" s="48">
        <f t="shared" ref="M528:M591" si="61">TRUNC(K528*G528,2)</f>
        <v>3922.5</v>
      </c>
      <c r="N528" s="48">
        <f t="shared" ref="N528:N591" si="62">TRUNC(L528*G528,2)</f>
        <v>375.5</v>
      </c>
      <c r="O528" s="50">
        <f t="shared" ref="O528:O591" si="63">TRUNC(M528+N528,2)</f>
        <v>4298</v>
      </c>
      <c r="P528" s="50">
        <v>0</v>
      </c>
      <c r="Q528" s="76"/>
      <c r="R528" s="140">
        <f>IF((5*S9+10*S10)&gt;50,50,(5*S9+10*S10))</f>
        <v>50</v>
      </c>
      <c r="S528" s="79">
        <v>64.06</v>
      </c>
      <c r="T528" s="80">
        <v>6.14</v>
      </c>
    </row>
    <row r="529" spans="2:20" ht="28">
      <c r="B529" s="5" t="s">
        <v>1258</v>
      </c>
      <c r="C529" s="45" t="s">
        <v>165</v>
      </c>
      <c r="D529" s="45" t="s">
        <v>1259</v>
      </c>
      <c r="E529" s="6" t="s">
        <v>1260</v>
      </c>
      <c r="F529" s="45" t="s">
        <v>559</v>
      </c>
      <c r="G529" s="46">
        <f t="shared" si="57"/>
        <v>50</v>
      </c>
      <c r="H529" s="46">
        <f>TRUNC(S529*(1-LOTE_03!$K$10),2)</f>
        <v>69.56</v>
      </c>
      <c r="I529" s="46">
        <f>TRUNC(T529*(1-LOTE_03!$K$10),2)</f>
        <v>21.95</v>
      </c>
      <c r="J529" s="100">
        <f t="shared" si="58"/>
        <v>0.22470000000000001</v>
      </c>
      <c r="K529" s="48">
        <f t="shared" si="59"/>
        <v>85.19</v>
      </c>
      <c r="L529" s="48">
        <f t="shared" si="60"/>
        <v>26.88</v>
      </c>
      <c r="M529" s="48">
        <f t="shared" si="61"/>
        <v>4259.5</v>
      </c>
      <c r="N529" s="48">
        <f t="shared" si="62"/>
        <v>1344</v>
      </c>
      <c r="O529" s="50">
        <f t="shared" si="63"/>
        <v>5603.5</v>
      </c>
      <c r="P529" s="50">
        <v>0</v>
      </c>
      <c r="Q529" s="76"/>
      <c r="R529" s="140">
        <f>IF((5*S9+10*S10)&gt;50,50,(5*S9+10*S10))</f>
        <v>50</v>
      </c>
      <c r="S529" s="79">
        <v>69.56</v>
      </c>
      <c r="T529" s="80">
        <v>21.95</v>
      </c>
    </row>
    <row r="530" spans="2:20" ht="42">
      <c r="B530" s="5" t="s">
        <v>1261</v>
      </c>
      <c r="C530" s="45" t="s">
        <v>135</v>
      </c>
      <c r="D530" s="45">
        <v>94496</v>
      </c>
      <c r="E530" s="6" t="s">
        <v>1262</v>
      </c>
      <c r="F530" s="45" t="s">
        <v>210</v>
      </c>
      <c r="G530" s="46">
        <f t="shared" ref="G530:G593" si="64">TRUNC(R530,2)</f>
        <v>50</v>
      </c>
      <c r="H530" s="46">
        <f>TRUNC(S530*(1-LOTE_03!$K$10),2)</f>
        <v>64.290000000000006</v>
      </c>
      <c r="I530" s="46">
        <f>TRUNC(T530*(1-LOTE_03!$K$10),2)</f>
        <v>6.82</v>
      </c>
      <c r="J530" s="100">
        <f t="shared" ref="J530:J593" si="65">$J$4</f>
        <v>0.22470000000000001</v>
      </c>
      <c r="K530" s="48">
        <f t="shared" si="59"/>
        <v>78.73</v>
      </c>
      <c r="L530" s="48">
        <f t="shared" si="60"/>
        <v>8.35</v>
      </c>
      <c r="M530" s="48">
        <f t="shared" si="61"/>
        <v>3936.5</v>
      </c>
      <c r="N530" s="48">
        <f t="shared" si="62"/>
        <v>417.5</v>
      </c>
      <c r="O530" s="50">
        <f t="shared" si="63"/>
        <v>4354</v>
      </c>
      <c r="P530" s="50">
        <v>0</v>
      </c>
      <c r="Q530" s="76"/>
      <c r="R530" s="140">
        <f>IF((5*S9+10*S10)&gt;50,50,(5*S9+10*S10))</f>
        <v>50</v>
      </c>
      <c r="S530" s="79">
        <v>64.289999999999992</v>
      </c>
      <c r="T530" s="80">
        <v>6.82</v>
      </c>
    </row>
    <row r="531" spans="2:20" ht="70">
      <c r="B531" s="5" t="s">
        <v>1263</v>
      </c>
      <c r="C531" s="45" t="s">
        <v>135</v>
      </c>
      <c r="D531" s="45">
        <v>94691</v>
      </c>
      <c r="E531" s="6" t="s">
        <v>1264</v>
      </c>
      <c r="F531" s="45" t="s">
        <v>210</v>
      </c>
      <c r="G531" s="46">
        <f t="shared" si="64"/>
        <v>50</v>
      </c>
      <c r="H531" s="46">
        <f>TRUNC(S531*(1-LOTE_03!$K$10),2)</f>
        <v>10.47</v>
      </c>
      <c r="I531" s="46">
        <f>TRUNC(T531*(1-LOTE_03!$K$10),2)</f>
        <v>3.69</v>
      </c>
      <c r="J531" s="100">
        <f t="shared" si="65"/>
        <v>0.22470000000000001</v>
      </c>
      <c r="K531" s="48">
        <f t="shared" si="59"/>
        <v>12.82</v>
      </c>
      <c r="L531" s="48">
        <f t="shared" si="60"/>
        <v>4.51</v>
      </c>
      <c r="M531" s="48">
        <f t="shared" si="61"/>
        <v>641</v>
      </c>
      <c r="N531" s="48">
        <f t="shared" si="62"/>
        <v>225.5</v>
      </c>
      <c r="O531" s="50">
        <f t="shared" si="63"/>
        <v>866.5</v>
      </c>
      <c r="P531" s="50">
        <v>0</v>
      </c>
      <c r="Q531" s="76"/>
      <c r="R531" s="140">
        <f>IF((5*S9+10*S10)&gt;50,50,(5*S9+10*S10))</f>
        <v>50</v>
      </c>
      <c r="S531" s="79">
        <v>10.47</v>
      </c>
      <c r="T531" s="80">
        <v>3.69</v>
      </c>
    </row>
    <row r="532" spans="2:20" ht="70">
      <c r="B532" s="5" t="s">
        <v>1265</v>
      </c>
      <c r="C532" s="45" t="s">
        <v>135</v>
      </c>
      <c r="D532" s="45">
        <v>94693</v>
      </c>
      <c r="E532" s="6" t="s">
        <v>1266</v>
      </c>
      <c r="F532" s="45" t="s">
        <v>210</v>
      </c>
      <c r="G532" s="46">
        <f t="shared" si="64"/>
        <v>50</v>
      </c>
      <c r="H532" s="46">
        <f>TRUNC(S532*(1-LOTE_03!$K$10),2)</f>
        <v>13.62</v>
      </c>
      <c r="I532" s="46">
        <f>TRUNC(T532*(1-LOTE_03!$K$10),2)</f>
        <v>4.91</v>
      </c>
      <c r="J532" s="100">
        <f t="shared" si="65"/>
        <v>0.22470000000000001</v>
      </c>
      <c r="K532" s="48">
        <f t="shared" si="59"/>
        <v>16.68</v>
      </c>
      <c r="L532" s="48">
        <f t="shared" si="60"/>
        <v>6.01</v>
      </c>
      <c r="M532" s="48">
        <f t="shared" si="61"/>
        <v>834</v>
      </c>
      <c r="N532" s="48">
        <f t="shared" si="62"/>
        <v>300.5</v>
      </c>
      <c r="O532" s="50">
        <f t="shared" si="63"/>
        <v>1134.5</v>
      </c>
      <c r="P532" s="50">
        <v>0</v>
      </c>
      <c r="Q532" s="76"/>
      <c r="R532" s="140">
        <f>IF((5*S9+10*S10)&gt;50,50,(5*S9+10*S10))</f>
        <v>50</v>
      </c>
      <c r="S532" s="79">
        <v>13.620000000000001</v>
      </c>
      <c r="T532" s="80">
        <v>4.91</v>
      </c>
    </row>
    <row r="533" spans="2:20" ht="28">
      <c r="B533" s="5" t="s">
        <v>1267</v>
      </c>
      <c r="C533" s="45" t="s">
        <v>165</v>
      </c>
      <c r="D533" s="45" t="s">
        <v>1268</v>
      </c>
      <c r="E533" s="6" t="s">
        <v>1269</v>
      </c>
      <c r="F533" s="45" t="s">
        <v>559</v>
      </c>
      <c r="G533" s="46">
        <f t="shared" si="64"/>
        <v>50</v>
      </c>
      <c r="H533" s="46">
        <f>TRUNC(S533*(1-LOTE_03!$K$10),2)</f>
        <v>7.49</v>
      </c>
      <c r="I533" s="46">
        <f>TRUNC(T533*(1-LOTE_03!$K$10),2)</f>
        <v>6.84</v>
      </c>
      <c r="J533" s="100">
        <f t="shared" si="65"/>
        <v>0.22470000000000001</v>
      </c>
      <c r="K533" s="48">
        <f t="shared" si="59"/>
        <v>9.17</v>
      </c>
      <c r="L533" s="48">
        <f t="shared" si="60"/>
        <v>8.3699999999999992</v>
      </c>
      <c r="M533" s="48">
        <f t="shared" si="61"/>
        <v>458.5</v>
      </c>
      <c r="N533" s="48">
        <f t="shared" si="62"/>
        <v>418.5</v>
      </c>
      <c r="O533" s="50">
        <f t="shared" si="63"/>
        <v>877</v>
      </c>
      <c r="P533" s="50">
        <v>0</v>
      </c>
      <c r="Q533" s="76"/>
      <c r="R533" s="140">
        <f>IF((5*S9+10*S10)&gt;50,50,(5*S9+10*S10))</f>
        <v>50</v>
      </c>
      <c r="S533" s="79">
        <v>7.49</v>
      </c>
      <c r="T533" s="80">
        <v>6.84</v>
      </c>
    </row>
    <row r="534" spans="2:20" ht="28">
      <c r="B534" s="5" t="s">
        <v>1270</v>
      </c>
      <c r="C534" s="45" t="s">
        <v>165</v>
      </c>
      <c r="D534" s="45" t="s">
        <v>1271</v>
      </c>
      <c r="E534" s="6" t="s">
        <v>1272</v>
      </c>
      <c r="F534" s="45" t="s">
        <v>559</v>
      </c>
      <c r="G534" s="46">
        <f t="shared" si="64"/>
        <v>50</v>
      </c>
      <c r="H534" s="46">
        <f>TRUNC(S534*(1-LOTE_03!$K$10),2)</f>
        <v>8.8000000000000007</v>
      </c>
      <c r="I534" s="46">
        <f>TRUNC(T534*(1-LOTE_03!$K$10),2)</f>
        <v>7.2</v>
      </c>
      <c r="J534" s="100">
        <f t="shared" si="65"/>
        <v>0.22470000000000001</v>
      </c>
      <c r="K534" s="48">
        <f t="shared" si="59"/>
        <v>10.77</v>
      </c>
      <c r="L534" s="48">
        <f t="shared" si="60"/>
        <v>8.81</v>
      </c>
      <c r="M534" s="48">
        <f t="shared" si="61"/>
        <v>538.5</v>
      </c>
      <c r="N534" s="48">
        <f t="shared" si="62"/>
        <v>440.5</v>
      </c>
      <c r="O534" s="50">
        <f t="shared" si="63"/>
        <v>979</v>
      </c>
      <c r="P534" s="50">
        <v>0</v>
      </c>
      <c r="Q534" s="76"/>
      <c r="R534" s="140">
        <f>IF((5*S9+10*S10)&gt;50,50,(5*S9+10*S10))</f>
        <v>50</v>
      </c>
      <c r="S534" s="79">
        <v>8.8000000000000007</v>
      </c>
      <c r="T534" s="80">
        <v>7.2</v>
      </c>
    </row>
    <row r="535" spans="2:20" ht="56">
      <c r="B535" s="5" t="s">
        <v>1273</v>
      </c>
      <c r="C535" s="45" t="s">
        <v>135</v>
      </c>
      <c r="D535" s="45">
        <v>89395</v>
      </c>
      <c r="E535" s="6" t="s">
        <v>1274</v>
      </c>
      <c r="F535" s="45" t="s">
        <v>210</v>
      </c>
      <c r="G535" s="46">
        <f t="shared" si="64"/>
        <v>50</v>
      </c>
      <c r="H535" s="46">
        <f>TRUNC(S535*(1-LOTE_03!$K$10),2)</f>
        <v>6.22</v>
      </c>
      <c r="I535" s="46">
        <f>TRUNC(T535*(1-LOTE_03!$K$10),2)</f>
        <v>8.6300000000000008</v>
      </c>
      <c r="J535" s="100">
        <f t="shared" si="65"/>
        <v>0.22470000000000001</v>
      </c>
      <c r="K535" s="48">
        <f t="shared" si="59"/>
        <v>7.61</v>
      </c>
      <c r="L535" s="48">
        <f t="shared" si="60"/>
        <v>10.56</v>
      </c>
      <c r="M535" s="48">
        <f t="shared" si="61"/>
        <v>380.5</v>
      </c>
      <c r="N535" s="48">
        <f t="shared" si="62"/>
        <v>528</v>
      </c>
      <c r="O535" s="50">
        <f t="shared" si="63"/>
        <v>908.5</v>
      </c>
      <c r="P535" s="50">
        <v>0</v>
      </c>
      <c r="Q535" s="76"/>
      <c r="R535" s="140">
        <f>IF((5*S9+10*S10)&gt;50,50,(5*S9+10*S10))</f>
        <v>50</v>
      </c>
      <c r="S535" s="79">
        <v>6.2199999999999989</v>
      </c>
      <c r="T535" s="80">
        <v>8.6300000000000008</v>
      </c>
    </row>
    <row r="536" spans="2:20" ht="70">
      <c r="B536" s="5" t="s">
        <v>1275</v>
      </c>
      <c r="C536" s="45" t="s">
        <v>135</v>
      </c>
      <c r="D536" s="45">
        <v>89546</v>
      </c>
      <c r="E536" s="6" t="s">
        <v>1276</v>
      </c>
      <c r="F536" s="45" t="s">
        <v>210</v>
      </c>
      <c r="G536" s="46">
        <f t="shared" si="64"/>
        <v>50</v>
      </c>
      <c r="H536" s="46">
        <f>TRUNC(S536*(1-LOTE_03!$K$10),2)</f>
        <v>10.99</v>
      </c>
      <c r="I536" s="46">
        <f>TRUNC(T536*(1-LOTE_03!$K$10),2)</f>
        <v>1.46</v>
      </c>
      <c r="J536" s="100">
        <f t="shared" si="65"/>
        <v>0.22470000000000001</v>
      </c>
      <c r="K536" s="48">
        <f t="shared" si="59"/>
        <v>13.45</v>
      </c>
      <c r="L536" s="48">
        <f t="shared" si="60"/>
        <v>1.78</v>
      </c>
      <c r="M536" s="48">
        <f t="shared" si="61"/>
        <v>672.5</v>
      </c>
      <c r="N536" s="48">
        <f t="shared" si="62"/>
        <v>89</v>
      </c>
      <c r="O536" s="50">
        <f t="shared" si="63"/>
        <v>761.5</v>
      </c>
      <c r="P536" s="50">
        <v>0</v>
      </c>
      <c r="Q536" s="76"/>
      <c r="R536" s="140">
        <f>IF((5*S9+10*S10)&gt;50,50,(5*S9+10*S10))</f>
        <v>50</v>
      </c>
      <c r="S536" s="79">
        <v>10.989999999999998</v>
      </c>
      <c r="T536" s="80">
        <v>1.46</v>
      </c>
    </row>
    <row r="537" spans="2:20" ht="28">
      <c r="B537" s="5" t="s">
        <v>1277</v>
      </c>
      <c r="C537" s="45" t="s">
        <v>97</v>
      </c>
      <c r="D537" s="45" t="s">
        <v>1278</v>
      </c>
      <c r="E537" s="6" t="s">
        <v>1279</v>
      </c>
      <c r="F537" s="45" t="s">
        <v>104</v>
      </c>
      <c r="G537" s="46">
        <f t="shared" si="64"/>
        <v>18</v>
      </c>
      <c r="H537" s="46">
        <f>TRUNC(S537*(1-LOTE_03!$K$10),2)</f>
        <v>14.15</v>
      </c>
      <c r="I537" s="46">
        <f>TRUNC(T537*(1-LOTE_03!$K$10),2)</f>
        <v>4.83</v>
      </c>
      <c r="J537" s="100">
        <f t="shared" si="65"/>
        <v>0.22470000000000001</v>
      </c>
      <c r="K537" s="48">
        <f t="shared" si="59"/>
        <v>17.32</v>
      </c>
      <c r="L537" s="48">
        <f t="shared" si="60"/>
        <v>5.91</v>
      </c>
      <c r="M537" s="48">
        <f t="shared" si="61"/>
        <v>311.76</v>
      </c>
      <c r="N537" s="48">
        <f t="shared" si="62"/>
        <v>106.38</v>
      </c>
      <c r="O537" s="50">
        <f t="shared" si="63"/>
        <v>418.14</v>
      </c>
      <c r="P537" s="50">
        <v>0</v>
      </c>
      <c r="Q537" s="76"/>
      <c r="R537" s="140">
        <f>2*S9+2*S10</f>
        <v>18</v>
      </c>
      <c r="S537" s="79">
        <v>14.15</v>
      </c>
      <c r="T537" s="80">
        <v>4.83</v>
      </c>
    </row>
    <row r="538" spans="2:20" ht="70">
      <c r="B538" s="5" t="s">
        <v>1280</v>
      </c>
      <c r="C538" s="45" t="s">
        <v>135</v>
      </c>
      <c r="D538" s="45">
        <v>89707</v>
      </c>
      <c r="E538" s="6" t="s">
        <v>1281</v>
      </c>
      <c r="F538" s="45" t="s">
        <v>210</v>
      </c>
      <c r="G538" s="46">
        <f t="shared" si="64"/>
        <v>33</v>
      </c>
      <c r="H538" s="46">
        <f>TRUNC(S538*(1-LOTE_03!$K$10),2)</f>
        <v>39.57</v>
      </c>
      <c r="I538" s="46">
        <f>TRUNC(T538*(1-LOTE_03!$K$10),2)</f>
        <v>16.850000000000001</v>
      </c>
      <c r="J538" s="100">
        <f t="shared" si="65"/>
        <v>0.22470000000000001</v>
      </c>
      <c r="K538" s="48">
        <f t="shared" si="59"/>
        <v>48.46</v>
      </c>
      <c r="L538" s="48">
        <f t="shared" si="60"/>
        <v>20.63</v>
      </c>
      <c r="M538" s="48">
        <f t="shared" si="61"/>
        <v>1599.18</v>
      </c>
      <c r="N538" s="48">
        <f t="shared" si="62"/>
        <v>680.79</v>
      </c>
      <c r="O538" s="50">
        <f t="shared" si="63"/>
        <v>2279.9699999999998</v>
      </c>
      <c r="P538" s="50">
        <v>0</v>
      </c>
      <c r="Q538" s="76"/>
      <c r="R538" s="140">
        <f>IF((2*S9+5*S10)&gt;50,50,(2*S9+5*S10))</f>
        <v>33</v>
      </c>
      <c r="S538" s="79">
        <v>39.57</v>
      </c>
      <c r="T538" s="80">
        <v>16.850000000000001</v>
      </c>
    </row>
    <row r="539" spans="2:20" ht="28">
      <c r="B539" s="5" t="s">
        <v>1282</v>
      </c>
      <c r="C539" s="45" t="s">
        <v>97</v>
      </c>
      <c r="D539" s="45" t="s">
        <v>1283</v>
      </c>
      <c r="E539" s="6" t="s">
        <v>1284</v>
      </c>
      <c r="F539" s="45" t="s">
        <v>104</v>
      </c>
      <c r="G539" s="46">
        <f t="shared" si="64"/>
        <v>9</v>
      </c>
      <c r="H539" s="46">
        <f>TRUNC(S539*(1-LOTE_03!$K$10),2)</f>
        <v>350</v>
      </c>
      <c r="I539" s="46">
        <f>TRUNC(T539*(1-LOTE_03!$K$10),2)</f>
        <v>0</v>
      </c>
      <c r="J539" s="100">
        <f t="shared" si="65"/>
        <v>0.22470000000000001</v>
      </c>
      <c r="K539" s="48">
        <f t="shared" si="59"/>
        <v>428.64</v>
      </c>
      <c r="L539" s="48">
        <f t="shared" si="60"/>
        <v>0</v>
      </c>
      <c r="M539" s="48">
        <f t="shared" si="61"/>
        <v>3857.76</v>
      </c>
      <c r="N539" s="48">
        <f t="shared" si="62"/>
        <v>0</v>
      </c>
      <c r="O539" s="50">
        <f t="shared" si="63"/>
        <v>3857.76</v>
      </c>
      <c r="P539" s="50">
        <v>0</v>
      </c>
      <c r="Q539" s="76"/>
      <c r="R539" s="140">
        <f>1*S9+1*S10</f>
        <v>9</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50">
        <v>0</v>
      </c>
      <c r="Q540" s="76"/>
      <c r="R540" s="154"/>
      <c r="S540" s="79" t="s">
        <v>22</v>
      </c>
      <c r="T540" s="80" t="s">
        <v>22</v>
      </c>
    </row>
    <row r="541" spans="2:20" ht="42">
      <c r="B541" s="5" t="s">
        <v>1287</v>
      </c>
      <c r="C541" s="45" t="s">
        <v>97</v>
      </c>
      <c r="D541" s="45" t="s">
        <v>1288</v>
      </c>
      <c r="E541" s="6" t="s">
        <v>1289</v>
      </c>
      <c r="F541" s="45" t="s">
        <v>104</v>
      </c>
      <c r="G541" s="46">
        <f t="shared" si="64"/>
        <v>18</v>
      </c>
      <c r="H541" s="46">
        <f>TRUNC(S541*(1-LOTE_03!$K$10),2)</f>
        <v>6.51</v>
      </c>
      <c r="I541" s="46">
        <f>TRUNC(T541*(1-LOTE_03!$K$10),2)</f>
        <v>21.56</v>
      </c>
      <c r="J541" s="100">
        <f t="shared" si="65"/>
        <v>0.22470000000000001</v>
      </c>
      <c r="K541" s="48">
        <f t="shared" si="59"/>
        <v>7.97</v>
      </c>
      <c r="L541" s="48">
        <f t="shared" si="60"/>
        <v>26.4</v>
      </c>
      <c r="M541" s="48">
        <f t="shared" si="61"/>
        <v>143.46</v>
      </c>
      <c r="N541" s="48">
        <f t="shared" si="62"/>
        <v>475.2</v>
      </c>
      <c r="O541" s="50">
        <f t="shared" si="63"/>
        <v>618.66</v>
      </c>
      <c r="P541" s="50">
        <v>0</v>
      </c>
      <c r="Q541" s="76"/>
      <c r="R541" s="140">
        <f>2*S9+2*S10</f>
        <v>18</v>
      </c>
      <c r="S541" s="79">
        <v>6.51</v>
      </c>
      <c r="T541" s="80">
        <v>21.56</v>
      </c>
    </row>
    <row r="542" spans="2:20" ht="28">
      <c r="B542" s="5" t="s">
        <v>1290</v>
      </c>
      <c r="C542" s="45" t="s">
        <v>97</v>
      </c>
      <c r="D542" s="45" t="s">
        <v>1291</v>
      </c>
      <c r="E542" s="6" t="s">
        <v>1292</v>
      </c>
      <c r="F542" s="45" t="s">
        <v>104</v>
      </c>
      <c r="G542" s="46">
        <f t="shared" si="64"/>
        <v>18</v>
      </c>
      <c r="H542" s="46">
        <f>TRUNC(S542*(1-LOTE_03!$K$10),2)</f>
        <v>3.01</v>
      </c>
      <c r="I542" s="46">
        <f>TRUNC(T542*(1-LOTE_03!$K$10),2)</f>
        <v>4.38</v>
      </c>
      <c r="J542" s="100">
        <f t="shared" si="65"/>
        <v>0.22470000000000001</v>
      </c>
      <c r="K542" s="48">
        <f t="shared" si="59"/>
        <v>3.68</v>
      </c>
      <c r="L542" s="48">
        <f t="shared" si="60"/>
        <v>5.36</v>
      </c>
      <c r="M542" s="48">
        <f t="shared" si="61"/>
        <v>66.239999999999995</v>
      </c>
      <c r="N542" s="48">
        <f t="shared" si="62"/>
        <v>96.48</v>
      </c>
      <c r="O542" s="50">
        <f t="shared" si="63"/>
        <v>162.72</v>
      </c>
      <c r="P542" s="50">
        <v>0</v>
      </c>
      <c r="Q542" s="76"/>
      <c r="R542" s="140">
        <f>2*S9+2*S10</f>
        <v>18</v>
      </c>
      <c r="S542" s="79">
        <v>3.01</v>
      </c>
      <c r="T542" s="80">
        <v>4.38</v>
      </c>
    </row>
    <row r="543" spans="2:20" ht="28">
      <c r="B543" s="5" t="s">
        <v>1293</v>
      </c>
      <c r="C543" s="45" t="s">
        <v>97</v>
      </c>
      <c r="D543" s="45" t="s">
        <v>1294</v>
      </c>
      <c r="E543" s="6" t="s">
        <v>1295</v>
      </c>
      <c r="F543" s="45" t="s">
        <v>104</v>
      </c>
      <c r="G543" s="46">
        <f t="shared" si="64"/>
        <v>18</v>
      </c>
      <c r="H543" s="46">
        <f>TRUNC(S543*(1-LOTE_03!$K$10),2)</f>
        <v>3.01</v>
      </c>
      <c r="I543" s="46">
        <f>TRUNC(T543*(1-LOTE_03!$K$10),2)</f>
        <v>4.38</v>
      </c>
      <c r="J543" s="100">
        <f t="shared" si="65"/>
        <v>0.22470000000000001</v>
      </c>
      <c r="K543" s="48">
        <f t="shared" si="59"/>
        <v>3.68</v>
      </c>
      <c r="L543" s="48">
        <f t="shared" si="60"/>
        <v>5.36</v>
      </c>
      <c r="M543" s="48">
        <f t="shared" si="61"/>
        <v>66.239999999999995</v>
      </c>
      <c r="N543" s="48">
        <f t="shared" si="62"/>
        <v>96.48</v>
      </c>
      <c r="O543" s="50">
        <f t="shared" si="63"/>
        <v>162.72</v>
      </c>
      <c r="P543" s="50">
        <v>0</v>
      </c>
      <c r="Q543" s="76"/>
      <c r="R543" s="140">
        <f>2*S9+2*S10</f>
        <v>18</v>
      </c>
      <c r="S543" s="79">
        <v>3.01</v>
      </c>
      <c r="T543" s="80">
        <v>4.38</v>
      </c>
    </row>
    <row r="544" spans="2:20" ht="70">
      <c r="B544" s="5" t="s">
        <v>1296</v>
      </c>
      <c r="C544" s="45" t="s">
        <v>97</v>
      </c>
      <c r="D544" s="45" t="s">
        <v>1297</v>
      </c>
      <c r="E544" s="6" t="s">
        <v>1298</v>
      </c>
      <c r="F544" s="45" t="s">
        <v>104</v>
      </c>
      <c r="G544" s="46">
        <f t="shared" si="64"/>
        <v>18</v>
      </c>
      <c r="H544" s="46">
        <f>TRUNC(S544*(1-LOTE_03!$K$10),2)</f>
        <v>373.37</v>
      </c>
      <c r="I544" s="46">
        <f>TRUNC(T544*(1-LOTE_03!$K$10),2)</f>
        <v>35.340000000000003</v>
      </c>
      <c r="J544" s="100">
        <f t="shared" si="65"/>
        <v>0.22470000000000001</v>
      </c>
      <c r="K544" s="48">
        <f t="shared" si="59"/>
        <v>457.26</v>
      </c>
      <c r="L544" s="48">
        <f t="shared" si="60"/>
        <v>43.28</v>
      </c>
      <c r="M544" s="48">
        <f t="shared" si="61"/>
        <v>8230.68</v>
      </c>
      <c r="N544" s="48">
        <f t="shared" si="62"/>
        <v>779.04</v>
      </c>
      <c r="O544" s="50">
        <f t="shared" si="63"/>
        <v>9009.7199999999993</v>
      </c>
      <c r="P544" s="50">
        <v>0</v>
      </c>
      <c r="Q544" s="76"/>
      <c r="R544" s="140">
        <f>2*S9+2*S10</f>
        <v>18</v>
      </c>
      <c r="S544" s="79">
        <v>373.37</v>
      </c>
      <c r="T544" s="80">
        <v>35.340000000000003</v>
      </c>
    </row>
    <row r="545" spans="2:20" ht="28">
      <c r="B545" s="5" t="s">
        <v>1299</v>
      </c>
      <c r="C545" s="45" t="s">
        <v>97</v>
      </c>
      <c r="D545" s="45" t="s">
        <v>1300</v>
      </c>
      <c r="E545" s="6" t="s">
        <v>1301</v>
      </c>
      <c r="F545" s="45" t="s">
        <v>104</v>
      </c>
      <c r="G545" s="46">
        <f t="shared" si="64"/>
        <v>18</v>
      </c>
      <c r="H545" s="46">
        <f>TRUNC(S545*(1-LOTE_03!$K$10),2)</f>
        <v>86.1</v>
      </c>
      <c r="I545" s="46">
        <f>TRUNC(T545*(1-LOTE_03!$K$10),2)</f>
        <v>27.19</v>
      </c>
      <c r="J545" s="100">
        <f t="shared" si="65"/>
        <v>0.22470000000000001</v>
      </c>
      <c r="K545" s="48">
        <f t="shared" si="59"/>
        <v>105.44</v>
      </c>
      <c r="L545" s="48">
        <f t="shared" si="60"/>
        <v>33.29</v>
      </c>
      <c r="M545" s="48">
        <f t="shared" si="61"/>
        <v>1897.92</v>
      </c>
      <c r="N545" s="48">
        <f t="shared" si="62"/>
        <v>599.22</v>
      </c>
      <c r="O545" s="50">
        <f t="shared" si="63"/>
        <v>2497.14</v>
      </c>
      <c r="P545" s="50">
        <v>0</v>
      </c>
      <c r="Q545" s="76"/>
      <c r="R545" s="140">
        <f>2*S9+2*S10</f>
        <v>18</v>
      </c>
      <c r="S545" s="79">
        <v>86.1</v>
      </c>
      <c r="T545" s="80">
        <v>27.19</v>
      </c>
    </row>
    <row r="546" spans="2:20" ht="28">
      <c r="B546" s="5" t="s">
        <v>1302</v>
      </c>
      <c r="C546" s="45" t="s">
        <v>97</v>
      </c>
      <c r="D546" s="45" t="s">
        <v>1303</v>
      </c>
      <c r="E546" s="6" t="s">
        <v>1304</v>
      </c>
      <c r="F546" s="45" t="s">
        <v>104</v>
      </c>
      <c r="G546" s="46">
        <f t="shared" si="64"/>
        <v>18</v>
      </c>
      <c r="H546" s="46">
        <f>TRUNC(S546*(1-LOTE_03!$K$10),2)</f>
        <v>78.45</v>
      </c>
      <c r="I546" s="46">
        <f>TRUNC(T546*(1-LOTE_03!$K$10),2)</f>
        <v>18.13</v>
      </c>
      <c r="J546" s="100">
        <f t="shared" si="65"/>
        <v>0.22470000000000001</v>
      </c>
      <c r="K546" s="48">
        <f t="shared" si="59"/>
        <v>96.07</v>
      </c>
      <c r="L546" s="48">
        <f t="shared" si="60"/>
        <v>22.2</v>
      </c>
      <c r="M546" s="48">
        <f t="shared" si="61"/>
        <v>1729.26</v>
      </c>
      <c r="N546" s="48">
        <f t="shared" si="62"/>
        <v>399.6</v>
      </c>
      <c r="O546" s="50">
        <f t="shared" si="63"/>
        <v>2128.86</v>
      </c>
      <c r="P546" s="50">
        <v>0</v>
      </c>
      <c r="Q546" s="76"/>
      <c r="R546" s="140">
        <f>2*S9+2*S10</f>
        <v>18</v>
      </c>
      <c r="S546" s="79">
        <v>78.45</v>
      </c>
      <c r="T546" s="80">
        <v>18.13</v>
      </c>
    </row>
    <row r="547" spans="2:20" ht="70">
      <c r="B547" s="5" t="s">
        <v>1305</v>
      </c>
      <c r="C547" s="45" t="s">
        <v>135</v>
      </c>
      <c r="D547" s="45">
        <v>86932</v>
      </c>
      <c r="E547" s="6" t="s">
        <v>1817</v>
      </c>
      <c r="F547" s="45" t="s">
        <v>210</v>
      </c>
      <c r="G547" s="46">
        <f t="shared" si="64"/>
        <v>14</v>
      </c>
      <c r="H547" s="46">
        <f>TRUNC(S547*(1-LOTE_03!$K$10),2)</f>
        <v>558.33000000000004</v>
      </c>
      <c r="I547" s="46">
        <f>TRUNC(T547*(1-LOTE_03!$K$10),2)</f>
        <v>28.7</v>
      </c>
      <c r="J547" s="100">
        <f t="shared" si="65"/>
        <v>0.22470000000000001</v>
      </c>
      <c r="K547" s="48">
        <f t="shared" si="59"/>
        <v>683.78</v>
      </c>
      <c r="L547" s="48">
        <f t="shared" si="60"/>
        <v>35.14</v>
      </c>
      <c r="M547" s="48">
        <f t="shared" si="61"/>
        <v>9572.92</v>
      </c>
      <c r="N547" s="48">
        <f t="shared" si="62"/>
        <v>491.96</v>
      </c>
      <c r="O547" s="50">
        <f t="shared" si="63"/>
        <v>10064.879999999999</v>
      </c>
      <c r="P547" s="50">
        <v>0</v>
      </c>
      <c r="Q547" s="76"/>
      <c r="R547" s="140">
        <f>1*S9+2*S10</f>
        <v>14</v>
      </c>
      <c r="S547" s="79">
        <v>558.32999999999993</v>
      </c>
      <c r="T547" s="80">
        <v>28.7</v>
      </c>
    </row>
    <row r="548" spans="2:20" ht="28">
      <c r="B548" s="5" t="s">
        <v>1306</v>
      </c>
      <c r="C548" s="45" t="s">
        <v>97</v>
      </c>
      <c r="D548" s="45" t="s">
        <v>1307</v>
      </c>
      <c r="E548" s="6" t="s">
        <v>1308</v>
      </c>
      <c r="F548" s="45" t="s">
        <v>104</v>
      </c>
      <c r="G548" s="46">
        <f t="shared" si="64"/>
        <v>18</v>
      </c>
      <c r="H548" s="46">
        <f>TRUNC(S548*(1-LOTE_03!$K$10),2)</f>
        <v>111.52</v>
      </c>
      <c r="I548" s="46">
        <f>TRUNC(T548*(1-LOTE_03!$K$10),2)</f>
        <v>4.5599999999999996</v>
      </c>
      <c r="J548" s="100">
        <f t="shared" si="65"/>
        <v>0.22470000000000001</v>
      </c>
      <c r="K548" s="48">
        <f t="shared" si="59"/>
        <v>136.57</v>
      </c>
      <c r="L548" s="48">
        <f t="shared" si="60"/>
        <v>5.58</v>
      </c>
      <c r="M548" s="48">
        <f t="shared" si="61"/>
        <v>2458.2600000000002</v>
      </c>
      <c r="N548" s="48">
        <f t="shared" si="62"/>
        <v>100.44</v>
      </c>
      <c r="O548" s="50">
        <f t="shared" si="63"/>
        <v>2558.6999999999998</v>
      </c>
      <c r="P548" s="50">
        <v>0</v>
      </c>
      <c r="Q548" s="76"/>
      <c r="R548" s="140">
        <f>2*S9+2*S10</f>
        <v>18</v>
      </c>
      <c r="S548" s="79">
        <v>111.52</v>
      </c>
      <c r="T548" s="80">
        <v>4.5599999999999996</v>
      </c>
    </row>
    <row r="549" spans="2:20" ht="28">
      <c r="B549" s="5" t="s">
        <v>1309</v>
      </c>
      <c r="C549" s="45" t="s">
        <v>97</v>
      </c>
      <c r="D549" s="45" t="s">
        <v>1310</v>
      </c>
      <c r="E549" s="6" t="s">
        <v>1311</v>
      </c>
      <c r="F549" s="45" t="s">
        <v>104</v>
      </c>
      <c r="G549" s="46">
        <f t="shared" si="64"/>
        <v>18</v>
      </c>
      <c r="H549" s="46">
        <f>TRUNC(S549*(1-LOTE_03!$K$10),2)</f>
        <v>371.23</v>
      </c>
      <c r="I549" s="46">
        <f>TRUNC(T549*(1-LOTE_03!$K$10),2)</f>
        <v>4.5599999999999996</v>
      </c>
      <c r="J549" s="100">
        <f t="shared" si="65"/>
        <v>0.22470000000000001</v>
      </c>
      <c r="K549" s="48">
        <f t="shared" si="59"/>
        <v>454.64</v>
      </c>
      <c r="L549" s="48">
        <f t="shared" si="60"/>
        <v>5.58</v>
      </c>
      <c r="M549" s="48">
        <f t="shared" si="61"/>
        <v>8183.52</v>
      </c>
      <c r="N549" s="48">
        <f t="shared" si="62"/>
        <v>100.44</v>
      </c>
      <c r="O549" s="50">
        <f t="shared" si="63"/>
        <v>8283.9599999999991</v>
      </c>
      <c r="P549" s="50">
        <v>0</v>
      </c>
      <c r="Q549" s="76"/>
      <c r="R549" s="140">
        <f>2*S9+2*S10</f>
        <v>18</v>
      </c>
      <c r="S549" s="79">
        <v>371.23</v>
      </c>
      <c r="T549" s="80">
        <v>4.5599999999999996</v>
      </c>
    </row>
    <row r="550" spans="2:20" ht="56">
      <c r="B550" s="5" t="s">
        <v>1312</v>
      </c>
      <c r="C550" s="45" t="s">
        <v>135</v>
      </c>
      <c r="D550" s="45">
        <v>86903</v>
      </c>
      <c r="E550" s="6" t="s">
        <v>1818</v>
      </c>
      <c r="F550" s="45" t="s">
        <v>210</v>
      </c>
      <c r="G550" s="46">
        <f t="shared" si="64"/>
        <v>14</v>
      </c>
      <c r="H550" s="46">
        <f>TRUNC(S550*(1-LOTE_03!$K$10),2)</f>
        <v>330.18</v>
      </c>
      <c r="I550" s="46">
        <f>TRUNC(T550*(1-LOTE_03!$K$10),2)</f>
        <v>42.69</v>
      </c>
      <c r="J550" s="100">
        <f t="shared" si="65"/>
        <v>0.22470000000000001</v>
      </c>
      <c r="K550" s="48">
        <f t="shared" si="59"/>
        <v>404.37</v>
      </c>
      <c r="L550" s="48">
        <f t="shared" si="60"/>
        <v>52.28</v>
      </c>
      <c r="M550" s="48">
        <f t="shared" si="61"/>
        <v>5661.18</v>
      </c>
      <c r="N550" s="48">
        <f t="shared" si="62"/>
        <v>731.92</v>
      </c>
      <c r="O550" s="50">
        <f t="shared" si="63"/>
        <v>6393.1</v>
      </c>
      <c r="P550" s="50">
        <v>0</v>
      </c>
      <c r="Q550" s="76"/>
      <c r="R550" s="140">
        <f>1*S9+2*S10</f>
        <v>14</v>
      </c>
      <c r="S550" s="79">
        <v>330.18</v>
      </c>
      <c r="T550" s="80">
        <v>42.69</v>
      </c>
    </row>
    <row r="551" spans="2:20" ht="98">
      <c r="B551" s="5" t="s">
        <v>1313</v>
      </c>
      <c r="C551" s="45" t="s">
        <v>97</v>
      </c>
      <c r="D551" s="45" t="s">
        <v>1314</v>
      </c>
      <c r="E551" s="6" t="s">
        <v>1315</v>
      </c>
      <c r="F551" s="45" t="s">
        <v>104</v>
      </c>
      <c r="G551" s="46">
        <f t="shared" si="64"/>
        <v>14</v>
      </c>
      <c r="H551" s="46">
        <f>TRUNC(S551*(1-LOTE_03!$K$10),2)</f>
        <v>793.52</v>
      </c>
      <c r="I551" s="46">
        <f>TRUNC(T551*(1-LOTE_03!$K$10),2)</f>
        <v>72.95</v>
      </c>
      <c r="J551" s="100">
        <f t="shared" si="65"/>
        <v>0.22470000000000001</v>
      </c>
      <c r="K551" s="48">
        <f t="shared" si="59"/>
        <v>971.82</v>
      </c>
      <c r="L551" s="48">
        <f t="shared" si="60"/>
        <v>89.34</v>
      </c>
      <c r="M551" s="48">
        <f t="shared" si="61"/>
        <v>13605.48</v>
      </c>
      <c r="N551" s="48">
        <f t="shared" si="62"/>
        <v>1250.76</v>
      </c>
      <c r="O551" s="50">
        <f t="shared" si="63"/>
        <v>14856.24</v>
      </c>
      <c r="P551" s="50">
        <v>0</v>
      </c>
      <c r="Q551" s="76"/>
      <c r="R551" s="140">
        <f>1*S9+2*S10</f>
        <v>14</v>
      </c>
      <c r="S551" s="79">
        <v>793.52</v>
      </c>
      <c r="T551" s="80">
        <v>72.95</v>
      </c>
    </row>
    <row r="552" spans="2:20" ht="56">
      <c r="B552" s="5" t="s">
        <v>1316</v>
      </c>
      <c r="C552" s="45" t="s">
        <v>135</v>
      </c>
      <c r="D552" s="45">
        <v>86904</v>
      </c>
      <c r="E552" s="6" t="s">
        <v>1819</v>
      </c>
      <c r="F552" s="45" t="s">
        <v>210</v>
      </c>
      <c r="G552" s="46">
        <f t="shared" si="64"/>
        <v>14</v>
      </c>
      <c r="H552" s="46">
        <f>TRUNC(S552*(1-LOTE_03!$K$10),2)</f>
        <v>144.69999999999999</v>
      </c>
      <c r="I552" s="46">
        <f>TRUNC(T552*(1-LOTE_03!$K$10),2)</f>
        <v>11.54</v>
      </c>
      <c r="J552" s="100">
        <f t="shared" si="65"/>
        <v>0.22470000000000001</v>
      </c>
      <c r="K552" s="48">
        <f t="shared" si="59"/>
        <v>177.21</v>
      </c>
      <c r="L552" s="48">
        <f t="shared" si="60"/>
        <v>14.13</v>
      </c>
      <c r="M552" s="48">
        <f t="shared" si="61"/>
        <v>2480.94</v>
      </c>
      <c r="N552" s="48">
        <f t="shared" si="62"/>
        <v>197.82</v>
      </c>
      <c r="O552" s="50">
        <f t="shared" si="63"/>
        <v>2678.76</v>
      </c>
      <c r="P552" s="50">
        <v>0</v>
      </c>
      <c r="Q552" s="76"/>
      <c r="R552" s="140">
        <f>1*S9+2*S10</f>
        <v>14</v>
      </c>
      <c r="S552" s="79">
        <v>144.70000000000002</v>
      </c>
      <c r="T552" s="80">
        <v>11.54</v>
      </c>
    </row>
    <row r="553" spans="2:20" ht="56">
      <c r="B553" s="5" t="s">
        <v>1317</v>
      </c>
      <c r="C553" s="45" t="s">
        <v>135</v>
      </c>
      <c r="D553" s="45">
        <v>100858</v>
      </c>
      <c r="E553" s="6" t="s">
        <v>1820</v>
      </c>
      <c r="F553" s="45" t="s">
        <v>210</v>
      </c>
      <c r="G553" s="46">
        <f t="shared" si="64"/>
        <v>14</v>
      </c>
      <c r="H553" s="46">
        <f>TRUNC(S553*(1-LOTE_03!$K$10),2)</f>
        <v>607.38</v>
      </c>
      <c r="I553" s="46">
        <f>TRUNC(T553*(1-LOTE_03!$K$10),2)</f>
        <v>26.89</v>
      </c>
      <c r="J553" s="100">
        <f t="shared" si="65"/>
        <v>0.22470000000000001</v>
      </c>
      <c r="K553" s="48">
        <f t="shared" si="59"/>
        <v>743.85</v>
      </c>
      <c r="L553" s="48">
        <f t="shared" si="60"/>
        <v>32.93</v>
      </c>
      <c r="M553" s="48">
        <f t="shared" si="61"/>
        <v>10413.9</v>
      </c>
      <c r="N553" s="48">
        <f t="shared" si="62"/>
        <v>461.02</v>
      </c>
      <c r="O553" s="50">
        <f t="shared" si="63"/>
        <v>10874.92</v>
      </c>
      <c r="P553" s="50">
        <v>0</v>
      </c>
      <c r="Q553" s="76"/>
      <c r="R553" s="140">
        <f>1*S9+2*S10</f>
        <v>14</v>
      </c>
      <c r="S553" s="79">
        <v>607.38</v>
      </c>
      <c r="T553" s="80">
        <v>26.89</v>
      </c>
    </row>
    <row r="554" spans="2:20" ht="28">
      <c r="B554" s="5" t="s">
        <v>1318</v>
      </c>
      <c r="C554" s="45" t="s">
        <v>165</v>
      </c>
      <c r="D554" s="45" t="s">
        <v>1319</v>
      </c>
      <c r="E554" s="6" t="s">
        <v>1320</v>
      </c>
      <c r="F554" s="45" t="s">
        <v>168</v>
      </c>
      <c r="G554" s="46">
        <f t="shared" si="64"/>
        <v>6.24</v>
      </c>
      <c r="H554" s="46">
        <f>TRUNC(S554*(1-LOTE_03!$K$10),2)</f>
        <v>583.54</v>
      </c>
      <c r="I554" s="46">
        <f>TRUNC(T554*(1-LOTE_03!$K$10),2)</f>
        <v>85.27</v>
      </c>
      <c r="J554" s="100">
        <f t="shared" si="65"/>
        <v>0.22470000000000001</v>
      </c>
      <c r="K554" s="48">
        <f t="shared" si="59"/>
        <v>714.66</v>
      </c>
      <c r="L554" s="48">
        <f t="shared" si="60"/>
        <v>104.43</v>
      </c>
      <c r="M554" s="48">
        <f t="shared" si="61"/>
        <v>4459.47</v>
      </c>
      <c r="N554" s="48">
        <f t="shared" si="62"/>
        <v>651.64</v>
      </c>
      <c r="O554" s="50">
        <f t="shared" si="63"/>
        <v>5111.1099999999997</v>
      </c>
      <c r="P554" s="50">
        <v>0</v>
      </c>
      <c r="Q554" s="76"/>
      <c r="R554" s="140">
        <f>0.4*0.6*4*S9+0.4*0.6*2*S10</f>
        <v>6.24</v>
      </c>
      <c r="S554" s="79">
        <v>583.54</v>
      </c>
      <c r="T554" s="80">
        <v>85.27</v>
      </c>
    </row>
    <row r="555" spans="2:20" ht="42">
      <c r="B555" s="5" t="s">
        <v>1321</v>
      </c>
      <c r="C555" s="45" t="s">
        <v>135</v>
      </c>
      <c r="D555" s="45">
        <v>95544</v>
      </c>
      <c r="E555" s="6" t="s">
        <v>1821</v>
      </c>
      <c r="F555" s="45" t="s">
        <v>210</v>
      </c>
      <c r="G555" s="46">
        <f t="shared" si="64"/>
        <v>18</v>
      </c>
      <c r="H555" s="46">
        <f>TRUNC(S555*(1-LOTE_03!$K$10),2)</f>
        <v>38.25</v>
      </c>
      <c r="I555" s="46">
        <f>TRUNC(T555*(1-LOTE_03!$K$10),2)</f>
        <v>8.6300000000000008</v>
      </c>
      <c r="J555" s="100">
        <f t="shared" si="65"/>
        <v>0.22470000000000001</v>
      </c>
      <c r="K555" s="48">
        <f t="shared" si="59"/>
        <v>46.84</v>
      </c>
      <c r="L555" s="48">
        <f t="shared" si="60"/>
        <v>10.56</v>
      </c>
      <c r="M555" s="48">
        <f t="shared" si="61"/>
        <v>843.12</v>
      </c>
      <c r="N555" s="48">
        <f t="shared" si="62"/>
        <v>190.08</v>
      </c>
      <c r="O555" s="50">
        <f t="shared" si="63"/>
        <v>1033.2</v>
      </c>
      <c r="P555" s="50">
        <v>0</v>
      </c>
      <c r="Q555" s="76"/>
      <c r="R555" s="140">
        <f>2*S9+2*S10</f>
        <v>18</v>
      </c>
      <c r="S555" s="79">
        <v>38.25</v>
      </c>
      <c r="T555" s="80">
        <v>8.6300000000000008</v>
      </c>
    </row>
    <row r="556" spans="2:20" ht="28">
      <c r="B556" s="5" t="s">
        <v>1322</v>
      </c>
      <c r="C556" s="45" t="s">
        <v>97</v>
      </c>
      <c r="D556" s="45" t="s">
        <v>1323</v>
      </c>
      <c r="E556" s="6" t="s">
        <v>1324</v>
      </c>
      <c r="F556" s="45" t="s">
        <v>104</v>
      </c>
      <c r="G556" s="46">
        <f t="shared" si="64"/>
        <v>18</v>
      </c>
      <c r="H556" s="46">
        <f>TRUNC(S556*(1-LOTE_03!$K$10),2)</f>
        <v>43.51</v>
      </c>
      <c r="I556" s="46">
        <f>TRUNC(T556*(1-LOTE_03!$K$10),2)</f>
        <v>4.38</v>
      </c>
      <c r="J556" s="100">
        <f t="shared" si="65"/>
        <v>0.22470000000000001</v>
      </c>
      <c r="K556" s="48">
        <f t="shared" si="59"/>
        <v>53.28</v>
      </c>
      <c r="L556" s="48">
        <f t="shared" si="60"/>
        <v>5.36</v>
      </c>
      <c r="M556" s="48">
        <f t="shared" si="61"/>
        <v>959.04</v>
      </c>
      <c r="N556" s="48">
        <f t="shared" si="62"/>
        <v>96.48</v>
      </c>
      <c r="O556" s="50">
        <f t="shared" si="63"/>
        <v>1055.52</v>
      </c>
      <c r="P556" s="50">
        <v>0</v>
      </c>
      <c r="Q556" s="76"/>
      <c r="R556" s="140">
        <f>2*S9+2*S10</f>
        <v>18</v>
      </c>
      <c r="S556" s="79">
        <v>43.51</v>
      </c>
      <c r="T556" s="80">
        <v>4.38</v>
      </c>
    </row>
    <row r="557" spans="2:20" ht="42">
      <c r="B557" s="5" t="s">
        <v>1325</v>
      </c>
      <c r="C557" s="45" t="s">
        <v>97</v>
      </c>
      <c r="D557" s="45" t="s">
        <v>1326</v>
      </c>
      <c r="E557" s="6" t="s">
        <v>1327</v>
      </c>
      <c r="F557" s="45" t="s">
        <v>104</v>
      </c>
      <c r="G557" s="46">
        <f t="shared" si="64"/>
        <v>18</v>
      </c>
      <c r="H557" s="46">
        <f>TRUNC(S557*(1-LOTE_03!$K$10),2)</f>
        <v>43.51</v>
      </c>
      <c r="I557" s="46">
        <f>TRUNC(T557*(1-LOTE_03!$K$10),2)</f>
        <v>4.38</v>
      </c>
      <c r="J557" s="100">
        <f t="shared" si="65"/>
        <v>0.22470000000000001</v>
      </c>
      <c r="K557" s="48">
        <f t="shared" si="59"/>
        <v>53.28</v>
      </c>
      <c r="L557" s="48">
        <f t="shared" si="60"/>
        <v>5.36</v>
      </c>
      <c r="M557" s="48">
        <f t="shared" si="61"/>
        <v>959.04</v>
      </c>
      <c r="N557" s="48">
        <f t="shared" si="62"/>
        <v>96.48</v>
      </c>
      <c r="O557" s="50">
        <f t="shared" si="63"/>
        <v>1055.52</v>
      </c>
      <c r="P557" s="50">
        <v>0</v>
      </c>
      <c r="Q557" s="76"/>
      <c r="R557" s="140">
        <f>2*S9+2*S10</f>
        <v>18</v>
      </c>
      <c r="S557" s="79">
        <v>43.51</v>
      </c>
      <c r="T557" s="80">
        <v>4.38</v>
      </c>
    </row>
    <row r="558" spans="2:20" ht="56">
      <c r="B558" s="5" t="s">
        <v>1328</v>
      </c>
      <c r="C558" s="45" t="s">
        <v>135</v>
      </c>
      <c r="D558" s="45">
        <v>95547</v>
      </c>
      <c r="E558" s="6" t="s">
        <v>1822</v>
      </c>
      <c r="F558" s="45" t="s">
        <v>210</v>
      </c>
      <c r="G558" s="46">
        <f t="shared" si="64"/>
        <v>18</v>
      </c>
      <c r="H558" s="46">
        <f>TRUNC(S558*(1-LOTE_03!$K$10),2)</f>
        <v>46.53</v>
      </c>
      <c r="I558" s="46">
        <f>TRUNC(T558*(1-LOTE_03!$K$10),2)</f>
        <v>7.45</v>
      </c>
      <c r="J558" s="100">
        <f t="shared" si="65"/>
        <v>0.22470000000000001</v>
      </c>
      <c r="K558" s="48">
        <f t="shared" si="59"/>
        <v>56.98</v>
      </c>
      <c r="L558" s="48">
        <f t="shared" si="60"/>
        <v>9.1199999999999992</v>
      </c>
      <c r="M558" s="48">
        <f t="shared" si="61"/>
        <v>1025.6400000000001</v>
      </c>
      <c r="N558" s="48">
        <f t="shared" si="62"/>
        <v>164.16</v>
      </c>
      <c r="O558" s="50">
        <f t="shared" si="63"/>
        <v>1189.8</v>
      </c>
      <c r="P558" s="50">
        <v>0</v>
      </c>
      <c r="Q558" s="76"/>
      <c r="R558" s="140">
        <f>2*S9+2*S10</f>
        <v>18</v>
      </c>
      <c r="S558" s="79">
        <v>46.529999999999994</v>
      </c>
      <c r="T558" s="80">
        <v>7.45</v>
      </c>
    </row>
    <row r="559" spans="2:20" ht="42">
      <c r="B559" s="5" t="s">
        <v>1329</v>
      </c>
      <c r="C559" s="45" t="s">
        <v>135</v>
      </c>
      <c r="D559" s="45">
        <v>95545</v>
      </c>
      <c r="E559" s="6" t="s">
        <v>1823</v>
      </c>
      <c r="F559" s="45" t="s">
        <v>210</v>
      </c>
      <c r="G559" s="46">
        <f t="shared" si="64"/>
        <v>18</v>
      </c>
      <c r="H559" s="46">
        <f>TRUNC(S559*(1-LOTE_03!$K$10),2)</f>
        <v>37.43</v>
      </c>
      <c r="I559" s="46">
        <f>TRUNC(T559*(1-LOTE_03!$K$10),2)</f>
        <v>8.65</v>
      </c>
      <c r="J559" s="100">
        <f t="shared" si="65"/>
        <v>0.22470000000000001</v>
      </c>
      <c r="K559" s="48">
        <f t="shared" si="59"/>
        <v>45.84</v>
      </c>
      <c r="L559" s="48">
        <f t="shared" si="60"/>
        <v>10.59</v>
      </c>
      <c r="M559" s="48">
        <f t="shared" si="61"/>
        <v>825.12</v>
      </c>
      <c r="N559" s="48">
        <f t="shared" si="62"/>
        <v>190.62</v>
      </c>
      <c r="O559" s="50">
        <f t="shared" si="63"/>
        <v>1015.74</v>
      </c>
      <c r="P559" s="50">
        <v>0</v>
      </c>
      <c r="Q559" s="76"/>
      <c r="R559" s="140">
        <f>2*S9+2*S10</f>
        <v>18</v>
      </c>
      <c r="S559" s="79">
        <v>37.43</v>
      </c>
      <c r="T559" s="80">
        <v>8.65</v>
      </c>
    </row>
    <row r="560" spans="2:20" ht="28">
      <c r="B560" s="5" t="s">
        <v>1330</v>
      </c>
      <c r="C560" s="45" t="s">
        <v>165</v>
      </c>
      <c r="D560" s="45" t="s">
        <v>1331</v>
      </c>
      <c r="E560" s="6" t="s">
        <v>1332</v>
      </c>
      <c r="F560" s="45" t="s">
        <v>559</v>
      </c>
      <c r="G560" s="46">
        <f t="shared" si="64"/>
        <v>18</v>
      </c>
      <c r="H560" s="46">
        <f>TRUNC(S560*(1-LOTE_03!$K$10),2)</f>
        <v>418.56</v>
      </c>
      <c r="I560" s="46">
        <f>TRUNC(T560*(1-LOTE_03!$K$10),2)</f>
        <v>17.989999999999998</v>
      </c>
      <c r="J560" s="100">
        <f t="shared" si="65"/>
        <v>0.22470000000000001</v>
      </c>
      <c r="K560" s="48">
        <f t="shared" si="59"/>
        <v>512.61</v>
      </c>
      <c r="L560" s="48">
        <f t="shared" si="60"/>
        <v>22.03</v>
      </c>
      <c r="M560" s="48">
        <f t="shared" si="61"/>
        <v>9226.98</v>
      </c>
      <c r="N560" s="48">
        <f t="shared" si="62"/>
        <v>396.54</v>
      </c>
      <c r="O560" s="50">
        <f t="shared" si="63"/>
        <v>9623.52</v>
      </c>
      <c r="P560" s="50">
        <v>0</v>
      </c>
      <c r="Q560" s="76"/>
      <c r="R560" s="140">
        <f>2*S9+2*S10</f>
        <v>18</v>
      </c>
      <c r="S560" s="79">
        <v>418.56</v>
      </c>
      <c r="T560" s="80">
        <v>17.989999999999998</v>
      </c>
    </row>
    <row r="561" spans="2:20" ht="42">
      <c r="B561" s="5" t="s">
        <v>1333</v>
      </c>
      <c r="C561" s="45" t="s">
        <v>97</v>
      </c>
      <c r="D561" s="45" t="s">
        <v>1354</v>
      </c>
      <c r="E561" s="6" t="s">
        <v>1355</v>
      </c>
      <c r="F561" s="45" t="s">
        <v>104</v>
      </c>
      <c r="G561" s="46">
        <f t="shared" si="64"/>
        <v>18</v>
      </c>
      <c r="H561" s="46">
        <f>TRUNC(S561*(1-LOTE_03!$K$10),2)</f>
        <v>46.88</v>
      </c>
      <c r="I561" s="46">
        <f>TRUNC(T561*(1-LOTE_03!$K$10),2)</f>
        <v>12.5</v>
      </c>
      <c r="J561" s="100">
        <f t="shared" si="65"/>
        <v>0.22470000000000001</v>
      </c>
      <c r="K561" s="48">
        <f t="shared" si="59"/>
        <v>57.41</v>
      </c>
      <c r="L561" s="48">
        <f t="shared" si="60"/>
        <v>15.3</v>
      </c>
      <c r="M561" s="48">
        <f t="shared" si="61"/>
        <v>1033.3800000000001</v>
      </c>
      <c r="N561" s="48">
        <f t="shared" si="62"/>
        <v>275.39999999999998</v>
      </c>
      <c r="O561" s="50">
        <f t="shared" si="63"/>
        <v>1308.78</v>
      </c>
      <c r="P561" s="50">
        <v>0</v>
      </c>
      <c r="Q561" s="76"/>
      <c r="R561" s="140">
        <f>2*S9+2*S10</f>
        <v>18</v>
      </c>
      <c r="S561" s="79">
        <v>46.88</v>
      </c>
      <c r="T561" s="80">
        <v>12.5</v>
      </c>
    </row>
    <row r="562" spans="2:20" ht="42">
      <c r="B562" s="5" t="s">
        <v>1334</v>
      </c>
      <c r="C562" s="45" t="s">
        <v>135</v>
      </c>
      <c r="D562" s="45">
        <v>95546</v>
      </c>
      <c r="E562" s="6" t="s">
        <v>1824</v>
      </c>
      <c r="F562" s="45" t="s">
        <v>210</v>
      </c>
      <c r="G562" s="46">
        <f t="shared" si="64"/>
        <v>18</v>
      </c>
      <c r="H562" s="46">
        <f>TRUNC(S562*(1-LOTE_03!$K$10),2)</f>
        <v>116.02</v>
      </c>
      <c r="I562" s="46">
        <f>TRUNC(T562*(1-LOTE_03!$K$10),2)</f>
        <v>56.24</v>
      </c>
      <c r="J562" s="100">
        <f t="shared" si="65"/>
        <v>0.22470000000000001</v>
      </c>
      <c r="K562" s="48">
        <f t="shared" si="59"/>
        <v>142.08000000000001</v>
      </c>
      <c r="L562" s="48">
        <f t="shared" si="60"/>
        <v>68.87</v>
      </c>
      <c r="M562" s="48">
        <f t="shared" si="61"/>
        <v>2557.44</v>
      </c>
      <c r="N562" s="48">
        <f t="shared" si="62"/>
        <v>1239.6600000000001</v>
      </c>
      <c r="O562" s="50">
        <f t="shared" si="63"/>
        <v>3797.1</v>
      </c>
      <c r="P562" s="50">
        <v>0</v>
      </c>
      <c r="Q562" s="76"/>
      <c r="R562" s="140">
        <f>2*S9+2*S10</f>
        <v>18</v>
      </c>
      <c r="S562" s="79">
        <v>116.01999999999998</v>
      </c>
      <c r="T562" s="80">
        <v>56.24</v>
      </c>
    </row>
    <row r="563" spans="2:20" ht="42">
      <c r="B563" s="5" t="s">
        <v>1335</v>
      </c>
      <c r="C563" s="45" t="s">
        <v>97</v>
      </c>
      <c r="D563" s="45" t="s">
        <v>1336</v>
      </c>
      <c r="E563" s="6" t="s">
        <v>1337</v>
      </c>
      <c r="F563" s="45" t="s">
        <v>104</v>
      </c>
      <c r="G563" s="46">
        <f t="shared" si="64"/>
        <v>18</v>
      </c>
      <c r="H563" s="46">
        <f>TRUNC(S563*(1-LOTE_03!$K$10),2)</f>
        <v>68.91</v>
      </c>
      <c r="I563" s="46">
        <f>TRUNC(T563*(1-LOTE_03!$K$10),2)</f>
        <v>4.38</v>
      </c>
      <c r="J563" s="100">
        <f t="shared" si="65"/>
        <v>0.22470000000000001</v>
      </c>
      <c r="K563" s="48">
        <f t="shared" si="59"/>
        <v>84.39</v>
      </c>
      <c r="L563" s="48">
        <f t="shared" si="60"/>
        <v>5.36</v>
      </c>
      <c r="M563" s="48">
        <f t="shared" si="61"/>
        <v>1519.02</v>
      </c>
      <c r="N563" s="48">
        <f t="shared" si="62"/>
        <v>96.48</v>
      </c>
      <c r="O563" s="50">
        <f t="shared" si="63"/>
        <v>1615.5</v>
      </c>
      <c r="P563" s="50">
        <v>0</v>
      </c>
      <c r="Q563" s="76"/>
      <c r="R563" s="140">
        <f>2*S9+2*S10</f>
        <v>18</v>
      </c>
      <c r="S563" s="79">
        <v>68.91</v>
      </c>
      <c r="T563" s="80">
        <v>4.38</v>
      </c>
    </row>
    <row r="564" spans="2:20" ht="28">
      <c r="B564" s="5" t="s">
        <v>1338</v>
      </c>
      <c r="C564" s="45" t="s">
        <v>97</v>
      </c>
      <c r="D564" s="45" t="s">
        <v>1339</v>
      </c>
      <c r="E564" s="6" t="s">
        <v>1340</v>
      </c>
      <c r="F564" s="45" t="s">
        <v>104</v>
      </c>
      <c r="G564" s="46">
        <f t="shared" si="64"/>
        <v>18</v>
      </c>
      <c r="H564" s="46">
        <f>TRUNC(S564*(1-LOTE_03!$K$10),2)</f>
        <v>24.07</v>
      </c>
      <c r="I564" s="46">
        <f>TRUNC(T564*(1-LOTE_03!$K$10),2)</f>
        <v>4.38</v>
      </c>
      <c r="J564" s="100">
        <f t="shared" si="65"/>
        <v>0.22470000000000001</v>
      </c>
      <c r="K564" s="48">
        <f t="shared" si="59"/>
        <v>29.47</v>
      </c>
      <c r="L564" s="48">
        <f t="shared" si="60"/>
        <v>5.36</v>
      </c>
      <c r="M564" s="48">
        <f t="shared" si="61"/>
        <v>530.46</v>
      </c>
      <c r="N564" s="48">
        <f t="shared" si="62"/>
        <v>96.48</v>
      </c>
      <c r="O564" s="50">
        <f t="shared" si="63"/>
        <v>626.94000000000005</v>
      </c>
      <c r="P564" s="50">
        <v>0</v>
      </c>
      <c r="Q564" s="76"/>
      <c r="R564" s="140">
        <f>2*S9+2*S10</f>
        <v>18</v>
      </c>
      <c r="S564" s="79">
        <v>24.07</v>
      </c>
      <c r="T564" s="80">
        <v>4.38</v>
      </c>
    </row>
    <row r="565" spans="2:20" ht="28">
      <c r="B565" s="5" t="s">
        <v>1341</v>
      </c>
      <c r="C565" s="45" t="s">
        <v>97</v>
      </c>
      <c r="D565" s="45" t="s">
        <v>1342</v>
      </c>
      <c r="E565" s="6" t="s">
        <v>1343</v>
      </c>
      <c r="F565" s="45" t="s">
        <v>104</v>
      </c>
      <c r="G565" s="46">
        <f t="shared" si="64"/>
        <v>14</v>
      </c>
      <c r="H565" s="46">
        <f>TRUNC(S565*(1-LOTE_03!$K$10),2)</f>
        <v>90.31</v>
      </c>
      <c r="I565" s="46">
        <f>TRUNC(T565*(1-LOTE_03!$K$10),2)</f>
        <v>13.26</v>
      </c>
      <c r="J565" s="100">
        <f t="shared" si="65"/>
        <v>0.22470000000000001</v>
      </c>
      <c r="K565" s="48">
        <f t="shared" si="59"/>
        <v>110.6</v>
      </c>
      <c r="L565" s="48">
        <f t="shared" si="60"/>
        <v>16.23</v>
      </c>
      <c r="M565" s="48">
        <f t="shared" si="61"/>
        <v>1548.4</v>
      </c>
      <c r="N565" s="48">
        <f t="shared" si="62"/>
        <v>227.22</v>
      </c>
      <c r="O565" s="50">
        <f t="shared" si="63"/>
        <v>1775.62</v>
      </c>
      <c r="P565" s="50">
        <v>0</v>
      </c>
      <c r="Q565" s="76"/>
      <c r="R565" s="140">
        <f>1*S9+2*S10</f>
        <v>14</v>
      </c>
      <c r="S565" s="79">
        <v>90.31</v>
      </c>
      <c r="T565" s="80">
        <v>13.26</v>
      </c>
    </row>
    <row r="566" spans="2:20" ht="70">
      <c r="B566" s="5" t="s">
        <v>1344</v>
      </c>
      <c r="C566" s="45" t="s">
        <v>135</v>
      </c>
      <c r="D566" s="45">
        <v>86909</v>
      </c>
      <c r="E566" s="6" t="s">
        <v>1825</v>
      </c>
      <c r="F566" s="45" t="s">
        <v>210</v>
      </c>
      <c r="G566" s="46">
        <f t="shared" si="64"/>
        <v>9</v>
      </c>
      <c r="H566" s="46">
        <f>TRUNC(S566*(1-LOTE_03!$K$10),2)</f>
        <v>152.38</v>
      </c>
      <c r="I566" s="46">
        <f>TRUNC(T566*(1-LOTE_03!$K$10),2)</f>
        <v>4.1900000000000004</v>
      </c>
      <c r="J566" s="100">
        <f t="shared" si="65"/>
        <v>0.22470000000000001</v>
      </c>
      <c r="K566" s="48">
        <f t="shared" si="59"/>
        <v>186.61</v>
      </c>
      <c r="L566" s="48">
        <f t="shared" si="60"/>
        <v>5.13</v>
      </c>
      <c r="M566" s="48">
        <f t="shared" si="61"/>
        <v>1679.49</v>
      </c>
      <c r="N566" s="48">
        <f t="shared" si="62"/>
        <v>46.17</v>
      </c>
      <c r="O566" s="50">
        <f t="shared" si="63"/>
        <v>1725.66</v>
      </c>
      <c r="P566" s="50">
        <v>0</v>
      </c>
      <c r="Q566" s="76"/>
      <c r="R566" s="140">
        <f>1*S9+1*S10</f>
        <v>9</v>
      </c>
      <c r="S566" s="79">
        <v>152.38</v>
      </c>
      <c r="T566" s="80">
        <v>4.1900000000000004</v>
      </c>
    </row>
    <row r="567" spans="2:20" ht="70">
      <c r="B567" s="5" t="s">
        <v>1345</v>
      </c>
      <c r="C567" s="45" t="s">
        <v>135</v>
      </c>
      <c r="D567" s="45">
        <v>86910</v>
      </c>
      <c r="E567" s="6" t="s">
        <v>1826</v>
      </c>
      <c r="F567" s="45" t="s">
        <v>210</v>
      </c>
      <c r="G567" s="46">
        <f t="shared" si="64"/>
        <v>9</v>
      </c>
      <c r="H567" s="46">
        <f>TRUNC(S567*(1-LOTE_03!$K$10),2)</f>
        <v>151.13</v>
      </c>
      <c r="I567" s="46">
        <f>TRUNC(T567*(1-LOTE_03!$K$10),2)</f>
        <v>2.92</v>
      </c>
      <c r="J567" s="100">
        <f t="shared" si="65"/>
        <v>0.22470000000000001</v>
      </c>
      <c r="K567" s="48">
        <f t="shared" si="59"/>
        <v>185.08</v>
      </c>
      <c r="L567" s="48">
        <f t="shared" si="60"/>
        <v>3.57</v>
      </c>
      <c r="M567" s="48">
        <f t="shared" si="61"/>
        <v>1665.72</v>
      </c>
      <c r="N567" s="48">
        <f t="shared" si="62"/>
        <v>32.130000000000003</v>
      </c>
      <c r="O567" s="50">
        <f t="shared" si="63"/>
        <v>1697.85</v>
      </c>
      <c r="P567" s="50">
        <v>0</v>
      </c>
      <c r="Q567" s="76"/>
      <c r="R567" s="140">
        <f>1*S9+1*S10</f>
        <v>9</v>
      </c>
      <c r="S567" s="79">
        <v>151.13000000000002</v>
      </c>
      <c r="T567" s="80">
        <v>2.92</v>
      </c>
    </row>
    <row r="568" spans="2:20" ht="42">
      <c r="B568" s="5" t="s">
        <v>1346</v>
      </c>
      <c r="C568" s="45" t="s">
        <v>135</v>
      </c>
      <c r="D568" s="45">
        <v>100853</v>
      </c>
      <c r="E568" s="6" t="s">
        <v>1827</v>
      </c>
      <c r="F568" s="45" t="s">
        <v>210</v>
      </c>
      <c r="G568" s="46">
        <f t="shared" si="64"/>
        <v>9</v>
      </c>
      <c r="H568" s="46">
        <f>TRUNC(S568*(1-LOTE_03!$K$10),2)</f>
        <v>402.52</v>
      </c>
      <c r="I568" s="46">
        <f>TRUNC(T568*(1-LOTE_03!$K$10),2)</f>
        <v>11.68</v>
      </c>
      <c r="J568" s="100">
        <f t="shared" si="65"/>
        <v>0.22470000000000001</v>
      </c>
      <c r="K568" s="48">
        <f t="shared" si="59"/>
        <v>492.96</v>
      </c>
      <c r="L568" s="48">
        <f t="shared" si="60"/>
        <v>14.3</v>
      </c>
      <c r="M568" s="48">
        <f t="shared" si="61"/>
        <v>4436.6400000000003</v>
      </c>
      <c r="N568" s="48">
        <f t="shared" si="62"/>
        <v>128.69999999999999</v>
      </c>
      <c r="O568" s="50">
        <f t="shared" si="63"/>
        <v>4565.34</v>
      </c>
      <c r="P568" s="50">
        <v>0</v>
      </c>
      <c r="Q568" s="76"/>
      <c r="R568" s="140">
        <f>1*S9+1*S10</f>
        <v>9</v>
      </c>
      <c r="S568" s="79">
        <v>402.52</v>
      </c>
      <c r="T568" s="80">
        <v>11.68</v>
      </c>
    </row>
    <row r="569" spans="2:20" ht="70">
      <c r="B569" s="5" t="s">
        <v>1347</v>
      </c>
      <c r="C569" s="45" t="s">
        <v>97</v>
      </c>
      <c r="D569" s="45" t="s">
        <v>1348</v>
      </c>
      <c r="E569" s="6" t="s">
        <v>1349</v>
      </c>
      <c r="F569" s="45" t="s">
        <v>104</v>
      </c>
      <c r="G569" s="46">
        <f t="shared" si="64"/>
        <v>14</v>
      </c>
      <c r="H569" s="46">
        <f>TRUNC(S569*(1-LOTE_03!$K$10),2)</f>
        <v>208.88</v>
      </c>
      <c r="I569" s="46">
        <f>TRUNC(T569*(1-LOTE_03!$K$10),2)</f>
        <v>2.98</v>
      </c>
      <c r="J569" s="100">
        <f t="shared" si="65"/>
        <v>0.22470000000000001</v>
      </c>
      <c r="K569" s="48">
        <f t="shared" si="59"/>
        <v>255.81</v>
      </c>
      <c r="L569" s="48">
        <f t="shared" si="60"/>
        <v>3.64</v>
      </c>
      <c r="M569" s="48">
        <f t="shared" si="61"/>
        <v>3581.34</v>
      </c>
      <c r="N569" s="48">
        <f t="shared" si="62"/>
        <v>50.96</v>
      </c>
      <c r="O569" s="50">
        <f t="shared" si="63"/>
        <v>3632.3</v>
      </c>
      <c r="P569" s="50">
        <v>0</v>
      </c>
      <c r="Q569" s="76"/>
      <c r="R569" s="140">
        <f>1*S9+2*S10</f>
        <v>14</v>
      </c>
      <c r="S569" s="79">
        <v>208.88</v>
      </c>
      <c r="T569" s="80">
        <v>2.98</v>
      </c>
    </row>
    <row r="570" spans="2:20" ht="42">
      <c r="B570" s="5" t="s">
        <v>1350</v>
      </c>
      <c r="C570" s="45" t="s">
        <v>165</v>
      </c>
      <c r="D570" s="45" t="s">
        <v>1351</v>
      </c>
      <c r="E570" s="6" t="s">
        <v>1352</v>
      </c>
      <c r="F570" s="45" t="s">
        <v>559</v>
      </c>
      <c r="G570" s="46">
        <f t="shared" si="64"/>
        <v>18</v>
      </c>
      <c r="H570" s="46">
        <f>TRUNC(S570*(1-LOTE_03!$K$10),2)</f>
        <v>344.34</v>
      </c>
      <c r="I570" s="46">
        <f>TRUNC(T570*(1-LOTE_03!$K$10),2)</f>
        <v>71.97</v>
      </c>
      <c r="J570" s="100">
        <f t="shared" si="65"/>
        <v>0.22470000000000001</v>
      </c>
      <c r="K570" s="48">
        <f t="shared" si="59"/>
        <v>421.71</v>
      </c>
      <c r="L570" s="48">
        <f t="shared" si="60"/>
        <v>88.14</v>
      </c>
      <c r="M570" s="48">
        <f t="shared" si="61"/>
        <v>7590.78</v>
      </c>
      <c r="N570" s="48">
        <f t="shared" si="62"/>
        <v>1586.52</v>
      </c>
      <c r="O570" s="50">
        <f t="shared" si="63"/>
        <v>9177.2999999999993</v>
      </c>
      <c r="P570" s="50">
        <v>0</v>
      </c>
      <c r="Q570" s="76"/>
      <c r="R570" s="140">
        <f>2*S9+2*S10</f>
        <v>18</v>
      </c>
      <c r="S570" s="79">
        <v>344.34</v>
      </c>
      <c r="T570" s="80">
        <v>71.97</v>
      </c>
    </row>
    <row r="571" spans="2:20" ht="42">
      <c r="B571" s="5" t="s">
        <v>1353</v>
      </c>
      <c r="C571" s="45" t="s">
        <v>97</v>
      </c>
      <c r="D571" s="45" t="s">
        <v>1354</v>
      </c>
      <c r="E571" s="6" t="s">
        <v>1355</v>
      </c>
      <c r="F571" s="45" t="s">
        <v>104</v>
      </c>
      <c r="G571" s="46">
        <f t="shared" si="64"/>
        <v>14</v>
      </c>
      <c r="H571" s="46">
        <f>TRUNC(S571*(1-LOTE_03!$K$10),2)</f>
        <v>46.88</v>
      </c>
      <c r="I571" s="46">
        <f>TRUNC(T571*(1-LOTE_03!$K$10),2)</f>
        <v>12.5</v>
      </c>
      <c r="J571" s="100">
        <f t="shared" si="65"/>
        <v>0.22470000000000001</v>
      </c>
      <c r="K571" s="48">
        <f t="shared" si="59"/>
        <v>57.41</v>
      </c>
      <c r="L571" s="48">
        <f t="shared" si="60"/>
        <v>15.3</v>
      </c>
      <c r="M571" s="48">
        <f t="shared" si="61"/>
        <v>803.74</v>
      </c>
      <c r="N571" s="48">
        <f t="shared" si="62"/>
        <v>214.2</v>
      </c>
      <c r="O571" s="50">
        <f t="shared" si="63"/>
        <v>1017.94</v>
      </c>
      <c r="P571" s="50">
        <v>0</v>
      </c>
      <c r="Q571" s="76"/>
      <c r="R571" s="140">
        <f>1*S9+2*S10</f>
        <v>14</v>
      </c>
      <c r="S571" s="79">
        <v>46.88</v>
      </c>
      <c r="T571" s="80">
        <v>12.5</v>
      </c>
    </row>
    <row r="572" spans="2:20" ht="56">
      <c r="B572" s="5" t="s">
        <v>1356</v>
      </c>
      <c r="C572" s="45" t="s">
        <v>135</v>
      </c>
      <c r="D572" s="45">
        <v>86877</v>
      </c>
      <c r="E572" s="6" t="s">
        <v>1828</v>
      </c>
      <c r="F572" s="45" t="s">
        <v>210</v>
      </c>
      <c r="G572" s="46">
        <f t="shared" si="64"/>
        <v>9</v>
      </c>
      <c r="H572" s="46">
        <f>TRUNC(S572*(1-LOTE_03!$K$10),2)</f>
        <v>66.72</v>
      </c>
      <c r="I572" s="46">
        <f>TRUNC(T572*(1-LOTE_03!$K$10),2)</f>
        <v>5.09</v>
      </c>
      <c r="J572" s="100">
        <f t="shared" si="65"/>
        <v>0.22470000000000001</v>
      </c>
      <c r="K572" s="48">
        <f t="shared" si="59"/>
        <v>81.709999999999994</v>
      </c>
      <c r="L572" s="48">
        <f t="shared" si="60"/>
        <v>6.23</v>
      </c>
      <c r="M572" s="48">
        <f t="shared" si="61"/>
        <v>735.39</v>
      </c>
      <c r="N572" s="48">
        <f t="shared" si="62"/>
        <v>56.07</v>
      </c>
      <c r="O572" s="50">
        <f t="shared" si="63"/>
        <v>791.46</v>
      </c>
      <c r="P572" s="50">
        <v>0</v>
      </c>
      <c r="Q572" s="76"/>
      <c r="R572" s="140">
        <f>IF((1*S9+1*S10)&gt;10,10,(1*S9+1*S10))</f>
        <v>9</v>
      </c>
      <c r="S572" s="79">
        <v>66.72</v>
      </c>
      <c r="T572" s="80">
        <v>5.09</v>
      </c>
    </row>
    <row r="573" spans="2:20" ht="56">
      <c r="B573" s="5" t="s">
        <v>1357</v>
      </c>
      <c r="C573" s="45" t="s">
        <v>135</v>
      </c>
      <c r="D573" s="45">
        <v>86878</v>
      </c>
      <c r="E573" s="6" t="s">
        <v>1829</v>
      </c>
      <c r="F573" s="45" t="s">
        <v>210</v>
      </c>
      <c r="G573" s="46">
        <f t="shared" si="64"/>
        <v>9</v>
      </c>
      <c r="H573" s="46">
        <f>TRUNC(S573*(1-LOTE_03!$K$10),2)</f>
        <v>72.260000000000005</v>
      </c>
      <c r="I573" s="46">
        <f>TRUNC(T573*(1-LOTE_03!$K$10),2)</f>
        <v>5.09</v>
      </c>
      <c r="J573" s="100">
        <f t="shared" si="65"/>
        <v>0.22470000000000001</v>
      </c>
      <c r="K573" s="48">
        <f t="shared" si="59"/>
        <v>88.49</v>
      </c>
      <c r="L573" s="48">
        <f t="shared" si="60"/>
        <v>6.23</v>
      </c>
      <c r="M573" s="48">
        <f t="shared" si="61"/>
        <v>796.41</v>
      </c>
      <c r="N573" s="48">
        <f t="shared" si="62"/>
        <v>56.07</v>
      </c>
      <c r="O573" s="50">
        <f t="shared" si="63"/>
        <v>852.48</v>
      </c>
      <c r="P573" s="50">
        <v>0</v>
      </c>
      <c r="Q573" s="76"/>
      <c r="R573" s="140">
        <f>IF((1*S9+1*S10)&gt;10,10,(1*S9+1*S10))</f>
        <v>9</v>
      </c>
      <c r="S573" s="79">
        <v>72.259999999999991</v>
      </c>
      <c r="T573" s="80">
        <v>5.09</v>
      </c>
    </row>
    <row r="574" spans="2:20" ht="42">
      <c r="B574" s="5" t="s">
        <v>1358</v>
      </c>
      <c r="C574" s="45" t="s">
        <v>135</v>
      </c>
      <c r="D574" s="45">
        <v>86886</v>
      </c>
      <c r="E574" s="6" t="s">
        <v>1816</v>
      </c>
      <c r="F574" s="45" t="s">
        <v>210</v>
      </c>
      <c r="G574" s="46">
        <f t="shared" si="64"/>
        <v>18</v>
      </c>
      <c r="H574" s="46">
        <f>TRUNC(S574*(1-LOTE_03!$K$10),2)</f>
        <v>48.77</v>
      </c>
      <c r="I574" s="46">
        <f>TRUNC(T574*(1-LOTE_03!$K$10),2)</f>
        <v>4.46</v>
      </c>
      <c r="J574" s="100">
        <f t="shared" si="65"/>
        <v>0.22470000000000001</v>
      </c>
      <c r="K574" s="48">
        <f t="shared" si="59"/>
        <v>59.72</v>
      </c>
      <c r="L574" s="48">
        <f t="shared" si="60"/>
        <v>5.46</v>
      </c>
      <c r="M574" s="48">
        <f t="shared" si="61"/>
        <v>1074.96</v>
      </c>
      <c r="N574" s="48">
        <f t="shared" si="62"/>
        <v>98.28</v>
      </c>
      <c r="O574" s="50">
        <f t="shared" si="63"/>
        <v>1173.24</v>
      </c>
      <c r="P574" s="50">
        <v>0</v>
      </c>
      <c r="Q574" s="76"/>
      <c r="R574" s="140">
        <f>2*S9+2*S10</f>
        <v>18</v>
      </c>
      <c r="S574" s="79">
        <v>48.769999999999996</v>
      </c>
      <c r="T574" s="80">
        <v>4.46</v>
      </c>
    </row>
    <row r="575" spans="2:20" ht="42">
      <c r="B575" s="5" t="s">
        <v>1359</v>
      </c>
      <c r="C575" s="45" t="s">
        <v>135</v>
      </c>
      <c r="D575" s="45">
        <v>86887</v>
      </c>
      <c r="E575" s="6" t="s">
        <v>1830</v>
      </c>
      <c r="F575" s="45" t="s">
        <v>210</v>
      </c>
      <c r="G575" s="46">
        <f t="shared" si="64"/>
        <v>18</v>
      </c>
      <c r="H575" s="46">
        <f>TRUNC(S575*(1-LOTE_03!$K$10),2)</f>
        <v>53.23</v>
      </c>
      <c r="I575" s="46">
        <f>TRUNC(T575*(1-LOTE_03!$K$10),2)</f>
        <v>4.46</v>
      </c>
      <c r="J575" s="100">
        <f t="shared" si="65"/>
        <v>0.22470000000000001</v>
      </c>
      <c r="K575" s="48">
        <f t="shared" si="59"/>
        <v>65.19</v>
      </c>
      <c r="L575" s="48">
        <f t="shared" si="60"/>
        <v>5.46</v>
      </c>
      <c r="M575" s="48">
        <f t="shared" si="61"/>
        <v>1173.42</v>
      </c>
      <c r="N575" s="48">
        <f t="shared" si="62"/>
        <v>98.28</v>
      </c>
      <c r="O575" s="50">
        <f t="shared" si="63"/>
        <v>1271.7</v>
      </c>
      <c r="P575" s="50">
        <v>0</v>
      </c>
      <c r="Q575" s="76"/>
      <c r="R575" s="140">
        <f>2*S9+2*S10</f>
        <v>18</v>
      </c>
      <c r="S575" s="79">
        <v>53.23</v>
      </c>
      <c r="T575" s="80">
        <v>4.46</v>
      </c>
    </row>
    <row r="576" spans="2:20" ht="42">
      <c r="B576" s="5" t="s">
        <v>1360</v>
      </c>
      <c r="C576" s="45" t="s">
        <v>135</v>
      </c>
      <c r="D576" s="45">
        <v>86881</v>
      </c>
      <c r="E576" s="6" t="s">
        <v>1831</v>
      </c>
      <c r="F576" s="45" t="s">
        <v>210</v>
      </c>
      <c r="G576" s="46">
        <f t="shared" si="64"/>
        <v>23</v>
      </c>
      <c r="H576" s="46">
        <f>TRUNC(S576*(1-LOTE_03!$K$10),2)</f>
        <v>209.68</v>
      </c>
      <c r="I576" s="46">
        <f>TRUNC(T576*(1-LOTE_03!$K$10),2)</f>
        <v>8.01</v>
      </c>
      <c r="J576" s="100">
        <f t="shared" si="65"/>
        <v>0.22470000000000001</v>
      </c>
      <c r="K576" s="48">
        <f t="shared" si="59"/>
        <v>256.79000000000002</v>
      </c>
      <c r="L576" s="48">
        <f t="shared" si="60"/>
        <v>9.8000000000000007</v>
      </c>
      <c r="M576" s="48">
        <f t="shared" si="61"/>
        <v>5906.17</v>
      </c>
      <c r="N576" s="48">
        <f t="shared" si="62"/>
        <v>225.4</v>
      </c>
      <c r="O576" s="50">
        <f t="shared" si="63"/>
        <v>6131.57</v>
      </c>
      <c r="P576" s="50">
        <v>0</v>
      </c>
      <c r="Q576" s="76"/>
      <c r="R576" s="140">
        <f>2*S9+3*S10</f>
        <v>23</v>
      </c>
      <c r="S576" s="79">
        <v>209.68</v>
      </c>
      <c r="T576" s="80">
        <v>8.01</v>
      </c>
    </row>
    <row r="577" spans="2:20" ht="42">
      <c r="B577" s="5" t="s">
        <v>1361</v>
      </c>
      <c r="C577" s="45" t="s">
        <v>135</v>
      </c>
      <c r="D577" s="45">
        <v>86883</v>
      </c>
      <c r="E577" s="6" t="s">
        <v>1832</v>
      </c>
      <c r="F577" s="45" t="s">
        <v>210</v>
      </c>
      <c r="G577" s="46">
        <f t="shared" si="64"/>
        <v>23</v>
      </c>
      <c r="H577" s="46">
        <f>TRUNC(S577*(1-LOTE_03!$K$10),2)</f>
        <v>14.59</v>
      </c>
      <c r="I577" s="46">
        <f>TRUNC(T577*(1-LOTE_03!$K$10),2)</f>
        <v>2.2599999999999998</v>
      </c>
      <c r="J577" s="100">
        <f t="shared" si="65"/>
        <v>0.22470000000000001</v>
      </c>
      <c r="K577" s="48">
        <f t="shared" si="59"/>
        <v>17.86</v>
      </c>
      <c r="L577" s="48">
        <f t="shared" si="60"/>
        <v>2.76</v>
      </c>
      <c r="M577" s="48">
        <f t="shared" si="61"/>
        <v>410.78</v>
      </c>
      <c r="N577" s="48">
        <f t="shared" si="62"/>
        <v>63.48</v>
      </c>
      <c r="O577" s="50">
        <f t="shared" si="63"/>
        <v>474.26</v>
      </c>
      <c r="P577" s="50">
        <v>0</v>
      </c>
      <c r="Q577" s="76"/>
      <c r="R577" s="140">
        <f>2*S9+3*S10</f>
        <v>23</v>
      </c>
      <c r="S577" s="79">
        <v>14.590000000000002</v>
      </c>
      <c r="T577" s="80">
        <v>2.2599999999999998</v>
      </c>
    </row>
    <row r="578" spans="2:20" ht="56">
      <c r="B578" s="5" t="s">
        <v>1362</v>
      </c>
      <c r="C578" s="45" t="s">
        <v>135</v>
      </c>
      <c r="D578" s="45">
        <v>86889</v>
      </c>
      <c r="E578" s="6" t="s">
        <v>1833</v>
      </c>
      <c r="F578" s="45" t="s">
        <v>210</v>
      </c>
      <c r="G578" s="46">
        <f t="shared" si="64"/>
        <v>5</v>
      </c>
      <c r="H578" s="46">
        <f>TRUNC(S578*(1-LOTE_03!$K$10),2)</f>
        <v>740.46</v>
      </c>
      <c r="I578" s="46">
        <f>TRUNC(T578*(1-LOTE_03!$K$10),2)</f>
        <v>46.34</v>
      </c>
      <c r="J578" s="100">
        <f t="shared" si="65"/>
        <v>0.22470000000000001</v>
      </c>
      <c r="K578" s="48">
        <f t="shared" si="59"/>
        <v>906.84</v>
      </c>
      <c r="L578" s="48">
        <f t="shared" si="60"/>
        <v>56.75</v>
      </c>
      <c r="M578" s="48">
        <f t="shared" si="61"/>
        <v>4534.2</v>
      </c>
      <c r="N578" s="48">
        <f t="shared" si="62"/>
        <v>283.75</v>
      </c>
      <c r="O578" s="50">
        <f t="shared" si="63"/>
        <v>4817.95</v>
      </c>
      <c r="P578" s="50">
        <v>0</v>
      </c>
      <c r="Q578" s="76"/>
      <c r="R578" s="140">
        <f>IF((1*S9+1*S10)&gt;5,5,(1*S9+1*S10))</f>
        <v>5</v>
      </c>
      <c r="S578" s="79">
        <v>740.45999999999992</v>
      </c>
      <c r="T578" s="80">
        <v>46.34</v>
      </c>
    </row>
    <row r="579" spans="2:20" ht="28">
      <c r="B579" s="5" t="s">
        <v>1363</v>
      </c>
      <c r="C579" s="45" t="s">
        <v>165</v>
      </c>
      <c r="D579" s="45" t="s">
        <v>1364</v>
      </c>
      <c r="E579" s="6" t="s">
        <v>1365</v>
      </c>
      <c r="F579" s="45" t="s">
        <v>559</v>
      </c>
      <c r="G579" s="46">
        <f t="shared" si="64"/>
        <v>9</v>
      </c>
      <c r="H579" s="46">
        <f>TRUNC(S579*(1-LOTE_03!$K$10),2)</f>
        <v>1132.8900000000001</v>
      </c>
      <c r="I579" s="46">
        <f>TRUNC(T579*(1-LOTE_03!$K$10),2)</f>
        <v>107.96</v>
      </c>
      <c r="J579" s="100">
        <f t="shared" si="65"/>
        <v>0.22470000000000001</v>
      </c>
      <c r="K579" s="48">
        <f t="shared" si="59"/>
        <v>1387.45</v>
      </c>
      <c r="L579" s="48">
        <f t="shared" si="60"/>
        <v>132.21</v>
      </c>
      <c r="M579" s="48">
        <f t="shared" si="61"/>
        <v>12487.05</v>
      </c>
      <c r="N579" s="48">
        <f t="shared" si="62"/>
        <v>1189.8900000000001</v>
      </c>
      <c r="O579" s="50">
        <f t="shared" si="63"/>
        <v>13676.94</v>
      </c>
      <c r="P579" s="50">
        <v>0</v>
      </c>
      <c r="Q579" s="76"/>
      <c r="R579" s="140">
        <f>IF((1*S9+1*S10)&gt;10,10,(1*S9+1*S10))</f>
        <v>9</v>
      </c>
      <c r="S579" s="79">
        <v>1132.8900000000001</v>
      </c>
      <c r="T579" s="80">
        <v>107.96</v>
      </c>
    </row>
    <row r="580" spans="2:20" ht="28">
      <c r="B580" s="5" t="s">
        <v>1366</v>
      </c>
      <c r="C580" s="45" t="s">
        <v>165</v>
      </c>
      <c r="D580" s="45" t="s">
        <v>1367</v>
      </c>
      <c r="E580" s="6" t="s">
        <v>1368</v>
      </c>
      <c r="F580" s="45" t="s">
        <v>559</v>
      </c>
      <c r="G580" s="46">
        <f t="shared" si="64"/>
        <v>9</v>
      </c>
      <c r="H580" s="46">
        <f>TRUNC(S580*(1-LOTE_03!$K$10),2)</f>
        <v>919.65</v>
      </c>
      <c r="I580" s="46">
        <f>TRUNC(T580*(1-LOTE_03!$K$10),2)</f>
        <v>125.95</v>
      </c>
      <c r="J580" s="100">
        <f t="shared" si="65"/>
        <v>0.22470000000000001</v>
      </c>
      <c r="K580" s="48">
        <f t="shared" si="59"/>
        <v>1126.29</v>
      </c>
      <c r="L580" s="48">
        <f t="shared" si="60"/>
        <v>154.25</v>
      </c>
      <c r="M580" s="48">
        <f t="shared" si="61"/>
        <v>10136.61</v>
      </c>
      <c r="N580" s="48">
        <f t="shared" si="62"/>
        <v>1388.25</v>
      </c>
      <c r="O580" s="50">
        <f t="shared" si="63"/>
        <v>11524.86</v>
      </c>
      <c r="P580" s="50">
        <v>0</v>
      </c>
      <c r="Q580" s="76"/>
      <c r="R580" s="140">
        <f>IF((1*S9+1*S10)&gt;10,10,(1*S9+1*S10))</f>
        <v>9</v>
      </c>
      <c r="S580" s="79">
        <v>919.65</v>
      </c>
      <c r="T580" s="80">
        <v>125.95</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101332.19</v>
      </c>
      <c r="Q581" s="76"/>
      <c r="R581" s="154"/>
      <c r="S581" s="79" t="s">
        <v>22</v>
      </c>
      <c r="T581" s="80" t="s">
        <v>22</v>
      </c>
    </row>
    <row r="582" spans="2:20">
      <c r="B582" s="5" t="s">
        <v>1369</v>
      </c>
      <c r="C582" s="45" t="s">
        <v>97</v>
      </c>
      <c r="D582" s="45" t="s">
        <v>1370</v>
      </c>
      <c r="E582" s="6" t="s">
        <v>1371</v>
      </c>
      <c r="F582" s="45" t="s">
        <v>104</v>
      </c>
      <c r="G582" s="46">
        <f t="shared" si="64"/>
        <v>45</v>
      </c>
      <c r="H582" s="46">
        <f>TRUNC(S582*(1-LOTE_03!$K$10),2)</f>
        <v>1.43</v>
      </c>
      <c r="I582" s="46">
        <f>TRUNC(T582*(1-LOTE_03!$K$10),2)</f>
        <v>4.08</v>
      </c>
      <c r="J582" s="100">
        <f t="shared" si="65"/>
        <v>0.22470000000000001</v>
      </c>
      <c r="K582" s="48">
        <f t="shared" si="59"/>
        <v>1.75</v>
      </c>
      <c r="L582" s="48">
        <f t="shared" si="60"/>
        <v>4.99</v>
      </c>
      <c r="M582" s="48">
        <f t="shared" si="61"/>
        <v>78.75</v>
      </c>
      <c r="N582" s="48">
        <f t="shared" si="62"/>
        <v>224.55</v>
      </c>
      <c r="O582" s="50">
        <f t="shared" si="63"/>
        <v>303.3</v>
      </c>
      <c r="P582" s="50">
        <v>0</v>
      </c>
      <c r="Q582" s="76"/>
      <c r="R582" s="140">
        <f>5*S9+5*S10</f>
        <v>45</v>
      </c>
      <c r="S582" s="79">
        <v>1.43</v>
      </c>
      <c r="T582" s="80">
        <v>4.08</v>
      </c>
    </row>
    <row r="583" spans="2:20" ht="28">
      <c r="B583" s="5" t="s">
        <v>1372</v>
      </c>
      <c r="C583" s="45" t="s">
        <v>97</v>
      </c>
      <c r="D583" s="45" t="s">
        <v>1373</v>
      </c>
      <c r="E583" s="6" t="s">
        <v>1374</v>
      </c>
      <c r="F583" s="45" t="s">
        <v>104</v>
      </c>
      <c r="G583" s="46">
        <f t="shared" si="64"/>
        <v>45</v>
      </c>
      <c r="H583" s="46">
        <f>TRUNC(S583*(1-LOTE_03!$K$10),2)</f>
        <v>7.15</v>
      </c>
      <c r="I583" s="46">
        <f>TRUNC(T583*(1-LOTE_03!$K$10),2)</f>
        <v>19.72</v>
      </c>
      <c r="J583" s="100">
        <f t="shared" si="65"/>
        <v>0.22470000000000001</v>
      </c>
      <c r="K583" s="48">
        <f t="shared" si="59"/>
        <v>8.75</v>
      </c>
      <c r="L583" s="48">
        <f t="shared" si="60"/>
        <v>24.15</v>
      </c>
      <c r="M583" s="48">
        <f t="shared" si="61"/>
        <v>393.75</v>
      </c>
      <c r="N583" s="48">
        <f t="shared" si="62"/>
        <v>1086.75</v>
      </c>
      <c r="O583" s="50">
        <f t="shared" si="63"/>
        <v>1480.5</v>
      </c>
      <c r="P583" s="50">
        <v>0</v>
      </c>
      <c r="Q583" s="76"/>
      <c r="R583" s="140">
        <f>5*S9+5*S10</f>
        <v>45</v>
      </c>
      <c r="S583" s="79">
        <v>7.15</v>
      </c>
      <c r="T583" s="80">
        <v>19.72</v>
      </c>
    </row>
    <row r="584" spans="2:20" ht="56">
      <c r="B584" s="5" t="s">
        <v>1375</v>
      </c>
      <c r="C584" s="45" t="s">
        <v>97</v>
      </c>
      <c r="D584" s="45" t="s">
        <v>1376</v>
      </c>
      <c r="E584" s="6" t="s">
        <v>1377</v>
      </c>
      <c r="F584" s="45" t="s">
        <v>104</v>
      </c>
      <c r="G584" s="46">
        <f t="shared" si="64"/>
        <v>45</v>
      </c>
      <c r="H584" s="46">
        <f>TRUNC(S584*(1-LOTE_03!$K$10),2)</f>
        <v>16.68</v>
      </c>
      <c r="I584" s="46">
        <f>TRUNC(T584*(1-LOTE_03!$K$10),2)</f>
        <v>11.66</v>
      </c>
      <c r="J584" s="100">
        <f t="shared" si="65"/>
        <v>0.22470000000000001</v>
      </c>
      <c r="K584" s="48">
        <f t="shared" si="59"/>
        <v>20.420000000000002</v>
      </c>
      <c r="L584" s="48">
        <f t="shared" si="60"/>
        <v>14.28</v>
      </c>
      <c r="M584" s="48">
        <f t="shared" si="61"/>
        <v>918.9</v>
      </c>
      <c r="N584" s="48">
        <f t="shared" si="62"/>
        <v>642.6</v>
      </c>
      <c r="O584" s="50">
        <f t="shared" si="63"/>
        <v>1561.5</v>
      </c>
      <c r="P584" s="50">
        <v>0</v>
      </c>
      <c r="Q584" s="76"/>
      <c r="R584" s="140">
        <f>5*S9+5*S10</f>
        <v>45</v>
      </c>
      <c r="S584" s="79">
        <v>16.68</v>
      </c>
      <c r="T584" s="80">
        <v>11.66</v>
      </c>
    </row>
    <row r="585" spans="2:20" ht="56">
      <c r="B585" s="5" t="s">
        <v>1378</v>
      </c>
      <c r="C585" s="45" t="s">
        <v>135</v>
      </c>
      <c r="D585" s="45">
        <v>101905</v>
      </c>
      <c r="E585" s="6" t="s">
        <v>1834</v>
      </c>
      <c r="F585" s="45" t="s">
        <v>210</v>
      </c>
      <c r="G585" s="46">
        <f t="shared" si="64"/>
        <v>18</v>
      </c>
      <c r="H585" s="46">
        <f>TRUNC(S585*(1-LOTE_03!$K$10),2)</f>
        <v>209.58</v>
      </c>
      <c r="I585" s="46">
        <f>TRUNC(T585*(1-LOTE_03!$K$10),2)</f>
        <v>17.059999999999999</v>
      </c>
      <c r="J585" s="100">
        <f t="shared" si="65"/>
        <v>0.22470000000000001</v>
      </c>
      <c r="K585" s="48">
        <f t="shared" si="59"/>
        <v>256.67</v>
      </c>
      <c r="L585" s="48">
        <f t="shared" si="60"/>
        <v>20.89</v>
      </c>
      <c r="M585" s="48">
        <f t="shared" si="61"/>
        <v>4620.0600000000004</v>
      </c>
      <c r="N585" s="48">
        <f t="shared" si="62"/>
        <v>376.02</v>
      </c>
      <c r="O585" s="50">
        <f t="shared" si="63"/>
        <v>4996.08</v>
      </c>
      <c r="P585" s="50">
        <v>0</v>
      </c>
      <c r="Q585" s="76"/>
      <c r="R585" s="140">
        <f>2*S9+2*S10</f>
        <v>18</v>
      </c>
      <c r="S585" s="79">
        <v>209.57999999999998</v>
      </c>
      <c r="T585" s="80">
        <v>17.059999999999999</v>
      </c>
    </row>
    <row r="586" spans="2:20" ht="56">
      <c r="B586" s="5" t="s">
        <v>1379</v>
      </c>
      <c r="C586" s="45" t="s">
        <v>135</v>
      </c>
      <c r="D586" s="45">
        <v>101907</v>
      </c>
      <c r="E586" s="6" t="s">
        <v>1835</v>
      </c>
      <c r="F586" s="45" t="s">
        <v>210</v>
      </c>
      <c r="G586" s="46">
        <f t="shared" si="64"/>
        <v>18</v>
      </c>
      <c r="H586" s="46">
        <f>TRUNC(S586*(1-LOTE_03!$K$10),2)</f>
        <v>698.44</v>
      </c>
      <c r="I586" s="46">
        <f>TRUNC(T586*(1-LOTE_03!$K$10),2)</f>
        <v>16.95</v>
      </c>
      <c r="J586" s="100">
        <f t="shared" si="65"/>
        <v>0.22470000000000001</v>
      </c>
      <c r="K586" s="48">
        <f t="shared" si="59"/>
        <v>855.37</v>
      </c>
      <c r="L586" s="48">
        <f t="shared" si="60"/>
        <v>20.75</v>
      </c>
      <c r="M586" s="48">
        <f t="shared" si="61"/>
        <v>15396.66</v>
      </c>
      <c r="N586" s="48">
        <f t="shared" si="62"/>
        <v>373.5</v>
      </c>
      <c r="O586" s="50">
        <f t="shared" si="63"/>
        <v>15770.16</v>
      </c>
      <c r="P586" s="50">
        <v>0</v>
      </c>
      <c r="Q586" s="76"/>
      <c r="R586" s="140">
        <f>2*S9+2*S10</f>
        <v>18</v>
      </c>
      <c r="S586" s="79">
        <v>698.43999999999994</v>
      </c>
      <c r="T586" s="80">
        <v>16.95</v>
      </c>
    </row>
    <row r="587" spans="2:20" ht="56">
      <c r="B587" s="5" t="s">
        <v>1380</v>
      </c>
      <c r="C587" s="45" t="s">
        <v>135</v>
      </c>
      <c r="D587" s="45">
        <v>101909</v>
      </c>
      <c r="E587" s="6" t="s">
        <v>1836</v>
      </c>
      <c r="F587" s="45" t="s">
        <v>210</v>
      </c>
      <c r="G587" s="46">
        <f t="shared" si="64"/>
        <v>18</v>
      </c>
      <c r="H587" s="46">
        <f>TRUNC(S587*(1-LOTE_03!$K$10),2)</f>
        <v>238.33</v>
      </c>
      <c r="I587" s="46">
        <f>TRUNC(T587*(1-LOTE_03!$K$10),2)</f>
        <v>17.059999999999999</v>
      </c>
      <c r="J587" s="100">
        <f t="shared" si="65"/>
        <v>0.22470000000000001</v>
      </c>
      <c r="K587" s="48">
        <f t="shared" si="59"/>
        <v>291.88</v>
      </c>
      <c r="L587" s="48">
        <f t="shared" si="60"/>
        <v>20.89</v>
      </c>
      <c r="M587" s="48">
        <f t="shared" si="61"/>
        <v>5253.84</v>
      </c>
      <c r="N587" s="48">
        <f t="shared" si="62"/>
        <v>376.02</v>
      </c>
      <c r="O587" s="50">
        <f t="shared" si="63"/>
        <v>5629.86</v>
      </c>
      <c r="P587" s="50">
        <v>0</v>
      </c>
      <c r="Q587" s="76"/>
      <c r="R587" s="140">
        <f>2*S9+2*S10</f>
        <v>18</v>
      </c>
      <c r="S587" s="79">
        <v>238.32999999999998</v>
      </c>
      <c r="T587" s="80">
        <v>17.059999999999999</v>
      </c>
    </row>
    <row r="588" spans="2:20" ht="42">
      <c r="B588" s="5" t="s">
        <v>1381</v>
      </c>
      <c r="C588" s="45" t="s">
        <v>135</v>
      </c>
      <c r="D588" s="45">
        <v>101914</v>
      </c>
      <c r="E588" s="6" t="s">
        <v>1837</v>
      </c>
      <c r="F588" s="45" t="s">
        <v>210</v>
      </c>
      <c r="G588" s="46">
        <f t="shared" si="64"/>
        <v>9</v>
      </c>
      <c r="H588" s="46">
        <f>TRUNC(S588*(1-LOTE_03!$K$10),2)</f>
        <v>418.37</v>
      </c>
      <c r="I588" s="46">
        <f>TRUNC(T588*(1-LOTE_03!$K$10),2)</f>
        <v>53.67</v>
      </c>
      <c r="J588" s="100">
        <f t="shared" si="65"/>
        <v>0.22470000000000001</v>
      </c>
      <c r="K588" s="48">
        <f t="shared" si="59"/>
        <v>512.37</v>
      </c>
      <c r="L588" s="48">
        <f t="shared" si="60"/>
        <v>65.72</v>
      </c>
      <c r="M588" s="48">
        <f t="shared" si="61"/>
        <v>4611.33</v>
      </c>
      <c r="N588" s="48">
        <f t="shared" si="62"/>
        <v>591.48</v>
      </c>
      <c r="O588" s="50">
        <f t="shared" si="63"/>
        <v>5202.8100000000004</v>
      </c>
      <c r="P588" s="50">
        <v>0</v>
      </c>
      <c r="Q588" s="76"/>
      <c r="R588" s="140">
        <f>1*S9+1*S10</f>
        <v>9</v>
      </c>
      <c r="S588" s="79">
        <v>418.37</v>
      </c>
      <c r="T588" s="80">
        <v>53.67</v>
      </c>
    </row>
    <row r="589" spans="2:20" ht="84">
      <c r="B589" s="5" t="s">
        <v>1382</v>
      </c>
      <c r="C589" s="45" t="s">
        <v>135</v>
      </c>
      <c r="D589" s="45">
        <v>101915</v>
      </c>
      <c r="E589" s="6" t="s">
        <v>1838</v>
      </c>
      <c r="F589" s="45" t="s">
        <v>210</v>
      </c>
      <c r="G589" s="46">
        <f t="shared" si="64"/>
        <v>9</v>
      </c>
      <c r="H589" s="46">
        <f>TRUNC(S589*(1-LOTE_03!$K$10),2)</f>
        <v>425.89</v>
      </c>
      <c r="I589" s="46">
        <f>TRUNC(T589*(1-LOTE_03!$K$10),2)</f>
        <v>5.3</v>
      </c>
      <c r="J589" s="100">
        <f t="shared" si="65"/>
        <v>0.22470000000000001</v>
      </c>
      <c r="K589" s="48">
        <f t="shared" si="59"/>
        <v>521.58000000000004</v>
      </c>
      <c r="L589" s="48">
        <f t="shared" si="60"/>
        <v>6.49</v>
      </c>
      <c r="M589" s="48">
        <f t="shared" si="61"/>
        <v>4694.22</v>
      </c>
      <c r="N589" s="48">
        <f t="shared" si="62"/>
        <v>58.41</v>
      </c>
      <c r="O589" s="50">
        <f t="shared" si="63"/>
        <v>4752.63</v>
      </c>
      <c r="P589" s="50">
        <v>0</v>
      </c>
      <c r="Q589" s="76"/>
      <c r="R589" s="140">
        <f>1*S9+1*S10</f>
        <v>9</v>
      </c>
      <c r="S589" s="79">
        <v>425.89</v>
      </c>
      <c r="T589" s="80">
        <v>5.3</v>
      </c>
    </row>
    <row r="590" spans="2:20" ht="56">
      <c r="B590" s="5" t="s">
        <v>1383</v>
      </c>
      <c r="C590" s="45" t="s">
        <v>97</v>
      </c>
      <c r="D590" s="45" t="s">
        <v>1384</v>
      </c>
      <c r="E590" s="6" t="s">
        <v>1385</v>
      </c>
      <c r="F590" s="45" t="s">
        <v>104</v>
      </c>
      <c r="G590" s="46">
        <f t="shared" si="64"/>
        <v>18</v>
      </c>
      <c r="H590" s="46">
        <f>TRUNC(S590*(1-LOTE_03!$K$10),2)</f>
        <v>12.07</v>
      </c>
      <c r="I590" s="46">
        <f>TRUNC(T590*(1-LOTE_03!$K$10),2)</f>
        <v>3.5</v>
      </c>
      <c r="J590" s="100">
        <f t="shared" si="65"/>
        <v>0.22470000000000001</v>
      </c>
      <c r="K590" s="48">
        <f t="shared" si="59"/>
        <v>14.78</v>
      </c>
      <c r="L590" s="48">
        <f t="shared" si="60"/>
        <v>4.28</v>
      </c>
      <c r="M590" s="48">
        <f t="shared" si="61"/>
        <v>266.04000000000002</v>
      </c>
      <c r="N590" s="48">
        <f t="shared" si="62"/>
        <v>77.040000000000006</v>
      </c>
      <c r="O590" s="50">
        <f t="shared" si="63"/>
        <v>343.08</v>
      </c>
      <c r="P590" s="50">
        <v>0</v>
      </c>
      <c r="Q590" s="76"/>
      <c r="R590" s="140">
        <f>2*S9+2*S10</f>
        <v>18</v>
      </c>
      <c r="S590" s="79">
        <v>12.07</v>
      </c>
      <c r="T590" s="80">
        <v>3.5</v>
      </c>
    </row>
    <row r="591" spans="2:20" ht="70">
      <c r="B591" s="5" t="s">
        <v>1386</v>
      </c>
      <c r="C591" s="45" t="s">
        <v>97</v>
      </c>
      <c r="D591" s="45" t="s">
        <v>1387</v>
      </c>
      <c r="E591" s="6" t="s">
        <v>1388</v>
      </c>
      <c r="F591" s="45" t="s">
        <v>104</v>
      </c>
      <c r="G591" s="46">
        <f t="shared" si="64"/>
        <v>45</v>
      </c>
      <c r="H591" s="46">
        <f>TRUNC(S591*(1-LOTE_03!$K$10),2)</f>
        <v>22.38</v>
      </c>
      <c r="I591" s="46">
        <f>TRUNC(T591*(1-LOTE_03!$K$10),2)</f>
        <v>4.66</v>
      </c>
      <c r="J591" s="100">
        <f t="shared" si="65"/>
        <v>0.22470000000000001</v>
      </c>
      <c r="K591" s="48">
        <f t="shared" si="59"/>
        <v>27.4</v>
      </c>
      <c r="L591" s="48">
        <f t="shared" si="60"/>
        <v>5.7</v>
      </c>
      <c r="M591" s="48">
        <f t="shared" si="61"/>
        <v>1233</v>
      </c>
      <c r="N591" s="48">
        <f t="shared" si="62"/>
        <v>256.5</v>
      </c>
      <c r="O591" s="50">
        <f t="shared" si="63"/>
        <v>1489.5</v>
      </c>
      <c r="P591" s="50">
        <v>0</v>
      </c>
      <c r="Q591" s="76"/>
      <c r="R591" s="140">
        <f>5*S9+5*S10</f>
        <v>45</v>
      </c>
      <c r="S591" s="79">
        <v>22.38</v>
      </c>
      <c r="T591" s="80">
        <v>4.66</v>
      </c>
    </row>
    <row r="592" spans="2:20" ht="84">
      <c r="B592" s="5" t="s">
        <v>1389</v>
      </c>
      <c r="C592" s="45" t="s">
        <v>97</v>
      </c>
      <c r="D592" s="45" t="s">
        <v>1390</v>
      </c>
      <c r="E592" s="6" t="s">
        <v>1391</v>
      </c>
      <c r="F592" s="45" t="s">
        <v>104</v>
      </c>
      <c r="G592" s="46">
        <f t="shared" si="64"/>
        <v>45</v>
      </c>
      <c r="H592" s="46">
        <f>TRUNC(S592*(1-LOTE_03!$K$10),2)</f>
        <v>7.8</v>
      </c>
      <c r="I592" s="46">
        <f>TRUNC(T592*(1-LOTE_03!$K$10),2)</f>
        <v>4.66</v>
      </c>
      <c r="J592" s="100">
        <f t="shared" si="65"/>
        <v>0.22470000000000001</v>
      </c>
      <c r="K592" s="48">
        <f t="shared" ref="K592:K655" si="66">TRUNC(H592*(1+J592),2)</f>
        <v>9.5500000000000007</v>
      </c>
      <c r="L592" s="48">
        <f t="shared" ref="L592:L655" si="67">TRUNC(I592*(1+J592),2)</f>
        <v>5.7</v>
      </c>
      <c r="M592" s="48">
        <f t="shared" ref="M592:M655" si="68">TRUNC(K592*G592,2)</f>
        <v>429.75</v>
      </c>
      <c r="N592" s="48">
        <f t="shared" ref="N592:N655" si="69">TRUNC(L592*G592,2)</f>
        <v>256.5</v>
      </c>
      <c r="O592" s="50">
        <f t="shared" ref="O592:O655" si="70">TRUNC(M592+N592,2)</f>
        <v>686.25</v>
      </c>
      <c r="P592" s="50">
        <v>0</v>
      </c>
      <c r="Q592" s="76"/>
      <c r="R592" s="140">
        <f>5*S9+5*S10</f>
        <v>45</v>
      </c>
      <c r="S592" s="79">
        <v>7.8</v>
      </c>
      <c r="T592" s="80">
        <v>4.66</v>
      </c>
    </row>
    <row r="593" spans="2:20" ht="84">
      <c r="B593" s="5" t="s">
        <v>1392</v>
      </c>
      <c r="C593" s="45" t="s">
        <v>97</v>
      </c>
      <c r="D593" s="45" t="s">
        <v>1393</v>
      </c>
      <c r="E593" s="6" t="s">
        <v>1394</v>
      </c>
      <c r="F593" s="45" t="s">
        <v>104</v>
      </c>
      <c r="G593" s="46">
        <f t="shared" si="64"/>
        <v>45</v>
      </c>
      <c r="H593" s="46">
        <f>TRUNC(S593*(1-LOTE_03!$K$10),2)</f>
        <v>13.74</v>
      </c>
      <c r="I593" s="46">
        <f>TRUNC(T593*(1-LOTE_03!$K$10),2)</f>
        <v>4.66</v>
      </c>
      <c r="J593" s="100">
        <f t="shared" si="65"/>
        <v>0.22470000000000001</v>
      </c>
      <c r="K593" s="48">
        <f t="shared" si="66"/>
        <v>16.82</v>
      </c>
      <c r="L593" s="48">
        <f t="shared" si="67"/>
        <v>5.7</v>
      </c>
      <c r="M593" s="48">
        <f t="shared" si="68"/>
        <v>756.9</v>
      </c>
      <c r="N593" s="48">
        <f t="shared" si="69"/>
        <v>256.5</v>
      </c>
      <c r="O593" s="50">
        <f t="shared" si="70"/>
        <v>1013.4</v>
      </c>
      <c r="P593" s="50">
        <v>0</v>
      </c>
      <c r="Q593" s="76"/>
      <c r="R593" s="140">
        <f>5*S9+5*S10</f>
        <v>45</v>
      </c>
      <c r="S593" s="79">
        <v>13.74</v>
      </c>
      <c r="T593" s="80">
        <v>4.66</v>
      </c>
    </row>
    <row r="594" spans="2:20" ht="84">
      <c r="B594" s="5" t="s">
        <v>1395</v>
      </c>
      <c r="C594" s="45" t="s">
        <v>97</v>
      </c>
      <c r="D594" s="45" t="s">
        <v>1396</v>
      </c>
      <c r="E594" s="6" t="s">
        <v>1397</v>
      </c>
      <c r="F594" s="45" t="s">
        <v>104</v>
      </c>
      <c r="G594" s="46">
        <f t="shared" ref="G594:G657" si="71">TRUNC(R594,2)</f>
        <v>45</v>
      </c>
      <c r="H594" s="46">
        <f>TRUNC(S594*(1-LOTE_03!$K$10),2)</f>
        <v>16.53</v>
      </c>
      <c r="I594" s="46">
        <f>TRUNC(T594*(1-LOTE_03!$K$10),2)</f>
        <v>4.66</v>
      </c>
      <c r="J594" s="100">
        <f t="shared" ref="J594:J657" si="72">$J$4</f>
        <v>0.22470000000000001</v>
      </c>
      <c r="K594" s="48">
        <f t="shared" si="66"/>
        <v>20.239999999999998</v>
      </c>
      <c r="L594" s="48">
        <f t="shared" si="67"/>
        <v>5.7</v>
      </c>
      <c r="M594" s="48">
        <f t="shared" si="68"/>
        <v>910.8</v>
      </c>
      <c r="N594" s="48">
        <f t="shared" si="69"/>
        <v>256.5</v>
      </c>
      <c r="O594" s="50">
        <f t="shared" si="70"/>
        <v>1167.3</v>
      </c>
      <c r="P594" s="50">
        <v>0</v>
      </c>
      <c r="Q594" s="76"/>
      <c r="R594" s="140">
        <f>5*S9+5*S10</f>
        <v>45</v>
      </c>
      <c r="S594" s="79">
        <v>16.53</v>
      </c>
      <c r="T594" s="80">
        <v>4.66</v>
      </c>
    </row>
    <row r="595" spans="2:20" ht="84">
      <c r="B595" s="5" t="s">
        <v>1398</v>
      </c>
      <c r="C595" s="45" t="s">
        <v>97</v>
      </c>
      <c r="D595" s="45" t="s">
        <v>1399</v>
      </c>
      <c r="E595" s="6" t="s">
        <v>1400</v>
      </c>
      <c r="F595" s="45" t="s">
        <v>104</v>
      </c>
      <c r="G595" s="46">
        <f t="shared" si="71"/>
        <v>45</v>
      </c>
      <c r="H595" s="46">
        <f>TRUNC(S595*(1-LOTE_03!$K$10),2)</f>
        <v>12.08</v>
      </c>
      <c r="I595" s="46">
        <f>TRUNC(T595*(1-LOTE_03!$K$10),2)</f>
        <v>4.66</v>
      </c>
      <c r="J595" s="100">
        <f t="shared" si="72"/>
        <v>0.22470000000000001</v>
      </c>
      <c r="K595" s="48">
        <f t="shared" si="66"/>
        <v>14.79</v>
      </c>
      <c r="L595" s="48">
        <f t="shared" si="67"/>
        <v>5.7</v>
      </c>
      <c r="M595" s="48">
        <f t="shared" si="68"/>
        <v>665.55</v>
      </c>
      <c r="N595" s="48">
        <f t="shared" si="69"/>
        <v>256.5</v>
      </c>
      <c r="O595" s="50">
        <f t="shared" si="70"/>
        <v>922.05</v>
      </c>
      <c r="P595" s="50">
        <v>0</v>
      </c>
      <c r="Q595" s="76"/>
      <c r="R595" s="140">
        <f>5*S9+5*S10</f>
        <v>45</v>
      </c>
      <c r="S595" s="79">
        <v>12.08</v>
      </c>
      <c r="T595" s="80">
        <v>4.66</v>
      </c>
    </row>
    <row r="596" spans="2:20" ht="84">
      <c r="B596" s="5" t="s">
        <v>1401</v>
      </c>
      <c r="C596" s="45" t="s">
        <v>97</v>
      </c>
      <c r="D596" s="45" t="s">
        <v>1402</v>
      </c>
      <c r="E596" s="6" t="s">
        <v>1403</v>
      </c>
      <c r="F596" s="45" t="s">
        <v>104</v>
      </c>
      <c r="G596" s="46">
        <f t="shared" si="71"/>
        <v>45</v>
      </c>
      <c r="H596" s="46">
        <f>TRUNC(S596*(1-LOTE_03!$K$10),2)</f>
        <v>21.27</v>
      </c>
      <c r="I596" s="46">
        <f>TRUNC(T596*(1-LOTE_03!$K$10),2)</f>
        <v>4.66</v>
      </c>
      <c r="J596" s="100">
        <f t="shared" si="72"/>
        <v>0.22470000000000001</v>
      </c>
      <c r="K596" s="48">
        <f t="shared" si="66"/>
        <v>26.04</v>
      </c>
      <c r="L596" s="48">
        <f t="shared" si="67"/>
        <v>5.7</v>
      </c>
      <c r="M596" s="48">
        <f t="shared" si="68"/>
        <v>1171.8</v>
      </c>
      <c r="N596" s="48">
        <f t="shared" si="69"/>
        <v>256.5</v>
      </c>
      <c r="O596" s="50">
        <f t="shared" si="70"/>
        <v>1428.3</v>
      </c>
      <c r="P596" s="50">
        <v>0</v>
      </c>
      <c r="Q596" s="76"/>
      <c r="R596" s="140">
        <f>5*S9+5*S10</f>
        <v>45</v>
      </c>
      <c r="S596" s="79">
        <v>21.27</v>
      </c>
      <c r="T596" s="80">
        <v>4.66</v>
      </c>
    </row>
    <row r="597" spans="2:20" ht="56">
      <c r="B597" s="5" t="s">
        <v>1404</v>
      </c>
      <c r="C597" s="45" t="s">
        <v>97</v>
      </c>
      <c r="D597" s="45" t="s">
        <v>1405</v>
      </c>
      <c r="E597" s="6" t="s">
        <v>1406</v>
      </c>
      <c r="F597" s="45" t="s">
        <v>104</v>
      </c>
      <c r="G597" s="46">
        <f t="shared" si="71"/>
        <v>18</v>
      </c>
      <c r="H597" s="46">
        <f>TRUNC(S597*(1-LOTE_03!$K$10),2)</f>
        <v>13.73</v>
      </c>
      <c r="I597" s="46">
        <f>TRUNC(T597*(1-LOTE_03!$K$10),2)</f>
        <v>3.5</v>
      </c>
      <c r="J597" s="100">
        <f t="shared" si="72"/>
        <v>0.22470000000000001</v>
      </c>
      <c r="K597" s="48">
        <f t="shared" si="66"/>
        <v>16.809999999999999</v>
      </c>
      <c r="L597" s="48">
        <f t="shared" si="67"/>
        <v>4.28</v>
      </c>
      <c r="M597" s="48">
        <f t="shared" si="68"/>
        <v>302.58</v>
      </c>
      <c r="N597" s="48">
        <f t="shared" si="69"/>
        <v>77.040000000000006</v>
      </c>
      <c r="O597" s="50">
        <f t="shared" si="70"/>
        <v>379.62</v>
      </c>
      <c r="P597" s="50">
        <v>0</v>
      </c>
      <c r="Q597" s="76"/>
      <c r="R597" s="140">
        <f>2*S9+2*S10</f>
        <v>18</v>
      </c>
      <c r="S597" s="79">
        <v>13.73</v>
      </c>
      <c r="T597" s="80">
        <v>3.5</v>
      </c>
    </row>
    <row r="598" spans="2:20" ht="28">
      <c r="B598" s="5" t="s">
        <v>1407</v>
      </c>
      <c r="C598" s="45" t="s">
        <v>165</v>
      </c>
      <c r="D598" s="45" t="s">
        <v>1408</v>
      </c>
      <c r="E598" s="6" t="s">
        <v>1409</v>
      </c>
      <c r="F598" s="45" t="s">
        <v>559</v>
      </c>
      <c r="G598" s="46">
        <f t="shared" si="71"/>
        <v>5</v>
      </c>
      <c r="H598" s="46">
        <f>TRUNC(S598*(1-LOTE_03!$K$10),2)</f>
        <v>1387.93</v>
      </c>
      <c r="I598" s="46">
        <f>TRUNC(T598*(1-LOTE_03!$K$10),2)</f>
        <v>71.97</v>
      </c>
      <c r="J598" s="100">
        <f t="shared" si="72"/>
        <v>0.22470000000000001</v>
      </c>
      <c r="K598" s="48">
        <f t="shared" si="66"/>
        <v>1699.79</v>
      </c>
      <c r="L598" s="48">
        <f t="shared" si="67"/>
        <v>88.14</v>
      </c>
      <c r="M598" s="48">
        <f t="shared" si="68"/>
        <v>8498.9500000000007</v>
      </c>
      <c r="N598" s="48">
        <f t="shared" si="69"/>
        <v>440.7</v>
      </c>
      <c r="O598" s="50">
        <f t="shared" si="70"/>
        <v>8939.65</v>
      </c>
      <c r="P598" s="50">
        <v>0</v>
      </c>
      <c r="Q598" s="76"/>
      <c r="R598" s="140">
        <f>IF((1*S9+1*S10)&gt;5,5,(1*S9+1*S10))</f>
        <v>5</v>
      </c>
      <c r="S598" s="79">
        <v>1387.93</v>
      </c>
      <c r="T598" s="80">
        <v>71.97</v>
      </c>
    </row>
    <row r="599" spans="2:20" ht="28">
      <c r="B599" s="5" t="s">
        <v>1410</v>
      </c>
      <c r="C599" s="45" t="s">
        <v>165</v>
      </c>
      <c r="D599" s="45" t="s">
        <v>1411</v>
      </c>
      <c r="E599" s="6" t="s">
        <v>1412</v>
      </c>
      <c r="F599" s="45" t="s">
        <v>559</v>
      </c>
      <c r="G599" s="46">
        <f t="shared" si="71"/>
        <v>5</v>
      </c>
      <c r="H599" s="46">
        <f>TRUNC(S599*(1-LOTE_03!$K$10),2)</f>
        <v>147.55000000000001</v>
      </c>
      <c r="I599" s="46">
        <f>TRUNC(T599*(1-LOTE_03!$K$10),2)</f>
        <v>10.44</v>
      </c>
      <c r="J599" s="100">
        <f t="shared" si="72"/>
        <v>0.22470000000000001</v>
      </c>
      <c r="K599" s="48">
        <f t="shared" si="66"/>
        <v>180.7</v>
      </c>
      <c r="L599" s="48">
        <f t="shared" si="67"/>
        <v>12.78</v>
      </c>
      <c r="M599" s="48">
        <f t="shared" si="68"/>
        <v>903.5</v>
      </c>
      <c r="N599" s="48">
        <f t="shared" si="69"/>
        <v>63.9</v>
      </c>
      <c r="O599" s="50">
        <f t="shared" si="70"/>
        <v>967.4</v>
      </c>
      <c r="P599" s="50">
        <v>0</v>
      </c>
      <c r="Q599" s="76"/>
      <c r="R599" s="140">
        <f>IF((1*S9+1*S10)&gt;5,5,(1*S9+1*S10))</f>
        <v>5</v>
      </c>
      <c r="S599" s="79">
        <v>147.55000000000001</v>
      </c>
      <c r="T599" s="80">
        <v>10.44</v>
      </c>
    </row>
    <row r="600" spans="2:20" ht="28">
      <c r="B600" s="5" t="s">
        <v>1413</v>
      </c>
      <c r="C600" s="45" t="s">
        <v>97</v>
      </c>
      <c r="D600" s="45" t="s">
        <v>1414</v>
      </c>
      <c r="E600" s="6" t="s">
        <v>1415</v>
      </c>
      <c r="F600" s="45" t="s">
        <v>1416</v>
      </c>
      <c r="G600" s="46">
        <f t="shared" si="71"/>
        <v>500</v>
      </c>
      <c r="H600" s="46">
        <f>TRUNC(S600*(1-LOTE_03!$K$10),2)</f>
        <v>22.3</v>
      </c>
      <c r="I600" s="46">
        <f>TRUNC(T600*(1-LOTE_03!$K$10),2)</f>
        <v>6.46</v>
      </c>
      <c r="J600" s="100">
        <f t="shared" si="72"/>
        <v>0.22470000000000001</v>
      </c>
      <c r="K600" s="48">
        <f t="shared" si="66"/>
        <v>27.31</v>
      </c>
      <c r="L600" s="48">
        <f t="shared" si="67"/>
        <v>7.91</v>
      </c>
      <c r="M600" s="48">
        <f t="shared" si="68"/>
        <v>13655</v>
      </c>
      <c r="N600" s="48">
        <f t="shared" si="69"/>
        <v>3955</v>
      </c>
      <c r="O600" s="50">
        <f t="shared" si="70"/>
        <v>17610</v>
      </c>
      <c r="P600" s="50">
        <v>0</v>
      </c>
      <c r="Q600" s="76"/>
      <c r="R600" s="141">
        <f>IF(100*(S9+S10)&gt;500,500,100*(S9+S10))</f>
        <v>500</v>
      </c>
      <c r="S600" s="79">
        <v>22.3</v>
      </c>
      <c r="T600" s="80">
        <v>6.46</v>
      </c>
    </row>
    <row r="601" spans="2:20" ht="28">
      <c r="B601" s="5" t="s">
        <v>1417</v>
      </c>
      <c r="C601" s="45" t="s">
        <v>97</v>
      </c>
      <c r="D601" s="45" t="s">
        <v>1418</v>
      </c>
      <c r="E601" s="6" t="s">
        <v>1419</v>
      </c>
      <c r="F601" s="45" t="s">
        <v>187</v>
      </c>
      <c r="G601" s="46">
        <f t="shared" si="71"/>
        <v>500</v>
      </c>
      <c r="H601" s="46">
        <f>TRUNC(S601*(1-LOTE_03!$K$10),2)</f>
        <v>27.23</v>
      </c>
      <c r="I601" s="46">
        <f>TRUNC(T601*(1-LOTE_03!$K$10),2)</f>
        <v>6.46</v>
      </c>
      <c r="J601" s="100">
        <f t="shared" si="72"/>
        <v>0.22470000000000001</v>
      </c>
      <c r="K601" s="48">
        <f t="shared" si="66"/>
        <v>33.340000000000003</v>
      </c>
      <c r="L601" s="48">
        <f t="shared" si="67"/>
        <v>7.91</v>
      </c>
      <c r="M601" s="48">
        <f t="shared" si="68"/>
        <v>16670</v>
      </c>
      <c r="N601" s="48">
        <f t="shared" si="69"/>
        <v>3955</v>
      </c>
      <c r="O601" s="50">
        <f t="shared" si="70"/>
        <v>20625</v>
      </c>
      <c r="P601" s="50">
        <v>0</v>
      </c>
      <c r="Q601" s="76"/>
      <c r="R601" s="141">
        <f>IF(100*(S9+S10)&gt;500,500,100*(S9+S10))</f>
        <v>500</v>
      </c>
      <c r="S601" s="79">
        <v>27.23</v>
      </c>
      <c r="T601" s="80">
        <v>6.46</v>
      </c>
    </row>
    <row r="602" spans="2:20" ht="28">
      <c r="B602" s="5" t="s">
        <v>1420</v>
      </c>
      <c r="C602" s="45" t="s">
        <v>97</v>
      </c>
      <c r="D602" s="45" t="s">
        <v>1421</v>
      </c>
      <c r="E602" s="6" t="s">
        <v>1422</v>
      </c>
      <c r="F602" s="45" t="s">
        <v>104</v>
      </c>
      <c r="G602" s="46">
        <f t="shared" si="71"/>
        <v>10</v>
      </c>
      <c r="H602" s="46">
        <f>TRUNC(S602*(1-LOTE_03!$K$10),2)</f>
        <v>217.43</v>
      </c>
      <c r="I602" s="46">
        <f>TRUNC(T602*(1-LOTE_03!$K$10),2)</f>
        <v>30.14</v>
      </c>
      <c r="J602" s="100">
        <f t="shared" si="72"/>
        <v>0.22470000000000001</v>
      </c>
      <c r="K602" s="48">
        <f t="shared" si="66"/>
        <v>266.27999999999997</v>
      </c>
      <c r="L602" s="48">
        <f t="shared" si="67"/>
        <v>36.909999999999997</v>
      </c>
      <c r="M602" s="48">
        <f t="shared" si="68"/>
        <v>2662.8</v>
      </c>
      <c r="N602" s="48">
        <f t="shared" si="69"/>
        <v>369.1</v>
      </c>
      <c r="O602" s="50">
        <f t="shared" si="70"/>
        <v>3031.9</v>
      </c>
      <c r="P602" s="50">
        <v>0</v>
      </c>
      <c r="Q602" s="76"/>
      <c r="R602" s="141">
        <f>IF(2*(S9+S10)&gt;10,10,2*(S9+S10))</f>
        <v>10</v>
      </c>
      <c r="S602" s="79">
        <v>217.43</v>
      </c>
      <c r="T602" s="80">
        <v>30.14</v>
      </c>
    </row>
    <row r="603" spans="2:20" ht="28">
      <c r="B603" s="5" t="s">
        <v>1423</v>
      </c>
      <c r="C603" s="45" t="s">
        <v>97</v>
      </c>
      <c r="D603" s="45" t="s">
        <v>1421</v>
      </c>
      <c r="E603" s="6" t="s">
        <v>1422</v>
      </c>
      <c r="F603" s="45" t="s">
        <v>104</v>
      </c>
      <c r="G603" s="46">
        <f t="shared" si="71"/>
        <v>5</v>
      </c>
      <c r="H603" s="46">
        <f>TRUNC(S603*(1-LOTE_03!$K$10),2)</f>
        <v>217.43</v>
      </c>
      <c r="I603" s="46">
        <f>TRUNC(T603*(1-LOTE_03!$K$10),2)</f>
        <v>30.14</v>
      </c>
      <c r="J603" s="100">
        <f t="shared" si="72"/>
        <v>0.22470000000000001</v>
      </c>
      <c r="K603" s="48">
        <f t="shared" si="66"/>
        <v>266.27999999999997</v>
      </c>
      <c r="L603" s="48">
        <f t="shared" si="67"/>
        <v>36.909999999999997</v>
      </c>
      <c r="M603" s="48">
        <f t="shared" si="68"/>
        <v>1331.4</v>
      </c>
      <c r="N603" s="48">
        <f t="shared" si="69"/>
        <v>184.55</v>
      </c>
      <c r="O603" s="50">
        <f t="shared" si="70"/>
        <v>1515.95</v>
      </c>
      <c r="P603" s="50">
        <v>0</v>
      </c>
      <c r="Q603" s="76"/>
      <c r="R603" s="141">
        <f>IF(1*(S9+S10)&gt;5,5,1*(S9+S10))</f>
        <v>5</v>
      </c>
      <c r="S603" s="79">
        <v>217.43</v>
      </c>
      <c r="T603" s="80">
        <v>30.14</v>
      </c>
    </row>
    <row r="604" spans="2:20" ht="28">
      <c r="B604" s="5" t="s">
        <v>1424</v>
      </c>
      <c r="C604" s="45" t="s">
        <v>97</v>
      </c>
      <c r="D604" s="45" t="s">
        <v>1421</v>
      </c>
      <c r="E604" s="6" t="s">
        <v>1422</v>
      </c>
      <c r="F604" s="45" t="s">
        <v>104</v>
      </c>
      <c r="G604" s="46">
        <f t="shared" si="71"/>
        <v>5</v>
      </c>
      <c r="H604" s="46">
        <f>TRUNC(S604*(1-LOTE_03!$K$10),2)</f>
        <v>217.43</v>
      </c>
      <c r="I604" s="46">
        <f>TRUNC(T604*(1-LOTE_03!$K$10),2)</f>
        <v>30.14</v>
      </c>
      <c r="J604" s="100">
        <f t="shared" si="72"/>
        <v>0.22470000000000001</v>
      </c>
      <c r="K604" s="48">
        <f t="shared" si="66"/>
        <v>266.27999999999997</v>
      </c>
      <c r="L604" s="48">
        <f t="shared" si="67"/>
        <v>36.909999999999997</v>
      </c>
      <c r="M604" s="48">
        <f t="shared" si="68"/>
        <v>1331.4</v>
      </c>
      <c r="N604" s="48">
        <f t="shared" si="69"/>
        <v>184.55</v>
      </c>
      <c r="O604" s="50">
        <f t="shared" si="70"/>
        <v>1515.95</v>
      </c>
      <c r="P604" s="50">
        <v>0</v>
      </c>
      <c r="Q604" s="76"/>
      <c r="R604" s="141">
        <f>IF(1*(S10+1*S9)&gt;5,5,(2*S10+1*S9))</f>
        <v>5</v>
      </c>
      <c r="S604" s="79">
        <v>217.43</v>
      </c>
      <c r="T604" s="80">
        <v>30.14</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414388.16999999993</v>
      </c>
      <c r="Q605" s="76"/>
      <c r="R605" s="154"/>
      <c r="S605" s="79" t="s">
        <v>22</v>
      </c>
      <c r="T605" s="80" t="s">
        <v>22</v>
      </c>
    </row>
    <row r="606" spans="2:20" ht="56">
      <c r="B606" s="5" t="s">
        <v>1425</v>
      </c>
      <c r="C606" s="45" t="s">
        <v>97</v>
      </c>
      <c r="D606" s="45" t="s">
        <v>1426</v>
      </c>
      <c r="E606" s="6" t="s">
        <v>1427</v>
      </c>
      <c r="F606" s="45" t="s">
        <v>104</v>
      </c>
      <c r="G606" s="46">
        <f t="shared" si="71"/>
        <v>27</v>
      </c>
      <c r="H606" s="46">
        <f>TRUNC(S606*(1-LOTE_03!$K$10),2)</f>
        <v>7.19</v>
      </c>
      <c r="I606" s="46">
        <f>TRUNC(T606*(1-LOTE_03!$K$10),2)</f>
        <v>20.99</v>
      </c>
      <c r="J606" s="100">
        <f t="shared" si="72"/>
        <v>0.22470000000000001</v>
      </c>
      <c r="K606" s="48">
        <f t="shared" si="66"/>
        <v>8.8000000000000007</v>
      </c>
      <c r="L606" s="48">
        <f t="shared" si="67"/>
        <v>25.7</v>
      </c>
      <c r="M606" s="48">
        <f t="shared" si="68"/>
        <v>237.6</v>
      </c>
      <c r="N606" s="48">
        <f t="shared" si="69"/>
        <v>693.9</v>
      </c>
      <c r="O606" s="50">
        <f t="shared" si="70"/>
        <v>931.5</v>
      </c>
      <c r="P606" s="50">
        <v>0</v>
      </c>
      <c r="Q606" s="76"/>
      <c r="R606" s="139">
        <f>3*S9+3*S10</f>
        <v>27</v>
      </c>
      <c r="S606" s="79">
        <v>7.19</v>
      </c>
      <c r="T606" s="80">
        <v>20.99</v>
      </c>
    </row>
    <row r="607" spans="2:20" ht="42">
      <c r="B607" s="5" t="s">
        <v>1428</v>
      </c>
      <c r="C607" s="45" t="s">
        <v>135</v>
      </c>
      <c r="D607" s="45">
        <v>103288</v>
      </c>
      <c r="E607" s="6" t="s">
        <v>1429</v>
      </c>
      <c r="F607" s="45" t="s">
        <v>210</v>
      </c>
      <c r="G607" s="46">
        <f t="shared" si="71"/>
        <v>18</v>
      </c>
      <c r="H607" s="46">
        <f>TRUNC(S607*(1-LOTE_03!$K$10),2)</f>
        <v>5.56</v>
      </c>
      <c r="I607" s="46">
        <f>TRUNC(T607*(1-LOTE_03!$K$10),2)</f>
        <v>11.71</v>
      </c>
      <c r="J607" s="100">
        <f t="shared" si="72"/>
        <v>0.22470000000000001</v>
      </c>
      <c r="K607" s="48">
        <f t="shared" si="66"/>
        <v>6.8</v>
      </c>
      <c r="L607" s="48">
        <f t="shared" si="67"/>
        <v>14.34</v>
      </c>
      <c r="M607" s="48">
        <f t="shared" si="68"/>
        <v>122.4</v>
      </c>
      <c r="N607" s="48">
        <f t="shared" si="69"/>
        <v>258.12</v>
      </c>
      <c r="O607" s="50">
        <f t="shared" si="70"/>
        <v>380.52</v>
      </c>
      <c r="P607" s="50">
        <v>0</v>
      </c>
      <c r="Q607" s="76"/>
      <c r="R607" s="139">
        <f>2*S9+2*S10</f>
        <v>18</v>
      </c>
      <c r="S607" s="79">
        <v>5.5599999999999987</v>
      </c>
      <c r="T607" s="80">
        <v>11.71</v>
      </c>
    </row>
    <row r="608" spans="2:20" ht="28">
      <c r="B608" s="5" t="s">
        <v>1430</v>
      </c>
      <c r="C608" s="45" t="s">
        <v>165</v>
      </c>
      <c r="D608" s="45" t="s">
        <v>1431</v>
      </c>
      <c r="E608" s="6" t="s">
        <v>1432</v>
      </c>
      <c r="F608" s="45" t="s">
        <v>168</v>
      </c>
      <c r="G608" s="46">
        <f t="shared" si="71"/>
        <v>306</v>
      </c>
      <c r="H608" s="46">
        <f>TRUNC(S608*(1-LOTE_03!$K$10),2)</f>
        <v>151.94</v>
      </c>
      <c r="I608" s="46">
        <f>TRUNC(T608*(1-LOTE_03!$K$10),2)</f>
        <v>115.97</v>
      </c>
      <c r="J608" s="100">
        <f t="shared" si="72"/>
        <v>0.22470000000000001</v>
      </c>
      <c r="K608" s="48">
        <f t="shared" si="66"/>
        <v>186.08</v>
      </c>
      <c r="L608" s="48">
        <f t="shared" si="67"/>
        <v>142.02000000000001</v>
      </c>
      <c r="M608" s="48">
        <f t="shared" si="68"/>
        <v>56940.480000000003</v>
      </c>
      <c r="N608" s="48">
        <f t="shared" si="69"/>
        <v>43458.12</v>
      </c>
      <c r="O608" s="50">
        <f t="shared" si="70"/>
        <v>100398.6</v>
      </c>
      <c r="P608" s="50">
        <v>0</v>
      </c>
      <c r="Q608" s="76"/>
      <c r="R608" s="139">
        <f>(21+10+3)*(S9+S10)</f>
        <v>306</v>
      </c>
      <c r="S608" s="79">
        <v>151.94</v>
      </c>
      <c r="T608" s="80">
        <v>115.97</v>
      </c>
    </row>
    <row r="609" spans="2:20" ht="28">
      <c r="B609" s="5" t="s">
        <v>1433</v>
      </c>
      <c r="C609" s="45" t="s">
        <v>165</v>
      </c>
      <c r="D609" s="45" t="s">
        <v>1434</v>
      </c>
      <c r="E609" s="6" t="s">
        <v>1435</v>
      </c>
      <c r="F609" s="45" t="s">
        <v>559</v>
      </c>
      <c r="G609" s="46">
        <f t="shared" si="71"/>
        <v>36</v>
      </c>
      <c r="H609" s="46">
        <f>TRUNC(S609*(1-LOTE_03!$K$10),2)</f>
        <v>115.83</v>
      </c>
      <c r="I609" s="46">
        <f>TRUNC(T609*(1-LOTE_03!$K$10),2)</f>
        <v>88.23</v>
      </c>
      <c r="J609" s="100">
        <f t="shared" si="72"/>
        <v>0.22470000000000001</v>
      </c>
      <c r="K609" s="48">
        <f t="shared" si="66"/>
        <v>141.85</v>
      </c>
      <c r="L609" s="48">
        <f t="shared" si="67"/>
        <v>108.05</v>
      </c>
      <c r="M609" s="48">
        <f t="shared" si="68"/>
        <v>5106.6000000000004</v>
      </c>
      <c r="N609" s="48">
        <f t="shared" si="69"/>
        <v>3889.8</v>
      </c>
      <c r="O609" s="50">
        <f t="shared" si="70"/>
        <v>8996.4</v>
      </c>
      <c r="P609" s="50">
        <v>0</v>
      </c>
      <c r="Q609" s="76"/>
      <c r="R609" s="139">
        <f>4*(S9+S10)</f>
        <v>36</v>
      </c>
      <c r="S609" s="79">
        <v>115.83</v>
      </c>
      <c r="T609" s="80">
        <v>88.23</v>
      </c>
    </row>
    <row r="610" spans="2:20" ht="42">
      <c r="B610" s="5" t="s">
        <v>1436</v>
      </c>
      <c r="C610" s="45" t="s">
        <v>165</v>
      </c>
      <c r="D610" s="45" t="s">
        <v>1437</v>
      </c>
      <c r="E610" s="6" t="s">
        <v>1438</v>
      </c>
      <c r="F610" s="45" t="s">
        <v>559</v>
      </c>
      <c r="G610" s="46">
        <f t="shared" si="71"/>
        <v>36</v>
      </c>
      <c r="H610" s="46">
        <f>TRUNC(S610*(1-LOTE_03!$K$10),2)</f>
        <v>117.32</v>
      </c>
      <c r="I610" s="46">
        <f>TRUNC(T610*(1-LOTE_03!$K$10),2)</f>
        <v>113.29</v>
      </c>
      <c r="J610" s="100">
        <f t="shared" si="72"/>
        <v>0.22470000000000001</v>
      </c>
      <c r="K610" s="48">
        <f t="shared" si="66"/>
        <v>143.68</v>
      </c>
      <c r="L610" s="48">
        <f t="shared" si="67"/>
        <v>138.74</v>
      </c>
      <c r="M610" s="48">
        <f t="shared" si="68"/>
        <v>5172.4799999999996</v>
      </c>
      <c r="N610" s="48">
        <f t="shared" si="69"/>
        <v>4994.6400000000003</v>
      </c>
      <c r="O610" s="50">
        <f t="shared" si="70"/>
        <v>10167.120000000001</v>
      </c>
      <c r="P610" s="50">
        <v>0</v>
      </c>
      <c r="Q610" s="76"/>
      <c r="R610" s="139">
        <f>4*(S9+S10)</f>
        <v>36</v>
      </c>
      <c r="S610" s="79">
        <v>117.32</v>
      </c>
      <c r="T610" s="80">
        <v>113.29</v>
      </c>
    </row>
    <row r="611" spans="2:20" ht="28">
      <c r="B611" s="5" t="s">
        <v>1439</v>
      </c>
      <c r="C611" s="45" t="s">
        <v>165</v>
      </c>
      <c r="D611" s="45" t="s">
        <v>1440</v>
      </c>
      <c r="E611" s="6" t="s">
        <v>1441</v>
      </c>
      <c r="F611" s="45" t="s">
        <v>559</v>
      </c>
      <c r="G611" s="46">
        <f t="shared" si="71"/>
        <v>45</v>
      </c>
      <c r="H611" s="46">
        <f>TRUNC(S611*(1-LOTE_03!$K$10),2)</f>
        <v>145.71</v>
      </c>
      <c r="I611" s="46">
        <f>TRUNC(T611*(1-LOTE_03!$K$10),2)</f>
        <v>123.52</v>
      </c>
      <c r="J611" s="100">
        <f t="shared" si="72"/>
        <v>0.22470000000000001</v>
      </c>
      <c r="K611" s="48">
        <f t="shared" si="66"/>
        <v>178.45</v>
      </c>
      <c r="L611" s="48">
        <f t="shared" si="67"/>
        <v>151.27000000000001</v>
      </c>
      <c r="M611" s="48">
        <f t="shared" si="68"/>
        <v>8030.25</v>
      </c>
      <c r="N611" s="48">
        <f t="shared" si="69"/>
        <v>6807.15</v>
      </c>
      <c r="O611" s="50">
        <f t="shared" si="70"/>
        <v>14837.4</v>
      </c>
      <c r="P611" s="50">
        <v>0</v>
      </c>
      <c r="Q611" s="76"/>
      <c r="R611" s="139">
        <f>5*(S9+S10)</f>
        <v>45</v>
      </c>
      <c r="S611" s="79">
        <v>145.71</v>
      </c>
      <c r="T611" s="80">
        <v>123.52</v>
      </c>
    </row>
    <row r="612" spans="2:20" ht="28">
      <c r="B612" s="5" t="s">
        <v>1442</v>
      </c>
      <c r="C612" s="45" t="s">
        <v>165</v>
      </c>
      <c r="D612" s="45" t="s">
        <v>1443</v>
      </c>
      <c r="E612" s="6" t="s">
        <v>1444</v>
      </c>
      <c r="F612" s="45" t="s">
        <v>559</v>
      </c>
      <c r="G612" s="46">
        <f t="shared" si="71"/>
        <v>45</v>
      </c>
      <c r="H612" s="46">
        <f>TRUNC(S612*(1-LOTE_03!$K$10),2)</f>
        <v>156.04</v>
      </c>
      <c r="I612" s="46">
        <f>TRUNC(T612*(1-LOTE_03!$K$10),2)</f>
        <v>123.52</v>
      </c>
      <c r="J612" s="100">
        <f t="shared" si="72"/>
        <v>0.22470000000000001</v>
      </c>
      <c r="K612" s="48">
        <f t="shared" si="66"/>
        <v>191.1</v>
      </c>
      <c r="L612" s="48">
        <f t="shared" si="67"/>
        <v>151.27000000000001</v>
      </c>
      <c r="M612" s="48">
        <f t="shared" si="68"/>
        <v>8599.5</v>
      </c>
      <c r="N612" s="48">
        <f t="shared" si="69"/>
        <v>6807.15</v>
      </c>
      <c r="O612" s="50">
        <f t="shared" si="70"/>
        <v>15406.65</v>
      </c>
      <c r="P612" s="50">
        <v>0</v>
      </c>
      <c r="Q612" s="76"/>
      <c r="R612" s="139">
        <f>5*(S9+S10)</f>
        <v>45</v>
      </c>
      <c r="S612" s="79">
        <v>156.04</v>
      </c>
      <c r="T612" s="80">
        <v>123.52</v>
      </c>
    </row>
    <row r="613" spans="2:20" ht="28">
      <c r="B613" s="5" t="s">
        <v>1445</v>
      </c>
      <c r="C613" s="45" t="s">
        <v>165</v>
      </c>
      <c r="D613" s="45" t="s">
        <v>1446</v>
      </c>
      <c r="E613" s="6" t="s">
        <v>1447</v>
      </c>
      <c r="F613" s="45" t="s">
        <v>559</v>
      </c>
      <c r="G613" s="46">
        <f t="shared" si="71"/>
        <v>45</v>
      </c>
      <c r="H613" s="46">
        <f>TRUNC(S613*(1-LOTE_03!$K$10),2)</f>
        <v>179.42</v>
      </c>
      <c r="I613" s="46">
        <f>TRUNC(T613*(1-LOTE_03!$K$10),2)</f>
        <v>123.52</v>
      </c>
      <c r="J613" s="100">
        <f t="shared" si="72"/>
        <v>0.22470000000000001</v>
      </c>
      <c r="K613" s="48">
        <f t="shared" si="66"/>
        <v>219.73</v>
      </c>
      <c r="L613" s="48">
        <f t="shared" si="67"/>
        <v>151.27000000000001</v>
      </c>
      <c r="M613" s="48">
        <f t="shared" si="68"/>
        <v>9887.85</v>
      </c>
      <c r="N613" s="48">
        <f t="shared" si="69"/>
        <v>6807.15</v>
      </c>
      <c r="O613" s="50">
        <f t="shared" si="70"/>
        <v>16695</v>
      </c>
      <c r="P613" s="50">
        <v>0</v>
      </c>
      <c r="Q613" s="76"/>
      <c r="R613" s="139">
        <f>5*(S9+S10)</f>
        <v>45</v>
      </c>
      <c r="S613" s="79">
        <v>179.42</v>
      </c>
      <c r="T613" s="80">
        <v>123.52</v>
      </c>
    </row>
    <row r="614" spans="2:20" ht="28">
      <c r="B614" s="5" t="s">
        <v>1448</v>
      </c>
      <c r="C614" s="45" t="s">
        <v>97</v>
      </c>
      <c r="D614" s="45" t="s">
        <v>1449</v>
      </c>
      <c r="E614" s="6" t="s">
        <v>1450</v>
      </c>
      <c r="F614" s="45" t="s">
        <v>104</v>
      </c>
      <c r="G614" s="46">
        <f t="shared" si="71"/>
        <v>27</v>
      </c>
      <c r="H614" s="46">
        <f>TRUNC(S614*(1-LOTE_03!$K$10),2)</f>
        <v>437.54</v>
      </c>
      <c r="I614" s="46">
        <f>TRUNC(T614*(1-LOTE_03!$K$10),2)</f>
        <v>403.74</v>
      </c>
      <c r="J614" s="100">
        <f t="shared" si="72"/>
        <v>0.22470000000000001</v>
      </c>
      <c r="K614" s="48">
        <f t="shared" si="66"/>
        <v>535.85</v>
      </c>
      <c r="L614" s="48">
        <f t="shared" si="67"/>
        <v>494.46</v>
      </c>
      <c r="M614" s="48">
        <f t="shared" si="68"/>
        <v>14467.95</v>
      </c>
      <c r="N614" s="48">
        <f t="shared" si="69"/>
        <v>13350.42</v>
      </c>
      <c r="O614" s="50">
        <f t="shared" si="70"/>
        <v>27818.37</v>
      </c>
      <c r="P614" s="50">
        <v>0</v>
      </c>
      <c r="Q614" s="76"/>
      <c r="R614" s="139">
        <f>3*S9+3*S10</f>
        <v>27</v>
      </c>
      <c r="S614" s="79">
        <v>437.54</v>
      </c>
      <c r="T614" s="80">
        <v>403.74</v>
      </c>
    </row>
    <row r="615" spans="2:20" ht="42">
      <c r="B615" s="5" t="s">
        <v>1451</v>
      </c>
      <c r="C615" s="45" t="s">
        <v>97</v>
      </c>
      <c r="D615" s="45" t="s">
        <v>1452</v>
      </c>
      <c r="E615" s="6" t="s">
        <v>1453</v>
      </c>
      <c r="F615" s="45" t="s">
        <v>104</v>
      </c>
      <c r="G615" s="46">
        <f t="shared" si="71"/>
        <v>27</v>
      </c>
      <c r="H615" s="46">
        <f>TRUNC(S615*(1-LOTE_03!$K$10),2)</f>
        <v>150.78</v>
      </c>
      <c r="I615" s="46">
        <f>TRUNC(T615*(1-LOTE_03!$K$10),2)</f>
        <v>216.12</v>
      </c>
      <c r="J615" s="100">
        <f t="shared" si="72"/>
        <v>0.22470000000000001</v>
      </c>
      <c r="K615" s="48">
        <f t="shared" si="66"/>
        <v>184.66</v>
      </c>
      <c r="L615" s="48">
        <f t="shared" si="67"/>
        <v>264.68</v>
      </c>
      <c r="M615" s="48">
        <f t="shared" si="68"/>
        <v>4985.82</v>
      </c>
      <c r="N615" s="48">
        <f t="shared" si="69"/>
        <v>7146.36</v>
      </c>
      <c r="O615" s="50">
        <f t="shared" si="70"/>
        <v>12132.18</v>
      </c>
      <c r="P615" s="50">
        <v>0</v>
      </c>
      <c r="Q615" s="76"/>
      <c r="R615" s="139">
        <f>3*S9+3*S10</f>
        <v>27</v>
      </c>
      <c r="S615" s="79">
        <v>150.78</v>
      </c>
      <c r="T615" s="80">
        <v>216.12</v>
      </c>
    </row>
    <row r="616" spans="2:20" ht="28">
      <c r="B616" s="5" t="s">
        <v>1454</v>
      </c>
      <c r="C616" s="45" t="s">
        <v>97</v>
      </c>
      <c r="D616" s="45" t="s">
        <v>1455</v>
      </c>
      <c r="E616" s="6" t="s">
        <v>1456</v>
      </c>
      <c r="F616" s="45" t="s">
        <v>104</v>
      </c>
      <c r="G616" s="46">
        <f t="shared" si="71"/>
        <v>27</v>
      </c>
      <c r="H616" s="46">
        <f>TRUNC(S616*(1-LOTE_03!$K$10),2)</f>
        <v>2034.6</v>
      </c>
      <c r="I616" s="46">
        <f>TRUNC(T616*(1-LOTE_03!$K$10),2)</f>
        <v>582.5</v>
      </c>
      <c r="J616" s="100">
        <f t="shared" si="72"/>
        <v>0.22470000000000001</v>
      </c>
      <c r="K616" s="48">
        <f t="shared" si="66"/>
        <v>2491.77</v>
      </c>
      <c r="L616" s="48">
        <f t="shared" si="67"/>
        <v>713.38</v>
      </c>
      <c r="M616" s="48">
        <f t="shared" si="68"/>
        <v>67277.789999999994</v>
      </c>
      <c r="N616" s="48">
        <f t="shared" si="69"/>
        <v>19261.259999999998</v>
      </c>
      <c r="O616" s="50">
        <f t="shared" si="70"/>
        <v>86539.05</v>
      </c>
      <c r="P616" s="50">
        <v>0</v>
      </c>
      <c r="Q616" s="76"/>
      <c r="R616" s="139">
        <f>3*S9+3*S10</f>
        <v>27</v>
      </c>
      <c r="S616" s="79">
        <v>2034.6</v>
      </c>
      <c r="T616" s="80">
        <v>582.5</v>
      </c>
    </row>
    <row r="617" spans="2:20" ht="70">
      <c r="B617" s="5" t="s">
        <v>1457</v>
      </c>
      <c r="C617" s="45" t="s">
        <v>97</v>
      </c>
      <c r="D617" s="45" t="s">
        <v>1458</v>
      </c>
      <c r="E617" s="6" t="s">
        <v>1459</v>
      </c>
      <c r="F617" s="45" t="s">
        <v>104</v>
      </c>
      <c r="G617" s="46">
        <f t="shared" si="71"/>
        <v>18</v>
      </c>
      <c r="H617" s="46">
        <f>TRUNC(S617*(1-LOTE_03!$K$10),2)</f>
        <v>458.47</v>
      </c>
      <c r="I617" s="46">
        <f>TRUNC(T617*(1-LOTE_03!$K$10),2)</f>
        <v>54.21</v>
      </c>
      <c r="J617" s="100">
        <f t="shared" si="72"/>
        <v>0.22470000000000001</v>
      </c>
      <c r="K617" s="48">
        <f t="shared" si="66"/>
        <v>561.48</v>
      </c>
      <c r="L617" s="48">
        <f t="shared" si="67"/>
        <v>66.39</v>
      </c>
      <c r="M617" s="48">
        <f t="shared" si="68"/>
        <v>10106.64</v>
      </c>
      <c r="N617" s="48">
        <f t="shared" si="69"/>
        <v>1195.02</v>
      </c>
      <c r="O617" s="50">
        <f t="shared" si="70"/>
        <v>11301.66</v>
      </c>
      <c r="P617" s="50">
        <v>0</v>
      </c>
      <c r="Q617" s="76"/>
      <c r="R617" s="139">
        <f>2*S9+2*S10</f>
        <v>18</v>
      </c>
      <c r="S617" s="79">
        <v>458.47</v>
      </c>
      <c r="T617" s="80">
        <v>54.21</v>
      </c>
    </row>
    <row r="618" spans="2:20" ht="70">
      <c r="B618" s="5" t="s">
        <v>1460</v>
      </c>
      <c r="C618" s="45" t="s">
        <v>97</v>
      </c>
      <c r="D618" s="45" t="s">
        <v>1461</v>
      </c>
      <c r="E618" s="6" t="s">
        <v>1462</v>
      </c>
      <c r="F618" s="45" t="s">
        <v>104</v>
      </c>
      <c r="G618" s="46">
        <f t="shared" si="71"/>
        <v>18</v>
      </c>
      <c r="H618" s="46">
        <f>TRUNC(S618*(1-LOTE_03!$K$10),2)</f>
        <v>1898.46</v>
      </c>
      <c r="I618" s="46">
        <f>TRUNC(T618*(1-LOTE_03!$K$10),2)</f>
        <v>325.35000000000002</v>
      </c>
      <c r="J618" s="100">
        <f t="shared" si="72"/>
        <v>0.22470000000000001</v>
      </c>
      <c r="K618" s="48">
        <f t="shared" si="66"/>
        <v>2325.04</v>
      </c>
      <c r="L618" s="48">
        <f t="shared" si="67"/>
        <v>398.45</v>
      </c>
      <c r="M618" s="48">
        <f t="shared" si="68"/>
        <v>41850.720000000001</v>
      </c>
      <c r="N618" s="48">
        <f t="shared" si="69"/>
        <v>7172.1</v>
      </c>
      <c r="O618" s="50">
        <f t="shared" si="70"/>
        <v>49022.82</v>
      </c>
      <c r="P618" s="50">
        <v>0</v>
      </c>
      <c r="Q618" s="76"/>
      <c r="R618" s="139">
        <f>2*S9+2*S10</f>
        <v>18</v>
      </c>
      <c r="S618" s="79">
        <v>1898.46</v>
      </c>
      <c r="T618" s="80">
        <v>325.35000000000002</v>
      </c>
    </row>
    <row r="619" spans="2:20" ht="70">
      <c r="B619" s="5" t="s">
        <v>1463</v>
      </c>
      <c r="C619" s="45" t="s">
        <v>135</v>
      </c>
      <c r="D619" s="45">
        <v>103289</v>
      </c>
      <c r="E619" s="6" t="s">
        <v>1464</v>
      </c>
      <c r="F619" s="45" t="s">
        <v>187</v>
      </c>
      <c r="G619" s="46">
        <f t="shared" si="71"/>
        <v>90</v>
      </c>
      <c r="H619" s="46">
        <f>TRUNC(S619*(1-LOTE_03!$K$10),2)</f>
        <v>28.74</v>
      </c>
      <c r="I619" s="46">
        <f>TRUNC(T619*(1-LOTE_03!$K$10),2)</f>
        <v>3.07</v>
      </c>
      <c r="J619" s="100">
        <f t="shared" si="72"/>
        <v>0.22470000000000001</v>
      </c>
      <c r="K619" s="48">
        <f t="shared" si="66"/>
        <v>35.19</v>
      </c>
      <c r="L619" s="48">
        <f t="shared" si="67"/>
        <v>3.75</v>
      </c>
      <c r="M619" s="48">
        <f t="shared" si="68"/>
        <v>3167.1</v>
      </c>
      <c r="N619" s="48">
        <f t="shared" si="69"/>
        <v>337.5</v>
      </c>
      <c r="O619" s="50">
        <f t="shared" si="70"/>
        <v>3504.6</v>
      </c>
      <c r="P619" s="50">
        <v>0</v>
      </c>
      <c r="Q619" s="76"/>
      <c r="R619" s="139">
        <f>10*S9+10*S10</f>
        <v>90</v>
      </c>
      <c r="S619" s="79">
        <v>28.74</v>
      </c>
      <c r="T619" s="80">
        <v>3.07</v>
      </c>
    </row>
    <row r="620" spans="2:20" ht="70">
      <c r="B620" s="5" t="s">
        <v>1465</v>
      </c>
      <c r="C620" s="45" t="s">
        <v>135</v>
      </c>
      <c r="D620" s="45">
        <v>103290</v>
      </c>
      <c r="E620" s="6" t="s">
        <v>1466</v>
      </c>
      <c r="F620" s="45" t="s">
        <v>187</v>
      </c>
      <c r="G620" s="46">
        <f t="shared" si="71"/>
        <v>90</v>
      </c>
      <c r="H620" s="46">
        <f>TRUNC(S620*(1-LOTE_03!$K$10),2)</f>
        <v>45.97</v>
      </c>
      <c r="I620" s="46">
        <f>TRUNC(T620*(1-LOTE_03!$K$10),2)</f>
        <v>3.41</v>
      </c>
      <c r="J620" s="100">
        <f t="shared" si="72"/>
        <v>0.22470000000000001</v>
      </c>
      <c r="K620" s="48">
        <f t="shared" si="66"/>
        <v>56.29</v>
      </c>
      <c r="L620" s="48">
        <f t="shared" si="67"/>
        <v>4.17</v>
      </c>
      <c r="M620" s="48">
        <f t="shared" si="68"/>
        <v>5066.1000000000004</v>
      </c>
      <c r="N620" s="48">
        <f t="shared" si="69"/>
        <v>375.3</v>
      </c>
      <c r="O620" s="50">
        <f t="shared" si="70"/>
        <v>5441.4</v>
      </c>
      <c r="P620" s="50">
        <v>0</v>
      </c>
      <c r="Q620" s="76"/>
      <c r="R620" s="139">
        <f>10*S9+10*S10</f>
        <v>90</v>
      </c>
      <c r="S620" s="79">
        <v>45.97</v>
      </c>
      <c r="T620" s="80">
        <v>3.41</v>
      </c>
    </row>
    <row r="621" spans="2:20" ht="70">
      <c r="B621" s="5" t="s">
        <v>1467</v>
      </c>
      <c r="C621" s="45" t="s">
        <v>135</v>
      </c>
      <c r="D621" s="45">
        <v>103291</v>
      </c>
      <c r="E621" s="6" t="s">
        <v>1468</v>
      </c>
      <c r="F621" s="45" t="s">
        <v>187</v>
      </c>
      <c r="G621" s="46">
        <f t="shared" si="71"/>
        <v>90</v>
      </c>
      <c r="H621" s="46">
        <f>TRUNC(S621*(1-LOTE_03!$K$10),2)</f>
        <v>58.68</v>
      </c>
      <c r="I621" s="46">
        <f>TRUNC(T621*(1-LOTE_03!$K$10),2)</f>
        <v>3.77</v>
      </c>
      <c r="J621" s="100">
        <f t="shared" si="72"/>
        <v>0.22470000000000001</v>
      </c>
      <c r="K621" s="48">
        <f t="shared" si="66"/>
        <v>71.86</v>
      </c>
      <c r="L621" s="48">
        <f t="shared" si="67"/>
        <v>4.6100000000000003</v>
      </c>
      <c r="M621" s="48">
        <f t="shared" si="68"/>
        <v>6467.4</v>
      </c>
      <c r="N621" s="48">
        <f t="shared" si="69"/>
        <v>414.9</v>
      </c>
      <c r="O621" s="50">
        <f t="shared" si="70"/>
        <v>6882.3</v>
      </c>
      <c r="P621" s="50">
        <v>0</v>
      </c>
      <c r="Q621" s="76"/>
      <c r="R621" s="139">
        <f>10*S9+10*S10</f>
        <v>90</v>
      </c>
      <c r="S621" s="79">
        <v>58.68</v>
      </c>
      <c r="T621" s="80">
        <v>3.77</v>
      </c>
    </row>
    <row r="622" spans="2:20" ht="70">
      <c r="B622" s="5" t="s">
        <v>1469</v>
      </c>
      <c r="C622" s="45" t="s">
        <v>135</v>
      </c>
      <c r="D622" s="45">
        <v>103292</v>
      </c>
      <c r="E622" s="6" t="s">
        <v>1470</v>
      </c>
      <c r="F622" s="45" t="s">
        <v>187</v>
      </c>
      <c r="G622" s="46">
        <f t="shared" si="71"/>
        <v>90</v>
      </c>
      <c r="H622" s="46">
        <f>TRUNC(S622*(1-LOTE_03!$K$10),2)</f>
        <v>71.62</v>
      </c>
      <c r="I622" s="46">
        <f>TRUNC(T622*(1-LOTE_03!$K$10),2)</f>
        <v>4.12</v>
      </c>
      <c r="J622" s="100">
        <f t="shared" si="72"/>
        <v>0.22470000000000001</v>
      </c>
      <c r="K622" s="48">
        <f t="shared" si="66"/>
        <v>87.71</v>
      </c>
      <c r="L622" s="48">
        <f t="shared" si="67"/>
        <v>5.04</v>
      </c>
      <c r="M622" s="48">
        <f t="shared" si="68"/>
        <v>7893.9</v>
      </c>
      <c r="N622" s="48">
        <f t="shared" si="69"/>
        <v>453.6</v>
      </c>
      <c r="O622" s="50">
        <f t="shared" si="70"/>
        <v>8347.5</v>
      </c>
      <c r="P622" s="50">
        <v>0</v>
      </c>
      <c r="Q622" s="76"/>
      <c r="R622" s="139">
        <f>10*S9+10*S10</f>
        <v>90</v>
      </c>
      <c r="S622" s="79">
        <v>71.61999999999999</v>
      </c>
      <c r="T622" s="80">
        <v>4.12</v>
      </c>
    </row>
    <row r="623" spans="2:20" ht="28">
      <c r="B623" s="5" t="s">
        <v>1471</v>
      </c>
      <c r="C623" s="45" t="s">
        <v>97</v>
      </c>
      <c r="D623" s="45" t="s">
        <v>1472</v>
      </c>
      <c r="E623" s="6" t="s">
        <v>1473</v>
      </c>
      <c r="F623" s="45" t="s">
        <v>104</v>
      </c>
      <c r="G623" s="46">
        <f t="shared" si="71"/>
        <v>45</v>
      </c>
      <c r="H623" s="46">
        <f>TRUNC(S623*(1-LOTE_03!$K$10),2)</f>
        <v>258.07</v>
      </c>
      <c r="I623" s="46">
        <f>TRUNC(T623*(1-LOTE_03!$K$10),2)</f>
        <v>387.63</v>
      </c>
      <c r="J623" s="100">
        <f t="shared" si="72"/>
        <v>0.22470000000000001</v>
      </c>
      <c r="K623" s="48">
        <f t="shared" si="66"/>
        <v>316.05</v>
      </c>
      <c r="L623" s="48">
        <f t="shared" si="67"/>
        <v>474.73</v>
      </c>
      <c r="M623" s="48">
        <f t="shared" si="68"/>
        <v>14222.25</v>
      </c>
      <c r="N623" s="48">
        <f t="shared" si="69"/>
        <v>21362.85</v>
      </c>
      <c r="O623" s="50">
        <f t="shared" si="70"/>
        <v>35585.1</v>
      </c>
      <c r="P623" s="50">
        <v>0</v>
      </c>
      <c r="Q623" s="76"/>
      <c r="R623" s="139">
        <f>5*S9+5*S10</f>
        <v>45</v>
      </c>
      <c r="S623" s="79">
        <v>258.07</v>
      </c>
      <c r="T623" s="80">
        <v>387.63</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5940887.4299999997</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50">
        <v>0</v>
      </c>
      <c r="Q625" s="76"/>
      <c r="R625" s="154"/>
      <c r="S625" s="79" t="s">
        <v>22</v>
      </c>
      <c r="T625" s="80" t="s">
        <v>22</v>
      </c>
    </row>
    <row r="626" spans="2:20" ht="84">
      <c r="B626" s="5" t="s">
        <v>1476</v>
      </c>
      <c r="C626" s="45" t="s">
        <v>97</v>
      </c>
      <c r="D626" s="45" t="s">
        <v>1477</v>
      </c>
      <c r="E626" s="6" t="s">
        <v>1478</v>
      </c>
      <c r="F626" s="45" t="s">
        <v>121</v>
      </c>
      <c r="G626" s="46">
        <f t="shared" si="71"/>
        <v>270</v>
      </c>
      <c r="H626" s="46">
        <f>TRUNC(S626*(1-LOTE_03!$K$10),2)</f>
        <v>330.28</v>
      </c>
      <c r="I626" s="46">
        <f>TRUNC(T626*(1-LOTE_03!$K$10),2)</f>
        <v>32.4</v>
      </c>
      <c r="J626" s="100">
        <f t="shared" si="72"/>
        <v>0.22470000000000001</v>
      </c>
      <c r="K626" s="48">
        <f t="shared" si="66"/>
        <v>404.49</v>
      </c>
      <c r="L626" s="48">
        <f t="shared" si="67"/>
        <v>39.68</v>
      </c>
      <c r="M626" s="48">
        <f t="shared" si="68"/>
        <v>109212.3</v>
      </c>
      <c r="N626" s="48">
        <f t="shared" si="69"/>
        <v>10713.6</v>
      </c>
      <c r="O626" s="50">
        <f t="shared" si="70"/>
        <v>119925.9</v>
      </c>
      <c r="P626" s="50">
        <v>0</v>
      </c>
      <c r="Q626" s="76"/>
      <c r="R626" s="139">
        <f>30*(S9+S10)</f>
        <v>270</v>
      </c>
      <c r="S626" s="79">
        <v>330.28</v>
      </c>
      <c r="T626" s="80">
        <v>32.4</v>
      </c>
    </row>
    <row r="627" spans="2:20" ht="70">
      <c r="B627" s="5" t="s">
        <v>1479</v>
      </c>
      <c r="C627" s="45" t="s">
        <v>97</v>
      </c>
      <c r="D627" s="45" t="s">
        <v>1480</v>
      </c>
      <c r="E627" s="6" t="s">
        <v>1481</v>
      </c>
      <c r="F627" s="45" t="s">
        <v>104</v>
      </c>
      <c r="G627" s="46">
        <f t="shared" si="71"/>
        <v>9</v>
      </c>
      <c r="H627" s="46">
        <f>TRUNC(S627*(1-LOTE_03!$K$10),2)</f>
        <v>2245.67</v>
      </c>
      <c r="I627" s="46">
        <f>TRUNC(T627*(1-LOTE_03!$K$10),2)</f>
        <v>145.16</v>
      </c>
      <c r="J627" s="100">
        <f t="shared" si="72"/>
        <v>0.22470000000000001</v>
      </c>
      <c r="K627" s="48">
        <f t="shared" si="66"/>
        <v>2750.27</v>
      </c>
      <c r="L627" s="48">
        <f t="shared" si="67"/>
        <v>177.77</v>
      </c>
      <c r="M627" s="48">
        <f t="shared" si="68"/>
        <v>24752.43</v>
      </c>
      <c r="N627" s="48">
        <f t="shared" si="69"/>
        <v>1599.93</v>
      </c>
      <c r="O627" s="50">
        <f t="shared" si="70"/>
        <v>26352.36</v>
      </c>
      <c r="P627" s="50">
        <v>0</v>
      </c>
      <c r="Q627" s="76"/>
      <c r="R627" s="140">
        <f>IF((S9+S10)&gt;10,10,(S9+S10))</f>
        <v>9</v>
      </c>
      <c r="S627" s="79">
        <v>2245.67</v>
      </c>
      <c r="T627" s="80">
        <v>145.16</v>
      </c>
    </row>
    <row r="628" spans="2:20" ht="56">
      <c r="B628" s="5" t="s">
        <v>1482</v>
      </c>
      <c r="C628" s="45" t="s">
        <v>97</v>
      </c>
      <c r="D628" s="45" t="s">
        <v>467</v>
      </c>
      <c r="E628" s="6" t="s">
        <v>468</v>
      </c>
      <c r="F628" s="45" t="s">
        <v>121</v>
      </c>
      <c r="G628" s="46">
        <f t="shared" si="71"/>
        <v>603.9</v>
      </c>
      <c r="H628" s="46">
        <f>TRUNC(S628*(1-LOTE_03!$K$10),2)</f>
        <v>378.96</v>
      </c>
      <c r="I628" s="46">
        <f>TRUNC(T628*(1-LOTE_03!$K$10),2)</f>
        <v>159.4</v>
      </c>
      <c r="J628" s="100">
        <f t="shared" si="72"/>
        <v>0.22470000000000001</v>
      </c>
      <c r="K628" s="48">
        <f t="shared" si="66"/>
        <v>464.11</v>
      </c>
      <c r="L628" s="48">
        <f t="shared" si="67"/>
        <v>195.21</v>
      </c>
      <c r="M628" s="48">
        <f t="shared" si="68"/>
        <v>280276.02</v>
      </c>
      <c r="N628" s="48">
        <f t="shared" si="69"/>
        <v>117887.31</v>
      </c>
      <c r="O628" s="50">
        <f t="shared" si="70"/>
        <v>398163.33</v>
      </c>
      <c r="P628" s="50">
        <v>0</v>
      </c>
      <c r="Q628" s="76"/>
      <c r="R628" s="139">
        <f>(13.5+12.5+5.5+22.6+13)*(S9+S10)</f>
        <v>603.9</v>
      </c>
      <c r="S628" s="79">
        <v>378.96</v>
      </c>
      <c r="T628" s="80">
        <v>159.4</v>
      </c>
    </row>
    <row r="629" spans="2:20" ht="28">
      <c r="B629" s="5" t="s">
        <v>1483</v>
      </c>
      <c r="C629" s="45" t="s">
        <v>97</v>
      </c>
      <c r="D629" s="45" t="s">
        <v>1484</v>
      </c>
      <c r="E629" s="6" t="s">
        <v>1485</v>
      </c>
      <c r="F629" s="45" t="s">
        <v>121</v>
      </c>
      <c r="G629" s="46">
        <f t="shared" si="71"/>
        <v>72</v>
      </c>
      <c r="H629" s="46">
        <f>TRUNC(S629*(1-LOTE_03!$K$10),2)</f>
        <v>444.32</v>
      </c>
      <c r="I629" s="46">
        <f>TRUNC(T629*(1-LOTE_03!$K$10),2)</f>
        <v>4.66</v>
      </c>
      <c r="J629" s="100">
        <f t="shared" si="72"/>
        <v>0.22470000000000001</v>
      </c>
      <c r="K629" s="48">
        <f t="shared" si="66"/>
        <v>544.15</v>
      </c>
      <c r="L629" s="48">
        <f t="shared" si="67"/>
        <v>5.7</v>
      </c>
      <c r="M629" s="48">
        <f t="shared" si="68"/>
        <v>39178.800000000003</v>
      </c>
      <c r="N629" s="48">
        <f t="shared" si="69"/>
        <v>410.4</v>
      </c>
      <c r="O629" s="50">
        <f t="shared" si="70"/>
        <v>39589.199999999997</v>
      </c>
      <c r="P629" s="50">
        <v>0</v>
      </c>
      <c r="Q629" s="76"/>
      <c r="R629" s="139">
        <f>8*(S9+S10)</f>
        <v>72</v>
      </c>
      <c r="S629" s="79">
        <v>444.32</v>
      </c>
      <c r="T629" s="80">
        <v>4.66</v>
      </c>
    </row>
    <row r="630" spans="2:20" ht="126">
      <c r="B630" s="5" t="s">
        <v>1486</v>
      </c>
      <c r="C630" s="45" t="s">
        <v>97</v>
      </c>
      <c r="D630" s="45" t="s">
        <v>1487</v>
      </c>
      <c r="E630" s="6" t="s">
        <v>1488</v>
      </c>
      <c r="F630" s="45" t="s">
        <v>104</v>
      </c>
      <c r="G630" s="46">
        <f t="shared" si="71"/>
        <v>9</v>
      </c>
      <c r="H630" s="46">
        <f>TRUNC(S630*(1-LOTE_03!$K$10),2)</f>
        <v>11773.06</v>
      </c>
      <c r="I630" s="46">
        <f>TRUNC(T630*(1-LOTE_03!$K$10),2)</f>
        <v>1425.87</v>
      </c>
      <c r="J630" s="100">
        <f t="shared" si="72"/>
        <v>0.22470000000000001</v>
      </c>
      <c r="K630" s="48">
        <f t="shared" si="66"/>
        <v>14418.46</v>
      </c>
      <c r="L630" s="48">
        <f t="shared" si="67"/>
        <v>1746.26</v>
      </c>
      <c r="M630" s="48">
        <f t="shared" si="68"/>
        <v>129766.14</v>
      </c>
      <c r="N630" s="48">
        <f t="shared" si="69"/>
        <v>15716.34</v>
      </c>
      <c r="O630" s="50">
        <f t="shared" si="70"/>
        <v>145482.48000000001</v>
      </c>
      <c r="P630" s="50">
        <v>0</v>
      </c>
      <c r="Q630" s="76"/>
      <c r="R630" s="139">
        <f>1*(S9+S10)</f>
        <v>9</v>
      </c>
      <c r="S630" s="79">
        <v>11773.06</v>
      </c>
      <c r="T630" s="80">
        <v>1425.87</v>
      </c>
    </row>
    <row r="631" spans="2:20" ht="42">
      <c r="B631" s="5" t="s">
        <v>1489</v>
      </c>
      <c r="C631" s="45" t="s">
        <v>97</v>
      </c>
      <c r="D631" s="45" t="s">
        <v>1490</v>
      </c>
      <c r="E631" s="6" t="s">
        <v>1491</v>
      </c>
      <c r="F631" s="45" t="s">
        <v>104</v>
      </c>
      <c r="G631" s="46">
        <f t="shared" si="71"/>
        <v>9</v>
      </c>
      <c r="H631" s="46">
        <f>TRUNC(S631*(1-LOTE_03!$K$10),2)</f>
        <v>3034.2</v>
      </c>
      <c r="I631" s="46">
        <f>TRUNC(T631*(1-LOTE_03!$K$10),2)</f>
        <v>415.64</v>
      </c>
      <c r="J631" s="100">
        <f t="shared" si="72"/>
        <v>0.22470000000000001</v>
      </c>
      <c r="K631" s="48">
        <f t="shared" si="66"/>
        <v>3715.98</v>
      </c>
      <c r="L631" s="48">
        <f t="shared" si="67"/>
        <v>509.03</v>
      </c>
      <c r="M631" s="48">
        <f t="shared" si="68"/>
        <v>33443.82</v>
      </c>
      <c r="N631" s="48">
        <f t="shared" si="69"/>
        <v>4581.2700000000004</v>
      </c>
      <c r="O631" s="50">
        <f t="shared" si="70"/>
        <v>38025.089999999997</v>
      </c>
      <c r="P631" s="50">
        <v>0</v>
      </c>
      <c r="Q631" s="76"/>
      <c r="R631" s="139">
        <f>1*(S9+S10)</f>
        <v>9</v>
      </c>
      <c r="S631" s="79">
        <v>3034.2</v>
      </c>
      <c r="T631" s="80">
        <v>415.64</v>
      </c>
    </row>
    <row r="632" spans="2:20" ht="84">
      <c r="B632" s="5" t="s">
        <v>1492</v>
      </c>
      <c r="C632" s="45" t="s">
        <v>97</v>
      </c>
      <c r="D632" s="45" t="s">
        <v>1493</v>
      </c>
      <c r="E632" s="6" t="s">
        <v>1494</v>
      </c>
      <c r="F632" s="45" t="s">
        <v>104</v>
      </c>
      <c r="G632" s="46">
        <f t="shared" si="71"/>
        <v>9</v>
      </c>
      <c r="H632" s="46">
        <f>TRUNC(S632*(1-LOTE_03!$K$10),2)</f>
        <v>9013.11</v>
      </c>
      <c r="I632" s="46">
        <f>TRUNC(T632*(1-LOTE_03!$K$10),2)</f>
        <v>122.55</v>
      </c>
      <c r="J632" s="100">
        <f t="shared" si="72"/>
        <v>0.22470000000000001</v>
      </c>
      <c r="K632" s="48">
        <f t="shared" si="66"/>
        <v>11038.35</v>
      </c>
      <c r="L632" s="48">
        <f t="shared" si="67"/>
        <v>150.08000000000001</v>
      </c>
      <c r="M632" s="48">
        <f t="shared" si="68"/>
        <v>99345.15</v>
      </c>
      <c r="N632" s="48">
        <f t="shared" si="69"/>
        <v>1350.72</v>
      </c>
      <c r="O632" s="50">
        <f t="shared" si="70"/>
        <v>100695.87</v>
      </c>
      <c r="P632" s="50">
        <v>0</v>
      </c>
      <c r="Q632" s="76"/>
      <c r="R632" s="139">
        <f>1*(S9+S10)</f>
        <v>9</v>
      </c>
      <c r="S632" s="79">
        <v>9013.11</v>
      </c>
      <c r="T632" s="80">
        <v>122.55</v>
      </c>
    </row>
    <row r="633" spans="2:20" ht="84">
      <c r="B633" s="5" t="s">
        <v>1495</v>
      </c>
      <c r="C633" s="45" t="s">
        <v>97</v>
      </c>
      <c r="D633" s="45" t="s">
        <v>1496</v>
      </c>
      <c r="E633" s="6" t="s">
        <v>1497</v>
      </c>
      <c r="F633" s="45" t="s">
        <v>104</v>
      </c>
      <c r="G633" s="46">
        <f t="shared" si="71"/>
        <v>9</v>
      </c>
      <c r="H633" s="46">
        <f>TRUNC(S633*(1-LOTE_03!$K$10),2)</f>
        <v>6800.86</v>
      </c>
      <c r="I633" s="46">
        <f>TRUNC(T633*(1-LOTE_03!$K$10),2)</f>
        <v>122.55</v>
      </c>
      <c r="J633" s="100">
        <f t="shared" si="72"/>
        <v>0.22470000000000001</v>
      </c>
      <c r="K633" s="48">
        <f t="shared" si="66"/>
        <v>8329.01</v>
      </c>
      <c r="L633" s="48">
        <f t="shared" si="67"/>
        <v>150.08000000000001</v>
      </c>
      <c r="M633" s="48">
        <f t="shared" si="68"/>
        <v>74961.09</v>
      </c>
      <c r="N633" s="48">
        <f t="shared" si="69"/>
        <v>1350.72</v>
      </c>
      <c r="O633" s="50">
        <f t="shared" si="70"/>
        <v>76311.81</v>
      </c>
      <c r="P633" s="50">
        <v>0</v>
      </c>
      <c r="Q633" s="76"/>
      <c r="R633" s="139">
        <f>1*(S9+S10)</f>
        <v>9</v>
      </c>
      <c r="S633" s="79">
        <v>6800.86</v>
      </c>
      <c r="T633" s="80">
        <v>122.55</v>
      </c>
    </row>
    <row r="634" spans="2:20" ht="56">
      <c r="B634" s="5" t="s">
        <v>1498</v>
      </c>
      <c r="C634" s="45" t="s">
        <v>97</v>
      </c>
      <c r="D634" s="45" t="s">
        <v>1499</v>
      </c>
      <c r="E634" s="6" t="s">
        <v>1500</v>
      </c>
      <c r="F634" s="45" t="s">
        <v>121</v>
      </c>
      <c r="G634" s="46">
        <f t="shared" si="71"/>
        <v>135</v>
      </c>
      <c r="H634" s="46">
        <f>TRUNC(S634*(1-LOTE_03!$K$10),2)</f>
        <v>445.76</v>
      </c>
      <c r="I634" s="46">
        <f>TRUNC(T634*(1-LOTE_03!$K$10),2)</f>
        <v>8.17</v>
      </c>
      <c r="J634" s="100">
        <f t="shared" si="72"/>
        <v>0.22470000000000001</v>
      </c>
      <c r="K634" s="48">
        <f t="shared" si="66"/>
        <v>545.91999999999996</v>
      </c>
      <c r="L634" s="48">
        <f t="shared" si="67"/>
        <v>10</v>
      </c>
      <c r="M634" s="48">
        <f t="shared" si="68"/>
        <v>73699.199999999997</v>
      </c>
      <c r="N634" s="48">
        <f t="shared" si="69"/>
        <v>1350</v>
      </c>
      <c r="O634" s="50">
        <f t="shared" si="70"/>
        <v>75049.2</v>
      </c>
      <c r="P634" s="50">
        <v>0</v>
      </c>
      <c r="Q634" s="76"/>
      <c r="R634" s="139">
        <f>15*(S9+S10)</f>
        <v>135</v>
      </c>
      <c r="S634" s="79">
        <v>445.76</v>
      </c>
      <c r="T634" s="80">
        <v>8.17</v>
      </c>
    </row>
    <row r="635" spans="2:20" ht="28">
      <c r="B635" s="5" t="s">
        <v>1501</v>
      </c>
      <c r="C635" s="45" t="s">
        <v>97</v>
      </c>
      <c r="D635" s="45" t="s">
        <v>1502</v>
      </c>
      <c r="E635" s="6" t="s">
        <v>1503</v>
      </c>
      <c r="F635" s="45" t="s">
        <v>104</v>
      </c>
      <c r="G635" s="46">
        <f t="shared" si="71"/>
        <v>18</v>
      </c>
      <c r="H635" s="46">
        <f>TRUNC(S635*(1-LOTE_03!$K$10),2)</f>
        <v>311.92</v>
      </c>
      <c r="I635" s="46">
        <f>TRUNC(T635*(1-LOTE_03!$K$10),2)</f>
        <v>24.65</v>
      </c>
      <c r="J635" s="100">
        <f t="shared" si="72"/>
        <v>0.22470000000000001</v>
      </c>
      <c r="K635" s="48">
        <f t="shared" si="66"/>
        <v>382</v>
      </c>
      <c r="L635" s="48">
        <f t="shared" si="67"/>
        <v>30.18</v>
      </c>
      <c r="M635" s="48">
        <f t="shared" si="68"/>
        <v>6876</v>
      </c>
      <c r="N635" s="48">
        <f t="shared" si="69"/>
        <v>543.24</v>
      </c>
      <c r="O635" s="50">
        <f t="shared" si="70"/>
        <v>7419.24</v>
      </c>
      <c r="P635" s="50">
        <v>0</v>
      </c>
      <c r="Q635" s="76"/>
      <c r="R635" s="139">
        <f>2*(S9+S10)</f>
        <v>18</v>
      </c>
      <c r="S635" s="79">
        <v>311.92</v>
      </c>
      <c r="T635" s="80">
        <v>24.65</v>
      </c>
    </row>
    <row r="636" spans="2:20" ht="56">
      <c r="B636" s="5" t="s">
        <v>1504</v>
      </c>
      <c r="C636" s="45" t="s">
        <v>97</v>
      </c>
      <c r="D636" s="45" t="s">
        <v>1505</v>
      </c>
      <c r="E636" s="6" t="s">
        <v>1506</v>
      </c>
      <c r="F636" s="45" t="s">
        <v>104</v>
      </c>
      <c r="G636" s="46">
        <f t="shared" si="71"/>
        <v>9</v>
      </c>
      <c r="H636" s="46">
        <f>TRUNC(S636*(1-LOTE_03!$K$10),2)</f>
        <v>217.18</v>
      </c>
      <c r="I636" s="46">
        <f>TRUNC(T636*(1-LOTE_03!$K$10),2)</f>
        <v>3.5</v>
      </c>
      <c r="J636" s="100">
        <f t="shared" si="72"/>
        <v>0.22470000000000001</v>
      </c>
      <c r="K636" s="48">
        <f t="shared" si="66"/>
        <v>265.98</v>
      </c>
      <c r="L636" s="48">
        <f t="shared" si="67"/>
        <v>4.28</v>
      </c>
      <c r="M636" s="48">
        <f t="shared" si="68"/>
        <v>2393.8200000000002</v>
      </c>
      <c r="N636" s="48">
        <f t="shared" si="69"/>
        <v>38.520000000000003</v>
      </c>
      <c r="O636" s="50">
        <f t="shared" si="70"/>
        <v>2432.34</v>
      </c>
      <c r="P636" s="50">
        <v>0</v>
      </c>
      <c r="Q636" s="76"/>
      <c r="R636" s="139">
        <f>1*(S9+S10)</f>
        <v>9</v>
      </c>
      <c r="S636" s="79">
        <v>217.18</v>
      </c>
      <c r="T636" s="80">
        <v>3.5</v>
      </c>
    </row>
    <row r="637" spans="2:20" ht="42">
      <c r="B637" s="5" t="s">
        <v>1507</v>
      </c>
      <c r="C637" s="45" t="s">
        <v>97</v>
      </c>
      <c r="D637" s="45" t="s">
        <v>1508</v>
      </c>
      <c r="E637" s="6" t="s">
        <v>1509</v>
      </c>
      <c r="F637" s="45" t="s">
        <v>121</v>
      </c>
      <c r="G637" s="46">
        <f t="shared" si="71"/>
        <v>45</v>
      </c>
      <c r="H637" s="46">
        <f>TRUNC(S637*(1-LOTE_03!$K$10),2)</f>
        <v>3502.91</v>
      </c>
      <c r="I637" s="46">
        <f>TRUNC(T637*(1-LOTE_03!$K$10),2)</f>
        <v>40.85</v>
      </c>
      <c r="J637" s="100">
        <f t="shared" si="72"/>
        <v>0.22470000000000001</v>
      </c>
      <c r="K637" s="48">
        <f t="shared" si="66"/>
        <v>4290.01</v>
      </c>
      <c r="L637" s="48">
        <f t="shared" si="67"/>
        <v>50.02</v>
      </c>
      <c r="M637" s="48">
        <f t="shared" si="68"/>
        <v>193050.45</v>
      </c>
      <c r="N637" s="48">
        <f t="shared" si="69"/>
        <v>2250.9</v>
      </c>
      <c r="O637" s="50">
        <f t="shared" si="70"/>
        <v>195301.35</v>
      </c>
      <c r="P637" s="50">
        <v>0</v>
      </c>
      <c r="Q637" s="76"/>
      <c r="R637" s="139">
        <f>2.5*2*(S9+S10)</f>
        <v>45</v>
      </c>
      <c r="S637" s="79">
        <v>3502.91</v>
      </c>
      <c r="T637" s="80">
        <v>40.85</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50">
        <v>0</v>
      </c>
      <c r="Q638" s="76"/>
      <c r="R638" s="154"/>
      <c r="S638" s="79" t="s">
        <v>22</v>
      </c>
      <c r="T638" s="80" t="s">
        <v>22</v>
      </c>
    </row>
    <row r="639" spans="2:20" ht="98">
      <c r="B639" s="5" t="s">
        <v>1512</v>
      </c>
      <c r="C639" s="45" t="s">
        <v>135</v>
      </c>
      <c r="D639" s="45">
        <v>96369</v>
      </c>
      <c r="E639" s="6" t="s">
        <v>1513</v>
      </c>
      <c r="F639" s="45" t="s">
        <v>121</v>
      </c>
      <c r="G639" s="46">
        <f t="shared" si="71"/>
        <v>162</v>
      </c>
      <c r="H639" s="46">
        <f>TRUNC(S639*(1-LOTE_03!$K$10),2)</f>
        <v>217.25</v>
      </c>
      <c r="I639" s="46">
        <f>TRUNC(T639*(1-LOTE_03!$K$10),2)</f>
        <v>23.76</v>
      </c>
      <c r="J639" s="100">
        <f t="shared" si="72"/>
        <v>0.22470000000000001</v>
      </c>
      <c r="K639" s="48">
        <f t="shared" si="66"/>
        <v>266.06</v>
      </c>
      <c r="L639" s="48">
        <f t="shared" si="67"/>
        <v>29.09</v>
      </c>
      <c r="M639" s="48">
        <f t="shared" si="68"/>
        <v>43101.72</v>
      </c>
      <c r="N639" s="48">
        <f t="shared" si="69"/>
        <v>4712.58</v>
      </c>
      <c r="O639" s="50">
        <f t="shared" si="70"/>
        <v>47814.3</v>
      </c>
      <c r="P639" s="50">
        <v>0</v>
      </c>
      <c r="Q639" s="76"/>
      <c r="R639" s="139">
        <f>4.5*4*(S9+S10)</f>
        <v>162</v>
      </c>
      <c r="S639" s="79">
        <v>217.25</v>
      </c>
      <c r="T639" s="80">
        <v>23.76</v>
      </c>
    </row>
    <row r="640" spans="2:20" ht="98">
      <c r="B640" s="5" t="s">
        <v>1514</v>
      </c>
      <c r="C640" s="45" t="s">
        <v>97</v>
      </c>
      <c r="D640" s="45" t="s">
        <v>1515</v>
      </c>
      <c r="E640" s="6" t="s">
        <v>1516</v>
      </c>
      <c r="F640" s="45" t="s">
        <v>121</v>
      </c>
      <c r="G640" s="46">
        <f t="shared" si="71"/>
        <v>81</v>
      </c>
      <c r="H640" s="46">
        <f>TRUNC(S640*(1-LOTE_03!$K$10),2)</f>
        <v>1300.02</v>
      </c>
      <c r="I640" s="46">
        <f>TRUNC(T640*(1-LOTE_03!$K$10),2)</f>
        <v>20.420000000000002</v>
      </c>
      <c r="J640" s="100">
        <f t="shared" si="72"/>
        <v>0.22470000000000001</v>
      </c>
      <c r="K640" s="48">
        <f t="shared" si="66"/>
        <v>1592.13</v>
      </c>
      <c r="L640" s="48">
        <f t="shared" si="67"/>
        <v>25</v>
      </c>
      <c r="M640" s="48">
        <f t="shared" si="68"/>
        <v>128962.53</v>
      </c>
      <c r="N640" s="48">
        <f t="shared" si="69"/>
        <v>2025</v>
      </c>
      <c r="O640" s="50">
        <f t="shared" si="70"/>
        <v>130987.53</v>
      </c>
      <c r="P640" s="50">
        <v>0</v>
      </c>
      <c r="Q640" s="76"/>
      <c r="R640" s="139">
        <f>1.2*3*2.5*(S9+S10)</f>
        <v>81</v>
      </c>
      <c r="S640" s="79">
        <v>1300.02</v>
      </c>
      <c r="T640" s="80">
        <v>20.420000000000002</v>
      </c>
    </row>
    <row r="641" spans="2:20" ht="42">
      <c r="B641" s="5" t="s">
        <v>1517</v>
      </c>
      <c r="C641" s="45" t="s">
        <v>97</v>
      </c>
      <c r="D641" s="45" t="s">
        <v>1518</v>
      </c>
      <c r="E641" s="6" t="s">
        <v>1519</v>
      </c>
      <c r="F641" s="45" t="s">
        <v>121</v>
      </c>
      <c r="G641" s="46">
        <f t="shared" si="71"/>
        <v>81</v>
      </c>
      <c r="H641" s="46">
        <f>TRUNC(S641*(1-LOTE_03!$K$10),2)</f>
        <v>613.74</v>
      </c>
      <c r="I641" s="46">
        <f>TRUNC(T641*(1-LOTE_03!$K$10),2)</f>
        <v>19</v>
      </c>
      <c r="J641" s="100">
        <f t="shared" si="72"/>
        <v>0.22470000000000001</v>
      </c>
      <c r="K641" s="48">
        <f t="shared" si="66"/>
        <v>751.64</v>
      </c>
      <c r="L641" s="48">
        <f t="shared" si="67"/>
        <v>23.26</v>
      </c>
      <c r="M641" s="48">
        <f t="shared" si="68"/>
        <v>60882.84</v>
      </c>
      <c r="N641" s="48">
        <f t="shared" si="69"/>
        <v>1884.06</v>
      </c>
      <c r="O641" s="50">
        <f t="shared" si="70"/>
        <v>62766.9</v>
      </c>
      <c r="P641" s="50">
        <v>0</v>
      </c>
      <c r="Q641" s="76"/>
      <c r="R641" s="139">
        <f>(R639-R640)</f>
        <v>81</v>
      </c>
      <c r="S641" s="79">
        <v>613.74</v>
      </c>
      <c r="T641" s="80">
        <v>19</v>
      </c>
    </row>
    <row r="642" spans="2:20" ht="70">
      <c r="B642" s="5" t="s">
        <v>1520</v>
      </c>
      <c r="C642" s="45" t="s">
        <v>97</v>
      </c>
      <c r="D642" s="45" t="s">
        <v>1521</v>
      </c>
      <c r="E642" s="6" t="s">
        <v>1522</v>
      </c>
      <c r="F642" s="45" t="s">
        <v>104</v>
      </c>
      <c r="G642" s="46">
        <f t="shared" si="71"/>
        <v>27</v>
      </c>
      <c r="H642" s="46">
        <f>TRUNC(S642*(1-LOTE_03!$K$10),2)</f>
        <v>1134.67</v>
      </c>
      <c r="I642" s="46">
        <f>TRUNC(T642*(1-LOTE_03!$K$10),2)</f>
        <v>8.17</v>
      </c>
      <c r="J642" s="100">
        <f t="shared" si="72"/>
        <v>0.22470000000000001</v>
      </c>
      <c r="K642" s="48">
        <f t="shared" si="66"/>
        <v>1389.63</v>
      </c>
      <c r="L642" s="48">
        <f t="shared" si="67"/>
        <v>10</v>
      </c>
      <c r="M642" s="48">
        <f t="shared" si="68"/>
        <v>37520.01</v>
      </c>
      <c r="N642" s="48">
        <f t="shared" si="69"/>
        <v>270</v>
      </c>
      <c r="O642" s="50">
        <f t="shared" si="70"/>
        <v>37790.01</v>
      </c>
      <c r="P642" s="50">
        <v>0</v>
      </c>
      <c r="Q642" s="76"/>
      <c r="R642" s="139">
        <f>3*(S9+S10)</f>
        <v>27</v>
      </c>
      <c r="S642" s="79">
        <v>1134.67</v>
      </c>
      <c r="T642" s="80">
        <v>8.17</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50">
        <v>0</v>
      </c>
      <c r="Q643" s="76"/>
      <c r="R643" s="154"/>
      <c r="S643" s="79" t="s">
        <v>22</v>
      </c>
      <c r="T643" s="80" t="s">
        <v>22</v>
      </c>
    </row>
    <row r="644" spans="2:20" ht="28">
      <c r="B644" s="5" t="s">
        <v>1525</v>
      </c>
      <c r="C644" s="45" t="s">
        <v>97</v>
      </c>
      <c r="D644" s="45" t="s">
        <v>1526</v>
      </c>
      <c r="E644" s="6" t="s">
        <v>1527</v>
      </c>
      <c r="F644" s="45" t="s">
        <v>121</v>
      </c>
      <c r="G644" s="46">
        <f t="shared" si="71"/>
        <v>1836</v>
      </c>
      <c r="H644" s="46">
        <f>TRUNC(S644*(1-LOTE_03!$K$10),2)</f>
        <v>591.20000000000005</v>
      </c>
      <c r="I644" s="46">
        <f>TRUNC(T644*(1-LOTE_03!$K$10),2)</f>
        <v>80.56</v>
      </c>
      <c r="J644" s="100">
        <f t="shared" si="72"/>
        <v>0.22470000000000001</v>
      </c>
      <c r="K644" s="48">
        <f t="shared" si="66"/>
        <v>724.04</v>
      </c>
      <c r="L644" s="48">
        <f t="shared" si="67"/>
        <v>98.66</v>
      </c>
      <c r="M644" s="48">
        <f t="shared" si="68"/>
        <v>1329337.44</v>
      </c>
      <c r="N644" s="48">
        <f t="shared" si="69"/>
        <v>181139.76</v>
      </c>
      <c r="O644" s="50">
        <f t="shared" si="70"/>
        <v>1510477.2</v>
      </c>
      <c r="P644" s="50">
        <v>0</v>
      </c>
      <c r="Q644" s="76"/>
      <c r="R644" s="139">
        <f>(25*(4+2*2)+2*2)*(S9+S10)</f>
        <v>1836</v>
      </c>
      <c r="S644" s="79">
        <v>591.20000000000005</v>
      </c>
      <c r="T644" s="80">
        <v>80.56</v>
      </c>
    </row>
    <row r="645" spans="2:20" ht="42">
      <c r="B645" s="5" t="s">
        <v>1528</v>
      </c>
      <c r="C645" s="45" t="s">
        <v>165</v>
      </c>
      <c r="D645" s="45" t="s">
        <v>1529</v>
      </c>
      <c r="E645" s="6" t="s">
        <v>1530</v>
      </c>
      <c r="F645" s="45" t="s">
        <v>168</v>
      </c>
      <c r="G645" s="46">
        <f t="shared" si="71"/>
        <v>1899</v>
      </c>
      <c r="H645" s="46">
        <f>TRUNC(S645*(1-LOTE_03!$K$10),2)</f>
        <v>266.52999999999997</v>
      </c>
      <c r="I645" s="46">
        <f>TRUNC(T645*(1-LOTE_03!$K$10),2)</f>
        <v>17.649999999999999</v>
      </c>
      <c r="J645" s="100">
        <f t="shared" si="72"/>
        <v>0.22470000000000001</v>
      </c>
      <c r="K645" s="48">
        <f t="shared" si="66"/>
        <v>326.41000000000003</v>
      </c>
      <c r="L645" s="48">
        <f t="shared" si="67"/>
        <v>21.61</v>
      </c>
      <c r="M645" s="48">
        <f t="shared" si="68"/>
        <v>619852.59</v>
      </c>
      <c r="N645" s="48">
        <f t="shared" si="69"/>
        <v>41037.39</v>
      </c>
      <c r="O645" s="50">
        <f t="shared" si="70"/>
        <v>660889.98</v>
      </c>
      <c r="P645" s="50">
        <v>0</v>
      </c>
      <c r="Q645" s="76"/>
      <c r="R645" s="139">
        <f>211*(S9+S10)</f>
        <v>1899</v>
      </c>
      <c r="S645" s="79">
        <v>266.52999999999997</v>
      </c>
      <c r="T645" s="80">
        <v>17.649999999999999</v>
      </c>
    </row>
    <row r="646" spans="2:20" ht="28">
      <c r="B646" s="5" t="s">
        <v>1531</v>
      </c>
      <c r="C646" s="45" t="s">
        <v>97</v>
      </c>
      <c r="D646" s="45" t="s">
        <v>1532</v>
      </c>
      <c r="E646" s="6" t="s">
        <v>1533</v>
      </c>
      <c r="F646" s="45" t="s">
        <v>121</v>
      </c>
      <c r="G646" s="46">
        <f t="shared" si="71"/>
        <v>94.5</v>
      </c>
      <c r="H646" s="46">
        <f>TRUNC(S646*(1-LOTE_03!$K$10),2)</f>
        <v>2135.69</v>
      </c>
      <c r="I646" s="46">
        <f>TRUNC(T646*(1-LOTE_03!$K$10),2)</f>
        <v>24.16</v>
      </c>
      <c r="J646" s="100">
        <f t="shared" si="72"/>
        <v>0.22470000000000001</v>
      </c>
      <c r="K646" s="48">
        <f t="shared" si="66"/>
        <v>2615.5700000000002</v>
      </c>
      <c r="L646" s="48">
        <f t="shared" si="67"/>
        <v>29.58</v>
      </c>
      <c r="M646" s="48">
        <f t="shared" si="68"/>
        <v>247171.36</v>
      </c>
      <c r="N646" s="48">
        <f t="shared" si="69"/>
        <v>2795.31</v>
      </c>
      <c r="O646" s="50">
        <f t="shared" si="70"/>
        <v>249966.67</v>
      </c>
      <c r="P646" s="50">
        <v>0</v>
      </c>
      <c r="Q646" s="76"/>
      <c r="R646" s="139">
        <f>3*3.5*(S9+S10)</f>
        <v>94.5</v>
      </c>
      <c r="S646" s="79">
        <v>2135.69</v>
      </c>
      <c r="T646" s="80">
        <v>24.16</v>
      </c>
    </row>
    <row r="647" spans="2:20" ht="56">
      <c r="B647" s="5" t="s">
        <v>1534</v>
      </c>
      <c r="C647" s="45" t="s">
        <v>97</v>
      </c>
      <c r="D647" s="45" t="s">
        <v>1535</v>
      </c>
      <c r="E647" s="6" t="s">
        <v>1536</v>
      </c>
      <c r="F647" s="45" t="s">
        <v>104</v>
      </c>
      <c r="G647" s="46">
        <f t="shared" si="71"/>
        <v>9</v>
      </c>
      <c r="H647" s="46">
        <f>TRUNC(S647*(1-LOTE_03!$K$10),2)</f>
        <v>3328.7</v>
      </c>
      <c r="I647" s="46">
        <f>TRUNC(T647*(1-LOTE_03!$K$10),2)</f>
        <v>40.85</v>
      </c>
      <c r="J647" s="100">
        <f t="shared" si="72"/>
        <v>0.22470000000000001</v>
      </c>
      <c r="K647" s="48">
        <f t="shared" si="66"/>
        <v>4076.65</v>
      </c>
      <c r="L647" s="48">
        <f t="shared" si="67"/>
        <v>50.02</v>
      </c>
      <c r="M647" s="48">
        <f t="shared" si="68"/>
        <v>36689.85</v>
      </c>
      <c r="N647" s="48">
        <f t="shared" si="69"/>
        <v>450.18</v>
      </c>
      <c r="O647" s="50">
        <f t="shared" si="70"/>
        <v>37140.03</v>
      </c>
      <c r="P647" s="50">
        <v>0</v>
      </c>
      <c r="Q647" s="76"/>
      <c r="R647" s="139">
        <f>1*(S9+S10)</f>
        <v>9</v>
      </c>
      <c r="S647" s="79">
        <v>3328.7</v>
      </c>
      <c r="T647" s="80">
        <v>40.85</v>
      </c>
    </row>
    <row r="648" spans="2:20" ht="84">
      <c r="B648" s="5" t="s">
        <v>1537</v>
      </c>
      <c r="C648" s="45" t="s">
        <v>97</v>
      </c>
      <c r="D648" s="45" t="s">
        <v>1477</v>
      </c>
      <c r="E648" s="6" t="s">
        <v>1478</v>
      </c>
      <c r="F648" s="45" t="s">
        <v>121</v>
      </c>
      <c r="G648" s="46">
        <f t="shared" si="71"/>
        <v>135</v>
      </c>
      <c r="H648" s="46">
        <f>TRUNC(S648*(1-LOTE_03!$K$10),2)</f>
        <v>330.28</v>
      </c>
      <c r="I648" s="46">
        <f>TRUNC(T648*(1-LOTE_03!$K$10),2)</f>
        <v>32.4</v>
      </c>
      <c r="J648" s="100">
        <f t="shared" si="72"/>
        <v>0.22470000000000001</v>
      </c>
      <c r="K648" s="48">
        <f t="shared" si="66"/>
        <v>404.49</v>
      </c>
      <c r="L648" s="48">
        <f t="shared" si="67"/>
        <v>39.68</v>
      </c>
      <c r="M648" s="48">
        <f t="shared" si="68"/>
        <v>54606.15</v>
      </c>
      <c r="N648" s="48">
        <f t="shared" si="69"/>
        <v>5356.8</v>
      </c>
      <c r="O648" s="50">
        <f t="shared" si="70"/>
        <v>59962.95</v>
      </c>
      <c r="P648" s="50">
        <v>0</v>
      </c>
      <c r="Q648" s="76"/>
      <c r="R648" s="139">
        <f>5*3*(S9+S10)</f>
        <v>135</v>
      </c>
      <c r="S648" s="79">
        <v>330.28</v>
      </c>
      <c r="T648" s="80">
        <v>32.4</v>
      </c>
    </row>
    <row r="649" spans="2:20" ht="56">
      <c r="B649" s="5" t="s">
        <v>1538</v>
      </c>
      <c r="C649" s="45" t="s">
        <v>97</v>
      </c>
      <c r="D649" s="45" t="s">
        <v>1539</v>
      </c>
      <c r="E649" s="6" t="s">
        <v>1540</v>
      </c>
      <c r="F649" s="45" t="s">
        <v>104</v>
      </c>
      <c r="G649" s="46">
        <f t="shared" si="71"/>
        <v>9</v>
      </c>
      <c r="H649" s="46">
        <f>TRUNC(S649*(1-LOTE_03!$K$10),2)</f>
        <v>5058.16</v>
      </c>
      <c r="I649" s="46">
        <f>TRUNC(T649*(1-LOTE_03!$K$10),2)</f>
        <v>81.7</v>
      </c>
      <c r="J649" s="100">
        <f t="shared" si="72"/>
        <v>0.22470000000000001</v>
      </c>
      <c r="K649" s="48">
        <f t="shared" si="66"/>
        <v>6194.72</v>
      </c>
      <c r="L649" s="48">
        <f t="shared" si="67"/>
        <v>100.05</v>
      </c>
      <c r="M649" s="48">
        <f t="shared" si="68"/>
        <v>55752.480000000003</v>
      </c>
      <c r="N649" s="48">
        <f t="shared" si="69"/>
        <v>900.45</v>
      </c>
      <c r="O649" s="50">
        <f t="shared" si="70"/>
        <v>56652.93</v>
      </c>
      <c r="P649" s="50">
        <v>0</v>
      </c>
      <c r="Q649" s="76"/>
      <c r="R649" s="139">
        <f>1*(S9+S10)</f>
        <v>9</v>
      </c>
      <c r="S649" s="79">
        <v>5058.16</v>
      </c>
      <c r="T649" s="80">
        <v>81.7</v>
      </c>
    </row>
    <row r="650" spans="2:20" ht="42">
      <c r="B650" s="5" t="s">
        <v>1541</v>
      </c>
      <c r="C650" s="45" t="s">
        <v>97</v>
      </c>
      <c r="D650" s="45" t="s">
        <v>1542</v>
      </c>
      <c r="E650" s="6" t="s">
        <v>1543</v>
      </c>
      <c r="F650" s="45" t="s">
        <v>121</v>
      </c>
      <c r="G650" s="46">
        <f t="shared" si="71"/>
        <v>36</v>
      </c>
      <c r="H650" s="46">
        <f>TRUNC(S650*(1-LOTE_03!$K$10),2)</f>
        <v>1643.48</v>
      </c>
      <c r="I650" s="46">
        <f>TRUNC(T650*(1-LOTE_03!$K$10),2)</f>
        <v>11.66</v>
      </c>
      <c r="J650" s="100">
        <f t="shared" si="72"/>
        <v>0.22470000000000001</v>
      </c>
      <c r="K650" s="48">
        <f t="shared" si="66"/>
        <v>2012.76</v>
      </c>
      <c r="L650" s="48">
        <f t="shared" si="67"/>
        <v>14.28</v>
      </c>
      <c r="M650" s="48">
        <f t="shared" si="68"/>
        <v>72459.360000000001</v>
      </c>
      <c r="N650" s="48">
        <f t="shared" si="69"/>
        <v>514.08000000000004</v>
      </c>
      <c r="O650" s="50">
        <f t="shared" si="70"/>
        <v>72973.440000000002</v>
      </c>
      <c r="P650" s="50">
        <v>0</v>
      </c>
      <c r="Q650" s="76"/>
      <c r="R650" s="139">
        <f>(2+2)*(S9+S10)</f>
        <v>36</v>
      </c>
      <c r="S650" s="79">
        <v>1643.48</v>
      </c>
      <c r="T650" s="80">
        <v>11.66</v>
      </c>
    </row>
    <row r="651" spans="2:20" ht="70">
      <c r="B651" s="5" t="s">
        <v>1544</v>
      </c>
      <c r="C651" s="45" t="s">
        <v>97</v>
      </c>
      <c r="D651" s="45" t="s">
        <v>1545</v>
      </c>
      <c r="E651" s="6" t="s">
        <v>1546</v>
      </c>
      <c r="F651" s="45" t="s">
        <v>104</v>
      </c>
      <c r="G651" s="46">
        <f t="shared" si="71"/>
        <v>63</v>
      </c>
      <c r="H651" s="46">
        <f>TRUNC(S651*(1-LOTE_03!$K$10),2)</f>
        <v>792.85</v>
      </c>
      <c r="I651" s="46">
        <f>TRUNC(T651*(1-LOTE_03!$K$10),2)</f>
        <v>4.66</v>
      </c>
      <c r="J651" s="100">
        <f t="shared" si="72"/>
        <v>0.22470000000000001</v>
      </c>
      <c r="K651" s="48">
        <f t="shared" si="66"/>
        <v>971</v>
      </c>
      <c r="L651" s="48">
        <f t="shared" si="67"/>
        <v>5.7</v>
      </c>
      <c r="M651" s="48">
        <f t="shared" si="68"/>
        <v>61173</v>
      </c>
      <c r="N651" s="48">
        <f t="shared" si="69"/>
        <v>359.1</v>
      </c>
      <c r="O651" s="50">
        <f t="shared" si="70"/>
        <v>61532.1</v>
      </c>
      <c r="P651" s="50">
        <v>0</v>
      </c>
      <c r="Q651" s="76"/>
      <c r="R651" s="139">
        <f>7*(S9+S10)</f>
        <v>63</v>
      </c>
      <c r="S651" s="79">
        <v>792.85</v>
      </c>
      <c r="T651" s="80">
        <v>4.66</v>
      </c>
    </row>
    <row r="652" spans="2:20" ht="70">
      <c r="B652" s="5" t="s">
        <v>1547</v>
      </c>
      <c r="C652" s="45" t="s">
        <v>97</v>
      </c>
      <c r="D652" s="45" t="s">
        <v>1548</v>
      </c>
      <c r="E652" s="6" t="s">
        <v>1549</v>
      </c>
      <c r="F652" s="45" t="s">
        <v>104</v>
      </c>
      <c r="G652" s="46">
        <f t="shared" si="71"/>
        <v>9</v>
      </c>
      <c r="H652" s="46">
        <f>TRUNC(S652*(1-LOTE_03!$K$10),2)</f>
        <v>1864.77</v>
      </c>
      <c r="I652" s="46">
        <f>TRUNC(T652*(1-LOTE_03!$K$10),2)</f>
        <v>4.66</v>
      </c>
      <c r="J652" s="100">
        <f t="shared" si="72"/>
        <v>0.22470000000000001</v>
      </c>
      <c r="K652" s="48">
        <f t="shared" si="66"/>
        <v>2283.7800000000002</v>
      </c>
      <c r="L652" s="48">
        <f t="shared" si="67"/>
        <v>5.7</v>
      </c>
      <c r="M652" s="48">
        <f t="shared" si="68"/>
        <v>20554.02</v>
      </c>
      <c r="N652" s="48">
        <f t="shared" si="69"/>
        <v>51.3</v>
      </c>
      <c r="O652" s="50">
        <f t="shared" si="70"/>
        <v>20605.32</v>
      </c>
      <c r="P652" s="50">
        <v>0</v>
      </c>
      <c r="Q652" s="76"/>
      <c r="R652" s="139">
        <f>1*(S9+S10)</f>
        <v>9</v>
      </c>
      <c r="S652" s="79">
        <v>1864.77</v>
      </c>
      <c r="T652" s="80">
        <v>4.66</v>
      </c>
    </row>
    <row r="653" spans="2:20" ht="70">
      <c r="B653" s="5" t="s">
        <v>1550</v>
      </c>
      <c r="C653" s="45" t="s">
        <v>97</v>
      </c>
      <c r="D653" s="45" t="s">
        <v>1551</v>
      </c>
      <c r="E653" s="6" t="s">
        <v>1552</v>
      </c>
      <c r="F653" s="45" t="s">
        <v>104</v>
      </c>
      <c r="G653" s="46">
        <f t="shared" si="71"/>
        <v>36</v>
      </c>
      <c r="H653" s="46">
        <f>TRUNC(S653*(1-LOTE_03!$K$10),2)</f>
        <v>782.45</v>
      </c>
      <c r="I653" s="46">
        <f>TRUNC(T653*(1-LOTE_03!$K$10),2)</f>
        <v>4.33</v>
      </c>
      <c r="J653" s="100">
        <f t="shared" si="72"/>
        <v>0.22470000000000001</v>
      </c>
      <c r="K653" s="48">
        <f t="shared" si="66"/>
        <v>958.26</v>
      </c>
      <c r="L653" s="48">
        <f t="shared" si="67"/>
        <v>5.3</v>
      </c>
      <c r="M653" s="48">
        <f t="shared" si="68"/>
        <v>34497.360000000001</v>
      </c>
      <c r="N653" s="48">
        <f t="shared" si="69"/>
        <v>190.8</v>
      </c>
      <c r="O653" s="50">
        <f t="shared" si="70"/>
        <v>34688.160000000003</v>
      </c>
      <c r="P653" s="50">
        <v>0</v>
      </c>
      <c r="Q653" s="76"/>
      <c r="R653" s="139">
        <f>4*(S9+S10)</f>
        <v>36</v>
      </c>
      <c r="S653" s="79">
        <v>782.45</v>
      </c>
      <c r="T653" s="80">
        <v>4.33</v>
      </c>
    </row>
    <row r="654" spans="2:20" ht="56">
      <c r="B654" s="5" t="s">
        <v>1553</v>
      </c>
      <c r="C654" s="45" t="s">
        <v>97</v>
      </c>
      <c r="D654" s="45" t="s">
        <v>1554</v>
      </c>
      <c r="E654" s="6" t="s">
        <v>1555</v>
      </c>
      <c r="F654" s="45" t="s">
        <v>104</v>
      </c>
      <c r="G654" s="46">
        <f t="shared" si="71"/>
        <v>45</v>
      </c>
      <c r="H654" s="46">
        <f>TRUNC(S654*(1-LOTE_03!$K$10),2)</f>
        <v>562.94000000000005</v>
      </c>
      <c r="I654" s="46">
        <f>TRUNC(T654*(1-LOTE_03!$K$10),2)</f>
        <v>4.66</v>
      </c>
      <c r="J654" s="100">
        <f t="shared" si="72"/>
        <v>0.22470000000000001</v>
      </c>
      <c r="K654" s="48">
        <f t="shared" si="66"/>
        <v>689.43</v>
      </c>
      <c r="L654" s="48">
        <f t="shared" si="67"/>
        <v>5.7</v>
      </c>
      <c r="M654" s="48">
        <f t="shared" si="68"/>
        <v>31024.35</v>
      </c>
      <c r="N654" s="48">
        <f t="shared" si="69"/>
        <v>256.5</v>
      </c>
      <c r="O654" s="50">
        <f t="shared" si="70"/>
        <v>31280.85</v>
      </c>
      <c r="P654" s="50">
        <v>0</v>
      </c>
      <c r="Q654" s="76"/>
      <c r="R654" s="139">
        <f>5*(S9+S10)</f>
        <v>45</v>
      </c>
      <c r="S654" s="79">
        <v>562.94000000000005</v>
      </c>
      <c r="T654" s="80">
        <v>4.66</v>
      </c>
    </row>
    <row r="655" spans="2:20" ht="70">
      <c r="B655" s="5" t="s">
        <v>1556</v>
      </c>
      <c r="C655" s="45" t="s">
        <v>97</v>
      </c>
      <c r="D655" s="45" t="s">
        <v>1557</v>
      </c>
      <c r="E655" s="6" t="s">
        <v>1558</v>
      </c>
      <c r="F655" s="45" t="s">
        <v>104</v>
      </c>
      <c r="G655" s="46">
        <f t="shared" si="71"/>
        <v>9</v>
      </c>
      <c r="H655" s="46">
        <f>TRUNC(S655*(1-LOTE_03!$K$10),2)</f>
        <v>2926.44</v>
      </c>
      <c r="I655" s="46">
        <f>TRUNC(T655*(1-LOTE_03!$K$10),2)</f>
        <v>4.66</v>
      </c>
      <c r="J655" s="100">
        <f t="shared" si="72"/>
        <v>0.22470000000000001</v>
      </c>
      <c r="K655" s="48">
        <f t="shared" si="66"/>
        <v>3584.01</v>
      </c>
      <c r="L655" s="48">
        <f t="shared" si="67"/>
        <v>5.7</v>
      </c>
      <c r="M655" s="48">
        <f t="shared" si="68"/>
        <v>32256.09</v>
      </c>
      <c r="N655" s="48">
        <f t="shared" si="69"/>
        <v>51.3</v>
      </c>
      <c r="O655" s="50">
        <f t="shared" si="70"/>
        <v>32307.39</v>
      </c>
      <c r="P655" s="50">
        <v>0</v>
      </c>
      <c r="Q655" s="76"/>
      <c r="R655" s="139">
        <f>1*(S9+S10)</f>
        <v>9</v>
      </c>
      <c r="S655" s="79">
        <v>2926.44</v>
      </c>
      <c r="T655" s="80">
        <v>4.66</v>
      </c>
    </row>
    <row r="656" spans="2:20" ht="56">
      <c r="B656" s="5" t="s">
        <v>1559</v>
      </c>
      <c r="C656" s="45" t="s">
        <v>97</v>
      </c>
      <c r="D656" s="45" t="s">
        <v>1560</v>
      </c>
      <c r="E656" s="6" t="s">
        <v>1561</v>
      </c>
      <c r="F656" s="45" t="s">
        <v>104</v>
      </c>
      <c r="G656" s="46">
        <f t="shared" si="71"/>
        <v>9</v>
      </c>
      <c r="H656" s="46">
        <f>TRUNC(S656*(1-LOTE_03!$K$10),2)</f>
        <v>1032.69</v>
      </c>
      <c r="I656" s="46">
        <f>TRUNC(T656*(1-LOTE_03!$K$10),2)</f>
        <v>4.66</v>
      </c>
      <c r="J656" s="100">
        <f t="shared" si="72"/>
        <v>0.22470000000000001</v>
      </c>
      <c r="K656" s="48">
        <f t="shared" ref="K656:K719" si="73">TRUNC(H656*(1+J656),2)</f>
        <v>1264.73</v>
      </c>
      <c r="L656" s="48">
        <f t="shared" ref="L656:L719" si="74">TRUNC(I656*(1+J656),2)</f>
        <v>5.7</v>
      </c>
      <c r="M656" s="48">
        <f t="shared" ref="M656:M719" si="75">TRUNC(K656*G656,2)</f>
        <v>11382.57</v>
      </c>
      <c r="N656" s="48">
        <f t="shared" ref="N656:N719" si="76">TRUNC(L656*G656,2)</f>
        <v>51.3</v>
      </c>
      <c r="O656" s="50">
        <f t="shared" ref="O656:O719" si="77">TRUNC(M656+N656,2)</f>
        <v>11433.87</v>
      </c>
      <c r="P656" s="50">
        <v>0</v>
      </c>
      <c r="Q656" s="76"/>
      <c r="R656" s="139">
        <f>1*(S9+S10)</f>
        <v>9</v>
      </c>
      <c r="S656" s="79">
        <v>1032.69</v>
      </c>
      <c r="T656" s="80">
        <v>4.66</v>
      </c>
    </row>
    <row r="657" spans="2:20" ht="56">
      <c r="B657" s="5" t="s">
        <v>1562</v>
      </c>
      <c r="C657" s="45" t="s">
        <v>97</v>
      </c>
      <c r="D657" s="45" t="s">
        <v>1563</v>
      </c>
      <c r="E657" s="6" t="s">
        <v>1564</v>
      </c>
      <c r="F657" s="45" t="s">
        <v>104</v>
      </c>
      <c r="G657" s="46">
        <f t="shared" si="71"/>
        <v>9</v>
      </c>
      <c r="H657" s="46">
        <f>TRUNC(S657*(1-LOTE_03!$K$10),2)</f>
        <v>691.06</v>
      </c>
      <c r="I657" s="46">
        <f>TRUNC(T657*(1-LOTE_03!$K$10),2)</f>
        <v>4.66</v>
      </c>
      <c r="J657" s="100">
        <f t="shared" si="72"/>
        <v>0.22470000000000001</v>
      </c>
      <c r="K657" s="48">
        <f t="shared" si="73"/>
        <v>846.34</v>
      </c>
      <c r="L657" s="48">
        <f t="shared" si="74"/>
        <v>5.7</v>
      </c>
      <c r="M657" s="48">
        <f t="shared" si="75"/>
        <v>7617.06</v>
      </c>
      <c r="N657" s="48">
        <f t="shared" si="76"/>
        <v>51.3</v>
      </c>
      <c r="O657" s="50">
        <f t="shared" si="77"/>
        <v>7668.36</v>
      </c>
      <c r="P657" s="50">
        <v>0</v>
      </c>
      <c r="Q657" s="76"/>
      <c r="R657" s="139">
        <f>1*(S9+S10)</f>
        <v>9</v>
      </c>
      <c r="S657" s="79">
        <v>691.06</v>
      </c>
      <c r="T657" s="80">
        <v>4.66</v>
      </c>
    </row>
    <row r="658" spans="2:20" ht="56">
      <c r="B658" s="5" t="s">
        <v>1565</v>
      </c>
      <c r="C658" s="45" t="s">
        <v>97</v>
      </c>
      <c r="D658" s="45" t="s">
        <v>1566</v>
      </c>
      <c r="E658" s="6" t="s">
        <v>1567</v>
      </c>
      <c r="F658" s="45" t="s">
        <v>104</v>
      </c>
      <c r="G658" s="46">
        <f t="shared" ref="G658:G721" si="78">TRUNC(R658,2)</f>
        <v>27</v>
      </c>
      <c r="H658" s="46">
        <f>TRUNC(S658*(1-LOTE_03!$K$10),2)</f>
        <v>975.51</v>
      </c>
      <c r="I658" s="46">
        <f>TRUNC(T658*(1-LOTE_03!$K$10),2)</f>
        <v>6.5</v>
      </c>
      <c r="J658" s="100">
        <f t="shared" ref="J658:J721" si="79">$J$4</f>
        <v>0.22470000000000001</v>
      </c>
      <c r="K658" s="48">
        <f t="shared" si="73"/>
        <v>1194.7</v>
      </c>
      <c r="L658" s="48">
        <f t="shared" si="74"/>
        <v>7.96</v>
      </c>
      <c r="M658" s="48">
        <f t="shared" si="75"/>
        <v>32256.9</v>
      </c>
      <c r="N658" s="48">
        <f t="shared" si="76"/>
        <v>214.92</v>
      </c>
      <c r="O658" s="50">
        <f t="shared" si="77"/>
        <v>32471.82</v>
      </c>
      <c r="P658" s="50">
        <v>0</v>
      </c>
      <c r="Q658" s="76"/>
      <c r="R658" s="139">
        <f>3*(S9+S10)</f>
        <v>27</v>
      </c>
      <c r="S658" s="79">
        <v>975.51</v>
      </c>
      <c r="T658" s="80">
        <v>6.5</v>
      </c>
    </row>
    <row r="659" spans="2:20" ht="56">
      <c r="B659" s="5" t="s">
        <v>1568</v>
      </c>
      <c r="C659" s="45" t="s">
        <v>97</v>
      </c>
      <c r="D659" s="45" t="s">
        <v>1569</v>
      </c>
      <c r="E659" s="6" t="s">
        <v>1570</v>
      </c>
      <c r="F659" s="45" t="s">
        <v>104</v>
      </c>
      <c r="G659" s="46">
        <f t="shared" si="78"/>
        <v>9</v>
      </c>
      <c r="H659" s="46">
        <f>TRUNC(S659*(1-LOTE_03!$K$10),2)</f>
        <v>153.78</v>
      </c>
      <c r="I659" s="46">
        <f>TRUNC(T659*(1-LOTE_03!$K$10),2)</f>
        <v>4.66</v>
      </c>
      <c r="J659" s="100">
        <f t="shared" si="79"/>
        <v>0.22470000000000001</v>
      </c>
      <c r="K659" s="48">
        <f t="shared" si="73"/>
        <v>188.33</v>
      </c>
      <c r="L659" s="48">
        <f t="shared" si="74"/>
        <v>5.7</v>
      </c>
      <c r="M659" s="48">
        <f t="shared" si="75"/>
        <v>1694.97</v>
      </c>
      <c r="N659" s="48">
        <f t="shared" si="76"/>
        <v>51.3</v>
      </c>
      <c r="O659" s="50">
        <f t="shared" si="77"/>
        <v>1746.27</v>
      </c>
      <c r="P659" s="50">
        <v>0</v>
      </c>
      <c r="Q659" s="76"/>
      <c r="R659" s="139">
        <f>1*(S9+S10)</f>
        <v>9</v>
      </c>
      <c r="S659" s="79">
        <v>153.78</v>
      </c>
      <c r="T659" s="80">
        <v>4.66</v>
      </c>
    </row>
    <row r="660" spans="2:20" ht="56">
      <c r="B660" s="5" t="s">
        <v>1571</v>
      </c>
      <c r="C660" s="45" t="s">
        <v>97</v>
      </c>
      <c r="D660" s="45" t="s">
        <v>1572</v>
      </c>
      <c r="E660" s="6" t="s">
        <v>1573</v>
      </c>
      <c r="F660" s="45" t="s">
        <v>104</v>
      </c>
      <c r="G660" s="46">
        <f t="shared" si="78"/>
        <v>36</v>
      </c>
      <c r="H660" s="46">
        <f>TRUNC(S660*(1-LOTE_03!$K$10),2)</f>
        <v>59.94</v>
      </c>
      <c r="I660" s="46">
        <f>TRUNC(T660*(1-LOTE_03!$K$10),2)</f>
        <v>4.66</v>
      </c>
      <c r="J660" s="100">
        <f t="shared" si="79"/>
        <v>0.22470000000000001</v>
      </c>
      <c r="K660" s="48">
        <f t="shared" si="73"/>
        <v>73.400000000000006</v>
      </c>
      <c r="L660" s="48">
        <f t="shared" si="74"/>
        <v>5.7</v>
      </c>
      <c r="M660" s="48">
        <f t="shared" si="75"/>
        <v>2642.4</v>
      </c>
      <c r="N660" s="48">
        <f t="shared" si="76"/>
        <v>205.2</v>
      </c>
      <c r="O660" s="50">
        <f t="shared" si="77"/>
        <v>2847.6</v>
      </c>
      <c r="P660" s="50">
        <v>0</v>
      </c>
      <c r="Q660" s="76"/>
      <c r="R660" s="139">
        <f>4*(S9+S10)</f>
        <v>36</v>
      </c>
      <c r="S660" s="79">
        <v>59.94</v>
      </c>
      <c r="T660" s="80">
        <v>4.66</v>
      </c>
    </row>
    <row r="661" spans="2:20" ht="42">
      <c r="B661" s="5" t="s">
        <v>1574</v>
      </c>
      <c r="C661" s="45" t="s">
        <v>97</v>
      </c>
      <c r="D661" s="45" t="s">
        <v>1575</v>
      </c>
      <c r="E661" s="6" t="s">
        <v>1576</v>
      </c>
      <c r="F661" s="45" t="s">
        <v>121</v>
      </c>
      <c r="G661" s="46">
        <f t="shared" si="78"/>
        <v>9</v>
      </c>
      <c r="H661" s="46">
        <f>TRUNC(S661*(1-LOTE_03!$K$10),2)</f>
        <v>2681.29</v>
      </c>
      <c r="I661" s="46">
        <f>TRUNC(T661*(1-LOTE_03!$K$10),2)</f>
        <v>20.420000000000002</v>
      </c>
      <c r="J661" s="100">
        <f t="shared" si="79"/>
        <v>0.22470000000000001</v>
      </c>
      <c r="K661" s="48">
        <f t="shared" si="73"/>
        <v>3283.77</v>
      </c>
      <c r="L661" s="48">
        <f t="shared" si="74"/>
        <v>25</v>
      </c>
      <c r="M661" s="48">
        <f t="shared" si="75"/>
        <v>29553.93</v>
      </c>
      <c r="N661" s="48">
        <f t="shared" si="76"/>
        <v>225</v>
      </c>
      <c r="O661" s="50">
        <f t="shared" si="77"/>
        <v>29778.93</v>
      </c>
      <c r="P661" s="50">
        <v>0</v>
      </c>
      <c r="Q661" s="76"/>
      <c r="R661" s="139">
        <f>1*(S9+S10)</f>
        <v>9</v>
      </c>
      <c r="S661" s="79">
        <v>2681.29</v>
      </c>
      <c r="T661" s="80">
        <v>20.420000000000002</v>
      </c>
    </row>
    <row r="662" spans="2:20" ht="56">
      <c r="B662" s="5" t="s">
        <v>1577</v>
      </c>
      <c r="C662" s="45" t="s">
        <v>97</v>
      </c>
      <c r="D662" s="45" t="s">
        <v>1578</v>
      </c>
      <c r="E662" s="6" t="s">
        <v>1579</v>
      </c>
      <c r="F662" s="45" t="s">
        <v>121</v>
      </c>
      <c r="G662" s="46">
        <f t="shared" si="78"/>
        <v>9</v>
      </c>
      <c r="H662" s="46">
        <f>TRUNC(S662*(1-LOTE_03!$K$10),2)</f>
        <v>1220.73</v>
      </c>
      <c r="I662" s="46">
        <f>TRUNC(T662*(1-LOTE_03!$K$10),2)</f>
        <v>40.85</v>
      </c>
      <c r="J662" s="100">
        <f t="shared" si="79"/>
        <v>0.22470000000000001</v>
      </c>
      <c r="K662" s="48">
        <f t="shared" si="73"/>
        <v>1495.02</v>
      </c>
      <c r="L662" s="48">
        <f t="shared" si="74"/>
        <v>50.02</v>
      </c>
      <c r="M662" s="48">
        <f t="shared" si="75"/>
        <v>13455.18</v>
      </c>
      <c r="N662" s="48">
        <f t="shared" si="76"/>
        <v>450.18</v>
      </c>
      <c r="O662" s="50">
        <f t="shared" si="77"/>
        <v>13905.36</v>
      </c>
      <c r="P662" s="50">
        <v>0</v>
      </c>
      <c r="Q662" s="76"/>
      <c r="R662" s="139">
        <f>1*(S9+S10)</f>
        <v>9</v>
      </c>
      <c r="S662" s="79">
        <v>1220.73</v>
      </c>
      <c r="T662" s="80">
        <v>40.85</v>
      </c>
    </row>
    <row r="663" spans="2:20" ht="56">
      <c r="B663" s="5" t="s">
        <v>1580</v>
      </c>
      <c r="C663" s="45" t="s">
        <v>97</v>
      </c>
      <c r="D663" s="45" t="s">
        <v>1581</v>
      </c>
      <c r="E663" s="6" t="s">
        <v>1582</v>
      </c>
      <c r="F663" s="45" t="s">
        <v>104</v>
      </c>
      <c r="G663" s="46">
        <f t="shared" si="78"/>
        <v>9</v>
      </c>
      <c r="H663" s="46">
        <f>TRUNC(S663*(1-LOTE_03!$K$10),2)</f>
        <v>3500.18</v>
      </c>
      <c r="I663" s="46">
        <f>TRUNC(T663*(1-LOTE_03!$K$10),2)</f>
        <v>20.420000000000002</v>
      </c>
      <c r="J663" s="100">
        <f t="shared" si="79"/>
        <v>0.22470000000000001</v>
      </c>
      <c r="K663" s="48">
        <f t="shared" si="73"/>
        <v>4286.67</v>
      </c>
      <c r="L663" s="48">
        <f t="shared" si="74"/>
        <v>25</v>
      </c>
      <c r="M663" s="48">
        <f t="shared" si="75"/>
        <v>38580.03</v>
      </c>
      <c r="N663" s="48">
        <f t="shared" si="76"/>
        <v>225</v>
      </c>
      <c r="O663" s="50">
        <f t="shared" si="77"/>
        <v>38805.03</v>
      </c>
      <c r="P663" s="50">
        <v>0</v>
      </c>
      <c r="Q663" s="76"/>
      <c r="R663" s="139">
        <f>S9+S10</f>
        <v>9</v>
      </c>
      <c r="S663" s="79">
        <v>3500.18</v>
      </c>
      <c r="T663" s="80">
        <v>20.420000000000002</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50">
        <v>0</v>
      </c>
      <c r="Q664" s="76"/>
      <c r="R664" s="154"/>
      <c r="S664" s="79" t="s">
        <v>22</v>
      </c>
      <c r="T664" s="80" t="s">
        <v>22</v>
      </c>
    </row>
    <row r="665" spans="2:20" ht="42">
      <c r="B665" s="5" t="s">
        <v>1585</v>
      </c>
      <c r="C665" s="45" t="s">
        <v>135</v>
      </c>
      <c r="D665" s="45">
        <v>102181</v>
      </c>
      <c r="E665" s="6" t="s">
        <v>1773</v>
      </c>
      <c r="F665" s="45" t="s">
        <v>121</v>
      </c>
      <c r="G665" s="46">
        <f t="shared" si="78"/>
        <v>135</v>
      </c>
      <c r="H665" s="46">
        <f>TRUNC(S665*(1-LOTE_03!$K$10),2)</f>
        <v>588.53</v>
      </c>
      <c r="I665" s="46">
        <f>TRUNC(T665*(1-LOTE_03!$K$10),2)</f>
        <v>44.91</v>
      </c>
      <c r="J665" s="100">
        <f t="shared" si="79"/>
        <v>0.22470000000000001</v>
      </c>
      <c r="K665" s="48">
        <f t="shared" si="73"/>
        <v>720.77</v>
      </c>
      <c r="L665" s="48">
        <f t="shared" si="74"/>
        <v>55</v>
      </c>
      <c r="M665" s="48">
        <f t="shared" si="75"/>
        <v>97303.95</v>
      </c>
      <c r="N665" s="48">
        <f t="shared" si="76"/>
        <v>7425</v>
      </c>
      <c r="O665" s="50">
        <f t="shared" si="77"/>
        <v>104728.95</v>
      </c>
      <c r="P665" s="50">
        <v>0</v>
      </c>
      <c r="Q665" s="76"/>
      <c r="R665" s="139">
        <f>5*3*(S9+S10)</f>
        <v>135</v>
      </c>
      <c r="S665" s="79">
        <v>588.53000000000009</v>
      </c>
      <c r="T665" s="80">
        <v>44.91</v>
      </c>
    </row>
    <row r="666" spans="2:20" ht="56">
      <c r="B666" s="5" t="s">
        <v>1586</v>
      </c>
      <c r="C666" s="45" t="s">
        <v>135</v>
      </c>
      <c r="D666" s="45">
        <v>102184</v>
      </c>
      <c r="E666" s="6" t="s">
        <v>1787</v>
      </c>
      <c r="F666" s="45" t="s">
        <v>210</v>
      </c>
      <c r="G666" s="46">
        <f t="shared" si="78"/>
        <v>9</v>
      </c>
      <c r="H666" s="46">
        <f>TRUNC(S666*(1-LOTE_03!$K$10),2)</f>
        <v>2280.39</v>
      </c>
      <c r="I666" s="46">
        <f>TRUNC(T666*(1-LOTE_03!$K$10),2)</f>
        <v>107.2</v>
      </c>
      <c r="J666" s="100">
        <f t="shared" si="79"/>
        <v>0.22470000000000001</v>
      </c>
      <c r="K666" s="48">
        <f t="shared" si="73"/>
        <v>2792.79</v>
      </c>
      <c r="L666" s="48">
        <f t="shared" si="74"/>
        <v>131.28</v>
      </c>
      <c r="M666" s="48">
        <f t="shared" si="75"/>
        <v>25135.11</v>
      </c>
      <c r="N666" s="48">
        <f t="shared" si="76"/>
        <v>1181.52</v>
      </c>
      <c r="O666" s="50">
        <f t="shared" si="77"/>
        <v>26316.63</v>
      </c>
      <c r="P666" s="50">
        <v>0</v>
      </c>
      <c r="Q666" s="76"/>
      <c r="R666" s="139">
        <f>1*(S9+S10)</f>
        <v>9</v>
      </c>
      <c r="S666" s="79">
        <v>2280.3900000000003</v>
      </c>
      <c r="T666" s="80">
        <v>107.2</v>
      </c>
    </row>
    <row r="667" spans="2:20" ht="70">
      <c r="B667" s="5" t="s">
        <v>1587</v>
      </c>
      <c r="C667" s="45" t="s">
        <v>135</v>
      </c>
      <c r="D667" s="45">
        <v>96366</v>
      </c>
      <c r="E667" s="6" t="s">
        <v>1588</v>
      </c>
      <c r="F667" s="45" t="s">
        <v>121</v>
      </c>
      <c r="G667" s="46">
        <f t="shared" si="78"/>
        <v>135</v>
      </c>
      <c r="H667" s="46">
        <f>TRUNC(S667*(1-LOTE_03!$K$10),2)</f>
        <v>170.23</v>
      </c>
      <c r="I667" s="46">
        <f>TRUNC(T667*(1-LOTE_03!$K$10),2)</f>
        <v>17.989999999999998</v>
      </c>
      <c r="J667" s="100">
        <f t="shared" si="79"/>
        <v>0.22470000000000001</v>
      </c>
      <c r="K667" s="48">
        <f t="shared" si="73"/>
        <v>208.48</v>
      </c>
      <c r="L667" s="48">
        <f t="shared" si="74"/>
        <v>22.03</v>
      </c>
      <c r="M667" s="48">
        <f t="shared" si="75"/>
        <v>28144.799999999999</v>
      </c>
      <c r="N667" s="48">
        <f t="shared" si="76"/>
        <v>2974.05</v>
      </c>
      <c r="O667" s="50">
        <f t="shared" si="77"/>
        <v>31118.85</v>
      </c>
      <c r="P667" s="50">
        <v>0</v>
      </c>
      <c r="Q667" s="76"/>
      <c r="R667" s="139">
        <f>5*3*(S9+S10)</f>
        <v>135</v>
      </c>
      <c r="S667" s="79">
        <v>170.23</v>
      </c>
      <c r="T667" s="80">
        <v>17.989999999999998</v>
      </c>
    </row>
    <row r="668" spans="2:20" ht="84">
      <c r="B668" s="5" t="s">
        <v>1589</v>
      </c>
      <c r="C668" s="45" t="s">
        <v>97</v>
      </c>
      <c r="D668" s="45" t="s">
        <v>1477</v>
      </c>
      <c r="E668" s="6" t="s">
        <v>1478</v>
      </c>
      <c r="F668" s="45" t="s">
        <v>121</v>
      </c>
      <c r="G668" s="46">
        <f t="shared" si="78"/>
        <v>157.5</v>
      </c>
      <c r="H668" s="46">
        <f>TRUNC(S668*(1-LOTE_03!$K$10),2)</f>
        <v>330.28</v>
      </c>
      <c r="I668" s="46">
        <f>TRUNC(T668*(1-LOTE_03!$K$10),2)</f>
        <v>32.4</v>
      </c>
      <c r="J668" s="100">
        <f t="shared" si="79"/>
        <v>0.22470000000000001</v>
      </c>
      <c r="K668" s="48">
        <f t="shared" si="73"/>
        <v>404.49</v>
      </c>
      <c r="L668" s="48">
        <f t="shared" si="74"/>
        <v>39.68</v>
      </c>
      <c r="M668" s="48">
        <f t="shared" si="75"/>
        <v>63707.17</v>
      </c>
      <c r="N668" s="48">
        <f t="shared" si="76"/>
        <v>6249.6</v>
      </c>
      <c r="O668" s="50">
        <f t="shared" si="77"/>
        <v>69956.77</v>
      </c>
      <c r="P668" s="50">
        <v>0</v>
      </c>
      <c r="Q668" s="76"/>
      <c r="R668" s="139">
        <f>5*3.5*(S9+S10)</f>
        <v>157.5</v>
      </c>
      <c r="S668" s="79">
        <v>330.28</v>
      </c>
      <c r="T668" s="80">
        <v>32.4</v>
      </c>
    </row>
    <row r="669" spans="2:20" ht="84">
      <c r="B669" s="5" t="s">
        <v>1590</v>
      </c>
      <c r="C669" s="45" t="s">
        <v>97</v>
      </c>
      <c r="D669" s="45" t="s">
        <v>1591</v>
      </c>
      <c r="E669" s="6" t="s">
        <v>1592</v>
      </c>
      <c r="F669" s="45" t="s">
        <v>104</v>
      </c>
      <c r="G669" s="46">
        <f t="shared" si="78"/>
        <v>9</v>
      </c>
      <c r="H669" s="46">
        <f>TRUNC(S669*(1-LOTE_03!$K$10),2)</f>
        <v>462.21</v>
      </c>
      <c r="I669" s="46">
        <f>TRUNC(T669*(1-LOTE_03!$K$10),2)</f>
        <v>4.33</v>
      </c>
      <c r="J669" s="100">
        <f t="shared" si="79"/>
        <v>0.22470000000000001</v>
      </c>
      <c r="K669" s="48">
        <f t="shared" si="73"/>
        <v>566.05999999999995</v>
      </c>
      <c r="L669" s="48">
        <f t="shared" si="74"/>
        <v>5.3</v>
      </c>
      <c r="M669" s="48">
        <f t="shared" si="75"/>
        <v>5094.54</v>
      </c>
      <c r="N669" s="48">
        <f t="shared" si="76"/>
        <v>47.7</v>
      </c>
      <c r="O669" s="50">
        <f t="shared" si="77"/>
        <v>5142.24</v>
      </c>
      <c r="P669" s="50">
        <v>0</v>
      </c>
      <c r="Q669" s="76"/>
      <c r="R669" s="139">
        <f>1*(S9+S10)</f>
        <v>9</v>
      </c>
      <c r="S669" s="79">
        <v>462.21</v>
      </c>
      <c r="T669" s="80">
        <v>4.33</v>
      </c>
    </row>
    <row r="670" spans="2:20" ht="56">
      <c r="B670" s="5" t="s">
        <v>1593</v>
      </c>
      <c r="C670" s="45" t="s">
        <v>97</v>
      </c>
      <c r="D670" s="45" t="s">
        <v>1594</v>
      </c>
      <c r="E670" s="6" t="s">
        <v>1595</v>
      </c>
      <c r="F670" s="45" t="s">
        <v>104</v>
      </c>
      <c r="G670" s="46">
        <f t="shared" si="78"/>
        <v>9</v>
      </c>
      <c r="H670" s="46">
        <f>TRUNC(S670*(1-LOTE_03!$K$10),2)</f>
        <v>4499.26</v>
      </c>
      <c r="I670" s="46">
        <f>TRUNC(T670*(1-LOTE_03!$K$10),2)</f>
        <v>20.420000000000002</v>
      </c>
      <c r="J670" s="100">
        <f t="shared" si="79"/>
        <v>0.22470000000000001</v>
      </c>
      <c r="K670" s="48">
        <f t="shared" si="73"/>
        <v>5510.24</v>
      </c>
      <c r="L670" s="48">
        <f t="shared" si="74"/>
        <v>25</v>
      </c>
      <c r="M670" s="48">
        <f t="shared" si="75"/>
        <v>49592.160000000003</v>
      </c>
      <c r="N670" s="48">
        <f t="shared" si="76"/>
        <v>225</v>
      </c>
      <c r="O670" s="50">
        <f t="shared" si="77"/>
        <v>49817.16</v>
      </c>
      <c r="P670" s="50">
        <v>0</v>
      </c>
      <c r="Q670" s="76"/>
      <c r="R670" s="139">
        <f>1*(S9+S10)</f>
        <v>9</v>
      </c>
      <c r="S670" s="79">
        <v>4499.26</v>
      </c>
      <c r="T670" s="80">
        <v>20.420000000000002</v>
      </c>
    </row>
    <row r="671" spans="2:20">
      <c r="B671" s="5" t="s">
        <v>1596</v>
      </c>
      <c r="C671" s="45" t="s">
        <v>97</v>
      </c>
      <c r="D671" s="45" t="s">
        <v>1597</v>
      </c>
      <c r="E671" s="6" t="s">
        <v>1598</v>
      </c>
      <c r="F671" s="45" t="s">
        <v>121</v>
      </c>
      <c r="G671" s="46">
        <f t="shared" si="78"/>
        <v>135</v>
      </c>
      <c r="H671" s="46">
        <f>TRUNC(S671*(1-LOTE_03!$K$10),2)</f>
        <v>2093.83</v>
      </c>
      <c r="I671" s="46">
        <f>TRUNC(T671*(1-LOTE_03!$K$10),2)</f>
        <v>8.17</v>
      </c>
      <c r="J671" s="100">
        <f t="shared" si="79"/>
        <v>0.22470000000000001</v>
      </c>
      <c r="K671" s="48">
        <f t="shared" si="73"/>
        <v>2564.31</v>
      </c>
      <c r="L671" s="48">
        <f t="shared" si="74"/>
        <v>10</v>
      </c>
      <c r="M671" s="48">
        <f t="shared" si="75"/>
        <v>346181.85</v>
      </c>
      <c r="N671" s="48">
        <f t="shared" si="76"/>
        <v>1350</v>
      </c>
      <c r="O671" s="50">
        <f t="shared" si="77"/>
        <v>347531.85</v>
      </c>
      <c r="P671" s="50">
        <v>0</v>
      </c>
      <c r="Q671" s="76"/>
      <c r="R671" s="139">
        <f>5*3*(S9+S10)</f>
        <v>135</v>
      </c>
      <c r="S671" s="79">
        <v>2093.83</v>
      </c>
      <c r="T671" s="80">
        <v>8.17</v>
      </c>
    </row>
    <row r="672" spans="2:20" ht="42">
      <c r="B672" s="5" t="s">
        <v>1599</v>
      </c>
      <c r="C672" s="45" t="s">
        <v>97</v>
      </c>
      <c r="D672" s="45" t="s">
        <v>1600</v>
      </c>
      <c r="E672" s="6" t="s">
        <v>1601</v>
      </c>
      <c r="F672" s="45" t="s">
        <v>121</v>
      </c>
      <c r="G672" s="46">
        <f t="shared" si="78"/>
        <v>135</v>
      </c>
      <c r="H672" s="46">
        <f>TRUNC(S672*(1-LOTE_03!$K$10),2)</f>
        <v>289.22000000000003</v>
      </c>
      <c r="I672" s="46">
        <f>TRUNC(T672*(1-LOTE_03!$K$10),2)</f>
        <v>11.76</v>
      </c>
      <c r="J672" s="100">
        <f t="shared" si="79"/>
        <v>0.22470000000000001</v>
      </c>
      <c r="K672" s="48">
        <f t="shared" si="73"/>
        <v>354.2</v>
      </c>
      <c r="L672" s="48">
        <f t="shared" si="74"/>
        <v>14.4</v>
      </c>
      <c r="M672" s="48">
        <f t="shared" si="75"/>
        <v>47817</v>
      </c>
      <c r="N672" s="48">
        <f t="shared" si="76"/>
        <v>1944</v>
      </c>
      <c r="O672" s="50">
        <f t="shared" si="77"/>
        <v>49761</v>
      </c>
      <c r="P672" s="50">
        <v>0</v>
      </c>
      <c r="Q672" s="76"/>
      <c r="R672" s="139">
        <f>5*3*(S9+S10)</f>
        <v>135</v>
      </c>
      <c r="S672" s="79">
        <v>289.22000000000003</v>
      </c>
      <c r="T672" s="80">
        <v>11.76</v>
      </c>
    </row>
    <row r="673" spans="2:20" ht="28">
      <c r="B673" s="5" t="s">
        <v>1602</v>
      </c>
      <c r="C673" s="45" t="s">
        <v>97</v>
      </c>
      <c r="D673" s="45" t="s">
        <v>1484</v>
      </c>
      <c r="E673" s="6" t="s">
        <v>1485</v>
      </c>
      <c r="F673" s="45" t="s">
        <v>121</v>
      </c>
      <c r="G673" s="46">
        <f t="shared" si="78"/>
        <v>45</v>
      </c>
      <c r="H673" s="46">
        <f>TRUNC(S673*(1-LOTE_03!$K$10),2)</f>
        <v>444.32</v>
      </c>
      <c r="I673" s="46">
        <f>TRUNC(T673*(1-LOTE_03!$K$10),2)</f>
        <v>4.66</v>
      </c>
      <c r="J673" s="100">
        <f t="shared" si="79"/>
        <v>0.22470000000000001</v>
      </c>
      <c r="K673" s="48">
        <f t="shared" si="73"/>
        <v>544.15</v>
      </c>
      <c r="L673" s="48">
        <f t="shared" si="74"/>
        <v>5.7</v>
      </c>
      <c r="M673" s="48">
        <f t="shared" si="75"/>
        <v>24486.75</v>
      </c>
      <c r="N673" s="48">
        <f t="shared" si="76"/>
        <v>256.5</v>
      </c>
      <c r="O673" s="50">
        <f t="shared" si="77"/>
        <v>24743.25</v>
      </c>
      <c r="P673" s="50">
        <v>0</v>
      </c>
      <c r="Q673" s="76"/>
      <c r="R673" s="139">
        <f>1*5*(S9+S10)</f>
        <v>45</v>
      </c>
      <c r="S673" s="79">
        <v>444.32</v>
      </c>
      <c r="T673" s="80">
        <v>4.66</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50">
        <v>0</v>
      </c>
      <c r="Q674" s="76"/>
      <c r="R674" s="154"/>
      <c r="S674" s="79" t="s">
        <v>22</v>
      </c>
      <c r="T674" s="80" t="s">
        <v>22</v>
      </c>
    </row>
    <row r="675" spans="2:20" ht="42">
      <c r="B675" s="5" t="s">
        <v>1605</v>
      </c>
      <c r="C675" s="45" t="s">
        <v>135</v>
      </c>
      <c r="D675" s="45">
        <v>102181</v>
      </c>
      <c r="E675" s="6" t="s">
        <v>1773</v>
      </c>
      <c r="F675" s="45" t="s">
        <v>121</v>
      </c>
      <c r="G675" s="46">
        <f t="shared" si="78"/>
        <v>162</v>
      </c>
      <c r="H675" s="46">
        <f>TRUNC(S675*(1-LOTE_03!$K$10),2)</f>
        <v>588.53</v>
      </c>
      <c r="I675" s="46">
        <f>TRUNC(T675*(1-LOTE_03!$K$10),2)</f>
        <v>44.91</v>
      </c>
      <c r="J675" s="100">
        <f t="shared" si="79"/>
        <v>0.22470000000000001</v>
      </c>
      <c r="K675" s="48">
        <f t="shared" si="73"/>
        <v>720.77</v>
      </c>
      <c r="L675" s="48">
        <f t="shared" si="74"/>
        <v>55</v>
      </c>
      <c r="M675" s="48">
        <f t="shared" si="75"/>
        <v>116764.74</v>
      </c>
      <c r="N675" s="48">
        <f t="shared" si="76"/>
        <v>8910</v>
      </c>
      <c r="O675" s="50">
        <f t="shared" si="77"/>
        <v>125674.74</v>
      </c>
      <c r="P675" s="50">
        <v>0</v>
      </c>
      <c r="Q675" s="76"/>
      <c r="R675" s="139">
        <f>6*3*(S9+S10)</f>
        <v>162</v>
      </c>
      <c r="S675" s="79">
        <v>588.53000000000009</v>
      </c>
      <c r="T675" s="80">
        <v>44.91</v>
      </c>
    </row>
    <row r="676" spans="2:20" ht="56">
      <c r="B676" s="5" t="s">
        <v>1606</v>
      </c>
      <c r="C676" s="45" t="s">
        <v>135</v>
      </c>
      <c r="D676" s="45">
        <v>102184</v>
      </c>
      <c r="E676" s="6" t="s">
        <v>1787</v>
      </c>
      <c r="F676" s="45" t="s">
        <v>210</v>
      </c>
      <c r="G676" s="46">
        <f t="shared" si="78"/>
        <v>9</v>
      </c>
      <c r="H676" s="46">
        <f>TRUNC(S676*(1-LOTE_03!$K$10),2)</f>
        <v>2280.39</v>
      </c>
      <c r="I676" s="46">
        <f>TRUNC(T676*(1-LOTE_03!$K$10),2)</f>
        <v>107.2</v>
      </c>
      <c r="J676" s="100">
        <f t="shared" si="79"/>
        <v>0.22470000000000001</v>
      </c>
      <c r="K676" s="48">
        <f t="shared" si="73"/>
        <v>2792.79</v>
      </c>
      <c r="L676" s="48">
        <f t="shared" si="74"/>
        <v>131.28</v>
      </c>
      <c r="M676" s="48">
        <f t="shared" si="75"/>
        <v>25135.11</v>
      </c>
      <c r="N676" s="48">
        <f t="shared" si="76"/>
        <v>1181.52</v>
      </c>
      <c r="O676" s="50">
        <f t="shared" si="77"/>
        <v>26316.63</v>
      </c>
      <c r="P676" s="50">
        <v>0</v>
      </c>
      <c r="Q676" s="76"/>
      <c r="R676" s="139">
        <f>1*(S9+S10)</f>
        <v>9</v>
      </c>
      <c r="S676" s="79">
        <v>2280.3900000000003</v>
      </c>
      <c r="T676" s="80">
        <v>107.2</v>
      </c>
    </row>
    <row r="677" spans="2:20" ht="84">
      <c r="B677" s="5" t="s">
        <v>1607</v>
      </c>
      <c r="C677" s="45" t="s">
        <v>97</v>
      </c>
      <c r="D677" s="45" t="s">
        <v>1477</v>
      </c>
      <c r="E677" s="6" t="s">
        <v>1478</v>
      </c>
      <c r="F677" s="45" t="s">
        <v>121</v>
      </c>
      <c r="G677" s="46">
        <f t="shared" si="78"/>
        <v>162</v>
      </c>
      <c r="H677" s="46">
        <f>TRUNC(S677*(1-LOTE_03!$K$10),2)</f>
        <v>330.28</v>
      </c>
      <c r="I677" s="46">
        <f>TRUNC(T677*(1-LOTE_03!$K$10),2)</f>
        <v>32.4</v>
      </c>
      <c r="J677" s="100">
        <f t="shared" si="79"/>
        <v>0.22470000000000001</v>
      </c>
      <c r="K677" s="48">
        <f t="shared" si="73"/>
        <v>404.49</v>
      </c>
      <c r="L677" s="48">
        <f t="shared" si="74"/>
        <v>39.68</v>
      </c>
      <c r="M677" s="48">
        <f t="shared" si="75"/>
        <v>65527.38</v>
      </c>
      <c r="N677" s="48">
        <f t="shared" si="76"/>
        <v>6428.16</v>
      </c>
      <c r="O677" s="50">
        <f t="shared" si="77"/>
        <v>71955.539999999994</v>
      </c>
      <c r="P677" s="50">
        <v>0</v>
      </c>
      <c r="Q677" s="76"/>
      <c r="R677" s="139">
        <f>6*3*(S9+S10)</f>
        <v>162</v>
      </c>
      <c r="S677" s="79">
        <v>330.28</v>
      </c>
      <c r="T677" s="80">
        <v>32.4</v>
      </c>
    </row>
    <row r="678" spans="2:20" ht="84">
      <c r="B678" s="5" t="s">
        <v>1608</v>
      </c>
      <c r="C678" s="45" t="s">
        <v>97</v>
      </c>
      <c r="D678" s="45" t="s">
        <v>1591</v>
      </c>
      <c r="E678" s="6" t="s">
        <v>1592</v>
      </c>
      <c r="F678" s="45" t="s">
        <v>104</v>
      </c>
      <c r="G678" s="46">
        <f t="shared" si="78"/>
        <v>9</v>
      </c>
      <c r="H678" s="46">
        <f>TRUNC(S678*(1-LOTE_03!$K$10),2)</f>
        <v>462.21</v>
      </c>
      <c r="I678" s="46">
        <f>TRUNC(T678*(1-LOTE_03!$K$10),2)</f>
        <v>4.33</v>
      </c>
      <c r="J678" s="100">
        <f t="shared" si="79"/>
        <v>0.22470000000000001</v>
      </c>
      <c r="K678" s="48">
        <f t="shared" si="73"/>
        <v>566.05999999999995</v>
      </c>
      <c r="L678" s="48">
        <f t="shared" si="74"/>
        <v>5.3</v>
      </c>
      <c r="M678" s="48">
        <f t="shared" si="75"/>
        <v>5094.54</v>
      </c>
      <c r="N678" s="48">
        <f t="shared" si="76"/>
        <v>47.7</v>
      </c>
      <c r="O678" s="50">
        <f t="shared" si="77"/>
        <v>5142.24</v>
      </c>
      <c r="P678" s="50">
        <v>0</v>
      </c>
      <c r="Q678" s="76"/>
      <c r="R678" s="139">
        <f>1*(S9+S10)</f>
        <v>9</v>
      </c>
      <c r="S678" s="79">
        <v>462.21</v>
      </c>
      <c r="T678" s="80">
        <v>4.33</v>
      </c>
    </row>
    <row r="679" spans="2:20" ht="42">
      <c r="B679" s="5" t="s">
        <v>1609</v>
      </c>
      <c r="C679" s="45" t="s">
        <v>97</v>
      </c>
      <c r="D679" s="45" t="s">
        <v>1610</v>
      </c>
      <c r="E679" s="6" t="s">
        <v>1611</v>
      </c>
      <c r="F679" s="45" t="s">
        <v>104</v>
      </c>
      <c r="G679" s="46">
        <f t="shared" si="78"/>
        <v>9</v>
      </c>
      <c r="H679" s="46">
        <f>TRUNC(S679*(1-LOTE_03!$K$10),2)</f>
        <v>64.39</v>
      </c>
      <c r="I679" s="46">
        <f>TRUNC(T679*(1-LOTE_03!$K$10),2)</f>
        <v>0</v>
      </c>
      <c r="J679" s="100">
        <f t="shared" si="79"/>
        <v>0.22470000000000001</v>
      </c>
      <c r="K679" s="48">
        <f t="shared" si="73"/>
        <v>78.849999999999994</v>
      </c>
      <c r="L679" s="48">
        <f t="shared" si="74"/>
        <v>0</v>
      </c>
      <c r="M679" s="48">
        <f t="shared" si="75"/>
        <v>709.65</v>
      </c>
      <c r="N679" s="48">
        <f t="shared" si="76"/>
        <v>0</v>
      </c>
      <c r="O679" s="50">
        <f t="shared" si="77"/>
        <v>709.65</v>
      </c>
      <c r="P679" s="50">
        <v>0</v>
      </c>
      <c r="Q679" s="76"/>
      <c r="R679" s="140">
        <f>1*(S10+S9)</f>
        <v>9</v>
      </c>
      <c r="S679" s="79">
        <v>64.39</v>
      </c>
      <c r="T679" s="80">
        <v>0</v>
      </c>
    </row>
    <row r="680" spans="2:20">
      <c r="B680" s="5" t="s">
        <v>1612</v>
      </c>
      <c r="C680" s="45" t="s">
        <v>97</v>
      </c>
      <c r="D680" s="45" t="s">
        <v>1597</v>
      </c>
      <c r="E680" s="6" t="s">
        <v>1598</v>
      </c>
      <c r="F680" s="45" t="s">
        <v>121</v>
      </c>
      <c r="G680" s="46">
        <f t="shared" si="78"/>
        <v>162</v>
      </c>
      <c r="H680" s="46">
        <f>TRUNC(S680*(1-LOTE_03!$K$10),2)</f>
        <v>2093.83</v>
      </c>
      <c r="I680" s="46">
        <f>TRUNC(T680*(1-LOTE_03!$K$10),2)</f>
        <v>8.17</v>
      </c>
      <c r="J680" s="100">
        <f t="shared" si="79"/>
        <v>0.22470000000000001</v>
      </c>
      <c r="K680" s="48">
        <f t="shared" si="73"/>
        <v>2564.31</v>
      </c>
      <c r="L680" s="48">
        <f t="shared" si="74"/>
        <v>10</v>
      </c>
      <c r="M680" s="48">
        <f t="shared" si="75"/>
        <v>415418.22</v>
      </c>
      <c r="N680" s="48">
        <f t="shared" si="76"/>
        <v>1620</v>
      </c>
      <c r="O680" s="50">
        <f t="shared" si="77"/>
        <v>417038.22</v>
      </c>
      <c r="P680" s="50">
        <v>0</v>
      </c>
      <c r="Q680" s="76"/>
      <c r="R680" s="139">
        <f>6*3*(S9+S10)</f>
        <v>162</v>
      </c>
      <c r="S680" s="79">
        <v>2093.83</v>
      </c>
      <c r="T680" s="80">
        <v>8.17</v>
      </c>
    </row>
    <row r="681" spans="2:20" ht="42">
      <c r="B681" s="5" t="s">
        <v>1613</v>
      </c>
      <c r="C681" s="45" t="s">
        <v>97</v>
      </c>
      <c r="D681" s="45" t="s">
        <v>1600</v>
      </c>
      <c r="E681" s="6" t="s">
        <v>1601</v>
      </c>
      <c r="F681" s="45" t="s">
        <v>121</v>
      </c>
      <c r="G681" s="46">
        <f t="shared" si="78"/>
        <v>135</v>
      </c>
      <c r="H681" s="46">
        <f>TRUNC(S681*(1-LOTE_03!$K$10),2)</f>
        <v>289.22000000000003</v>
      </c>
      <c r="I681" s="46">
        <f>TRUNC(T681*(1-LOTE_03!$K$10),2)</f>
        <v>11.76</v>
      </c>
      <c r="J681" s="100">
        <f t="shared" si="79"/>
        <v>0.22470000000000001</v>
      </c>
      <c r="K681" s="48">
        <f t="shared" si="73"/>
        <v>354.2</v>
      </c>
      <c r="L681" s="48">
        <f t="shared" si="74"/>
        <v>14.4</v>
      </c>
      <c r="M681" s="48">
        <f t="shared" si="75"/>
        <v>47817</v>
      </c>
      <c r="N681" s="48">
        <f t="shared" si="76"/>
        <v>1944</v>
      </c>
      <c r="O681" s="50">
        <f t="shared" si="77"/>
        <v>49761</v>
      </c>
      <c r="P681" s="50">
        <v>0</v>
      </c>
      <c r="Q681" s="76"/>
      <c r="R681" s="139">
        <f>5*3*(S9+S10)</f>
        <v>135</v>
      </c>
      <c r="S681" s="79">
        <v>289.22000000000003</v>
      </c>
      <c r="T681" s="80">
        <v>11.76</v>
      </c>
    </row>
    <row r="682" spans="2:20" ht="56">
      <c r="B682" s="5" t="s">
        <v>1614</v>
      </c>
      <c r="C682" s="45" t="s">
        <v>97</v>
      </c>
      <c r="D682" s="45" t="s">
        <v>1615</v>
      </c>
      <c r="E682" s="6" t="s">
        <v>1616</v>
      </c>
      <c r="F682" s="45" t="s">
        <v>104</v>
      </c>
      <c r="G682" s="46">
        <f t="shared" si="78"/>
        <v>9</v>
      </c>
      <c r="H682" s="46">
        <f>TRUNC(S682*(1-LOTE_03!$K$10),2)</f>
        <v>3318.64</v>
      </c>
      <c r="I682" s="46">
        <f>TRUNC(T682*(1-LOTE_03!$K$10),2)</f>
        <v>12.25</v>
      </c>
      <c r="J682" s="100">
        <f t="shared" si="79"/>
        <v>0.22470000000000001</v>
      </c>
      <c r="K682" s="48">
        <f t="shared" si="73"/>
        <v>4064.33</v>
      </c>
      <c r="L682" s="48">
        <f t="shared" si="74"/>
        <v>15</v>
      </c>
      <c r="M682" s="48">
        <f t="shared" si="75"/>
        <v>36578.97</v>
      </c>
      <c r="N682" s="48">
        <f t="shared" si="76"/>
        <v>135</v>
      </c>
      <c r="O682" s="50">
        <f t="shared" si="77"/>
        <v>36713.97</v>
      </c>
      <c r="P682" s="50">
        <v>0</v>
      </c>
      <c r="Q682" s="76"/>
      <c r="R682" s="139">
        <f>1*(S9+S10)</f>
        <v>9</v>
      </c>
      <c r="S682" s="79">
        <v>3318.64</v>
      </c>
      <c r="T682" s="80">
        <v>12.25</v>
      </c>
    </row>
    <row r="683" spans="2:20" ht="28">
      <c r="B683" s="5" t="s">
        <v>1617</v>
      </c>
      <c r="C683" s="45" t="s">
        <v>97</v>
      </c>
      <c r="D683" s="45" t="s">
        <v>1484</v>
      </c>
      <c r="E683" s="6" t="s">
        <v>1485</v>
      </c>
      <c r="F683" s="45" t="s">
        <v>121</v>
      </c>
      <c r="G683" s="46">
        <f t="shared" si="78"/>
        <v>49.5</v>
      </c>
      <c r="H683" s="46">
        <f>TRUNC(S683*(1-LOTE_03!$K$10),2)</f>
        <v>444.32</v>
      </c>
      <c r="I683" s="46">
        <f>TRUNC(T683*(1-LOTE_03!$K$10),2)</f>
        <v>4.66</v>
      </c>
      <c r="J683" s="100">
        <f t="shared" si="79"/>
        <v>0.22470000000000001</v>
      </c>
      <c r="K683" s="48">
        <f t="shared" si="73"/>
        <v>544.15</v>
      </c>
      <c r="L683" s="48">
        <f t="shared" si="74"/>
        <v>5.7</v>
      </c>
      <c r="M683" s="48">
        <f t="shared" si="75"/>
        <v>26935.42</v>
      </c>
      <c r="N683" s="48">
        <f t="shared" si="76"/>
        <v>282.14999999999998</v>
      </c>
      <c r="O683" s="50">
        <f t="shared" si="77"/>
        <v>27217.57</v>
      </c>
      <c r="P683" s="50">
        <v>0</v>
      </c>
      <c r="Q683" s="76"/>
      <c r="R683" s="139">
        <f>1*5.5*(S9+S10)</f>
        <v>49.5</v>
      </c>
      <c r="S683" s="79">
        <v>444.32</v>
      </c>
      <c r="T683" s="80">
        <v>4.66</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1188964.5899999999</v>
      </c>
      <c r="Q684" s="76"/>
      <c r="R684" s="155"/>
      <c r="S684" s="79" t="s">
        <v>22</v>
      </c>
      <c r="T684" s="80" t="s">
        <v>22</v>
      </c>
    </row>
    <row r="685" spans="2:20" ht="56">
      <c r="B685" s="5" t="s">
        <v>1619</v>
      </c>
      <c r="C685" s="45" t="s">
        <v>135</v>
      </c>
      <c r="D685" s="45">
        <v>103247</v>
      </c>
      <c r="E685" s="6" t="s">
        <v>1620</v>
      </c>
      <c r="F685" s="45" t="s">
        <v>210</v>
      </c>
      <c r="G685" s="46">
        <f t="shared" si="78"/>
        <v>18</v>
      </c>
      <c r="H685" s="46">
        <f>TRUNC(S685*(1-LOTE_03!$K$10),2)</f>
        <v>3417.98</v>
      </c>
      <c r="I685" s="46">
        <f>TRUNC(T685*(1-LOTE_03!$K$10),2)</f>
        <v>86.56</v>
      </c>
      <c r="J685" s="100">
        <f>$J$5</f>
        <v>0.16500000000000001</v>
      </c>
      <c r="K685" s="48">
        <f t="shared" si="73"/>
        <v>3981.94</v>
      </c>
      <c r="L685" s="48">
        <f t="shared" si="74"/>
        <v>100.84</v>
      </c>
      <c r="M685" s="48">
        <f t="shared" si="75"/>
        <v>71674.92</v>
      </c>
      <c r="N685" s="48">
        <f t="shared" si="76"/>
        <v>1815.12</v>
      </c>
      <c r="O685" s="50">
        <f t="shared" si="77"/>
        <v>73490.039999999994</v>
      </c>
      <c r="P685" s="50">
        <v>0</v>
      </c>
      <c r="Q685" s="76"/>
      <c r="R685" s="139">
        <f>2*(S9+S10)</f>
        <v>18</v>
      </c>
      <c r="S685" s="79">
        <v>3417.98</v>
      </c>
      <c r="T685" s="80">
        <v>86.56</v>
      </c>
    </row>
    <row r="686" spans="2:20" ht="56">
      <c r="B686" s="5" t="s">
        <v>1621</v>
      </c>
      <c r="C686" s="45" t="s">
        <v>135</v>
      </c>
      <c r="D686" s="45">
        <v>103250</v>
      </c>
      <c r="E686" s="6" t="s">
        <v>1622</v>
      </c>
      <c r="F686" s="45" t="s">
        <v>210</v>
      </c>
      <c r="G686" s="46">
        <f t="shared" si="78"/>
        <v>18</v>
      </c>
      <c r="H686" s="46">
        <f>TRUNC(S686*(1-LOTE_03!$K$10),2)</f>
        <v>5021.5600000000004</v>
      </c>
      <c r="I686" s="46">
        <f>TRUNC(T686*(1-LOTE_03!$K$10),2)</f>
        <v>93.08</v>
      </c>
      <c r="J686" s="100">
        <f t="shared" ref="J686:J691" si="80">$J$5</f>
        <v>0.16500000000000001</v>
      </c>
      <c r="K686" s="48">
        <f t="shared" si="73"/>
        <v>5850.11</v>
      </c>
      <c r="L686" s="48">
        <f t="shared" si="74"/>
        <v>108.43</v>
      </c>
      <c r="M686" s="48">
        <f t="shared" si="75"/>
        <v>105301.98</v>
      </c>
      <c r="N686" s="48">
        <f t="shared" si="76"/>
        <v>1951.74</v>
      </c>
      <c r="O686" s="50">
        <f t="shared" si="77"/>
        <v>107253.72</v>
      </c>
      <c r="P686" s="50">
        <v>0</v>
      </c>
      <c r="Q686" s="76"/>
      <c r="R686" s="139">
        <f>2*(S10+S9)</f>
        <v>18</v>
      </c>
      <c r="S686" s="79">
        <v>5021.5600000000004</v>
      </c>
      <c r="T686" s="80">
        <v>93.08</v>
      </c>
    </row>
    <row r="687" spans="2:20" ht="56">
      <c r="B687" s="5" t="s">
        <v>1623</v>
      </c>
      <c r="C687" s="45" t="s">
        <v>135</v>
      </c>
      <c r="D687" s="45">
        <v>103253</v>
      </c>
      <c r="E687" s="6" t="s">
        <v>1624</v>
      </c>
      <c r="F687" s="45" t="s">
        <v>210</v>
      </c>
      <c r="G687" s="46">
        <f t="shared" si="78"/>
        <v>18</v>
      </c>
      <c r="H687" s="46">
        <f>TRUNC(S687*(1-LOTE_03!$K$10),2)</f>
        <v>6895.82</v>
      </c>
      <c r="I687" s="46">
        <f>TRUNC(T687*(1-LOTE_03!$K$10),2)</f>
        <v>97.2</v>
      </c>
      <c r="J687" s="100">
        <f t="shared" si="80"/>
        <v>0.16500000000000001</v>
      </c>
      <c r="K687" s="48">
        <f t="shared" si="73"/>
        <v>8033.63</v>
      </c>
      <c r="L687" s="48">
        <f t="shared" si="74"/>
        <v>113.23</v>
      </c>
      <c r="M687" s="48">
        <f t="shared" si="75"/>
        <v>144605.34</v>
      </c>
      <c r="N687" s="48">
        <f t="shared" si="76"/>
        <v>2038.14</v>
      </c>
      <c r="O687" s="50">
        <f t="shared" si="77"/>
        <v>146643.48000000001</v>
      </c>
      <c r="P687" s="50">
        <v>0</v>
      </c>
      <c r="Q687" s="76"/>
      <c r="R687" s="139">
        <f>2*(S10+S9)</f>
        <v>18</v>
      </c>
      <c r="S687" s="79">
        <v>6895.8200000000006</v>
      </c>
      <c r="T687" s="80">
        <v>97.2</v>
      </c>
    </row>
    <row r="688" spans="2:20" ht="56">
      <c r="B688" s="5" t="s">
        <v>1625</v>
      </c>
      <c r="C688" s="45" t="s">
        <v>135</v>
      </c>
      <c r="D688" s="45">
        <v>103244</v>
      </c>
      <c r="E688" s="6" t="s">
        <v>1626</v>
      </c>
      <c r="F688" s="45" t="s">
        <v>210</v>
      </c>
      <c r="G688" s="46">
        <f t="shared" si="78"/>
        <v>18</v>
      </c>
      <c r="H688" s="46">
        <f>TRUNC(S688*(1-LOTE_03!$K$10),2)</f>
        <v>3065.05</v>
      </c>
      <c r="I688" s="46">
        <f>TRUNC(T688*(1-LOTE_03!$K$10),2)</f>
        <v>86.67</v>
      </c>
      <c r="J688" s="100">
        <f t="shared" si="80"/>
        <v>0.16500000000000001</v>
      </c>
      <c r="K688" s="48">
        <f t="shared" si="73"/>
        <v>3570.78</v>
      </c>
      <c r="L688" s="48">
        <f t="shared" si="74"/>
        <v>100.97</v>
      </c>
      <c r="M688" s="48">
        <f t="shared" si="75"/>
        <v>64274.04</v>
      </c>
      <c r="N688" s="48">
        <f t="shared" si="76"/>
        <v>1817.46</v>
      </c>
      <c r="O688" s="50">
        <f t="shared" si="77"/>
        <v>66091.5</v>
      </c>
      <c r="P688" s="50">
        <v>0</v>
      </c>
      <c r="Q688" s="76"/>
      <c r="R688" s="139">
        <f>2*(S9+S10)</f>
        <v>18</v>
      </c>
      <c r="S688" s="79">
        <v>3065.0499999999997</v>
      </c>
      <c r="T688" s="80">
        <v>86.67</v>
      </c>
    </row>
    <row r="689" spans="2:20" ht="56">
      <c r="B689" s="5" t="s">
        <v>1627</v>
      </c>
      <c r="C689" s="45" t="s">
        <v>135</v>
      </c>
      <c r="D689" s="45">
        <v>103261</v>
      </c>
      <c r="E689" s="6" t="s">
        <v>1628</v>
      </c>
      <c r="F689" s="45" t="s">
        <v>210</v>
      </c>
      <c r="G689" s="46">
        <f t="shared" si="78"/>
        <v>9</v>
      </c>
      <c r="H689" s="46">
        <f>TRUNC(S689*(1-LOTE_03!$K$10),2)</f>
        <v>16270.39</v>
      </c>
      <c r="I689" s="46">
        <f>TRUNC(T689*(1-LOTE_03!$K$10),2)</f>
        <v>161.02000000000001</v>
      </c>
      <c r="J689" s="100">
        <f t="shared" si="80"/>
        <v>0.16500000000000001</v>
      </c>
      <c r="K689" s="48">
        <f t="shared" si="73"/>
        <v>18955</v>
      </c>
      <c r="L689" s="48">
        <f t="shared" si="74"/>
        <v>187.58</v>
      </c>
      <c r="M689" s="48">
        <f t="shared" si="75"/>
        <v>170595</v>
      </c>
      <c r="N689" s="48">
        <f t="shared" si="76"/>
        <v>1688.22</v>
      </c>
      <c r="O689" s="50">
        <f t="shared" si="77"/>
        <v>172283.22</v>
      </c>
      <c r="P689" s="50">
        <v>0</v>
      </c>
      <c r="Q689" s="76"/>
      <c r="R689" s="139">
        <f>1*(S9+S10)</f>
        <v>9</v>
      </c>
      <c r="S689" s="79">
        <v>16270.39</v>
      </c>
      <c r="T689" s="80">
        <v>161.02000000000001</v>
      </c>
    </row>
    <row r="690" spans="2:20" ht="42">
      <c r="B690" s="5" t="s">
        <v>1629</v>
      </c>
      <c r="C690" s="45" t="s">
        <v>135</v>
      </c>
      <c r="D690" s="45">
        <v>103277</v>
      </c>
      <c r="E690" s="6" t="s">
        <v>1630</v>
      </c>
      <c r="F690" s="45" t="s">
        <v>210</v>
      </c>
      <c r="G690" s="46">
        <f>IF($S$11=0,0,TRUNC(R690,2))</f>
        <v>4</v>
      </c>
      <c r="H690" s="46">
        <f>TRUNC(S690*(1-LOTE_03!$K$10),2)</f>
        <v>34156.660000000003</v>
      </c>
      <c r="I690" s="46">
        <f>TRUNC(T690*(1-LOTE_03!$K$10),2)</f>
        <v>265.04000000000002</v>
      </c>
      <c r="J690" s="100">
        <f t="shared" si="80"/>
        <v>0.16500000000000001</v>
      </c>
      <c r="K690" s="48">
        <f t="shared" si="73"/>
        <v>39792.5</v>
      </c>
      <c r="L690" s="48">
        <f t="shared" si="74"/>
        <v>308.77</v>
      </c>
      <c r="M690" s="48">
        <f t="shared" si="75"/>
        <v>159170</v>
      </c>
      <c r="N690" s="48">
        <f t="shared" si="76"/>
        <v>1235.08</v>
      </c>
      <c r="O690" s="50">
        <f t="shared" si="77"/>
        <v>160405.07999999999</v>
      </c>
      <c r="P690" s="50">
        <v>0</v>
      </c>
      <c r="Q690" s="76"/>
      <c r="R690" s="139">
        <f>IF(40%*R691&lt;1,1,ROUND(40%*R691,0))</f>
        <v>4</v>
      </c>
      <c r="S690" s="79">
        <v>34156.659999999996</v>
      </c>
      <c r="T690" s="80">
        <v>265.04000000000002</v>
      </c>
    </row>
    <row r="691" spans="2:20" ht="42">
      <c r="B691" s="5" t="s">
        <v>1631</v>
      </c>
      <c r="C691" s="45" t="s">
        <v>135</v>
      </c>
      <c r="D691" s="45">
        <v>103278</v>
      </c>
      <c r="E691" s="6" t="s">
        <v>1632</v>
      </c>
      <c r="F691" s="45" t="s">
        <v>210</v>
      </c>
      <c r="G691" s="46">
        <f t="shared" si="78"/>
        <v>9</v>
      </c>
      <c r="H691" s="46">
        <f>TRUNC(S691*(1-LOTE_03!$K$10),2)</f>
        <v>43865.36</v>
      </c>
      <c r="I691" s="46">
        <f>TRUNC(T691*(1-LOTE_03!$K$10),2)</f>
        <v>273.66000000000003</v>
      </c>
      <c r="J691" s="100">
        <f t="shared" si="80"/>
        <v>0.16500000000000001</v>
      </c>
      <c r="K691" s="48">
        <f t="shared" si="73"/>
        <v>51103.14</v>
      </c>
      <c r="L691" s="48">
        <f t="shared" si="74"/>
        <v>318.81</v>
      </c>
      <c r="M691" s="48">
        <f t="shared" si="75"/>
        <v>459928.26</v>
      </c>
      <c r="N691" s="48">
        <f t="shared" si="76"/>
        <v>2869.29</v>
      </c>
      <c r="O691" s="50">
        <f t="shared" si="77"/>
        <v>462797.55</v>
      </c>
      <c r="P691" s="50">
        <v>0</v>
      </c>
      <c r="Q691" s="76"/>
      <c r="R691" s="139">
        <f>S10+S9</f>
        <v>9</v>
      </c>
      <c r="S691" s="79">
        <v>43865.359999999993</v>
      </c>
      <c r="T691" s="80">
        <v>273.66000000000003</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348529.41</v>
      </c>
      <c r="Q692" s="76"/>
      <c r="R692" s="154"/>
      <c r="S692" s="79" t="s">
        <v>22</v>
      </c>
      <c r="T692" s="80" t="s">
        <v>22</v>
      </c>
    </row>
    <row r="693" spans="2:20" ht="28">
      <c r="B693" s="5" t="s">
        <v>1633</v>
      </c>
      <c r="C693" s="45" t="s">
        <v>97</v>
      </c>
      <c r="D693" s="45" t="s">
        <v>1634</v>
      </c>
      <c r="E693" s="6" t="s">
        <v>1635</v>
      </c>
      <c r="F693" s="45" t="s">
        <v>104</v>
      </c>
      <c r="G693" s="46">
        <f t="shared" si="78"/>
        <v>9</v>
      </c>
      <c r="H693" s="46">
        <f>TRUNC(S693*(1-LOTE_03!$K$10),2)</f>
        <v>188.48</v>
      </c>
      <c r="I693" s="46">
        <f>TRUNC(T693*(1-LOTE_03!$K$10),2)</f>
        <v>151.72</v>
      </c>
      <c r="J693" s="100">
        <f t="shared" si="79"/>
        <v>0.22470000000000001</v>
      </c>
      <c r="K693" s="48">
        <f t="shared" si="73"/>
        <v>230.83</v>
      </c>
      <c r="L693" s="48">
        <f t="shared" si="74"/>
        <v>185.81</v>
      </c>
      <c r="M693" s="48">
        <f t="shared" si="75"/>
        <v>2077.4699999999998</v>
      </c>
      <c r="N693" s="48">
        <f t="shared" si="76"/>
        <v>1672.29</v>
      </c>
      <c r="O693" s="50">
        <f t="shared" si="77"/>
        <v>3749.76</v>
      </c>
      <c r="P693" s="50">
        <v>0</v>
      </c>
      <c r="Q693" s="76"/>
      <c r="R693" s="140">
        <f>IF((1*S9+1*S10)&gt;10,10,(1*S9+1*S10))</f>
        <v>9</v>
      </c>
      <c r="S693" s="79">
        <v>188.48</v>
      </c>
      <c r="T693" s="80">
        <v>151.72</v>
      </c>
    </row>
    <row r="694" spans="2:20" ht="42">
      <c r="B694" s="5" t="s">
        <v>1636</v>
      </c>
      <c r="C694" s="45" t="s">
        <v>97</v>
      </c>
      <c r="D694" s="45" t="s">
        <v>1637</v>
      </c>
      <c r="E694" s="6" t="s">
        <v>1638</v>
      </c>
      <c r="F694" s="45" t="s">
        <v>121</v>
      </c>
      <c r="G694" s="46">
        <f t="shared" si="78"/>
        <v>270</v>
      </c>
      <c r="H694" s="46">
        <f>TRUNC(S694*(1-LOTE_03!$K$10),2)</f>
        <v>219.65</v>
      </c>
      <c r="I694" s="46">
        <f>TRUNC(T694*(1-LOTE_03!$K$10),2)</f>
        <v>64.77</v>
      </c>
      <c r="J694" s="100">
        <f t="shared" si="79"/>
        <v>0.22470000000000001</v>
      </c>
      <c r="K694" s="48">
        <f t="shared" si="73"/>
        <v>269</v>
      </c>
      <c r="L694" s="48">
        <f t="shared" si="74"/>
        <v>79.319999999999993</v>
      </c>
      <c r="M694" s="48">
        <f t="shared" si="75"/>
        <v>72630</v>
      </c>
      <c r="N694" s="48">
        <f t="shared" si="76"/>
        <v>21416.400000000001</v>
      </c>
      <c r="O694" s="50">
        <f t="shared" si="77"/>
        <v>94046.399999999994</v>
      </c>
      <c r="P694" s="50">
        <v>0</v>
      </c>
      <c r="Q694" s="76"/>
      <c r="R694" s="139">
        <f>30*(S9+S10)</f>
        <v>270</v>
      </c>
      <c r="S694" s="79">
        <v>219.65</v>
      </c>
      <c r="T694" s="80">
        <v>64.77</v>
      </c>
    </row>
    <row r="695" spans="2:20" ht="28">
      <c r="B695" s="5" t="s">
        <v>1639</v>
      </c>
      <c r="C695" s="45" t="s">
        <v>97</v>
      </c>
      <c r="D695" s="45" t="s">
        <v>1640</v>
      </c>
      <c r="E695" s="6" t="s">
        <v>1641</v>
      </c>
      <c r="F695" s="45" t="s">
        <v>104</v>
      </c>
      <c r="G695" s="46">
        <f t="shared" si="78"/>
        <v>450</v>
      </c>
      <c r="H695" s="46">
        <f>TRUNC(S695*(1-LOTE_03!$K$10),2)</f>
        <v>3.58</v>
      </c>
      <c r="I695" s="46">
        <f>TRUNC(T695*(1-LOTE_03!$K$10),2)</f>
        <v>8.76</v>
      </c>
      <c r="J695" s="100">
        <f t="shared" si="79"/>
        <v>0.22470000000000001</v>
      </c>
      <c r="K695" s="48">
        <f t="shared" si="73"/>
        <v>4.38</v>
      </c>
      <c r="L695" s="48">
        <f t="shared" si="74"/>
        <v>10.72</v>
      </c>
      <c r="M695" s="48">
        <f t="shared" si="75"/>
        <v>1971</v>
      </c>
      <c r="N695" s="48">
        <f t="shared" si="76"/>
        <v>4824</v>
      </c>
      <c r="O695" s="50">
        <f t="shared" si="77"/>
        <v>6795</v>
      </c>
      <c r="P695" s="50">
        <v>0</v>
      </c>
      <c r="Q695" s="76"/>
      <c r="R695" s="139">
        <f>50*(S9+S10)</f>
        <v>450</v>
      </c>
      <c r="S695" s="79">
        <v>3.58</v>
      </c>
      <c r="T695" s="80">
        <v>8.76</v>
      </c>
    </row>
    <row r="696" spans="2:20" ht="28">
      <c r="B696" s="5" t="s">
        <v>1642</v>
      </c>
      <c r="C696" s="45" t="s">
        <v>97</v>
      </c>
      <c r="D696" s="45" t="s">
        <v>1643</v>
      </c>
      <c r="E696" s="6" t="s">
        <v>1644</v>
      </c>
      <c r="F696" s="45" t="s">
        <v>104</v>
      </c>
      <c r="G696" s="46">
        <f t="shared" si="78"/>
        <v>27</v>
      </c>
      <c r="H696" s="46">
        <f>TRUNC(S696*(1-LOTE_03!$K$10),2)</f>
        <v>28.64</v>
      </c>
      <c r="I696" s="46">
        <f>TRUNC(T696*(1-LOTE_03!$K$10),2)</f>
        <v>70.08</v>
      </c>
      <c r="J696" s="100">
        <f t="shared" si="79"/>
        <v>0.22470000000000001</v>
      </c>
      <c r="K696" s="48">
        <f t="shared" si="73"/>
        <v>35.07</v>
      </c>
      <c r="L696" s="48">
        <f t="shared" si="74"/>
        <v>85.82</v>
      </c>
      <c r="M696" s="48">
        <f t="shared" si="75"/>
        <v>946.89</v>
      </c>
      <c r="N696" s="48">
        <f t="shared" si="76"/>
        <v>2317.14</v>
      </c>
      <c r="O696" s="50">
        <f t="shared" si="77"/>
        <v>3264.03</v>
      </c>
      <c r="P696" s="50">
        <v>0</v>
      </c>
      <c r="Q696" s="76"/>
      <c r="R696" s="139">
        <f>3*(S9+S10)</f>
        <v>27</v>
      </c>
      <c r="S696" s="79">
        <v>28.64</v>
      </c>
      <c r="T696" s="80">
        <v>70.08</v>
      </c>
    </row>
    <row r="697" spans="2:20" ht="28">
      <c r="B697" s="5" t="s">
        <v>1645</v>
      </c>
      <c r="C697" s="45" t="s">
        <v>97</v>
      </c>
      <c r="D697" s="45" t="s">
        <v>1646</v>
      </c>
      <c r="E697" s="6" t="s">
        <v>1647</v>
      </c>
      <c r="F697" s="45" t="s">
        <v>104</v>
      </c>
      <c r="G697" s="46">
        <f t="shared" si="78"/>
        <v>9</v>
      </c>
      <c r="H697" s="46">
        <f>TRUNC(S697*(1-LOTE_03!$K$10),2)</f>
        <v>6436.41</v>
      </c>
      <c r="I697" s="46">
        <f>TRUNC(T697*(1-LOTE_03!$K$10),2)</f>
        <v>1561.49</v>
      </c>
      <c r="J697" s="100">
        <f t="shared" si="79"/>
        <v>0.22470000000000001</v>
      </c>
      <c r="K697" s="48">
        <f t="shared" si="73"/>
        <v>7882.67</v>
      </c>
      <c r="L697" s="48">
        <f t="shared" si="74"/>
        <v>1912.35</v>
      </c>
      <c r="M697" s="48">
        <f t="shared" si="75"/>
        <v>70944.03</v>
      </c>
      <c r="N697" s="48">
        <f t="shared" si="76"/>
        <v>17211.150000000001</v>
      </c>
      <c r="O697" s="50">
        <f t="shared" si="77"/>
        <v>88155.18</v>
      </c>
      <c r="P697" s="50">
        <v>0</v>
      </c>
      <c r="Q697" s="76"/>
      <c r="R697" s="139">
        <f>1*(S9+S10)</f>
        <v>9</v>
      </c>
      <c r="S697" s="79">
        <v>6436.41</v>
      </c>
      <c r="T697" s="80">
        <v>1561.49</v>
      </c>
    </row>
    <row r="698" spans="2:20" ht="28">
      <c r="B698" s="5" t="s">
        <v>1648</v>
      </c>
      <c r="C698" s="45" t="s">
        <v>97</v>
      </c>
      <c r="D698" s="45" t="s">
        <v>331</v>
      </c>
      <c r="E698" s="6" t="s">
        <v>332</v>
      </c>
      <c r="F698" s="45" t="s">
        <v>104</v>
      </c>
      <c r="G698" s="46">
        <f t="shared" si="78"/>
        <v>9</v>
      </c>
      <c r="H698" s="46">
        <f>TRUNC(S698*(1-LOTE_03!$K$10),2)</f>
        <v>6163.76</v>
      </c>
      <c r="I698" s="46">
        <f>TRUNC(T698*(1-LOTE_03!$K$10),2)</f>
        <v>611.87</v>
      </c>
      <c r="J698" s="100">
        <f t="shared" si="79"/>
        <v>0.22470000000000001</v>
      </c>
      <c r="K698" s="48">
        <f t="shared" si="73"/>
        <v>7548.75</v>
      </c>
      <c r="L698" s="48">
        <f t="shared" si="74"/>
        <v>749.35</v>
      </c>
      <c r="M698" s="48">
        <f t="shared" si="75"/>
        <v>67938.75</v>
      </c>
      <c r="N698" s="48">
        <f t="shared" si="76"/>
        <v>6744.15</v>
      </c>
      <c r="O698" s="50">
        <f t="shared" si="77"/>
        <v>74682.899999999994</v>
      </c>
      <c r="P698" s="50">
        <v>0</v>
      </c>
      <c r="Q698" s="76"/>
      <c r="R698" s="139">
        <f>1*(S9+S10)</f>
        <v>9</v>
      </c>
      <c r="S698" s="79">
        <v>6163.76</v>
      </c>
      <c r="T698" s="80">
        <v>611.87</v>
      </c>
    </row>
    <row r="699" spans="2:20" ht="42">
      <c r="B699" s="5" t="s">
        <v>1649</v>
      </c>
      <c r="C699" s="45" t="s">
        <v>97</v>
      </c>
      <c r="D699" s="45" t="s">
        <v>1650</v>
      </c>
      <c r="E699" s="6" t="s">
        <v>1651</v>
      </c>
      <c r="F699" s="45" t="s">
        <v>104</v>
      </c>
      <c r="G699" s="46">
        <f t="shared" si="78"/>
        <v>180</v>
      </c>
      <c r="H699" s="46">
        <f>TRUNC(S699*(1-LOTE_03!$K$10),2)</f>
        <v>17.45</v>
      </c>
      <c r="I699" s="46">
        <f>TRUNC(T699*(1-LOTE_03!$K$10),2)</f>
        <v>52.18</v>
      </c>
      <c r="J699" s="100">
        <f t="shared" si="79"/>
        <v>0.22470000000000001</v>
      </c>
      <c r="K699" s="48">
        <f t="shared" si="73"/>
        <v>21.37</v>
      </c>
      <c r="L699" s="48">
        <f t="shared" si="74"/>
        <v>63.9</v>
      </c>
      <c r="M699" s="48">
        <f t="shared" si="75"/>
        <v>3846.6</v>
      </c>
      <c r="N699" s="48">
        <f t="shared" si="76"/>
        <v>11502</v>
      </c>
      <c r="O699" s="50">
        <f t="shared" si="77"/>
        <v>15348.6</v>
      </c>
      <c r="P699" s="50">
        <v>0</v>
      </c>
      <c r="Q699" s="76"/>
      <c r="R699" s="139">
        <f>20*(S9+S10)</f>
        <v>180</v>
      </c>
      <c r="S699" s="79">
        <v>17.45</v>
      </c>
      <c r="T699" s="80">
        <v>52.18</v>
      </c>
    </row>
    <row r="700" spans="2:20" ht="28">
      <c r="B700" s="5" t="s">
        <v>1652</v>
      </c>
      <c r="C700" s="45" t="s">
        <v>97</v>
      </c>
      <c r="D700" s="45" t="s">
        <v>1653</v>
      </c>
      <c r="E700" s="6" t="s">
        <v>1654</v>
      </c>
      <c r="F700" s="45" t="s">
        <v>104</v>
      </c>
      <c r="G700" s="46">
        <f t="shared" si="78"/>
        <v>18</v>
      </c>
      <c r="H700" s="46">
        <f>TRUNC(S700*(1-LOTE_03!$K$10),2)</f>
        <v>5.51</v>
      </c>
      <c r="I700" s="46">
        <f>TRUNC(T700*(1-LOTE_03!$K$10),2)</f>
        <v>4.38</v>
      </c>
      <c r="J700" s="100">
        <f t="shared" si="79"/>
        <v>0.22470000000000001</v>
      </c>
      <c r="K700" s="48">
        <f t="shared" si="73"/>
        <v>6.74</v>
      </c>
      <c r="L700" s="48">
        <f t="shared" si="74"/>
        <v>5.36</v>
      </c>
      <c r="M700" s="48">
        <f t="shared" si="75"/>
        <v>121.32</v>
      </c>
      <c r="N700" s="48">
        <f t="shared" si="76"/>
        <v>96.48</v>
      </c>
      <c r="O700" s="50">
        <f t="shared" si="77"/>
        <v>217.8</v>
      </c>
      <c r="P700" s="50">
        <v>0</v>
      </c>
      <c r="Q700" s="76"/>
      <c r="R700" s="139">
        <f>2*(S9+S10)</f>
        <v>18</v>
      </c>
      <c r="S700" s="79">
        <v>5.51</v>
      </c>
      <c r="T700" s="80">
        <v>4.38</v>
      </c>
    </row>
    <row r="701" spans="2:20" ht="70">
      <c r="B701" s="5" t="s">
        <v>1655</v>
      </c>
      <c r="C701" s="45" t="s">
        <v>97</v>
      </c>
      <c r="D701" s="45" t="s">
        <v>1656</v>
      </c>
      <c r="E701" s="6" t="s">
        <v>1657</v>
      </c>
      <c r="F701" s="45" t="s">
        <v>104</v>
      </c>
      <c r="G701" s="46">
        <f t="shared" si="78"/>
        <v>9</v>
      </c>
      <c r="H701" s="46">
        <f>TRUNC(S701*(1-LOTE_03!$K$10),2)</f>
        <v>931.43</v>
      </c>
      <c r="I701" s="46">
        <f>TRUNC(T701*(1-LOTE_03!$K$10),2)</f>
        <v>3.5</v>
      </c>
      <c r="J701" s="100">
        <f t="shared" si="79"/>
        <v>0.22470000000000001</v>
      </c>
      <c r="K701" s="48">
        <f t="shared" si="73"/>
        <v>1140.72</v>
      </c>
      <c r="L701" s="48">
        <f t="shared" si="74"/>
        <v>4.28</v>
      </c>
      <c r="M701" s="48">
        <f t="shared" si="75"/>
        <v>10266.48</v>
      </c>
      <c r="N701" s="48">
        <f t="shared" si="76"/>
        <v>38.520000000000003</v>
      </c>
      <c r="O701" s="50">
        <f t="shared" si="77"/>
        <v>10305</v>
      </c>
      <c r="P701" s="50">
        <v>0</v>
      </c>
      <c r="Q701" s="76"/>
      <c r="R701" s="139">
        <f>1*(S9+S10)</f>
        <v>9</v>
      </c>
      <c r="S701" s="79">
        <v>931.43</v>
      </c>
      <c r="T701" s="80">
        <v>3.5</v>
      </c>
    </row>
    <row r="702" spans="2:20" ht="28">
      <c r="B702" s="5" t="s">
        <v>1658</v>
      </c>
      <c r="C702" s="45" t="s">
        <v>97</v>
      </c>
      <c r="D702" s="45" t="s">
        <v>1659</v>
      </c>
      <c r="E702" s="6" t="s">
        <v>1660</v>
      </c>
      <c r="F702" s="45" t="s">
        <v>104</v>
      </c>
      <c r="G702" s="46">
        <f t="shared" si="78"/>
        <v>90</v>
      </c>
      <c r="H702" s="46">
        <f>TRUNC(S702*(1-LOTE_03!$K$10),2)</f>
        <v>3.31</v>
      </c>
      <c r="I702" s="46">
        <f>TRUNC(T702*(1-LOTE_03!$K$10),2)</f>
        <v>10.210000000000001</v>
      </c>
      <c r="J702" s="100">
        <f t="shared" si="79"/>
        <v>0.22470000000000001</v>
      </c>
      <c r="K702" s="48">
        <f t="shared" si="73"/>
        <v>4.05</v>
      </c>
      <c r="L702" s="48">
        <f t="shared" si="74"/>
        <v>12.5</v>
      </c>
      <c r="M702" s="48">
        <f t="shared" si="75"/>
        <v>364.5</v>
      </c>
      <c r="N702" s="48">
        <f t="shared" si="76"/>
        <v>1125</v>
      </c>
      <c r="O702" s="50">
        <f t="shared" si="77"/>
        <v>1489.5</v>
      </c>
      <c r="P702" s="50">
        <v>0</v>
      </c>
      <c r="Q702" s="76"/>
      <c r="R702" s="139">
        <f>10*(S9+S10)</f>
        <v>90</v>
      </c>
      <c r="S702" s="79">
        <v>3.31</v>
      </c>
      <c r="T702" s="80">
        <v>10.210000000000001</v>
      </c>
    </row>
    <row r="703" spans="2:20" ht="42">
      <c r="B703" s="5" t="s">
        <v>1661</v>
      </c>
      <c r="C703" s="45" t="s">
        <v>97</v>
      </c>
      <c r="D703" s="45" t="s">
        <v>1662</v>
      </c>
      <c r="E703" s="6" t="s">
        <v>1663</v>
      </c>
      <c r="F703" s="45" t="s">
        <v>104</v>
      </c>
      <c r="G703" s="46">
        <f t="shared" si="78"/>
        <v>9</v>
      </c>
      <c r="H703" s="46">
        <f>TRUNC(S703*(1-LOTE_03!$K$10),2)</f>
        <v>0</v>
      </c>
      <c r="I703" s="46">
        <f>TRUNC(T703*(1-LOTE_03!$K$10),2)</f>
        <v>260</v>
      </c>
      <c r="J703" s="100">
        <f t="shared" si="79"/>
        <v>0.22470000000000001</v>
      </c>
      <c r="K703" s="48">
        <f t="shared" si="73"/>
        <v>0</v>
      </c>
      <c r="L703" s="48">
        <f t="shared" si="74"/>
        <v>318.42</v>
      </c>
      <c r="M703" s="48">
        <f t="shared" si="75"/>
        <v>0</v>
      </c>
      <c r="N703" s="48">
        <f t="shared" si="76"/>
        <v>2865.78</v>
      </c>
      <c r="O703" s="50">
        <f t="shared" si="77"/>
        <v>2865.78</v>
      </c>
      <c r="P703" s="50">
        <v>0</v>
      </c>
      <c r="Q703" s="76"/>
      <c r="R703" s="139">
        <f>1*(S9+S10)</f>
        <v>9</v>
      </c>
      <c r="S703" s="79">
        <v>0</v>
      </c>
      <c r="T703" s="80">
        <v>260</v>
      </c>
    </row>
    <row r="704" spans="2:20" ht="42">
      <c r="B704" s="5" t="s">
        <v>1664</v>
      </c>
      <c r="C704" s="45" t="s">
        <v>97</v>
      </c>
      <c r="D704" s="45" t="s">
        <v>1665</v>
      </c>
      <c r="E704" s="6" t="s">
        <v>1666</v>
      </c>
      <c r="F704" s="45" t="s">
        <v>104</v>
      </c>
      <c r="G704" s="46">
        <f t="shared" si="78"/>
        <v>9</v>
      </c>
      <c r="H704" s="46">
        <f>TRUNC(S704*(1-LOTE_03!$K$10),2)</f>
        <v>0</v>
      </c>
      <c r="I704" s="46">
        <f>TRUNC(T704*(1-LOTE_03!$K$10),2)</f>
        <v>516.83000000000004</v>
      </c>
      <c r="J704" s="100">
        <f t="shared" si="79"/>
        <v>0.22470000000000001</v>
      </c>
      <c r="K704" s="48">
        <f t="shared" si="73"/>
        <v>0</v>
      </c>
      <c r="L704" s="48">
        <f t="shared" si="74"/>
        <v>632.96</v>
      </c>
      <c r="M704" s="48">
        <f t="shared" si="75"/>
        <v>0</v>
      </c>
      <c r="N704" s="48">
        <f t="shared" si="76"/>
        <v>5696.64</v>
      </c>
      <c r="O704" s="50">
        <f t="shared" si="77"/>
        <v>5696.64</v>
      </c>
      <c r="P704" s="50">
        <v>0</v>
      </c>
      <c r="Q704" s="76"/>
      <c r="R704" s="139">
        <f>1*(S9+S10)</f>
        <v>9</v>
      </c>
      <c r="S704" s="79">
        <v>0</v>
      </c>
      <c r="T704" s="80">
        <v>516.83000000000004</v>
      </c>
    </row>
    <row r="705" spans="2:20" ht="42">
      <c r="B705" s="5" t="s">
        <v>1667</v>
      </c>
      <c r="C705" s="45" t="s">
        <v>97</v>
      </c>
      <c r="D705" s="45" t="s">
        <v>1668</v>
      </c>
      <c r="E705" s="6" t="s">
        <v>1669</v>
      </c>
      <c r="F705" s="45" t="s">
        <v>104</v>
      </c>
      <c r="G705" s="46">
        <f t="shared" si="78"/>
        <v>9</v>
      </c>
      <c r="H705" s="46">
        <f>TRUNC(S705*(1-LOTE_03!$K$10),2)</f>
        <v>0</v>
      </c>
      <c r="I705" s="46">
        <f>TRUNC(T705*(1-LOTE_03!$K$10),2)</f>
        <v>779.3</v>
      </c>
      <c r="J705" s="100">
        <f t="shared" si="79"/>
        <v>0.22470000000000001</v>
      </c>
      <c r="K705" s="48">
        <f t="shared" si="73"/>
        <v>0</v>
      </c>
      <c r="L705" s="48">
        <f t="shared" si="74"/>
        <v>954.4</v>
      </c>
      <c r="M705" s="48">
        <f t="shared" si="75"/>
        <v>0</v>
      </c>
      <c r="N705" s="48">
        <f t="shared" si="76"/>
        <v>8589.6</v>
      </c>
      <c r="O705" s="50">
        <f t="shared" si="77"/>
        <v>8589.6</v>
      </c>
      <c r="P705" s="50">
        <v>0</v>
      </c>
      <c r="Q705" s="76"/>
      <c r="R705" s="139">
        <f>1*(S9+S10)</f>
        <v>9</v>
      </c>
      <c r="S705" s="79">
        <v>0</v>
      </c>
      <c r="T705" s="80">
        <v>779.3</v>
      </c>
    </row>
    <row r="706" spans="2:20" ht="42">
      <c r="B706" s="5" t="s">
        <v>1670</v>
      </c>
      <c r="C706" s="45" t="s">
        <v>97</v>
      </c>
      <c r="D706" s="45" t="s">
        <v>1671</v>
      </c>
      <c r="E706" s="6" t="s">
        <v>1672</v>
      </c>
      <c r="F706" s="45" t="s">
        <v>104</v>
      </c>
      <c r="G706" s="46">
        <f t="shared" si="78"/>
        <v>9</v>
      </c>
      <c r="H706" s="46">
        <f>TRUNC(S706*(1-LOTE_03!$K$10),2)</f>
        <v>339.54</v>
      </c>
      <c r="I706" s="46">
        <f>TRUNC(T706*(1-LOTE_03!$K$10),2)</f>
        <v>0</v>
      </c>
      <c r="J706" s="100">
        <f t="shared" si="79"/>
        <v>0.22470000000000001</v>
      </c>
      <c r="K706" s="48">
        <f t="shared" si="73"/>
        <v>415.83</v>
      </c>
      <c r="L706" s="48">
        <f t="shared" si="74"/>
        <v>0</v>
      </c>
      <c r="M706" s="48">
        <f t="shared" si="75"/>
        <v>3742.47</v>
      </c>
      <c r="N706" s="48">
        <f t="shared" si="76"/>
        <v>0</v>
      </c>
      <c r="O706" s="50">
        <f t="shared" si="77"/>
        <v>3742.47</v>
      </c>
      <c r="P706" s="50">
        <v>0</v>
      </c>
      <c r="Q706" s="76"/>
      <c r="R706" s="139">
        <f>1*(S9+S10)</f>
        <v>9</v>
      </c>
      <c r="S706" s="79">
        <v>339.54</v>
      </c>
      <c r="T706" s="80">
        <v>0</v>
      </c>
    </row>
    <row r="707" spans="2:20" ht="42">
      <c r="B707" s="5" t="s">
        <v>1673</v>
      </c>
      <c r="C707" s="45" t="s">
        <v>97</v>
      </c>
      <c r="D707" s="45" t="s">
        <v>1674</v>
      </c>
      <c r="E707" s="6" t="s">
        <v>1675</v>
      </c>
      <c r="F707" s="45" t="s">
        <v>104</v>
      </c>
      <c r="G707" s="46">
        <f t="shared" si="78"/>
        <v>9</v>
      </c>
      <c r="H707" s="46">
        <f>TRUNC(S707*(1-LOTE_03!$K$10),2)</f>
        <v>0</v>
      </c>
      <c r="I707" s="46">
        <f>TRUNC(T707*(1-LOTE_03!$K$10),2)</f>
        <v>667.87</v>
      </c>
      <c r="J707" s="100">
        <f t="shared" si="79"/>
        <v>0.22470000000000001</v>
      </c>
      <c r="K707" s="48">
        <f t="shared" si="73"/>
        <v>0</v>
      </c>
      <c r="L707" s="48">
        <f t="shared" si="74"/>
        <v>817.94</v>
      </c>
      <c r="M707" s="48">
        <f t="shared" si="75"/>
        <v>0</v>
      </c>
      <c r="N707" s="48">
        <f t="shared" si="76"/>
        <v>7361.46</v>
      </c>
      <c r="O707" s="50">
        <f t="shared" si="77"/>
        <v>7361.46</v>
      </c>
      <c r="P707" s="50">
        <v>0</v>
      </c>
      <c r="Q707" s="76"/>
      <c r="R707" s="139">
        <f>1*(S9+S10)</f>
        <v>9</v>
      </c>
      <c r="S707" s="79">
        <v>0</v>
      </c>
      <c r="T707" s="80">
        <v>667.87</v>
      </c>
    </row>
    <row r="708" spans="2:20" ht="42">
      <c r="B708" s="5" t="s">
        <v>1676</v>
      </c>
      <c r="C708" s="45" t="s">
        <v>97</v>
      </c>
      <c r="D708" s="45" t="s">
        <v>1677</v>
      </c>
      <c r="E708" s="6" t="s">
        <v>1678</v>
      </c>
      <c r="F708" s="45" t="s">
        <v>104</v>
      </c>
      <c r="G708" s="46">
        <f t="shared" si="78"/>
        <v>18</v>
      </c>
      <c r="H708" s="46">
        <f>TRUNC(S708*(1-LOTE_03!$K$10),2)</f>
        <v>315.39</v>
      </c>
      <c r="I708" s="46">
        <f>TRUNC(T708*(1-LOTE_03!$K$10),2)</f>
        <v>22.94</v>
      </c>
      <c r="J708" s="100">
        <f t="shared" si="79"/>
        <v>0.22470000000000001</v>
      </c>
      <c r="K708" s="48">
        <f t="shared" si="73"/>
        <v>386.25</v>
      </c>
      <c r="L708" s="48">
        <f t="shared" si="74"/>
        <v>28.09</v>
      </c>
      <c r="M708" s="48">
        <f t="shared" si="75"/>
        <v>6952.5</v>
      </c>
      <c r="N708" s="48">
        <f t="shared" si="76"/>
        <v>505.62</v>
      </c>
      <c r="O708" s="50">
        <f t="shared" si="77"/>
        <v>7458.12</v>
      </c>
      <c r="P708" s="50">
        <v>0</v>
      </c>
      <c r="Q708" s="76"/>
      <c r="R708" s="139">
        <f>2*(S9+S10)</f>
        <v>18</v>
      </c>
      <c r="S708" s="79">
        <v>315.39</v>
      </c>
      <c r="T708" s="80">
        <v>22.94</v>
      </c>
    </row>
    <row r="709" spans="2:20" ht="28">
      <c r="B709" s="5" t="s">
        <v>1679</v>
      </c>
      <c r="C709" s="45" t="s">
        <v>97</v>
      </c>
      <c r="D709" s="45" t="s">
        <v>1680</v>
      </c>
      <c r="E709" s="6" t="s">
        <v>1681</v>
      </c>
      <c r="F709" s="45" t="s">
        <v>104</v>
      </c>
      <c r="G709" s="46">
        <f t="shared" si="78"/>
        <v>18</v>
      </c>
      <c r="H709" s="46">
        <f>TRUNC(S709*(1-LOTE_03!$K$10),2)</f>
        <v>7.03</v>
      </c>
      <c r="I709" s="46">
        <f>TRUNC(T709*(1-LOTE_03!$K$10),2)</f>
        <v>20.23</v>
      </c>
      <c r="J709" s="100">
        <f t="shared" si="79"/>
        <v>0.22470000000000001</v>
      </c>
      <c r="K709" s="48">
        <f t="shared" si="73"/>
        <v>8.6</v>
      </c>
      <c r="L709" s="48">
        <f t="shared" si="74"/>
        <v>24.77</v>
      </c>
      <c r="M709" s="48">
        <f t="shared" si="75"/>
        <v>154.80000000000001</v>
      </c>
      <c r="N709" s="48">
        <f t="shared" si="76"/>
        <v>445.86</v>
      </c>
      <c r="O709" s="50">
        <f t="shared" si="77"/>
        <v>600.66</v>
      </c>
      <c r="P709" s="50">
        <v>0</v>
      </c>
      <c r="Q709" s="76"/>
      <c r="R709" s="139">
        <f>2*(S9+S10)</f>
        <v>18</v>
      </c>
      <c r="S709" s="79">
        <v>7.03</v>
      </c>
      <c r="T709" s="80">
        <v>20.23</v>
      </c>
    </row>
    <row r="710" spans="2:20" ht="28">
      <c r="B710" s="5" t="s">
        <v>1682</v>
      </c>
      <c r="C710" s="45" t="s">
        <v>165</v>
      </c>
      <c r="D710" s="45" t="s">
        <v>1683</v>
      </c>
      <c r="E710" s="6" t="s">
        <v>1684</v>
      </c>
      <c r="F710" s="45" t="s">
        <v>531</v>
      </c>
      <c r="G710" s="46">
        <f t="shared" si="78"/>
        <v>45</v>
      </c>
      <c r="H710" s="46">
        <f>TRUNC(S710*(1-LOTE_03!$K$10),2)</f>
        <v>19.02</v>
      </c>
      <c r="I710" s="46">
        <f>TRUNC(T710*(1-LOTE_03!$K$10),2)</f>
        <v>2.92</v>
      </c>
      <c r="J710" s="100">
        <f t="shared" si="79"/>
        <v>0.22470000000000001</v>
      </c>
      <c r="K710" s="48">
        <f t="shared" si="73"/>
        <v>23.29</v>
      </c>
      <c r="L710" s="48">
        <f t="shared" si="74"/>
        <v>3.57</v>
      </c>
      <c r="M710" s="48">
        <f t="shared" si="75"/>
        <v>1048.05</v>
      </c>
      <c r="N710" s="48">
        <f t="shared" si="76"/>
        <v>160.65</v>
      </c>
      <c r="O710" s="50">
        <f t="shared" si="77"/>
        <v>1208.7</v>
      </c>
      <c r="P710" s="50">
        <v>0</v>
      </c>
      <c r="Q710" s="76"/>
      <c r="R710" s="139">
        <f>5*(S9+S10)</f>
        <v>45</v>
      </c>
      <c r="S710" s="79">
        <v>19.02</v>
      </c>
      <c r="T710" s="80">
        <v>2.92</v>
      </c>
    </row>
    <row r="711" spans="2:20" ht="42">
      <c r="B711" s="5" t="s">
        <v>1685</v>
      </c>
      <c r="C711" s="45" t="s">
        <v>97</v>
      </c>
      <c r="D711" s="45" t="s">
        <v>1686</v>
      </c>
      <c r="E711" s="6" t="s">
        <v>1687</v>
      </c>
      <c r="F711" s="45" t="s">
        <v>187</v>
      </c>
      <c r="G711" s="46">
        <f t="shared" si="78"/>
        <v>45</v>
      </c>
      <c r="H711" s="46">
        <f>TRUNC(S711*(1-LOTE_03!$K$10),2)</f>
        <v>9.57</v>
      </c>
      <c r="I711" s="46">
        <f>TRUNC(T711*(1-LOTE_03!$K$10),2)</f>
        <v>1.4</v>
      </c>
      <c r="J711" s="100">
        <f t="shared" si="79"/>
        <v>0.22470000000000001</v>
      </c>
      <c r="K711" s="48">
        <f t="shared" si="73"/>
        <v>11.72</v>
      </c>
      <c r="L711" s="48">
        <f t="shared" si="74"/>
        <v>1.71</v>
      </c>
      <c r="M711" s="48">
        <f t="shared" si="75"/>
        <v>527.4</v>
      </c>
      <c r="N711" s="48">
        <f t="shared" si="76"/>
        <v>76.95</v>
      </c>
      <c r="O711" s="50">
        <f t="shared" si="77"/>
        <v>604.35</v>
      </c>
      <c r="P711" s="50">
        <v>0</v>
      </c>
      <c r="Q711" s="76"/>
      <c r="R711" s="139">
        <f>5*(S9+S10)</f>
        <v>45</v>
      </c>
      <c r="S711" s="79">
        <v>9.57</v>
      </c>
      <c r="T711" s="80">
        <v>1.4</v>
      </c>
    </row>
    <row r="712" spans="2:20" ht="28">
      <c r="B712" s="5" t="s">
        <v>1688</v>
      </c>
      <c r="C712" s="45" t="s">
        <v>97</v>
      </c>
      <c r="D712" s="45" t="s">
        <v>1689</v>
      </c>
      <c r="E712" s="6" t="s">
        <v>1690</v>
      </c>
      <c r="F712" s="45" t="s">
        <v>519</v>
      </c>
      <c r="G712" s="46">
        <f t="shared" si="78"/>
        <v>45</v>
      </c>
      <c r="H712" s="46">
        <f>TRUNC(S712*(1-LOTE_03!$K$10),2)</f>
        <v>28.89</v>
      </c>
      <c r="I712" s="46">
        <f>TRUNC(T712*(1-LOTE_03!$K$10),2)</f>
        <v>8.17</v>
      </c>
      <c r="J712" s="100">
        <f t="shared" si="79"/>
        <v>0.22470000000000001</v>
      </c>
      <c r="K712" s="48">
        <f t="shared" si="73"/>
        <v>35.380000000000003</v>
      </c>
      <c r="L712" s="48">
        <f t="shared" si="74"/>
        <v>10</v>
      </c>
      <c r="M712" s="48">
        <f t="shared" si="75"/>
        <v>1592.1</v>
      </c>
      <c r="N712" s="48">
        <f t="shared" si="76"/>
        <v>450</v>
      </c>
      <c r="O712" s="50">
        <f t="shared" si="77"/>
        <v>2042.1</v>
      </c>
      <c r="P712" s="50">
        <v>0</v>
      </c>
      <c r="Q712" s="76"/>
      <c r="R712" s="139">
        <f>5*(S9+S10)</f>
        <v>45</v>
      </c>
      <c r="S712" s="79">
        <v>28.89</v>
      </c>
      <c r="T712" s="80">
        <v>8.17</v>
      </c>
    </row>
    <row r="713" spans="2:20" ht="28">
      <c r="B713" s="5" t="s">
        <v>1691</v>
      </c>
      <c r="C713" s="45" t="s">
        <v>165</v>
      </c>
      <c r="D713" s="45" t="s">
        <v>1692</v>
      </c>
      <c r="E713" s="6" t="s">
        <v>1693</v>
      </c>
      <c r="F713" s="45" t="s">
        <v>182</v>
      </c>
      <c r="G713" s="46">
        <f t="shared" si="78"/>
        <v>18</v>
      </c>
      <c r="H713" s="46">
        <f>TRUNC(S713*(1-LOTE_03!$K$10),2)</f>
        <v>356.06</v>
      </c>
      <c r="I713" s="46">
        <f>TRUNC(T713*(1-LOTE_03!$K$10),2)</f>
        <v>23.34</v>
      </c>
      <c r="J713" s="100">
        <f t="shared" si="79"/>
        <v>0.22470000000000001</v>
      </c>
      <c r="K713" s="48">
        <f t="shared" si="73"/>
        <v>436.06</v>
      </c>
      <c r="L713" s="48">
        <f t="shared" si="74"/>
        <v>28.58</v>
      </c>
      <c r="M713" s="48">
        <f t="shared" si="75"/>
        <v>7849.08</v>
      </c>
      <c r="N713" s="48">
        <f t="shared" si="76"/>
        <v>514.44000000000005</v>
      </c>
      <c r="O713" s="50">
        <f t="shared" si="77"/>
        <v>8363.52</v>
      </c>
      <c r="P713" s="50">
        <v>0</v>
      </c>
      <c r="Q713" s="76"/>
      <c r="R713" s="139">
        <f>2*(S9+S10)</f>
        <v>18</v>
      </c>
      <c r="S713" s="79">
        <v>356.06</v>
      </c>
      <c r="T713" s="80">
        <v>23.34</v>
      </c>
    </row>
    <row r="714" spans="2:20" ht="28">
      <c r="B714" s="5" t="s">
        <v>1694</v>
      </c>
      <c r="C714" s="45" t="s">
        <v>165</v>
      </c>
      <c r="D714" s="45" t="s">
        <v>1695</v>
      </c>
      <c r="E714" s="6" t="s">
        <v>1696</v>
      </c>
      <c r="F714" s="45" t="s">
        <v>559</v>
      </c>
      <c r="G714" s="46">
        <f t="shared" si="78"/>
        <v>27</v>
      </c>
      <c r="H714" s="46">
        <f>TRUNC(S714*(1-LOTE_03!$K$10),2)</f>
        <v>55.82</v>
      </c>
      <c r="I714" s="46">
        <f>TRUNC(T714*(1-LOTE_03!$K$10),2)</f>
        <v>2.91</v>
      </c>
      <c r="J714" s="100">
        <f t="shared" si="79"/>
        <v>0.22470000000000001</v>
      </c>
      <c r="K714" s="48">
        <f t="shared" si="73"/>
        <v>68.36</v>
      </c>
      <c r="L714" s="48">
        <f t="shared" si="74"/>
        <v>3.56</v>
      </c>
      <c r="M714" s="48">
        <f t="shared" si="75"/>
        <v>1845.72</v>
      </c>
      <c r="N714" s="48">
        <f t="shared" si="76"/>
        <v>96.12</v>
      </c>
      <c r="O714" s="50">
        <f t="shared" si="77"/>
        <v>1941.84</v>
      </c>
      <c r="P714" s="50">
        <v>0</v>
      </c>
      <c r="Q714" s="76"/>
      <c r="R714" s="139">
        <f>3*(S9+S10)</f>
        <v>27</v>
      </c>
      <c r="S714" s="79">
        <v>55.82</v>
      </c>
      <c r="T714" s="80">
        <v>2.91</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372487.87</v>
      </c>
      <c r="Q715" s="76"/>
      <c r="R715" s="139"/>
      <c r="S715" s="79" t="s">
        <v>22</v>
      </c>
      <c r="T715" s="80" t="s">
        <v>22</v>
      </c>
    </row>
    <row r="716" spans="2:20" ht="28">
      <c r="B716" s="5" t="s">
        <v>1698</v>
      </c>
      <c r="C716" s="45" t="s">
        <v>165</v>
      </c>
      <c r="D716" s="45" t="s">
        <v>1699</v>
      </c>
      <c r="E716" s="6" t="s">
        <v>1700</v>
      </c>
      <c r="F716" s="45" t="s">
        <v>168</v>
      </c>
      <c r="G716" s="46">
        <f t="shared" si="78"/>
        <v>3600</v>
      </c>
      <c r="H716" s="46">
        <f>TRUNC(S716*(1-LOTE_03!$K$10),2)</f>
        <v>0</v>
      </c>
      <c r="I716" s="46">
        <f>TRUNC(T716*(1-LOTE_03!$K$10),2)</f>
        <v>10.210000000000001</v>
      </c>
      <c r="J716" s="100">
        <f t="shared" si="79"/>
        <v>0.22470000000000001</v>
      </c>
      <c r="K716" s="48">
        <f t="shared" si="73"/>
        <v>0</v>
      </c>
      <c r="L716" s="48">
        <f t="shared" si="74"/>
        <v>12.5</v>
      </c>
      <c r="M716" s="48">
        <f t="shared" si="75"/>
        <v>0</v>
      </c>
      <c r="N716" s="48">
        <f t="shared" si="76"/>
        <v>45000</v>
      </c>
      <c r="O716" s="50">
        <f t="shared" si="77"/>
        <v>45000</v>
      </c>
      <c r="P716" s="50">
        <v>0</v>
      </c>
      <c r="Q716" s="76"/>
      <c r="R716" s="139">
        <f>400*(S9+S10)</f>
        <v>3600</v>
      </c>
      <c r="S716" s="79">
        <v>0</v>
      </c>
      <c r="T716" s="80">
        <v>10.210000000000001</v>
      </c>
    </row>
    <row r="717" spans="2:20" ht="28">
      <c r="B717" s="5" t="s">
        <v>1701</v>
      </c>
      <c r="C717" s="45" t="s">
        <v>97</v>
      </c>
      <c r="D717" s="45" t="s">
        <v>1702</v>
      </c>
      <c r="E717" s="6" t="s">
        <v>1703</v>
      </c>
      <c r="F717" s="45" t="s">
        <v>104</v>
      </c>
      <c r="G717" s="46">
        <f t="shared" si="78"/>
        <v>9</v>
      </c>
      <c r="H717" s="46">
        <f>TRUNC(S717*(1-LOTE_03!$K$10),2)</f>
        <v>266</v>
      </c>
      <c r="I717" s="46">
        <f>TRUNC(T717*(1-LOTE_03!$K$10),2)</f>
        <v>0</v>
      </c>
      <c r="J717" s="100">
        <f t="shared" si="79"/>
        <v>0.22470000000000001</v>
      </c>
      <c r="K717" s="48">
        <f t="shared" si="73"/>
        <v>325.77</v>
      </c>
      <c r="L717" s="48">
        <f t="shared" si="74"/>
        <v>0</v>
      </c>
      <c r="M717" s="48">
        <f t="shared" si="75"/>
        <v>2931.93</v>
      </c>
      <c r="N717" s="48">
        <f t="shared" si="76"/>
        <v>0</v>
      </c>
      <c r="O717" s="50">
        <f t="shared" si="77"/>
        <v>2931.93</v>
      </c>
      <c r="P717" s="50">
        <v>0</v>
      </c>
      <c r="Q717" s="76"/>
      <c r="R717" s="139">
        <f>1*(S9+S10)</f>
        <v>9</v>
      </c>
      <c r="S717" s="79">
        <v>266</v>
      </c>
      <c r="T717" s="80">
        <v>0</v>
      </c>
    </row>
    <row r="718" spans="2:20" ht="42">
      <c r="B718" s="5" t="s">
        <v>1704</v>
      </c>
      <c r="C718" s="45" t="s">
        <v>135</v>
      </c>
      <c r="D718" s="45">
        <v>99814</v>
      </c>
      <c r="E718" s="6" t="s">
        <v>1839</v>
      </c>
      <c r="F718" s="45" t="s">
        <v>121</v>
      </c>
      <c r="G718" s="46">
        <f t="shared" si="78"/>
        <v>9</v>
      </c>
      <c r="H718" s="46">
        <f>TRUNC(S718*(1-LOTE_03!$K$10),2)</f>
        <v>0.55000000000000004</v>
      </c>
      <c r="I718" s="46">
        <f>TRUNC(T718*(1-LOTE_03!$K$10),2)</f>
        <v>1.18</v>
      </c>
      <c r="J718" s="100">
        <f t="shared" si="79"/>
        <v>0.22470000000000001</v>
      </c>
      <c r="K718" s="48">
        <f t="shared" si="73"/>
        <v>0.67</v>
      </c>
      <c r="L718" s="48">
        <f t="shared" si="74"/>
        <v>1.44</v>
      </c>
      <c r="M718" s="48">
        <f t="shared" si="75"/>
        <v>6.03</v>
      </c>
      <c r="N718" s="48">
        <f t="shared" si="76"/>
        <v>12.96</v>
      </c>
      <c r="O718" s="50">
        <f t="shared" si="77"/>
        <v>18.989999999999998</v>
      </c>
      <c r="P718" s="50">
        <v>0</v>
      </c>
      <c r="Q718" s="76"/>
      <c r="R718" s="139">
        <f>1*(S9+S10)</f>
        <v>9</v>
      </c>
      <c r="S718" s="79">
        <v>0.55000000000000004</v>
      </c>
      <c r="T718" s="80">
        <v>1.18</v>
      </c>
    </row>
    <row r="719" spans="2:20" ht="28">
      <c r="B719" s="5" t="s">
        <v>1705</v>
      </c>
      <c r="C719" s="45" t="s">
        <v>135</v>
      </c>
      <c r="D719" s="45">
        <v>98524</v>
      </c>
      <c r="E719" s="6" t="s">
        <v>1706</v>
      </c>
      <c r="F719" s="45" t="s">
        <v>121</v>
      </c>
      <c r="G719" s="46">
        <f t="shared" si="78"/>
        <v>9</v>
      </c>
      <c r="H719" s="46">
        <f>TRUNC(S719*(1-LOTE_03!$K$10),2)</f>
        <v>1.53</v>
      </c>
      <c r="I719" s="46">
        <f>TRUNC(T719*(1-LOTE_03!$K$10),2)</f>
        <v>3.73</v>
      </c>
      <c r="J719" s="100">
        <f t="shared" si="79"/>
        <v>0.22470000000000001</v>
      </c>
      <c r="K719" s="48">
        <f t="shared" si="73"/>
        <v>1.87</v>
      </c>
      <c r="L719" s="48">
        <f t="shared" si="74"/>
        <v>4.5599999999999996</v>
      </c>
      <c r="M719" s="48">
        <f t="shared" si="75"/>
        <v>16.829999999999998</v>
      </c>
      <c r="N719" s="48">
        <f t="shared" si="76"/>
        <v>41.04</v>
      </c>
      <c r="O719" s="50">
        <f t="shared" si="77"/>
        <v>57.87</v>
      </c>
      <c r="P719" s="50">
        <v>0</v>
      </c>
      <c r="Q719" s="76"/>
      <c r="R719" s="139">
        <f>1*(S9+S10)</f>
        <v>9</v>
      </c>
      <c r="S719" s="79">
        <v>1.5299999999999998</v>
      </c>
      <c r="T719" s="80">
        <v>3.73</v>
      </c>
    </row>
    <row r="720" spans="2:20" ht="42">
      <c r="B720" s="5" t="s">
        <v>1707</v>
      </c>
      <c r="C720" s="45" t="s">
        <v>135</v>
      </c>
      <c r="D720" s="45">
        <v>98531</v>
      </c>
      <c r="E720" s="6" t="s">
        <v>1708</v>
      </c>
      <c r="F720" s="45" t="s">
        <v>210</v>
      </c>
      <c r="G720" s="46">
        <f t="shared" si="78"/>
        <v>9</v>
      </c>
      <c r="H720" s="46">
        <f>TRUNC(S720*(1-LOTE_03!$K$10),2)</f>
        <v>218.32</v>
      </c>
      <c r="I720" s="46">
        <f>TRUNC(T720*(1-LOTE_03!$K$10),2)</f>
        <v>189.51</v>
      </c>
      <c r="J720" s="100">
        <f t="shared" si="79"/>
        <v>0.22470000000000001</v>
      </c>
      <c r="K720" s="48">
        <f t="shared" ref="K720:K737" si="81">TRUNC(H720*(1+J720),2)</f>
        <v>267.37</v>
      </c>
      <c r="L720" s="48">
        <f t="shared" ref="L720:L737" si="82">TRUNC(I720*(1+J720),2)</f>
        <v>232.09</v>
      </c>
      <c r="M720" s="48">
        <f t="shared" ref="M720:M737" si="83">TRUNC(K720*G720,2)</f>
        <v>2406.33</v>
      </c>
      <c r="N720" s="48">
        <f t="shared" ref="N720:N737" si="84">TRUNC(L720*G720,2)</f>
        <v>2088.81</v>
      </c>
      <c r="O720" s="50">
        <f t="shared" ref="O720:O737" si="85">TRUNC(M720+N720,2)</f>
        <v>4495.1400000000003</v>
      </c>
      <c r="P720" s="50">
        <v>0</v>
      </c>
      <c r="Q720" s="76"/>
      <c r="R720" s="139">
        <f>1*(S9+S10)</f>
        <v>9</v>
      </c>
      <c r="S720" s="79">
        <v>218.32</v>
      </c>
      <c r="T720" s="80">
        <v>189.51</v>
      </c>
    </row>
    <row r="721" spans="2:20" ht="42">
      <c r="B721" s="5" t="s">
        <v>1709</v>
      </c>
      <c r="C721" s="45" t="s">
        <v>135</v>
      </c>
      <c r="D721" s="45">
        <v>99805</v>
      </c>
      <c r="E721" s="6" t="s">
        <v>1840</v>
      </c>
      <c r="F721" s="45" t="s">
        <v>121</v>
      </c>
      <c r="G721" s="46">
        <f t="shared" si="78"/>
        <v>3600</v>
      </c>
      <c r="H721" s="46">
        <f>TRUNC(S721*(1-LOTE_03!$K$10),2)</f>
        <v>3.96</v>
      </c>
      <c r="I721" s="46">
        <f>TRUNC(T721*(1-LOTE_03!$K$10),2)</f>
        <v>7.8</v>
      </c>
      <c r="J721" s="100">
        <f t="shared" si="79"/>
        <v>0.22470000000000001</v>
      </c>
      <c r="K721" s="48">
        <f t="shared" si="81"/>
        <v>4.84</v>
      </c>
      <c r="L721" s="48">
        <f t="shared" si="82"/>
        <v>9.5500000000000007</v>
      </c>
      <c r="M721" s="48">
        <f t="shared" si="83"/>
        <v>17424</v>
      </c>
      <c r="N721" s="48">
        <f t="shared" si="84"/>
        <v>34380</v>
      </c>
      <c r="O721" s="50">
        <f t="shared" si="85"/>
        <v>51804</v>
      </c>
      <c r="P721" s="50">
        <v>0</v>
      </c>
      <c r="Q721" s="76"/>
      <c r="R721" s="139">
        <f>400*(S9+S10)</f>
        <v>3600</v>
      </c>
      <c r="S721" s="79">
        <v>3.96</v>
      </c>
      <c r="T721" s="80">
        <v>7.8</v>
      </c>
    </row>
    <row r="722" spans="2:20" ht="42">
      <c r="B722" s="5" t="s">
        <v>1710</v>
      </c>
      <c r="C722" s="45" t="s">
        <v>135</v>
      </c>
      <c r="D722" s="45">
        <v>99802</v>
      </c>
      <c r="E722" s="6" t="s">
        <v>1841</v>
      </c>
      <c r="F722" s="45" t="s">
        <v>121</v>
      </c>
      <c r="G722" s="46">
        <f t="shared" ref="G722:G737" si="86">TRUNC(R722,2)</f>
        <v>3600</v>
      </c>
      <c r="H722" s="46">
        <f>TRUNC(S722*(1-LOTE_03!$K$10),2)</f>
        <v>0.17</v>
      </c>
      <c r="I722" s="46">
        <f>TRUNC(T722*(1-LOTE_03!$K$10),2)</f>
        <v>0.4</v>
      </c>
      <c r="J722" s="100">
        <f t="shared" ref="J722:J737" si="87">$J$4</f>
        <v>0.22470000000000001</v>
      </c>
      <c r="K722" s="48">
        <f t="shared" si="81"/>
        <v>0.2</v>
      </c>
      <c r="L722" s="48">
        <f t="shared" si="82"/>
        <v>0.48</v>
      </c>
      <c r="M722" s="48">
        <f t="shared" si="83"/>
        <v>720</v>
      </c>
      <c r="N722" s="48">
        <f t="shared" si="84"/>
        <v>1728</v>
      </c>
      <c r="O722" s="50">
        <f t="shared" si="85"/>
        <v>2448</v>
      </c>
      <c r="P722" s="50">
        <v>0</v>
      </c>
      <c r="Q722" s="76"/>
      <c r="R722" s="139">
        <f>400*(S9+S10)</f>
        <v>3600</v>
      </c>
      <c r="S722" s="79">
        <v>0.16999999999999993</v>
      </c>
      <c r="T722" s="80">
        <v>0.4</v>
      </c>
    </row>
    <row r="723" spans="2:20" ht="42">
      <c r="B723" s="5" t="s">
        <v>1711</v>
      </c>
      <c r="C723" s="45" t="s">
        <v>135</v>
      </c>
      <c r="D723" s="45">
        <v>99803</v>
      </c>
      <c r="E723" s="6" t="s">
        <v>1842</v>
      </c>
      <c r="F723" s="45" t="s">
        <v>121</v>
      </c>
      <c r="G723" s="46">
        <f t="shared" si="86"/>
        <v>450</v>
      </c>
      <c r="H723" s="46">
        <f>TRUNC(S723*(1-LOTE_03!$K$10),2)</f>
        <v>1.25</v>
      </c>
      <c r="I723" s="46">
        <f>TRUNC(T723*(1-LOTE_03!$K$10),2)</f>
        <v>3.01</v>
      </c>
      <c r="J723" s="100">
        <f t="shared" si="87"/>
        <v>0.22470000000000001</v>
      </c>
      <c r="K723" s="48">
        <f t="shared" si="81"/>
        <v>1.53</v>
      </c>
      <c r="L723" s="48">
        <f t="shared" si="82"/>
        <v>3.68</v>
      </c>
      <c r="M723" s="48">
        <f t="shared" si="83"/>
        <v>688.5</v>
      </c>
      <c r="N723" s="48">
        <f t="shared" si="84"/>
        <v>1656</v>
      </c>
      <c r="O723" s="50">
        <f t="shared" si="85"/>
        <v>2344.5</v>
      </c>
      <c r="P723" s="50">
        <v>0</v>
      </c>
      <c r="Q723" s="76"/>
      <c r="R723" s="139">
        <f>50*(S9+S10)</f>
        <v>450</v>
      </c>
      <c r="S723" s="79">
        <v>1.25</v>
      </c>
      <c r="T723" s="80">
        <v>3.01</v>
      </c>
    </row>
    <row r="724" spans="2:20" ht="56">
      <c r="B724" s="5" t="s">
        <v>1712</v>
      </c>
      <c r="C724" s="45" t="s">
        <v>135</v>
      </c>
      <c r="D724" s="45">
        <v>99810</v>
      </c>
      <c r="E724" s="6" t="s">
        <v>1843</v>
      </c>
      <c r="F724" s="45" t="s">
        <v>121</v>
      </c>
      <c r="G724" s="46">
        <f t="shared" si="86"/>
        <v>3600</v>
      </c>
      <c r="H724" s="46">
        <f>TRUNC(S724*(1-LOTE_03!$K$10),2)</f>
        <v>2.0699999999999998</v>
      </c>
      <c r="I724" s="46">
        <f>TRUNC(T724*(1-LOTE_03!$K$10),2)</f>
        <v>4.87</v>
      </c>
      <c r="J724" s="100">
        <f t="shared" si="87"/>
        <v>0.22470000000000001</v>
      </c>
      <c r="K724" s="48">
        <f t="shared" si="81"/>
        <v>2.5299999999999998</v>
      </c>
      <c r="L724" s="48">
        <f t="shared" si="82"/>
        <v>5.96</v>
      </c>
      <c r="M724" s="48">
        <f t="shared" si="83"/>
        <v>9108</v>
      </c>
      <c r="N724" s="48">
        <f t="shared" si="84"/>
        <v>21456</v>
      </c>
      <c r="O724" s="50">
        <f t="shared" si="85"/>
        <v>30564</v>
      </c>
      <c r="P724" s="50">
        <v>0</v>
      </c>
      <c r="Q724" s="76"/>
      <c r="R724" s="139">
        <f>400*(S9+S10)</f>
        <v>3600</v>
      </c>
      <c r="S724" s="79">
        <v>2.0700000000000003</v>
      </c>
      <c r="T724" s="80">
        <v>4.87</v>
      </c>
    </row>
    <row r="725" spans="2:20" ht="42">
      <c r="B725" s="5" t="s">
        <v>1713</v>
      </c>
      <c r="C725" s="45" t="s">
        <v>135</v>
      </c>
      <c r="D725" s="45">
        <v>99806</v>
      </c>
      <c r="E725" s="6" t="s">
        <v>1844</v>
      </c>
      <c r="F725" s="45" t="s">
        <v>121</v>
      </c>
      <c r="G725" s="46">
        <f t="shared" si="86"/>
        <v>3600</v>
      </c>
      <c r="H725" s="46">
        <f>TRUNC(S725*(1-LOTE_03!$K$10),2)</f>
        <v>0.88</v>
      </c>
      <c r="I725" s="46">
        <f>TRUNC(T725*(1-LOTE_03!$K$10),2)</f>
        <v>2.19</v>
      </c>
      <c r="J725" s="100">
        <f t="shared" si="87"/>
        <v>0.22470000000000001</v>
      </c>
      <c r="K725" s="48">
        <f t="shared" si="81"/>
        <v>1.07</v>
      </c>
      <c r="L725" s="48">
        <f t="shared" si="82"/>
        <v>2.68</v>
      </c>
      <c r="M725" s="48">
        <f t="shared" si="83"/>
        <v>3852</v>
      </c>
      <c r="N725" s="48">
        <f t="shared" si="84"/>
        <v>9648</v>
      </c>
      <c r="O725" s="50">
        <f t="shared" si="85"/>
        <v>13500</v>
      </c>
      <c r="P725" s="50">
        <v>0</v>
      </c>
      <c r="Q725" s="76"/>
      <c r="R725" s="139">
        <f>400*(S9+S10)</f>
        <v>3600</v>
      </c>
      <c r="S725" s="79">
        <v>0.87999999999999989</v>
      </c>
      <c r="T725" s="80">
        <v>2.19</v>
      </c>
    </row>
    <row r="726" spans="2:20">
      <c r="B726" s="5" t="s">
        <v>1714</v>
      </c>
      <c r="C726" s="45" t="s">
        <v>97</v>
      </c>
      <c r="D726" s="45" t="s">
        <v>1717</v>
      </c>
      <c r="E726" s="6" t="s">
        <v>1718</v>
      </c>
      <c r="F726" s="45" t="s">
        <v>121</v>
      </c>
      <c r="G726" s="46">
        <f t="shared" si="86"/>
        <v>450</v>
      </c>
      <c r="H726" s="46">
        <f>TRUNC(S726*(1-LOTE_03!$K$10),2)</f>
        <v>5.4</v>
      </c>
      <c r="I726" s="46">
        <f>TRUNC(T726*(1-LOTE_03!$K$10),2)</f>
        <v>10.51</v>
      </c>
      <c r="J726" s="100">
        <f t="shared" si="87"/>
        <v>0.22470000000000001</v>
      </c>
      <c r="K726" s="48">
        <f t="shared" si="81"/>
        <v>6.61</v>
      </c>
      <c r="L726" s="48">
        <f t="shared" si="82"/>
        <v>12.87</v>
      </c>
      <c r="M726" s="48">
        <f t="shared" si="83"/>
        <v>2974.5</v>
      </c>
      <c r="N726" s="48">
        <f t="shared" si="84"/>
        <v>5791.5</v>
      </c>
      <c r="O726" s="50">
        <f t="shared" si="85"/>
        <v>8766</v>
      </c>
      <c r="P726" s="50">
        <v>0</v>
      </c>
      <c r="Q726" s="76"/>
      <c r="R726" s="139">
        <f>50*(S9+S10)</f>
        <v>450</v>
      </c>
      <c r="S726" s="79">
        <v>5.4</v>
      </c>
      <c r="T726" s="80">
        <v>10.51</v>
      </c>
    </row>
    <row r="727" spans="2:20" ht="28">
      <c r="B727" s="5" t="s">
        <v>1715</v>
      </c>
      <c r="C727" s="45" t="s">
        <v>135</v>
      </c>
      <c r="D727" s="45">
        <v>99823</v>
      </c>
      <c r="E727" s="6" t="s">
        <v>1845</v>
      </c>
      <c r="F727" s="45" t="s">
        <v>121</v>
      </c>
      <c r="G727" s="46">
        <f t="shared" si="86"/>
        <v>3600</v>
      </c>
      <c r="H727" s="46">
        <f>TRUNC(S727*(1-LOTE_03!$K$10),2)</f>
        <v>1.27</v>
      </c>
      <c r="I727" s="46">
        <f>TRUNC(T727*(1-LOTE_03!$K$10),2)</f>
        <v>1.28</v>
      </c>
      <c r="J727" s="100">
        <f t="shared" si="87"/>
        <v>0.22470000000000001</v>
      </c>
      <c r="K727" s="48">
        <f t="shared" si="81"/>
        <v>1.55</v>
      </c>
      <c r="L727" s="48">
        <f t="shared" si="82"/>
        <v>1.56</v>
      </c>
      <c r="M727" s="48">
        <f t="shared" si="83"/>
        <v>5580</v>
      </c>
      <c r="N727" s="48">
        <f t="shared" si="84"/>
        <v>5616</v>
      </c>
      <c r="O727" s="50">
        <f t="shared" si="85"/>
        <v>11196</v>
      </c>
      <c r="P727" s="50">
        <v>0</v>
      </c>
      <c r="Q727" s="76"/>
      <c r="R727" s="139">
        <f>400*(S9+S10)</f>
        <v>3600</v>
      </c>
      <c r="S727" s="79">
        <v>1.2699999999999998</v>
      </c>
      <c r="T727" s="80">
        <v>1.28</v>
      </c>
    </row>
    <row r="728" spans="2:20" ht="42">
      <c r="B728" s="5" t="s">
        <v>1716</v>
      </c>
      <c r="C728" s="45" t="s">
        <v>135</v>
      </c>
      <c r="D728" s="45">
        <v>99821</v>
      </c>
      <c r="E728" s="6" t="s">
        <v>1846</v>
      </c>
      <c r="F728" s="45" t="s">
        <v>121</v>
      </c>
      <c r="G728" s="46">
        <f t="shared" si="86"/>
        <v>450</v>
      </c>
      <c r="H728" s="46">
        <f>TRUNC(S728*(1-LOTE_03!$K$10),2)</f>
        <v>2.84</v>
      </c>
      <c r="I728" s="46">
        <f>TRUNC(T728*(1-LOTE_03!$K$10),2)</f>
        <v>2.2599999999999998</v>
      </c>
      <c r="J728" s="100">
        <f t="shared" si="87"/>
        <v>0.22470000000000001</v>
      </c>
      <c r="K728" s="48">
        <f t="shared" si="81"/>
        <v>3.47</v>
      </c>
      <c r="L728" s="48">
        <f t="shared" si="82"/>
        <v>2.76</v>
      </c>
      <c r="M728" s="48">
        <f t="shared" si="83"/>
        <v>1561.5</v>
      </c>
      <c r="N728" s="48">
        <f t="shared" si="84"/>
        <v>1242</v>
      </c>
      <c r="O728" s="50">
        <f t="shared" si="85"/>
        <v>2803.5</v>
      </c>
      <c r="P728" s="50">
        <v>0</v>
      </c>
      <c r="Q728" s="76"/>
      <c r="R728" s="139">
        <f>50*(S9+S10)</f>
        <v>450</v>
      </c>
      <c r="S728" s="79">
        <v>2.84</v>
      </c>
      <c r="T728" s="80">
        <v>2.2599999999999998</v>
      </c>
    </row>
    <row r="729" spans="2:20" ht="28">
      <c r="B729" s="5" t="s">
        <v>1719</v>
      </c>
      <c r="C729" s="45" t="s">
        <v>135</v>
      </c>
      <c r="D729" s="45">
        <v>99826</v>
      </c>
      <c r="E729" s="6" t="s">
        <v>1847</v>
      </c>
      <c r="F729" s="45" t="s">
        <v>121</v>
      </c>
      <c r="G729" s="46">
        <f t="shared" si="86"/>
        <v>450</v>
      </c>
      <c r="H729" s="46">
        <f>TRUNC(S729*(1-LOTE_03!$K$10),2)</f>
        <v>0.51</v>
      </c>
      <c r="I729" s="46">
        <f>TRUNC(T729*(1-LOTE_03!$K$10),2)</f>
        <v>1.24</v>
      </c>
      <c r="J729" s="100">
        <f t="shared" si="87"/>
        <v>0.22470000000000001</v>
      </c>
      <c r="K729" s="48">
        <f t="shared" si="81"/>
        <v>0.62</v>
      </c>
      <c r="L729" s="48">
        <f t="shared" si="82"/>
        <v>1.51</v>
      </c>
      <c r="M729" s="48">
        <f t="shared" si="83"/>
        <v>279</v>
      </c>
      <c r="N729" s="48">
        <f t="shared" si="84"/>
        <v>679.5</v>
      </c>
      <c r="O729" s="50">
        <f t="shared" si="85"/>
        <v>958.5</v>
      </c>
      <c r="P729" s="50">
        <v>0</v>
      </c>
      <c r="Q729" s="76"/>
      <c r="R729" s="139">
        <f>50*(S9+S10)</f>
        <v>450</v>
      </c>
      <c r="S729" s="79">
        <v>0.51</v>
      </c>
      <c r="T729" s="80">
        <v>1.24</v>
      </c>
    </row>
    <row r="730" spans="2:20" ht="28">
      <c r="B730" s="5" t="s">
        <v>1720</v>
      </c>
      <c r="C730" s="45" t="s">
        <v>135</v>
      </c>
      <c r="D730" s="45">
        <v>99822</v>
      </c>
      <c r="E730" s="6" t="s">
        <v>1848</v>
      </c>
      <c r="F730" s="45" t="s">
        <v>121</v>
      </c>
      <c r="G730" s="46">
        <f t="shared" si="86"/>
        <v>59.4</v>
      </c>
      <c r="H730" s="46">
        <f>TRUNC(S730*(1-LOTE_03!$K$10),2)</f>
        <v>0.34</v>
      </c>
      <c r="I730" s="46">
        <f>TRUNC(T730*(1-LOTE_03!$K$10),2)</f>
        <v>0.81</v>
      </c>
      <c r="J730" s="100">
        <f t="shared" si="87"/>
        <v>0.22470000000000001</v>
      </c>
      <c r="K730" s="48">
        <f t="shared" si="81"/>
        <v>0.41</v>
      </c>
      <c r="L730" s="48">
        <f t="shared" si="82"/>
        <v>0.99</v>
      </c>
      <c r="M730" s="48">
        <f t="shared" si="83"/>
        <v>24.35</v>
      </c>
      <c r="N730" s="48">
        <f t="shared" si="84"/>
        <v>58.8</v>
      </c>
      <c r="O730" s="50">
        <f t="shared" si="85"/>
        <v>83.15</v>
      </c>
      <c r="P730" s="50">
        <v>0</v>
      </c>
      <c r="Q730" s="76"/>
      <c r="R730" s="139">
        <f>2.2*1*3*(S9+S10)</f>
        <v>59.400000000000006</v>
      </c>
      <c r="S730" s="79">
        <v>0.33999999999999986</v>
      </c>
      <c r="T730" s="80">
        <v>0.81</v>
      </c>
    </row>
    <row r="731" spans="2:20" ht="42">
      <c r="B731" s="5" t="s">
        <v>1721</v>
      </c>
      <c r="C731" s="45" t="s">
        <v>135</v>
      </c>
      <c r="D731" s="45">
        <v>99825</v>
      </c>
      <c r="E731" s="6" t="s">
        <v>1849</v>
      </c>
      <c r="F731" s="45" t="s">
        <v>121</v>
      </c>
      <c r="G731" s="46">
        <f t="shared" si="86"/>
        <v>19.8</v>
      </c>
      <c r="H731" s="46">
        <f>TRUNC(S731*(1-LOTE_03!$K$10),2)</f>
        <v>2.54</v>
      </c>
      <c r="I731" s="46">
        <f>TRUNC(T731*(1-LOTE_03!$K$10),2)</f>
        <v>2.35</v>
      </c>
      <c r="J731" s="100">
        <f t="shared" si="87"/>
        <v>0.22470000000000001</v>
      </c>
      <c r="K731" s="48">
        <f t="shared" si="81"/>
        <v>3.11</v>
      </c>
      <c r="L731" s="48">
        <f t="shared" si="82"/>
        <v>2.87</v>
      </c>
      <c r="M731" s="48">
        <f t="shared" si="83"/>
        <v>61.57</v>
      </c>
      <c r="N731" s="48">
        <f t="shared" si="84"/>
        <v>56.82</v>
      </c>
      <c r="O731" s="50">
        <f t="shared" si="85"/>
        <v>118.39</v>
      </c>
      <c r="P731" s="50">
        <v>0</v>
      </c>
      <c r="Q731" s="76"/>
      <c r="R731" s="139">
        <f>2.2*1*(S9+S10)</f>
        <v>19.8</v>
      </c>
      <c r="S731" s="79">
        <v>2.5399999999999996</v>
      </c>
      <c r="T731" s="80">
        <v>2.35</v>
      </c>
    </row>
    <row r="732" spans="2:20" ht="28">
      <c r="B732" s="5" t="s">
        <v>1722</v>
      </c>
      <c r="C732" s="45" t="s">
        <v>135</v>
      </c>
      <c r="D732" s="45">
        <v>99824</v>
      </c>
      <c r="E732" s="6" t="s">
        <v>1850</v>
      </c>
      <c r="F732" s="45" t="s">
        <v>121</v>
      </c>
      <c r="G732" s="46">
        <f t="shared" si="86"/>
        <v>59.4</v>
      </c>
      <c r="H732" s="46">
        <f>TRUNC(S732*(1-LOTE_03!$K$10),2)</f>
        <v>1.31</v>
      </c>
      <c r="I732" s="46">
        <f>TRUNC(T732*(1-LOTE_03!$K$10),2)</f>
        <v>1.58</v>
      </c>
      <c r="J732" s="100">
        <f t="shared" si="87"/>
        <v>0.22470000000000001</v>
      </c>
      <c r="K732" s="48">
        <f t="shared" si="81"/>
        <v>1.6</v>
      </c>
      <c r="L732" s="48">
        <f t="shared" si="82"/>
        <v>1.93</v>
      </c>
      <c r="M732" s="48">
        <f t="shared" si="83"/>
        <v>95.04</v>
      </c>
      <c r="N732" s="48">
        <f t="shared" si="84"/>
        <v>114.64</v>
      </c>
      <c r="O732" s="50">
        <f t="shared" si="85"/>
        <v>209.68</v>
      </c>
      <c r="P732" s="50">
        <v>0</v>
      </c>
      <c r="Q732" s="76"/>
      <c r="R732" s="139">
        <f>2.2*1*3*(S9+S10)</f>
        <v>59.400000000000006</v>
      </c>
      <c r="S732" s="79">
        <v>1.31</v>
      </c>
      <c r="T732" s="80">
        <v>1.58</v>
      </c>
    </row>
    <row r="733" spans="2:20" ht="28">
      <c r="B733" s="5" t="s">
        <v>1723</v>
      </c>
      <c r="C733" s="45" t="s">
        <v>135</v>
      </c>
      <c r="D733" s="45">
        <v>99811</v>
      </c>
      <c r="E733" s="6" t="s">
        <v>1851</v>
      </c>
      <c r="F733" s="45" t="s">
        <v>121</v>
      </c>
      <c r="G733" s="46">
        <f t="shared" si="86"/>
        <v>450</v>
      </c>
      <c r="H733" s="46">
        <f>TRUNC(S733*(1-LOTE_03!$K$10),2)</f>
        <v>0.21</v>
      </c>
      <c r="I733" s="46">
        <f>TRUNC(T733*(1-LOTE_03!$K$10),2)</f>
        <v>0.49</v>
      </c>
      <c r="J733" s="100">
        <f t="shared" si="87"/>
        <v>0.22470000000000001</v>
      </c>
      <c r="K733" s="48">
        <f t="shared" si="81"/>
        <v>0.25</v>
      </c>
      <c r="L733" s="48">
        <f t="shared" si="82"/>
        <v>0.6</v>
      </c>
      <c r="M733" s="48">
        <f t="shared" si="83"/>
        <v>112.5</v>
      </c>
      <c r="N733" s="48">
        <f t="shared" si="84"/>
        <v>270</v>
      </c>
      <c r="O733" s="50">
        <f t="shared" si="85"/>
        <v>382.5</v>
      </c>
      <c r="P733" s="50">
        <v>0</v>
      </c>
      <c r="Q733" s="76"/>
      <c r="R733" s="139">
        <f>50*(S9+S10)</f>
        <v>450</v>
      </c>
      <c r="S733" s="79">
        <v>0.20999999999999996</v>
      </c>
      <c r="T733" s="80">
        <v>0.49</v>
      </c>
    </row>
    <row r="734" spans="2:20" ht="42">
      <c r="B734" s="5" t="s">
        <v>1724</v>
      </c>
      <c r="C734" s="45" t="s">
        <v>135</v>
      </c>
      <c r="D734" s="45">
        <v>99805</v>
      </c>
      <c r="E734" s="6" t="s">
        <v>1840</v>
      </c>
      <c r="F734" s="45" t="s">
        <v>121</v>
      </c>
      <c r="G734" s="46">
        <f t="shared" si="86"/>
        <v>3600</v>
      </c>
      <c r="H734" s="46">
        <f>TRUNC(S734*(1-LOTE_03!$K$10),2)</f>
        <v>3.96</v>
      </c>
      <c r="I734" s="46">
        <f>TRUNC(T734*(1-LOTE_03!$K$10),2)</f>
        <v>7.8</v>
      </c>
      <c r="J734" s="100">
        <f t="shared" si="87"/>
        <v>0.22470000000000001</v>
      </c>
      <c r="K734" s="48">
        <f t="shared" si="81"/>
        <v>4.84</v>
      </c>
      <c r="L734" s="48">
        <f t="shared" si="82"/>
        <v>9.5500000000000007</v>
      </c>
      <c r="M734" s="48">
        <f t="shared" si="83"/>
        <v>17424</v>
      </c>
      <c r="N734" s="48">
        <f t="shared" si="84"/>
        <v>34380</v>
      </c>
      <c r="O734" s="50">
        <f t="shared" si="85"/>
        <v>51804</v>
      </c>
      <c r="P734" s="50">
        <v>0</v>
      </c>
      <c r="Q734" s="76"/>
      <c r="R734" s="139">
        <f>400*(S9+S10)</f>
        <v>3600</v>
      </c>
      <c r="S734" s="79">
        <v>3.96</v>
      </c>
      <c r="T734" s="80">
        <v>7.8</v>
      </c>
    </row>
    <row r="735" spans="2:20">
      <c r="B735" s="5" t="s">
        <v>1725</v>
      </c>
      <c r="C735" s="45" t="s">
        <v>97</v>
      </c>
      <c r="D735" s="45" t="s">
        <v>1728</v>
      </c>
      <c r="E735" s="6" t="s">
        <v>1729</v>
      </c>
      <c r="F735" s="45" t="s">
        <v>104</v>
      </c>
      <c r="G735" s="46">
        <f t="shared" si="86"/>
        <v>9</v>
      </c>
      <c r="H735" s="46">
        <f>TRUNC(S735*(1-LOTE_03!$K$10),2)</f>
        <v>869.75</v>
      </c>
      <c r="I735" s="46">
        <f>TRUNC(T735*(1-LOTE_03!$K$10),2)</f>
        <v>248.75</v>
      </c>
      <c r="J735" s="100">
        <f t="shared" si="87"/>
        <v>0.22470000000000001</v>
      </c>
      <c r="K735" s="48">
        <f t="shared" si="81"/>
        <v>1065.18</v>
      </c>
      <c r="L735" s="48">
        <f t="shared" si="82"/>
        <v>304.64</v>
      </c>
      <c r="M735" s="48">
        <f t="shared" si="83"/>
        <v>9586.6200000000008</v>
      </c>
      <c r="N735" s="48">
        <f t="shared" si="84"/>
        <v>2741.76</v>
      </c>
      <c r="O735" s="50">
        <f t="shared" si="85"/>
        <v>12328.38</v>
      </c>
      <c r="P735" s="50">
        <v>0</v>
      </c>
      <c r="Q735" s="76"/>
      <c r="R735" s="139">
        <f>1*(S9+S10)</f>
        <v>9</v>
      </c>
      <c r="S735" s="79">
        <v>869.75</v>
      </c>
      <c r="T735" s="80">
        <v>248.75</v>
      </c>
    </row>
    <row r="736" spans="2:20">
      <c r="B736" s="5" t="s">
        <v>1726</v>
      </c>
      <c r="C736" s="45" t="s">
        <v>97</v>
      </c>
      <c r="D736" s="45" t="s">
        <v>1730</v>
      </c>
      <c r="E736" s="6" t="s">
        <v>1731</v>
      </c>
      <c r="F736" s="45" t="s">
        <v>104</v>
      </c>
      <c r="G736" s="46">
        <f t="shared" si="86"/>
        <v>9</v>
      </c>
      <c r="H736" s="46">
        <f>TRUNC(S736*(1-LOTE_03!$K$10),2)</f>
        <v>2178.52</v>
      </c>
      <c r="I736" s="46">
        <f>TRUNC(T736*(1-LOTE_03!$K$10),2)</f>
        <v>415.66</v>
      </c>
      <c r="J736" s="100">
        <f t="shared" si="87"/>
        <v>0.22470000000000001</v>
      </c>
      <c r="K736" s="48">
        <f t="shared" si="81"/>
        <v>2668.03</v>
      </c>
      <c r="L736" s="48">
        <f t="shared" si="82"/>
        <v>509.05</v>
      </c>
      <c r="M736" s="48">
        <f t="shared" si="83"/>
        <v>24012.27</v>
      </c>
      <c r="N736" s="48">
        <f t="shared" si="84"/>
        <v>4581.45</v>
      </c>
      <c r="O736" s="50">
        <f t="shared" si="85"/>
        <v>28593.72</v>
      </c>
      <c r="P736" s="50">
        <v>0</v>
      </c>
      <c r="Q736" s="76"/>
      <c r="R736" s="139">
        <f>1*(S9+S10)</f>
        <v>9</v>
      </c>
      <c r="S736" s="79">
        <v>2178.52</v>
      </c>
      <c r="T736" s="80">
        <v>415.66</v>
      </c>
    </row>
    <row r="737" spans="2:20">
      <c r="B737" s="5" t="s">
        <v>1727</v>
      </c>
      <c r="C737" s="45" t="s">
        <v>97</v>
      </c>
      <c r="D737" s="45" t="s">
        <v>1732</v>
      </c>
      <c r="E737" s="6" t="s">
        <v>1733</v>
      </c>
      <c r="F737" s="45" t="s">
        <v>104</v>
      </c>
      <c r="G737" s="46">
        <f t="shared" si="86"/>
        <v>9</v>
      </c>
      <c r="H737" s="46">
        <f>TRUNC(S737*(1-LOTE_03!$K$10),2)</f>
        <v>7949.88</v>
      </c>
      <c r="I737" s="46">
        <f>TRUNC(T737*(1-LOTE_03!$K$10),2)</f>
        <v>1311.32</v>
      </c>
      <c r="J737" s="100">
        <f t="shared" si="87"/>
        <v>0.22470000000000001</v>
      </c>
      <c r="K737" s="48">
        <f t="shared" si="81"/>
        <v>9736.2099999999991</v>
      </c>
      <c r="L737" s="48">
        <f t="shared" si="82"/>
        <v>1605.97</v>
      </c>
      <c r="M737" s="48">
        <f t="shared" si="83"/>
        <v>87625.89</v>
      </c>
      <c r="N737" s="48">
        <f t="shared" si="84"/>
        <v>14453.73</v>
      </c>
      <c r="O737" s="50">
        <f t="shared" si="85"/>
        <v>102079.62</v>
      </c>
      <c r="P737" s="50">
        <v>0</v>
      </c>
      <c r="Q737" s="76"/>
      <c r="R737" s="139">
        <f>1*(S9+S10)</f>
        <v>9</v>
      </c>
      <c r="S737" s="79">
        <v>7949.88</v>
      </c>
      <c r="T737" s="80">
        <v>1311.32</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17786935.119999994</v>
      </c>
      <c r="N741" s="58">
        <f>SUM(N15:N740)</f>
        <v>5157846.3000000017</v>
      </c>
      <c r="O741" s="58">
        <f t="shared" ref="O741:P741" si="91">SUM(O15:O740)</f>
        <v>22944781.419999998</v>
      </c>
      <c r="P741" s="58">
        <f t="shared" si="91"/>
        <v>22944781.420000002</v>
      </c>
      <c r="Q741" s="78"/>
      <c r="R741" s="78"/>
      <c r="S741" s="78"/>
    </row>
  </sheetData>
  <sheetProtection selectLockedCells="1"/>
  <protectedRanges>
    <protectedRange sqref="E15:F33 G739:O739 S15 E179:F471 G124 G132 G134 G431:G689 J179:J737 G179:G429 G150:G159 M738:O738 G15:J15 M15:Q15 G16:G114 E35:F176 J16:J176 P16:Q176 G161:G176 B15:B176 S16:T176 G691:G737 P179:Q740 B179:B739 S179:T738 E473:F739" name="Intervalo1_7_1"/>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R15" name="Intervalo1_3_1_2_1_1"/>
    <protectedRange sqref="B177 S177:T177 E177:G177 P177:Q177 J177" name="Intervalo1_3_1"/>
    <protectedRange sqref="G115:G123 G125:G131 G133 G135:G149 G160 G430 G690" name="Intervalo1_7_1_1"/>
    <protectedRange sqref="B178 S178:T178 E178:G178 P178:Q178 J178" name="Intervalo1_5"/>
    <protectedRange sqref="K15:L737" name="Intervalo1"/>
    <protectedRange sqref="M16:O737" name="Intervalo1_1"/>
    <protectedRange sqref="H16:I737" name="Intervalo1_2_1_1"/>
    <protectedRange sqref="R663 R684 R192:R194 R306 R310" name="Intervalo1_3_1_2"/>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6000000}"/>
  <mergeCells count="4">
    <mergeCell ref="H13:I13"/>
    <mergeCell ref="J13:J14"/>
    <mergeCell ref="M13:P13"/>
    <mergeCell ref="K13:L13"/>
  </mergeCells>
  <conditionalFormatting sqref="R15:R176 R179:R683">
    <cfRule type="expression" dxfId="13" priority="3" stopIfTrue="1">
      <formula>P15="-"</formula>
    </cfRule>
  </conditionalFormatting>
  <conditionalFormatting sqref="R15:R683">
    <cfRule type="cellIs" dxfId="12" priority="1" stopIfTrue="1" operator="equal">
      <formula>""</formula>
    </cfRule>
  </conditionalFormatting>
  <conditionalFormatting sqref="R177:R178">
    <cfRule type="expression" dxfId="11" priority="2" stopIfTrue="1">
      <formula>Q177="-"</formula>
    </cfRule>
  </conditionalFormatting>
  <conditionalFormatting sqref="R684">
    <cfRule type="cellIs" dxfId="10" priority="6" stopIfTrue="1" operator="equal">
      <formula>0</formula>
    </cfRule>
    <cfRule type="expression" dxfId="9" priority="7" stopIfTrue="1">
      <formula>I684="-"</formula>
    </cfRule>
  </conditionalFormatting>
  <conditionalFormatting sqref="R685:R737">
    <cfRule type="cellIs" dxfId="8" priority="4" stopIfTrue="1" operator="equal">
      <formula>""</formula>
    </cfRule>
    <cfRule type="expression" dxfId="7"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T741"/>
  <sheetViews>
    <sheetView zoomScale="55" zoomScaleNormal="55" workbookViewId="0">
      <selection activeCell="E20" sqref="E20"/>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1.1796875" style="66" customWidth="1"/>
    <col min="12" max="12" width="13.36328125" style="66" customWidth="1"/>
    <col min="13" max="13" width="16.54296875" style="51" customWidth="1"/>
    <col min="14" max="14" width="14.90625" style="51" customWidth="1"/>
    <col min="15" max="15" width="16.1796875" style="51" customWidth="1"/>
    <col min="16" max="16" width="18.1796875" style="51" bestFit="1" customWidth="1"/>
    <col min="17" max="17" width="3.453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76</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1.1523000000000001</v>
      </c>
    </row>
    <row r="6" spans="2:20" s="8" customFormat="1">
      <c r="D6" s="4"/>
      <c r="E6" s="16" t="s">
        <v>2</v>
      </c>
      <c r="F6" s="23" t="s">
        <v>1766</v>
      </c>
      <c r="G6" s="121"/>
      <c r="H6" s="18"/>
      <c r="N6" s="27" t="s">
        <v>4</v>
      </c>
      <c r="O6" s="28">
        <f>O741</f>
        <v>44784055.639999963</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83</v>
      </c>
      <c r="F9" s="33"/>
      <c r="G9" s="34"/>
      <c r="H9" s="34"/>
      <c r="I9" s="35"/>
      <c r="J9" s="35"/>
      <c r="K9" s="35"/>
      <c r="L9" s="35"/>
      <c r="M9" s="31"/>
      <c r="N9" s="67"/>
      <c r="O9" s="68"/>
      <c r="R9" s="143" t="s">
        <v>1744</v>
      </c>
      <c r="S9" s="144">
        <v>13</v>
      </c>
    </row>
    <row r="10" spans="2:20" s="8" customFormat="1">
      <c r="C10" s="24" t="s">
        <v>1746</v>
      </c>
      <c r="D10" s="32" t="s">
        <v>135</v>
      </c>
      <c r="E10" s="132" t="s">
        <v>1747</v>
      </c>
      <c r="F10" s="133" t="s">
        <v>1852</v>
      </c>
      <c r="G10" s="134" t="s">
        <v>1748</v>
      </c>
      <c r="H10" s="2"/>
      <c r="I10" s="133">
        <v>46054</v>
      </c>
      <c r="J10" s="35"/>
      <c r="K10" s="35"/>
      <c r="L10" s="35"/>
      <c r="M10" s="31"/>
      <c r="N10" s="67"/>
      <c r="O10" s="68"/>
      <c r="R10" s="143" t="s">
        <v>1743</v>
      </c>
      <c r="S10" s="144">
        <v>7</v>
      </c>
    </row>
    <row r="11" spans="2:20" s="8" customFormat="1">
      <c r="C11" s="135"/>
      <c r="E11" s="136" t="s">
        <v>165</v>
      </c>
      <c r="F11" s="137" t="s">
        <v>1853</v>
      </c>
      <c r="G11" s="134" t="s">
        <v>1749</v>
      </c>
      <c r="H11" s="134"/>
      <c r="I11" s="133">
        <v>46082</v>
      </c>
      <c r="J11" s="35"/>
      <c r="K11" s="35"/>
      <c r="L11" s="35"/>
      <c r="M11" s="31"/>
      <c r="N11" s="67"/>
      <c r="O11" s="68"/>
      <c r="R11" s="145" t="s">
        <v>77</v>
      </c>
      <c r="S11" s="146">
        <f>S9+S10</f>
        <v>20</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2660025.6999999997</v>
      </c>
      <c r="Q15" s="107"/>
      <c r="R15" s="139"/>
      <c r="S15" s="76" t="s">
        <v>22</v>
      </c>
      <c r="T15" s="51" t="s">
        <v>22</v>
      </c>
    </row>
    <row r="16" spans="2:20" ht="28">
      <c r="B16" s="5" t="s">
        <v>96</v>
      </c>
      <c r="C16" s="45" t="s">
        <v>97</v>
      </c>
      <c r="D16" s="45" t="s">
        <v>98</v>
      </c>
      <c r="E16" s="6" t="s">
        <v>99</v>
      </c>
      <c r="F16" s="45" t="s">
        <v>100</v>
      </c>
      <c r="G16" s="46">
        <f>TRUNC(R16,2)</f>
        <v>20</v>
      </c>
      <c r="H16" s="46">
        <f>TRUNC(S16*(1-LOTE_03!$K$10),2)</f>
        <v>1083.29</v>
      </c>
      <c r="I16" s="46">
        <f>TRUNC(T16*(1-LOTE_03!$K$10),2)</f>
        <v>0</v>
      </c>
      <c r="J16" s="100">
        <f>$J$4</f>
        <v>0.22470000000000001</v>
      </c>
      <c r="K16" s="48">
        <f>TRUNC(H16*(1+J16),2)</f>
        <v>1326.7</v>
      </c>
      <c r="L16" s="48">
        <f>TRUNC(I16*(1+J16),2)</f>
        <v>0</v>
      </c>
      <c r="M16" s="48">
        <f>TRUNC(K16*G16,2)</f>
        <v>26534</v>
      </c>
      <c r="N16" s="48">
        <f>TRUNC(L16*G16,2)</f>
        <v>0</v>
      </c>
      <c r="O16" s="50">
        <f>TRUNC(M16+N16,2)</f>
        <v>26534</v>
      </c>
      <c r="P16" s="50">
        <v>0</v>
      </c>
      <c r="Q16" s="76"/>
      <c r="R16" s="140">
        <f>S9+S10</f>
        <v>20</v>
      </c>
      <c r="S16" s="79">
        <v>1083.29</v>
      </c>
      <c r="T16" s="80">
        <v>0</v>
      </c>
    </row>
    <row r="17" spans="2:20" ht="28">
      <c r="B17" s="5" t="s">
        <v>101</v>
      </c>
      <c r="C17" s="45" t="s">
        <v>97</v>
      </c>
      <c r="D17" s="45" t="s">
        <v>102</v>
      </c>
      <c r="E17" s="6" t="s">
        <v>103</v>
      </c>
      <c r="F17" s="45" t="s">
        <v>104</v>
      </c>
      <c r="G17" s="46">
        <f t="shared" ref="G17:G80" si="0">TRUNC(R17,2)</f>
        <v>20</v>
      </c>
      <c r="H17" s="46">
        <f>TRUNC(S17*(1-LOTE_03!$K$10),2)</f>
        <v>881.17</v>
      </c>
      <c r="I17" s="46">
        <f>TRUNC(T17*(1-LOTE_03!$K$10),2)</f>
        <v>0</v>
      </c>
      <c r="J17" s="100">
        <f t="shared" ref="J17:J80" si="1">$J$4</f>
        <v>0.22470000000000001</v>
      </c>
      <c r="K17" s="48">
        <f t="shared" ref="K17:K80" si="2">TRUNC(H17*(1+J17),2)</f>
        <v>1079.1600000000001</v>
      </c>
      <c r="L17" s="48">
        <f t="shared" ref="L17:L80" si="3">TRUNC(I17*(1+J17),2)</f>
        <v>0</v>
      </c>
      <c r="M17" s="48">
        <f t="shared" ref="M17:M80" si="4">TRUNC(K17*G17,2)</f>
        <v>21583.200000000001</v>
      </c>
      <c r="N17" s="48">
        <f t="shared" ref="N17:N80" si="5">TRUNC(L17*G17,2)</f>
        <v>0</v>
      </c>
      <c r="O17" s="50">
        <f t="shared" ref="O17:O80" si="6">TRUNC(M17+N17,2)</f>
        <v>21583.200000000001</v>
      </c>
      <c r="P17" s="50">
        <v>0</v>
      </c>
      <c r="Q17" s="76"/>
      <c r="R17" s="140">
        <f>IF((S9+S10)&gt;50,50,(S9+S10))</f>
        <v>20</v>
      </c>
      <c r="S17" s="79">
        <v>881.17</v>
      </c>
      <c r="T17" s="80">
        <v>0</v>
      </c>
    </row>
    <row r="18" spans="2:20" ht="70">
      <c r="B18" s="5" t="s">
        <v>105</v>
      </c>
      <c r="C18" s="45" t="s">
        <v>97</v>
      </c>
      <c r="D18" s="45" t="s">
        <v>106</v>
      </c>
      <c r="E18" s="6" t="s">
        <v>107</v>
      </c>
      <c r="F18" s="45" t="s">
        <v>104</v>
      </c>
      <c r="G18" s="46">
        <f t="shared" si="0"/>
        <v>20</v>
      </c>
      <c r="H18" s="46">
        <f>TRUNC(S18*(1-LOTE_03!$K$10),2)</f>
        <v>325.76</v>
      </c>
      <c r="I18" s="46">
        <f>TRUNC(T18*(1-LOTE_03!$K$10),2)</f>
        <v>0</v>
      </c>
      <c r="J18" s="100">
        <f t="shared" si="1"/>
        <v>0.22470000000000001</v>
      </c>
      <c r="K18" s="48">
        <f t="shared" si="2"/>
        <v>398.95</v>
      </c>
      <c r="L18" s="48">
        <f t="shared" si="3"/>
        <v>0</v>
      </c>
      <c r="M18" s="48">
        <f t="shared" si="4"/>
        <v>7979</v>
      </c>
      <c r="N18" s="48">
        <f t="shared" si="5"/>
        <v>0</v>
      </c>
      <c r="O18" s="50">
        <f t="shared" si="6"/>
        <v>7979</v>
      </c>
      <c r="P18" s="50">
        <v>0</v>
      </c>
      <c r="Q18" s="76"/>
      <c r="R18" s="140">
        <f>1*(S9+S10)</f>
        <v>20</v>
      </c>
      <c r="S18" s="79">
        <v>325.76</v>
      </c>
      <c r="T18" s="80">
        <v>0</v>
      </c>
    </row>
    <row r="19" spans="2:20" ht="84">
      <c r="B19" s="5" t="s">
        <v>108</v>
      </c>
      <c r="C19" s="45" t="s">
        <v>97</v>
      </c>
      <c r="D19" s="45" t="s">
        <v>109</v>
      </c>
      <c r="E19" s="6" t="s">
        <v>110</v>
      </c>
      <c r="F19" s="45" t="s">
        <v>111</v>
      </c>
      <c r="G19" s="46">
        <f t="shared" si="0"/>
        <v>20</v>
      </c>
      <c r="H19" s="46">
        <f>TRUNC(S19*(1-LOTE_03!$K$10),2)</f>
        <v>447.03</v>
      </c>
      <c r="I19" s="46">
        <f>TRUNC(T19*(1-LOTE_03!$K$10),2)</f>
        <v>24525.599999999999</v>
      </c>
      <c r="J19" s="100">
        <f t="shared" si="1"/>
        <v>0.22470000000000001</v>
      </c>
      <c r="K19" s="48">
        <f t="shared" si="2"/>
        <v>547.47</v>
      </c>
      <c r="L19" s="48">
        <f t="shared" si="3"/>
        <v>30036.5</v>
      </c>
      <c r="M19" s="48">
        <f t="shared" si="4"/>
        <v>10949.4</v>
      </c>
      <c r="N19" s="48">
        <f t="shared" si="5"/>
        <v>600730</v>
      </c>
      <c r="O19" s="50">
        <f t="shared" si="6"/>
        <v>611679.4</v>
      </c>
      <c r="P19" s="50">
        <v>0</v>
      </c>
      <c r="Q19" s="76"/>
      <c r="R19" s="140">
        <f>S9+S10</f>
        <v>20</v>
      </c>
      <c r="S19" s="79">
        <v>447.03</v>
      </c>
      <c r="T19" s="80">
        <v>24525.599999999999</v>
      </c>
    </row>
    <row r="20" spans="2:20" ht="70">
      <c r="B20" s="5" t="s">
        <v>112</v>
      </c>
      <c r="C20" s="45" t="s">
        <v>97</v>
      </c>
      <c r="D20" s="45" t="s">
        <v>113</v>
      </c>
      <c r="E20" s="6" t="s">
        <v>114</v>
      </c>
      <c r="F20" s="45" t="s">
        <v>111</v>
      </c>
      <c r="G20" s="46">
        <f t="shared" si="0"/>
        <v>40</v>
      </c>
      <c r="H20" s="46">
        <f>TRUNC(S20*(1-LOTE_03!$K$10),2)</f>
        <v>552.64</v>
      </c>
      <c r="I20" s="46">
        <f>TRUNC(T20*(1-LOTE_03!$K$10),2)</f>
        <v>8601.1200000000008</v>
      </c>
      <c r="J20" s="100">
        <f t="shared" si="1"/>
        <v>0.22470000000000001</v>
      </c>
      <c r="K20" s="48">
        <f t="shared" si="2"/>
        <v>676.81</v>
      </c>
      <c r="L20" s="48">
        <f t="shared" si="3"/>
        <v>10533.79</v>
      </c>
      <c r="M20" s="48">
        <f t="shared" si="4"/>
        <v>27072.400000000001</v>
      </c>
      <c r="N20" s="48">
        <f t="shared" si="5"/>
        <v>421351.6</v>
      </c>
      <c r="O20" s="50">
        <f t="shared" si="6"/>
        <v>448424</v>
      </c>
      <c r="P20" s="50">
        <v>0</v>
      </c>
      <c r="Q20" s="76"/>
      <c r="R20" s="140">
        <f>2*S9+2*S10</f>
        <v>40</v>
      </c>
      <c r="S20" s="79">
        <v>552.64</v>
      </c>
      <c r="T20" s="80">
        <v>8601.1200000000008</v>
      </c>
    </row>
    <row r="21" spans="2:20" ht="70">
      <c r="B21" s="5" t="s">
        <v>115</v>
      </c>
      <c r="C21" s="45" t="s">
        <v>97</v>
      </c>
      <c r="D21" s="45" t="s">
        <v>116</v>
      </c>
      <c r="E21" s="6" t="s">
        <v>117</v>
      </c>
      <c r="F21" s="45" t="s">
        <v>111</v>
      </c>
      <c r="G21" s="46">
        <f t="shared" si="0"/>
        <v>40</v>
      </c>
      <c r="H21" s="46">
        <f>TRUNC(S21*(1-LOTE_03!$K$10),2)</f>
        <v>617.01</v>
      </c>
      <c r="I21" s="46">
        <f>TRUNC(T21*(1-LOTE_03!$K$10),2)</f>
        <v>6563.51</v>
      </c>
      <c r="J21" s="100">
        <f t="shared" si="1"/>
        <v>0.22470000000000001</v>
      </c>
      <c r="K21" s="48">
        <f t="shared" si="2"/>
        <v>755.65</v>
      </c>
      <c r="L21" s="48">
        <f t="shared" si="3"/>
        <v>8038.33</v>
      </c>
      <c r="M21" s="48">
        <f t="shared" si="4"/>
        <v>30226</v>
      </c>
      <c r="N21" s="48">
        <f t="shared" si="5"/>
        <v>321533.2</v>
      </c>
      <c r="O21" s="50">
        <f t="shared" si="6"/>
        <v>351759.2</v>
      </c>
      <c r="P21" s="50">
        <v>0</v>
      </c>
      <c r="Q21" s="76"/>
      <c r="R21" s="140">
        <f>2*S9+2*S10</f>
        <v>40</v>
      </c>
      <c r="S21" s="79">
        <v>617.01</v>
      </c>
      <c r="T21" s="80">
        <v>6563.51</v>
      </c>
    </row>
    <row r="22" spans="2:20">
      <c r="B22" s="5" t="s">
        <v>118</v>
      </c>
      <c r="C22" s="45" t="s">
        <v>97</v>
      </c>
      <c r="D22" s="45" t="s">
        <v>119</v>
      </c>
      <c r="E22" s="6" t="s">
        <v>120</v>
      </c>
      <c r="F22" s="45" t="s">
        <v>121</v>
      </c>
      <c r="G22" s="46">
        <f t="shared" si="0"/>
        <v>8000</v>
      </c>
      <c r="H22" s="46">
        <f>TRUNC(S22*(1-LOTE_03!$K$10),2)</f>
        <v>0</v>
      </c>
      <c r="I22" s="46">
        <f>TRUNC(T22*(1-LOTE_03!$K$10),2)</f>
        <v>27.5</v>
      </c>
      <c r="J22" s="100">
        <f t="shared" si="1"/>
        <v>0.22470000000000001</v>
      </c>
      <c r="K22" s="48">
        <f t="shared" si="2"/>
        <v>0</v>
      </c>
      <c r="L22" s="48">
        <f t="shared" si="3"/>
        <v>33.67</v>
      </c>
      <c r="M22" s="48">
        <f t="shared" si="4"/>
        <v>0</v>
      </c>
      <c r="N22" s="48">
        <f t="shared" si="5"/>
        <v>269360</v>
      </c>
      <c r="O22" s="50">
        <f t="shared" si="6"/>
        <v>269360</v>
      </c>
      <c r="P22" s="50">
        <v>0</v>
      </c>
      <c r="Q22" s="76"/>
      <c r="R22" s="140">
        <f>400*(S9+S10)</f>
        <v>8000</v>
      </c>
      <c r="S22" s="79">
        <v>0</v>
      </c>
      <c r="T22" s="80">
        <v>27.5</v>
      </c>
    </row>
    <row r="23" spans="2:20" ht="28">
      <c r="B23" s="5" t="s">
        <v>122</v>
      </c>
      <c r="C23" s="45" t="s">
        <v>97</v>
      </c>
      <c r="D23" s="45" t="s">
        <v>123</v>
      </c>
      <c r="E23" s="6" t="s">
        <v>124</v>
      </c>
      <c r="F23" s="45" t="s">
        <v>121</v>
      </c>
      <c r="G23" s="46">
        <f t="shared" si="0"/>
        <v>8000</v>
      </c>
      <c r="H23" s="46">
        <f>TRUNC(S23*(1-LOTE_03!$K$10),2)</f>
        <v>0</v>
      </c>
      <c r="I23" s="46">
        <f>TRUNC(T23*(1-LOTE_03!$K$10),2)</f>
        <v>3.6</v>
      </c>
      <c r="J23" s="100">
        <f t="shared" si="1"/>
        <v>0.22470000000000001</v>
      </c>
      <c r="K23" s="48">
        <f t="shared" si="2"/>
        <v>0</v>
      </c>
      <c r="L23" s="48">
        <f t="shared" si="3"/>
        <v>4.4000000000000004</v>
      </c>
      <c r="M23" s="48">
        <f t="shared" si="4"/>
        <v>0</v>
      </c>
      <c r="N23" s="48">
        <f t="shared" si="5"/>
        <v>35200</v>
      </c>
      <c r="O23" s="50">
        <f t="shared" si="6"/>
        <v>35200</v>
      </c>
      <c r="P23" s="50">
        <v>0</v>
      </c>
      <c r="Q23" s="76"/>
      <c r="R23" s="140">
        <f>400*(S9+S10)</f>
        <v>8000</v>
      </c>
      <c r="S23" s="79">
        <v>0</v>
      </c>
      <c r="T23" s="80">
        <v>3.6</v>
      </c>
    </row>
    <row r="24" spans="2:20" ht="28">
      <c r="B24" s="5" t="s">
        <v>125</v>
      </c>
      <c r="C24" s="45" t="s">
        <v>97</v>
      </c>
      <c r="D24" s="45" t="s">
        <v>126</v>
      </c>
      <c r="E24" s="6" t="s">
        <v>127</v>
      </c>
      <c r="F24" s="45" t="s">
        <v>121</v>
      </c>
      <c r="G24" s="46">
        <f t="shared" si="0"/>
        <v>8000</v>
      </c>
      <c r="H24" s="46">
        <f>TRUNC(S24*(1-LOTE_03!$K$10),2)</f>
        <v>0</v>
      </c>
      <c r="I24" s="46">
        <f>TRUNC(T24*(1-LOTE_03!$K$10),2)</f>
        <v>8.5</v>
      </c>
      <c r="J24" s="100">
        <f t="shared" si="1"/>
        <v>0.22470000000000001</v>
      </c>
      <c r="K24" s="48">
        <f t="shared" si="2"/>
        <v>0</v>
      </c>
      <c r="L24" s="48">
        <f t="shared" si="3"/>
        <v>10.4</v>
      </c>
      <c r="M24" s="48">
        <f t="shared" si="4"/>
        <v>0</v>
      </c>
      <c r="N24" s="48">
        <f t="shared" si="5"/>
        <v>83200</v>
      </c>
      <c r="O24" s="50">
        <f t="shared" si="6"/>
        <v>83200</v>
      </c>
      <c r="P24" s="50">
        <v>0</v>
      </c>
      <c r="Q24" s="76"/>
      <c r="R24" s="140">
        <f>400*(S9+S10)</f>
        <v>8000</v>
      </c>
      <c r="S24" s="79">
        <v>0</v>
      </c>
      <c r="T24" s="80">
        <v>8.5</v>
      </c>
    </row>
    <row r="25" spans="2:20" ht="28">
      <c r="B25" s="5" t="s">
        <v>128</v>
      </c>
      <c r="C25" s="45" t="s">
        <v>97</v>
      </c>
      <c r="D25" s="45" t="s">
        <v>129</v>
      </c>
      <c r="E25" s="6" t="s">
        <v>130</v>
      </c>
      <c r="F25" s="45" t="s">
        <v>121</v>
      </c>
      <c r="G25" s="46">
        <f t="shared" si="0"/>
        <v>8000</v>
      </c>
      <c r="H25" s="46">
        <f>TRUNC(S25*(1-LOTE_03!$K$10),2)</f>
        <v>0</v>
      </c>
      <c r="I25" s="46">
        <f>TRUNC(T25*(1-LOTE_03!$K$10),2)</f>
        <v>5</v>
      </c>
      <c r="J25" s="100">
        <f t="shared" si="1"/>
        <v>0.22470000000000001</v>
      </c>
      <c r="K25" s="48">
        <f t="shared" si="2"/>
        <v>0</v>
      </c>
      <c r="L25" s="48">
        <f t="shared" si="3"/>
        <v>6.12</v>
      </c>
      <c r="M25" s="48">
        <f t="shared" si="4"/>
        <v>0</v>
      </c>
      <c r="N25" s="48">
        <f t="shared" si="5"/>
        <v>48960</v>
      </c>
      <c r="O25" s="50">
        <f t="shared" si="6"/>
        <v>48960</v>
      </c>
      <c r="P25" s="50">
        <v>0</v>
      </c>
      <c r="Q25" s="76"/>
      <c r="R25" s="140">
        <f>400*(S9+S10)</f>
        <v>8000</v>
      </c>
      <c r="S25" s="79">
        <v>0</v>
      </c>
      <c r="T25" s="80">
        <v>5</v>
      </c>
    </row>
    <row r="26" spans="2:20" ht="28">
      <c r="B26" s="5" t="s">
        <v>131</v>
      </c>
      <c r="C26" s="45" t="s">
        <v>97</v>
      </c>
      <c r="D26" s="45" t="s">
        <v>132</v>
      </c>
      <c r="E26" s="6" t="s">
        <v>133</v>
      </c>
      <c r="F26" s="45" t="s">
        <v>121</v>
      </c>
      <c r="G26" s="46">
        <f t="shared" si="0"/>
        <v>8000</v>
      </c>
      <c r="H26" s="46">
        <f>TRUNC(S26*(1-LOTE_03!$K$10),2)</f>
        <v>0</v>
      </c>
      <c r="I26" s="46">
        <f>TRUNC(T26*(1-LOTE_03!$K$10),2)</f>
        <v>5.5</v>
      </c>
      <c r="J26" s="100">
        <f t="shared" si="1"/>
        <v>0.22470000000000001</v>
      </c>
      <c r="K26" s="48">
        <f t="shared" si="2"/>
        <v>0</v>
      </c>
      <c r="L26" s="48">
        <f t="shared" si="3"/>
        <v>6.73</v>
      </c>
      <c r="M26" s="48">
        <f t="shared" si="4"/>
        <v>0</v>
      </c>
      <c r="N26" s="48">
        <f t="shared" si="5"/>
        <v>53840</v>
      </c>
      <c r="O26" s="50">
        <f t="shared" si="6"/>
        <v>53840</v>
      </c>
      <c r="P26" s="50">
        <v>0</v>
      </c>
      <c r="Q26" s="76"/>
      <c r="R26" s="140">
        <f>400*(S9+S10)</f>
        <v>8000</v>
      </c>
      <c r="S26" s="79">
        <v>0</v>
      </c>
      <c r="T26" s="80">
        <v>5.5</v>
      </c>
    </row>
    <row r="27" spans="2:20" ht="28">
      <c r="B27" s="5" t="s">
        <v>134</v>
      </c>
      <c r="C27" s="45" t="s">
        <v>135</v>
      </c>
      <c r="D27" s="45">
        <v>90769</v>
      </c>
      <c r="E27" s="6" t="s">
        <v>136</v>
      </c>
      <c r="F27" s="45" t="s">
        <v>137</v>
      </c>
      <c r="G27" s="46">
        <f t="shared" si="0"/>
        <v>1000</v>
      </c>
      <c r="H27" s="46">
        <f>TRUNC(S27*(1-LOTE_03!$K$10),2)</f>
        <v>2.5499999999999998</v>
      </c>
      <c r="I27" s="46">
        <f>TRUNC(T27*(1-LOTE_03!$K$10),2)</f>
        <v>143.88</v>
      </c>
      <c r="J27" s="100">
        <f t="shared" si="1"/>
        <v>0.22470000000000001</v>
      </c>
      <c r="K27" s="48">
        <f t="shared" si="2"/>
        <v>3.12</v>
      </c>
      <c r="L27" s="48">
        <f t="shared" si="3"/>
        <v>176.2</v>
      </c>
      <c r="M27" s="48">
        <f t="shared" si="4"/>
        <v>3120</v>
      </c>
      <c r="N27" s="48">
        <f t="shared" si="5"/>
        <v>176200</v>
      </c>
      <c r="O27" s="50">
        <f t="shared" si="6"/>
        <v>179320</v>
      </c>
      <c r="P27" s="50">
        <v>0</v>
      </c>
      <c r="Q27" s="76"/>
      <c r="R27" s="140">
        <f>IF((50*S10+50*S9),(50*S10+50*S9))</f>
        <v>1000</v>
      </c>
      <c r="S27" s="79">
        <v>2.5500000000000114</v>
      </c>
      <c r="T27" s="80">
        <v>143.88</v>
      </c>
    </row>
    <row r="28" spans="2:20" ht="28">
      <c r="B28" s="5" t="s">
        <v>138</v>
      </c>
      <c r="C28" s="45" t="s">
        <v>135</v>
      </c>
      <c r="D28" s="45">
        <v>90778</v>
      </c>
      <c r="E28" s="6" t="s">
        <v>139</v>
      </c>
      <c r="F28" s="45" t="s">
        <v>137</v>
      </c>
      <c r="G28" s="46">
        <f t="shared" si="0"/>
        <v>1000</v>
      </c>
      <c r="H28" s="46">
        <f>TRUNC(S28*(1-LOTE_03!$K$10),2)</f>
        <v>2.5499999999999998</v>
      </c>
      <c r="I28" s="46">
        <f>TRUNC(T28*(1-LOTE_03!$K$10),2)</f>
        <v>146.13999999999999</v>
      </c>
      <c r="J28" s="100">
        <f t="shared" si="1"/>
        <v>0.22470000000000001</v>
      </c>
      <c r="K28" s="48">
        <f t="shared" si="2"/>
        <v>3.12</v>
      </c>
      <c r="L28" s="48">
        <f t="shared" si="3"/>
        <v>178.97</v>
      </c>
      <c r="M28" s="48">
        <f t="shared" si="4"/>
        <v>3120</v>
      </c>
      <c r="N28" s="48">
        <f t="shared" si="5"/>
        <v>178970</v>
      </c>
      <c r="O28" s="50">
        <f t="shared" si="6"/>
        <v>182090</v>
      </c>
      <c r="P28" s="50">
        <v>0</v>
      </c>
      <c r="Q28" s="76"/>
      <c r="R28" s="140">
        <f>IF((50*S10+50*S9)&gt;1000,1000,(50*S10+50*S9))</f>
        <v>1000</v>
      </c>
      <c r="S28" s="79">
        <v>2.5500000000000114</v>
      </c>
      <c r="T28" s="80">
        <v>146.13999999999999</v>
      </c>
    </row>
    <row r="29" spans="2:20" ht="42">
      <c r="B29" s="5" t="s">
        <v>140</v>
      </c>
      <c r="C29" s="45" t="s">
        <v>97</v>
      </c>
      <c r="D29" s="45" t="s">
        <v>141</v>
      </c>
      <c r="E29" s="6" t="s">
        <v>142</v>
      </c>
      <c r="F29" s="45" t="s">
        <v>111</v>
      </c>
      <c r="G29" s="46">
        <f t="shared" si="0"/>
        <v>10</v>
      </c>
      <c r="H29" s="46">
        <f>TRUNC(S29*(1-LOTE_03!$K$10),2)</f>
        <v>64.069999999999993</v>
      </c>
      <c r="I29" s="46">
        <f>TRUNC(T29*(1-LOTE_03!$K$10),2)</f>
        <v>830.16</v>
      </c>
      <c r="J29" s="100">
        <f t="shared" si="1"/>
        <v>0.22470000000000001</v>
      </c>
      <c r="K29" s="48">
        <f t="shared" si="2"/>
        <v>78.459999999999994</v>
      </c>
      <c r="L29" s="48">
        <f t="shared" si="3"/>
        <v>1016.69</v>
      </c>
      <c r="M29" s="48">
        <f t="shared" si="4"/>
        <v>784.6</v>
      </c>
      <c r="N29" s="48">
        <f t="shared" si="5"/>
        <v>10166.9</v>
      </c>
      <c r="O29" s="50">
        <f t="shared" si="6"/>
        <v>10951.5</v>
      </c>
      <c r="P29" s="50">
        <v>0</v>
      </c>
      <c r="Q29" s="76"/>
      <c r="R29" s="140">
        <f>IF((2*S9+2*S10)&gt;10,10,(2*S9+2*S10))</f>
        <v>10</v>
      </c>
      <c r="S29" s="79">
        <v>64.069999999999993</v>
      </c>
      <c r="T29" s="80">
        <v>830.16</v>
      </c>
    </row>
    <row r="30" spans="2:20">
      <c r="B30" s="5" t="s">
        <v>143</v>
      </c>
      <c r="C30" s="45" t="s">
        <v>97</v>
      </c>
      <c r="D30" s="45" t="s">
        <v>144</v>
      </c>
      <c r="E30" s="6" t="s">
        <v>145</v>
      </c>
      <c r="F30" s="45" t="s">
        <v>104</v>
      </c>
      <c r="G30" s="46">
        <f t="shared" si="0"/>
        <v>20</v>
      </c>
      <c r="H30" s="46">
        <f>TRUNC(S30*(1-LOTE_03!$K$10),2)</f>
        <v>1010.34</v>
      </c>
      <c r="I30" s="46">
        <f>TRUNC(T30*(1-LOTE_03!$K$10),2)</f>
        <v>228.72</v>
      </c>
      <c r="J30" s="100">
        <f t="shared" si="1"/>
        <v>0.22470000000000001</v>
      </c>
      <c r="K30" s="48">
        <f t="shared" si="2"/>
        <v>1237.3599999999999</v>
      </c>
      <c r="L30" s="48">
        <f t="shared" si="3"/>
        <v>280.11</v>
      </c>
      <c r="M30" s="48">
        <f t="shared" si="4"/>
        <v>24747.200000000001</v>
      </c>
      <c r="N30" s="48">
        <f t="shared" si="5"/>
        <v>5602.2</v>
      </c>
      <c r="O30" s="50">
        <f t="shared" si="6"/>
        <v>30349.4</v>
      </c>
      <c r="P30" s="50">
        <v>0</v>
      </c>
      <c r="Q30" s="76"/>
      <c r="R30" s="140">
        <f>S9+S10</f>
        <v>20</v>
      </c>
      <c r="S30" s="79">
        <v>1010.34</v>
      </c>
      <c r="T30" s="80">
        <v>228.72</v>
      </c>
    </row>
    <row r="31" spans="2:20" ht="28">
      <c r="B31" s="5" t="s">
        <v>146</v>
      </c>
      <c r="C31" s="45" t="s">
        <v>97</v>
      </c>
      <c r="D31" s="45" t="s">
        <v>147</v>
      </c>
      <c r="E31" s="6" t="s">
        <v>148</v>
      </c>
      <c r="F31" s="45" t="s">
        <v>104</v>
      </c>
      <c r="G31" s="46">
        <f t="shared" si="0"/>
        <v>20</v>
      </c>
      <c r="H31" s="46">
        <f>TRUNC(S31*(1-LOTE_03!$K$10),2)</f>
        <v>1902.39</v>
      </c>
      <c r="I31" s="46">
        <f>TRUNC(T31*(1-LOTE_03!$K$10),2)</f>
        <v>359.39</v>
      </c>
      <c r="J31" s="100">
        <f t="shared" si="1"/>
        <v>0.22470000000000001</v>
      </c>
      <c r="K31" s="48">
        <f t="shared" si="2"/>
        <v>2329.85</v>
      </c>
      <c r="L31" s="48">
        <f t="shared" si="3"/>
        <v>440.14</v>
      </c>
      <c r="M31" s="48">
        <f t="shared" si="4"/>
        <v>46597</v>
      </c>
      <c r="N31" s="48">
        <f t="shared" si="5"/>
        <v>8802.7999999999993</v>
      </c>
      <c r="O31" s="50">
        <f t="shared" si="6"/>
        <v>55399.8</v>
      </c>
      <c r="P31" s="50">
        <v>0</v>
      </c>
      <c r="Q31" s="76"/>
      <c r="R31" s="140">
        <f>S9+S10</f>
        <v>20</v>
      </c>
      <c r="S31" s="79">
        <v>1902.39</v>
      </c>
      <c r="T31" s="80">
        <v>359.39</v>
      </c>
    </row>
    <row r="32" spans="2:20" ht="28">
      <c r="B32" s="5" t="s">
        <v>149</v>
      </c>
      <c r="C32" s="45" t="s">
        <v>97</v>
      </c>
      <c r="D32" s="45" t="s">
        <v>150</v>
      </c>
      <c r="E32" s="6" t="s">
        <v>151</v>
      </c>
      <c r="F32" s="45" t="s">
        <v>104</v>
      </c>
      <c r="G32" s="46">
        <f t="shared" si="0"/>
        <v>20</v>
      </c>
      <c r="H32" s="46">
        <f>TRUNC(S32*(1-LOTE_03!$K$10),2)</f>
        <v>8906.19</v>
      </c>
      <c r="I32" s="46">
        <f>TRUNC(T32*(1-LOTE_03!$K$10),2)</f>
        <v>1030.79</v>
      </c>
      <c r="J32" s="100">
        <f t="shared" si="1"/>
        <v>0.22470000000000001</v>
      </c>
      <c r="K32" s="48">
        <f t="shared" si="2"/>
        <v>10907.41</v>
      </c>
      <c r="L32" s="48">
        <f t="shared" si="3"/>
        <v>1262.4000000000001</v>
      </c>
      <c r="M32" s="48">
        <f t="shared" si="4"/>
        <v>218148.2</v>
      </c>
      <c r="N32" s="48">
        <f t="shared" si="5"/>
        <v>25248</v>
      </c>
      <c r="O32" s="50">
        <f t="shared" si="6"/>
        <v>243396.2</v>
      </c>
      <c r="P32" s="50">
        <v>0</v>
      </c>
      <c r="Q32" s="76"/>
      <c r="R32" s="140">
        <f>S9+S10</f>
        <v>20</v>
      </c>
      <c r="S32" s="79">
        <v>8906.19</v>
      </c>
      <c r="T32" s="80">
        <v>1030.79</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331257.2</v>
      </c>
      <c r="Q33" s="107"/>
      <c r="R33" s="154"/>
      <c r="S33" s="43" t="s">
        <v>22</v>
      </c>
      <c r="T33" s="44" t="s">
        <v>22</v>
      </c>
    </row>
    <row r="34" spans="2:20" ht="56">
      <c r="B34" s="5" t="s">
        <v>152</v>
      </c>
      <c r="C34" s="45" t="s">
        <v>135</v>
      </c>
      <c r="D34" s="45">
        <v>103689</v>
      </c>
      <c r="E34" s="6" t="s">
        <v>153</v>
      </c>
      <c r="F34" s="45" t="s">
        <v>121</v>
      </c>
      <c r="G34" s="46">
        <f t="shared" si="0"/>
        <v>30</v>
      </c>
      <c r="H34" s="46">
        <f>TRUNC(S34*(1-LOTE_03!$K$10),2)</f>
        <v>465.31</v>
      </c>
      <c r="I34" s="46">
        <f>TRUNC(T34*(1-LOTE_03!$K$10),2)</f>
        <v>32.020000000000003</v>
      </c>
      <c r="J34" s="100">
        <f t="shared" si="1"/>
        <v>0.22470000000000001</v>
      </c>
      <c r="K34" s="48">
        <f t="shared" si="2"/>
        <v>569.86</v>
      </c>
      <c r="L34" s="48">
        <f t="shared" si="3"/>
        <v>39.21</v>
      </c>
      <c r="M34" s="48">
        <f t="shared" si="4"/>
        <v>17095.8</v>
      </c>
      <c r="N34" s="48">
        <f t="shared" si="5"/>
        <v>1176.3</v>
      </c>
      <c r="O34" s="50">
        <f t="shared" si="6"/>
        <v>18272.099999999999</v>
      </c>
      <c r="P34" s="50">
        <v>0</v>
      </c>
      <c r="Q34" s="76"/>
      <c r="R34" s="140">
        <f>1.5*1*(S9+S10)</f>
        <v>30</v>
      </c>
      <c r="S34" s="79">
        <v>465.31</v>
      </c>
      <c r="T34" s="80">
        <v>32.020000000000003</v>
      </c>
    </row>
    <row r="35" spans="2:20" ht="112">
      <c r="B35" s="5" t="s">
        <v>154</v>
      </c>
      <c r="C35" s="45" t="s">
        <v>97</v>
      </c>
      <c r="D35" s="45" t="s">
        <v>155</v>
      </c>
      <c r="E35" s="6" t="s">
        <v>156</v>
      </c>
      <c r="F35" s="45" t="s">
        <v>157</v>
      </c>
      <c r="G35" s="46">
        <f t="shared" si="0"/>
        <v>600</v>
      </c>
      <c r="H35" s="46">
        <f>TRUNC(S35*(1-LOTE_03!$K$10),2)</f>
        <v>29</v>
      </c>
      <c r="I35" s="46">
        <f>TRUNC(T35*(1-LOTE_03!$K$10),2)</f>
        <v>0</v>
      </c>
      <c r="J35" s="100">
        <f t="shared" si="1"/>
        <v>0.22470000000000001</v>
      </c>
      <c r="K35" s="48">
        <f t="shared" si="2"/>
        <v>35.51</v>
      </c>
      <c r="L35" s="48">
        <f t="shared" si="3"/>
        <v>0</v>
      </c>
      <c r="M35" s="48">
        <f t="shared" si="4"/>
        <v>21306</v>
      </c>
      <c r="N35" s="48">
        <f t="shared" si="5"/>
        <v>0</v>
      </c>
      <c r="O35" s="50">
        <f t="shared" si="6"/>
        <v>21306</v>
      </c>
      <c r="P35" s="50">
        <v>0</v>
      </c>
      <c r="Q35" s="76"/>
      <c r="R35" s="140">
        <f>10*3*(S9+S10)</f>
        <v>600</v>
      </c>
      <c r="S35" s="79">
        <v>29</v>
      </c>
      <c r="T35" s="80">
        <v>0</v>
      </c>
    </row>
    <row r="36" spans="2:20" ht="70">
      <c r="B36" s="5" t="s">
        <v>158</v>
      </c>
      <c r="C36" s="45" t="s">
        <v>135</v>
      </c>
      <c r="D36" s="45">
        <v>97063</v>
      </c>
      <c r="E36" s="6" t="s">
        <v>159</v>
      </c>
      <c r="F36" s="45" t="s">
        <v>121</v>
      </c>
      <c r="G36" s="46">
        <f t="shared" si="0"/>
        <v>1440</v>
      </c>
      <c r="H36" s="46">
        <f>TRUNC(S36*(1-LOTE_03!$K$10),2)</f>
        <v>4.7300000000000004</v>
      </c>
      <c r="I36" s="46">
        <f>TRUNC(T36*(1-LOTE_03!$K$10),2)</f>
        <v>12.97</v>
      </c>
      <c r="J36" s="100">
        <f t="shared" si="1"/>
        <v>0.22470000000000001</v>
      </c>
      <c r="K36" s="48">
        <f t="shared" si="2"/>
        <v>5.79</v>
      </c>
      <c r="L36" s="48">
        <f t="shared" si="3"/>
        <v>15.88</v>
      </c>
      <c r="M36" s="48">
        <f t="shared" si="4"/>
        <v>8337.6</v>
      </c>
      <c r="N36" s="48">
        <f t="shared" si="5"/>
        <v>22867.200000000001</v>
      </c>
      <c r="O36" s="50">
        <f t="shared" si="6"/>
        <v>31204.799999999999</v>
      </c>
      <c r="P36" s="50">
        <v>0</v>
      </c>
      <c r="Q36" s="76"/>
      <c r="R36" s="140">
        <f>6*12*(S9+S10)</f>
        <v>1440</v>
      </c>
      <c r="S36" s="79">
        <v>4.7299999999999986</v>
      </c>
      <c r="T36" s="80">
        <v>12.97</v>
      </c>
    </row>
    <row r="37" spans="2:20" ht="84">
      <c r="B37" s="5" t="s">
        <v>160</v>
      </c>
      <c r="C37" s="45" t="s">
        <v>135</v>
      </c>
      <c r="D37" s="45">
        <v>100981</v>
      </c>
      <c r="E37" s="6" t="s">
        <v>1768</v>
      </c>
      <c r="F37" s="45" t="s">
        <v>161</v>
      </c>
      <c r="G37" s="46">
        <f t="shared" si="0"/>
        <v>720</v>
      </c>
      <c r="H37" s="46">
        <f>TRUNC(S37*(1-LOTE_03!$K$10),2)</f>
        <v>9.26</v>
      </c>
      <c r="I37" s="46">
        <f>TRUNC(T37*(1-LOTE_03!$K$10),2)</f>
        <v>1.68</v>
      </c>
      <c r="J37" s="100">
        <f t="shared" si="1"/>
        <v>0.22470000000000001</v>
      </c>
      <c r="K37" s="48">
        <f t="shared" si="2"/>
        <v>11.34</v>
      </c>
      <c r="L37" s="48">
        <f t="shared" si="3"/>
        <v>2.0499999999999998</v>
      </c>
      <c r="M37" s="48">
        <f t="shared" si="4"/>
        <v>8164.8</v>
      </c>
      <c r="N37" s="48">
        <f t="shared" si="5"/>
        <v>1476</v>
      </c>
      <c r="O37" s="50">
        <f t="shared" si="6"/>
        <v>9640.7999999999993</v>
      </c>
      <c r="P37" s="50">
        <v>0</v>
      </c>
      <c r="Q37" s="76"/>
      <c r="R37" s="140">
        <f>6*6*(S9+S10)</f>
        <v>720</v>
      </c>
      <c r="S37" s="79">
        <v>9.26</v>
      </c>
      <c r="T37" s="80">
        <v>1.68</v>
      </c>
    </row>
    <row r="38" spans="2:20" ht="56">
      <c r="B38" s="5" t="s">
        <v>162</v>
      </c>
      <c r="C38" s="45" t="s">
        <v>135</v>
      </c>
      <c r="D38" s="45">
        <v>97914</v>
      </c>
      <c r="E38" s="6" t="s">
        <v>1769</v>
      </c>
      <c r="F38" s="45" t="s">
        <v>163</v>
      </c>
      <c r="G38" s="46">
        <f t="shared" si="0"/>
        <v>43200</v>
      </c>
      <c r="H38" s="46">
        <f>TRUNC(S38*(1-LOTE_03!$K$10),2)</f>
        <v>3.31</v>
      </c>
      <c r="I38" s="46">
        <f>TRUNC(T38*(1-LOTE_03!$K$10),2)</f>
        <v>0.49</v>
      </c>
      <c r="J38" s="100">
        <f t="shared" si="1"/>
        <v>0.22470000000000001</v>
      </c>
      <c r="K38" s="48">
        <f t="shared" si="2"/>
        <v>4.05</v>
      </c>
      <c r="L38" s="48">
        <f t="shared" si="3"/>
        <v>0.6</v>
      </c>
      <c r="M38" s="48">
        <f t="shared" si="4"/>
        <v>174960</v>
      </c>
      <c r="N38" s="48">
        <f t="shared" si="5"/>
        <v>25920</v>
      </c>
      <c r="O38" s="50">
        <f t="shared" si="6"/>
        <v>200880</v>
      </c>
      <c r="P38" s="50">
        <v>0</v>
      </c>
      <c r="Q38" s="76"/>
      <c r="R38" s="140">
        <f>R37*60</f>
        <v>43200</v>
      </c>
      <c r="S38" s="79">
        <v>3.3099999999999996</v>
      </c>
      <c r="T38" s="80">
        <v>0.49</v>
      </c>
    </row>
    <row r="39" spans="2:20" ht="28">
      <c r="B39" s="5" t="s">
        <v>164</v>
      </c>
      <c r="C39" s="45" t="s">
        <v>165</v>
      </c>
      <c r="D39" s="45" t="s">
        <v>166</v>
      </c>
      <c r="E39" s="6" t="s">
        <v>167</v>
      </c>
      <c r="F39" s="45" t="s">
        <v>168</v>
      </c>
      <c r="G39" s="46">
        <f t="shared" si="0"/>
        <v>50</v>
      </c>
      <c r="H39" s="46">
        <f>TRUNC(S39*(1-LOTE_03!$K$10),2)</f>
        <v>573.79999999999995</v>
      </c>
      <c r="I39" s="46">
        <f>TRUNC(T39*(1-LOTE_03!$K$10),2)</f>
        <v>241.97</v>
      </c>
      <c r="J39" s="100">
        <f t="shared" si="1"/>
        <v>0.22470000000000001</v>
      </c>
      <c r="K39" s="48">
        <f t="shared" si="2"/>
        <v>702.73</v>
      </c>
      <c r="L39" s="48">
        <f t="shared" si="3"/>
        <v>296.33999999999997</v>
      </c>
      <c r="M39" s="48">
        <f t="shared" si="4"/>
        <v>35136.5</v>
      </c>
      <c r="N39" s="48">
        <f t="shared" si="5"/>
        <v>14817</v>
      </c>
      <c r="O39" s="50">
        <f t="shared" si="6"/>
        <v>49953.5</v>
      </c>
      <c r="P39" s="50">
        <v>0</v>
      </c>
      <c r="Q39" s="76"/>
      <c r="R39" s="140">
        <f>IF((3*S9+3*S10)&gt;50,50,(3*S9+3*S10))</f>
        <v>50</v>
      </c>
      <c r="S39" s="79">
        <v>573.79999999999995</v>
      </c>
      <c r="T39" s="80">
        <v>241.97</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778704.65999999992</v>
      </c>
      <c r="Q40" s="107"/>
      <c r="R40" s="154"/>
      <c r="S40" s="43" t="s">
        <v>22</v>
      </c>
      <c r="T40" s="44" t="s">
        <v>22</v>
      </c>
    </row>
    <row r="41" spans="2:20" ht="42">
      <c r="B41" s="5" t="s">
        <v>169</v>
      </c>
      <c r="C41" s="45" t="s">
        <v>135</v>
      </c>
      <c r="D41" s="45">
        <v>97622</v>
      </c>
      <c r="E41" s="6" t="s">
        <v>170</v>
      </c>
      <c r="F41" s="45" t="s">
        <v>161</v>
      </c>
      <c r="G41" s="46">
        <f t="shared" si="0"/>
        <v>400</v>
      </c>
      <c r="H41" s="46">
        <f>TRUNC(S41*(1-LOTE_03!$K$10),2)</f>
        <v>18.54</v>
      </c>
      <c r="I41" s="46">
        <f>TRUNC(T41*(1-LOTE_03!$K$10),2)</f>
        <v>42.95</v>
      </c>
      <c r="J41" s="100">
        <f t="shared" si="1"/>
        <v>0.22470000000000001</v>
      </c>
      <c r="K41" s="48">
        <f t="shared" si="2"/>
        <v>22.7</v>
      </c>
      <c r="L41" s="48">
        <f t="shared" si="3"/>
        <v>52.6</v>
      </c>
      <c r="M41" s="48">
        <f t="shared" si="4"/>
        <v>9080</v>
      </c>
      <c r="N41" s="48">
        <f t="shared" si="5"/>
        <v>21040</v>
      </c>
      <c r="O41" s="50">
        <f t="shared" si="6"/>
        <v>30120</v>
      </c>
      <c r="P41" s="50">
        <v>0</v>
      </c>
      <c r="Q41" s="76"/>
      <c r="R41" s="140">
        <f>20*S9+20*S10</f>
        <v>400</v>
      </c>
      <c r="S41" s="79">
        <v>18.54</v>
      </c>
      <c r="T41" s="80">
        <v>42.95</v>
      </c>
    </row>
    <row r="42" spans="2:20" ht="42">
      <c r="B42" s="5" t="s">
        <v>171</v>
      </c>
      <c r="C42" s="45" t="s">
        <v>135</v>
      </c>
      <c r="D42" s="45">
        <v>97624</v>
      </c>
      <c r="E42" s="6" t="s">
        <v>172</v>
      </c>
      <c r="F42" s="45" t="s">
        <v>161</v>
      </c>
      <c r="G42" s="46">
        <f t="shared" si="0"/>
        <v>10</v>
      </c>
      <c r="H42" s="46">
        <f>TRUNC(S42*(1-LOTE_03!$K$10),2)</f>
        <v>34.86</v>
      </c>
      <c r="I42" s="46">
        <f>TRUNC(T42*(1-LOTE_03!$K$10),2)</f>
        <v>80.760000000000005</v>
      </c>
      <c r="J42" s="100">
        <f t="shared" si="1"/>
        <v>0.22470000000000001</v>
      </c>
      <c r="K42" s="48">
        <f t="shared" si="2"/>
        <v>42.69</v>
      </c>
      <c r="L42" s="48">
        <f t="shared" si="3"/>
        <v>98.9</v>
      </c>
      <c r="M42" s="48">
        <f t="shared" si="4"/>
        <v>426.9</v>
      </c>
      <c r="N42" s="48">
        <f t="shared" si="5"/>
        <v>989</v>
      </c>
      <c r="O42" s="50">
        <f t="shared" si="6"/>
        <v>1415.9</v>
      </c>
      <c r="P42" s="50">
        <v>0</v>
      </c>
      <c r="Q42" s="76"/>
      <c r="R42" s="140">
        <f>IF((5*S9+5*S10)&gt;10,10,(5*S9+5*S10))</f>
        <v>10</v>
      </c>
      <c r="S42" s="79">
        <v>34.86</v>
      </c>
      <c r="T42" s="80">
        <v>80.760000000000005</v>
      </c>
    </row>
    <row r="43" spans="2:20" ht="56">
      <c r="B43" s="5" t="s">
        <v>173</v>
      </c>
      <c r="C43" s="45" t="s">
        <v>135</v>
      </c>
      <c r="D43" s="45">
        <v>97625</v>
      </c>
      <c r="E43" s="6" t="s">
        <v>174</v>
      </c>
      <c r="F43" s="45" t="s">
        <v>161</v>
      </c>
      <c r="G43" s="46">
        <f t="shared" si="0"/>
        <v>135</v>
      </c>
      <c r="H43" s="46">
        <f>TRUNC(S43*(1-LOTE_03!$K$10),2)</f>
        <v>45.37</v>
      </c>
      <c r="I43" s="46">
        <f>TRUNC(T43*(1-LOTE_03!$K$10),2)</f>
        <v>9.43</v>
      </c>
      <c r="J43" s="100">
        <f t="shared" si="1"/>
        <v>0.22470000000000001</v>
      </c>
      <c r="K43" s="48">
        <f t="shared" si="2"/>
        <v>55.56</v>
      </c>
      <c r="L43" s="48">
        <f t="shared" si="3"/>
        <v>11.54</v>
      </c>
      <c r="M43" s="48">
        <f t="shared" si="4"/>
        <v>7500.6</v>
      </c>
      <c r="N43" s="48">
        <f t="shared" si="5"/>
        <v>1557.9</v>
      </c>
      <c r="O43" s="50">
        <f t="shared" si="6"/>
        <v>9058.5</v>
      </c>
      <c r="P43" s="50">
        <v>0</v>
      </c>
      <c r="Q43" s="76"/>
      <c r="R43" s="140">
        <f>IF((5*S9+10*S10)&gt;200,200,(5*S9+10*S10))</f>
        <v>135</v>
      </c>
      <c r="S43" s="79">
        <v>45.37</v>
      </c>
      <c r="T43" s="80">
        <v>9.43</v>
      </c>
    </row>
    <row r="44" spans="2:20" ht="56">
      <c r="B44" s="5" t="s">
        <v>175</v>
      </c>
      <c r="C44" s="45" t="s">
        <v>135</v>
      </c>
      <c r="D44" s="45">
        <v>97626</v>
      </c>
      <c r="E44" s="6" t="s">
        <v>176</v>
      </c>
      <c r="F44" s="45" t="s">
        <v>161</v>
      </c>
      <c r="G44" s="46">
        <f t="shared" si="0"/>
        <v>10</v>
      </c>
      <c r="H44" s="46">
        <f>TRUNC(S44*(1-LOTE_03!$K$10),2)</f>
        <v>186.35</v>
      </c>
      <c r="I44" s="46">
        <f>TRUNC(T44*(1-LOTE_03!$K$10),2)</f>
        <v>431.7</v>
      </c>
      <c r="J44" s="100">
        <f t="shared" si="1"/>
        <v>0.22470000000000001</v>
      </c>
      <c r="K44" s="48">
        <f t="shared" si="2"/>
        <v>228.22</v>
      </c>
      <c r="L44" s="48">
        <f t="shared" si="3"/>
        <v>528.70000000000005</v>
      </c>
      <c r="M44" s="48">
        <f t="shared" si="4"/>
        <v>2282.1999999999998</v>
      </c>
      <c r="N44" s="48">
        <f t="shared" si="5"/>
        <v>5287</v>
      </c>
      <c r="O44" s="50">
        <f t="shared" si="6"/>
        <v>7569.2</v>
      </c>
      <c r="P44" s="50">
        <v>0</v>
      </c>
      <c r="Q44" s="76"/>
      <c r="R44" s="140">
        <f>IF((S9+S10)&gt;10,10,(S9+S10))</f>
        <v>10</v>
      </c>
      <c r="S44" s="79">
        <v>186.34999999999997</v>
      </c>
      <c r="T44" s="80">
        <v>431.7</v>
      </c>
    </row>
    <row r="45" spans="2:20" ht="42">
      <c r="B45" s="5" t="s">
        <v>177</v>
      </c>
      <c r="C45" s="45" t="s">
        <v>135</v>
      </c>
      <c r="D45" s="45">
        <v>97628</v>
      </c>
      <c r="E45" s="6" t="s">
        <v>178</v>
      </c>
      <c r="F45" s="45" t="s">
        <v>161</v>
      </c>
      <c r="G45" s="46">
        <f t="shared" si="0"/>
        <v>5</v>
      </c>
      <c r="H45" s="46">
        <f>TRUNC(S45*(1-LOTE_03!$K$10),2)</f>
        <v>86.79</v>
      </c>
      <c r="I45" s="46">
        <f>TRUNC(T45*(1-LOTE_03!$K$10),2)</f>
        <v>201.05</v>
      </c>
      <c r="J45" s="100">
        <f t="shared" si="1"/>
        <v>0.22470000000000001</v>
      </c>
      <c r="K45" s="48">
        <f t="shared" si="2"/>
        <v>106.29</v>
      </c>
      <c r="L45" s="48">
        <f t="shared" si="3"/>
        <v>246.22</v>
      </c>
      <c r="M45" s="48">
        <f t="shared" si="4"/>
        <v>531.45000000000005</v>
      </c>
      <c r="N45" s="48">
        <f t="shared" si="5"/>
        <v>1231.0999999999999</v>
      </c>
      <c r="O45" s="50">
        <f t="shared" si="6"/>
        <v>1762.55</v>
      </c>
      <c r="P45" s="50">
        <v>0</v>
      </c>
      <c r="Q45" s="76"/>
      <c r="R45" s="140">
        <f>IF((S10+S9)&gt;5,5,(S10+S9))</f>
        <v>5</v>
      </c>
      <c r="S45" s="79">
        <v>86.789999999999964</v>
      </c>
      <c r="T45" s="80">
        <v>201.05</v>
      </c>
    </row>
    <row r="46" spans="2:20" ht="28">
      <c r="B46" s="5" t="s">
        <v>179</v>
      </c>
      <c r="C46" s="45" t="s">
        <v>165</v>
      </c>
      <c r="D46" s="45" t="s">
        <v>180</v>
      </c>
      <c r="E46" s="6" t="s">
        <v>181</v>
      </c>
      <c r="F46" s="45" t="s">
        <v>182</v>
      </c>
      <c r="G46" s="46">
        <f t="shared" si="0"/>
        <v>5</v>
      </c>
      <c r="H46" s="46">
        <f>TRUNC(S46*(1-LOTE_03!$K$10),2)</f>
        <v>0</v>
      </c>
      <c r="I46" s="46">
        <f>TRUNC(T46*(1-LOTE_03!$K$10),2)</f>
        <v>193.62</v>
      </c>
      <c r="J46" s="100">
        <f t="shared" si="1"/>
        <v>0.22470000000000001</v>
      </c>
      <c r="K46" s="48">
        <f t="shared" si="2"/>
        <v>0</v>
      </c>
      <c r="L46" s="48">
        <f t="shared" si="3"/>
        <v>237.12</v>
      </c>
      <c r="M46" s="48">
        <f t="shared" si="4"/>
        <v>0</v>
      </c>
      <c r="N46" s="48">
        <f t="shared" si="5"/>
        <v>1185.5999999999999</v>
      </c>
      <c r="O46" s="50">
        <f t="shared" si="6"/>
        <v>1185.5999999999999</v>
      </c>
      <c r="P46" s="50">
        <v>0</v>
      </c>
      <c r="Q46" s="76"/>
      <c r="R46" s="140">
        <f>IF((S10+S9)&gt;5,5,(S10+S9))</f>
        <v>5</v>
      </c>
      <c r="S46" s="79">
        <v>0</v>
      </c>
      <c r="T46" s="80">
        <v>193.62</v>
      </c>
    </row>
    <row r="47" spans="2:20" ht="42">
      <c r="B47" s="5" t="s">
        <v>183</v>
      </c>
      <c r="C47" s="45" t="s">
        <v>135</v>
      </c>
      <c r="D47" s="45">
        <v>97631</v>
      </c>
      <c r="E47" s="6" t="s">
        <v>184</v>
      </c>
      <c r="F47" s="45" t="s">
        <v>121</v>
      </c>
      <c r="G47" s="46">
        <f t="shared" si="0"/>
        <v>1000</v>
      </c>
      <c r="H47" s="46">
        <f>TRUNC(S47*(1-LOTE_03!$K$10),2)</f>
        <v>3.65</v>
      </c>
      <c r="I47" s="46">
        <f>TRUNC(T47*(1-LOTE_03!$K$10),2)</f>
        <v>8.7100000000000009</v>
      </c>
      <c r="J47" s="100">
        <f t="shared" si="1"/>
        <v>0.22470000000000001</v>
      </c>
      <c r="K47" s="48">
        <f t="shared" si="2"/>
        <v>4.47</v>
      </c>
      <c r="L47" s="48">
        <f t="shared" si="3"/>
        <v>10.66</v>
      </c>
      <c r="M47" s="48">
        <f t="shared" si="4"/>
        <v>4470</v>
      </c>
      <c r="N47" s="48">
        <f t="shared" si="5"/>
        <v>10660</v>
      </c>
      <c r="O47" s="50">
        <f t="shared" si="6"/>
        <v>15130</v>
      </c>
      <c r="P47" s="50">
        <v>0</v>
      </c>
      <c r="Q47" s="76"/>
      <c r="R47" s="140">
        <f>IF((50*S9+100*S10)&gt;1000,1000,(50*S9+100*S10))</f>
        <v>1000</v>
      </c>
      <c r="S47" s="79">
        <v>3.6499999999999986</v>
      </c>
      <c r="T47" s="80">
        <v>8.7100000000000009</v>
      </c>
    </row>
    <row r="48" spans="2:20" ht="42">
      <c r="B48" s="5" t="s">
        <v>185</v>
      </c>
      <c r="C48" s="45" t="s">
        <v>135</v>
      </c>
      <c r="D48" s="45">
        <v>97632</v>
      </c>
      <c r="E48" s="6" t="s">
        <v>186</v>
      </c>
      <c r="F48" s="45" t="s">
        <v>187</v>
      </c>
      <c r="G48" s="46">
        <f t="shared" si="0"/>
        <v>2000</v>
      </c>
      <c r="H48" s="46">
        <f>TRUNC(S48*(1-LOTE_03!$K$10),2)</f>
        <v>0.84</v>
      </c>
      <c r="I48" s="46">
        <f>TRUNC(T48*(1-LOTE_03!$K$10),2)</f>
        <v>1.99</v>
      </c>
      <c r="J48" s="100">
        <f t="shared" si="1"/>
        <v>0.22470000000000001</v>
      </c>
      <c r="K48" s="48">
        <f t="shared" si="2"/>
        <v>1.02</v>
      </c>
      <c r="L48" s="48">
        <f t="shared" si="3"/>
        <v>2.4300000000000002</v>
      </c>
      <c r="M48" s="48">
        <f t="shared" si="4"/>
        <v>2040</v>
      </c>
      <c r="N48" s="48">
        <f t="shared" si="5"/>
        <v>4860</v>
      </c>
      <c r="O48" s="50">
        <f t="shared" si="6"/>
        <v>6900</v>
      </c>
      <c r="P48" s="50">
        <v>0</v>
      </c>
      <c r="Q48" s="76"/>
      <c r="R48" s="140">
        <f>100*S9+100*S10</f>
        <v>2000</v>
      </c>
      <c r="S48" s="79">
        <v>0.84000000000000008</v>
      </c>
      <c r="T48" s="80">
        <v>1.99</v>
      </c>
    </row>
    <row r="49" spans="2:20" ht="42">
      <c r="B49" s="5" t="s">
        <v>188</v>
      </c>
      <c r="C49" s="45" t="s">
        <v>135</v>
      </c>
      <c r="D49" s="45">
        <v>97633</v>
      </c>
      <c r="E49" s="6" t="s">
        <v>189</v>
      </c>
      <c r="F49" s="45" t="s">
        <v>121</v>
      </c>
      <c r="G49" s="46">
        <f t="shared" si="0"/>
        <v>3450</v>
      </c>
      <c r="H49" s="46">
        <f>TRUNC(S49*(1-LOTE_03!$K$10),2)</f>
        <v>7.28</v>
      </c>
      <c r="I49" s="46">
        <f>TRUNC(T49*(1-LOTE_03!$K$10),2)</f>
        <v>17.41</v>
      </c>
      <c r="J49" s="100">
        <f t="shared" si="1"/>
        <v>0.22470000000000001</v>
      </c>
      <c r="K49" s="48">
        <f t="shared" si="2"/>
        <v>8.91</v>
      </c>
      <c r="L49" s="48">
        <f t="shared" si="3"/>
        <v>21.32</v>
      </c>
      <c r="M49" s="48">
        <f t="shared" si="4"/>
        <v>30739.5</v>
      </c>
      <c r="N49" s="48">
        <f t="shared" si="5"/>
        <v>73554</v>
      </c>
      <c r="O49" s="50">
        <f t="shared" si="6"/>
        <v>104293.5</v>
      </c>
      <c r="P49" s="50">
        <v>0</v>
      </c>
      <c r="Q49" s="76"/>
      <c r="R49" s="140">
        <f>400*S10+50*S9</f>
        <v>3450</v>
      </c>
      <c r="S49" s="79">
        <v>7.2800000000000011</v>
      </c>
      <c r="T49" s="80">
        <v>17.41</v>
      </c>
    </row>
    <row r="50" spans="2:20" ht="28">
      <c r="B50" s="5" t="s">
        <v>190</v>
      </c>
      <c r="C50" s="45" t="s">
        <v>165</v>
      </c>
      <c r="D50" s="45" t="s">
        <v>191</v>
      </c>
      <c r="E50" s="6" t="s">
        <v>192</v>
      </c>
      <c r="F50" s="45" t="s">
        <v>168</v>
      </c>
      <c r="G50" s="46">
        <f t="shared" si="0"/>
        <v>3060</v>
      </c>
      <c r="H50" s="46">
        <f>TRUNC(S50*(1-LOTE_03!$K$10),2)</f>
        <v>0</v>
      </c>
      <c r="I50" s="46">
        <f>TRUNC(T50*(1-LOTE_03!$K$10),2)</f>
        <v>3.72</v>
      </c>
      <c r="J50" s="100">
        <f t="shared" si="1"/>
        <v>0.22470000000000001</v>
      </c>
      <c r="K50" s="48">
        <f t="shared" si="2"/>
        <v>0</v>
      </c>
      <c r="L50" s="48">
        <f t="shared" si="3"/>
        <v>4.55</v>
      </c>
      <c r="M50" s="48">
        <f t="shared" si="4"/>
        <v>0</v>
      </c>
      <c r="N50" s="48">
        <f t="shared" si="5"/>
        <v>13923</v>
      </c>
      <c r="O50" s="50">
        <f t="shared" si="6"/>
        <v>13923</v>
      </c>
      <c r="P50" s="50">
        <v>0</v>
      </c>
      <c r="Q50" s="76"/>
      <c r="R50" s="140">
        <f>400*S10+20*S9</f>
        <v>3060</v>
      </c>
      <c r="S50" s="79">
        <v>0</v>
      </c>
      <c r="T50" s="80">
        <v>3.72</v>
      </c>
    </row>
    <row r="51" spans="2:20" ht="56">
      <c r="B51" s="5" t="s">
        <v>193</v>
      </c>
      <c r="C51" s="45" t="s">
        <v>135</v>
      </c>
      <c r="D51" s="45">
        <v>97627</v>
      </c>
      <c r="E51" s="6" t="s">
        <v>194</v>
      </c>
      <c r="F51" s="45" t="s">
        <v>161</v>
      </c>
      <c r="G51" s="46">
        <f t="shared" si="0"/>
        <v>10</v>
      </c>
      <c r="H51" s="46">
        <f>TRUNC(S51*(1-LOTE_03!$K$10),2)</f>
        <v>63.22</v>
      </c>
      <c r="I51" s="46">
        <f>TRUNC(T51*(1-LOTE_03!$K$10),2)</f>
        <v>123.7</v>
      </c>
      <c r="J51" s="100">
        <f t="shared" si="1"/>
        <v>0.22470000000000001</v>
      </c>
      <c r="K51" s="48">
        <f t="shared" si="2"/>
        <v>77.42</v>
      </c>
      <c r="L51" s="48">
        <f t="shared" si="3"/>
        <v>151.49</v>
      </c>
      <c r="M51" s="48">
        <f t="shared" si="4"/>
        <v>774.2</v>
      </c>
      <c r="N51" s="48">
        <f t="shared" si="5"/>
        <v>1514.9</v>
      </c>
      <c r="O51" s="50">
        <f t="shared" si="6"/>
        <v>2289.1</v>
      </c>
      <c r="P51" s="50">
        <v>0</v>
      </c>
      <c r="Q51" s="76"/>
      <c r="R51" s="140">
        <f>IF((S9+S10)&gt;10,10,(S9+S10))</f>
        <v>10</v>
      </c>
      <c r="S51" s="79">
        <v>63.219999999999985</v>
      </c>
      <c r="T51" s="80">
        <v>123.7</v>
      </c>
    </row>
    <row r="52" spans="2:20" ht="28">
      <c r="B52" s="5" t="s">
        <v>195</v>
      </c>
      <c r="C52" s="45" t="s">
        <v>165</v>
      </c>
      <c r="D52" s="45" t="s">
        <v>196</v>
      </c>
      <c r="E52" s="6" t="s">
        <v>197</v>
      </c>
      <c r="F52" s="45" t="s">
        <v>168</v>
      </c>
      <c r="G52" s="46">
        <f t="shared" si="0"/>
        <v>1000</v>
      </c>
      <c r="H52" s="46">
        <f>TRUNC(S52*(1-LOTE_03!$K$10),2)</f>
        <v>0</v>
      </c>
      <c r="I52" s="46">
        <f>TRUNC(T52*(1-LOTE_03!$K$10),2)</f>
        <v>19.36</v>
      </c>
      <c r="J52" s="100">
        <f t="shared" si="1"/>
        <v>0.22470000000000001</v>
      </c>
      <c r="K52" s="48">
        <f t="shared" si="2"/>
        <v>0</v>
      </c>
      <c r="L52" s="48">
        <f t="shared" si="3"/>
        <v>23.71</v>
      </c>
      <c r="M52" s="48">
        <f t="shared" si="4"/>
        <v>0</v>
      </c>
      <c r="N52" s="48">
        <f t="shared" si="5"/>
        <v>23710</v>
      </c>
      <c r="O52" s="50">
        <f t="shared" si="6"/>
        <v>23710</v>
      </c>
      <c r="P52" s="50">
        <v>0</v>
      </c>
      <c r="Q52" s="76"/>
      <c r="R52" s="140">
        <f>IF((50*S9+100*S10)&gt;1000,1000,(50*S9+100*S10))</f>
        <v>1000</v>
      </c>
      <c r="S52" s="79">
        <v>0</v>
      </c>
      <c r="T52" s="80">
        <v>19.36</v>
      </c>
    </row>
    <row r="53" spans="2:20" ht="28">
      <c r="B53" s="5" t="s">
        <v>198</v>
      </c>
      <c r="C53" s="45" t="s">
        <v>165</v>
      </c>
      <c r="D53" s="45" t="s">
        <v>199</v>
      </c>
      <c r="E53" s="6" t="s">
        <v>200</v>
      </c>
      <c r="F53" s="45" t="s">
        <v>168</v>
      </c>
      <c r="G53" s="46">
        <f t="shared" si="0"/>
        <v>200</v>
      </c>
      <c r="H53" s="46">
        <f>TRUNC(S53*(1-LOTE_03!$K$10),2)</f>
        <v>0</v>
      </c>
      <c r="I53" s="46">
        <f>TRUNC(T53*(1-LOTE_03!$K$10),2)</f>
        <v>10.43</v>
      </c>
      <c r="J53" s="100">
        <f t="shared" si="1"/>
        <v>0.22470000000000001</v>
      </c>
      <c r="K53" s="48">
        <f t="shared" si="2"/>
        <v>0</v>
      </c>
      <c r="L53" s="48">
        <f t="shared" si="3"/>
        <v>12.77</v>
      </c>
      <c r="M53" s="48">
        <f t="shared" si="4"/>
        <v>0</v>
      </c>
      <c r="N53" s="48">
        <f t="shared" si="5"/>
        <v>2554</v>
      </c>
      <c r="O53" s="50">
        <f t="shared" si="6"/>
        <v>2554</v>
      </c>
      <c r="P53" s="50">
        <v>0</v>
      </c>
      <c r="Q53" s="76"/>
      <c r="R53" s="140">
        <f>IF(50*(S10+S9)&gt;200,200,50*(S10+S9))</f>
        <v>200</v>
      </c>
      <c r="S53" s="79">
        <v>0</v>
      </c>
      <c r="T53" s="80">
        <v>10.43</v>
      </c>
    </row>
    <row r="54" spans="2:20" ht="28">
      <c r="B54" s="5" t="s">
        <v>201</v>
      </c>
      <c r="C54" s="45" t="s">
        <v>165</v>
      </c>
      <c r="D54" s="45" t="s">
        <v>202</v>
      </c>
      <c r="E54" s="6" t="s">
        <v>203</v>
      </c>
      <c r="F54" s="45" t="s">
        <v>168</v>
      </c>
      <c r="G54" s="46">
        <f t="shared" si="0"/>
        <v>200</v>
      </c>
      <c r="H54" s="46">
        <f>TRUNC(S54*(1-LOTE_03!$K$10),2)</f>
        <v>0</v>
      </c>
      <c r="I54" s="46">
        <f>TRUNC(T54*(1-LOTE_03!$K$10),2)</f>
        <v>21.42</v>
      </c>
      <c r="J54" s="100">
        <f t="shared" si="1"/>
        <v>0.22470000000000001</v>
      </c>
      <c r="K54" s="48">
        <f t="shared" si="2"/>
        <v>0</v>
      </c>
      <c r="L54" s="48">
        <f t="shared" si="3"/>
        <v>26.23</v>
      </c>
      <c r="M54" s="48">
        <f t="shared" si="4"/>
        <v>0</v>
      </c>
      <c r="N54" s="48">
        <f t="shared" si="5"/>
        <v>5246</v>
      </c>
      <c r="O54" s="50">
        <f t="shared" si="6"/>
        <v>5246</v>
      </c>
      <c r="P54" s="50">
        <v>0</v>
      </c>
      <c r="Q54" s="76"/>
      <c r="R54" s="140">
        <f>IF(20*(S10+S9)&gt;200,200,20*(S10+S9))</f>
        <v>200</v>
      </c>
      <c r="S54" s="79">
        <v>0</v>
      </c>
      <c r="T54" s="80">
        <v>21.42</v>
      </c>
    </row>
    <row r="55" spans="2:20" ht="42">
      <c r="B55" s="5" t="s">
        <v>204</v>
      </c>
      <c r="C55" s="45" t="s">
        <v>165</v>
      </c>
      <c r="D55" s="45" t="s">
        <v>205</v>
      </c>
      <c r="E55" s="6" t="s">
        <v>206</v>
      </c>
      <c r="F55" s="45" t="s">
        <v>168</v>
      </c>
      <c r="G55" s="46">
        <f t="shared" si="0"/>
        <v>8000</v>
      </c>
      <c r="H55" s="46">
        <f>TRUNC(S55*(1-LOTE_03!$K$10),2)</f>
        <v>0</v>
      </c>
      <c r="I55" s="46">
        <f>TRUNC(T55*(1-LOTE_03!$K$10),2)</f>
        <v>20.85</v>
      </c>
      <c r="J55" s="100">
        <f t="shared" si="1"/>
        <v>0.22470000000000001</v>
      </c>
      <c r="K55" s="48">
        <f t="shared" si="2"/>
        <v>0</v>
      </c>
      <c r="L55" s="48">
        <f t="shared" si="3"/>
        <v>25.53</v>
      </c>
      <c r="M55" s="48">
        <f t="shared" si="4"/>
        <v>0</v>
      </c>
      <c r="N55" s="48">
        <f t="shared" si="5"/>
        <v>204240</v>
      </c>
      <c r="O55" s="50">
        <f t="shared" si="6"/>
        <v>204240</v>
      </c>
      <c r="P55" s="50">
        <v>0</v>
      </c>
      <c r="Q55" s="76"/>
      <c r="R55" s="140">
        <f>400*(S10+S9)</f>
        <v>8000</v>
      </c>
      <c r="S55" s="79">
        <v>0</v>
      </c>
      <c r="T55" s="80">
        <v>20.85</v>
      </c>
    </row>
    <row r="56" spans="2:20" ht="28">
      <c r="B56" s="5" t="s">
        <v>207</v>
      </c>
      <c r="C56" s="45" t="s">
        <v>165</v>
      </c>
      <c r="D56" s="45" t="s">
        <v>196</v>
      </c>
      <c r="E56" s="6" t="s">
        <v>197</v>
      </c>
      <c r="F56" s="45" t="s">
        <v>168</v>
      </c>
      <c r="G56" s="46">
        <f t="shared" si="0"/>
        <v>1000</v>
      </c>
      <c r="H56" s="46">
        <f>TRUNC(S56*(1-LOTE_03!$K$10),2)</f>
        <v>0</v>
      </c>
      <c r="I56" s="46">
        <f>TRUNC(T56*(1-LOTE_03!$K$10),2)</f>
        <v>19.36</v>
      </c>
      <c r="J56" s="100">
        <f t="shared" si="1"/>
        <v>0.22470000000000001</v>
      </c>
      <c r="K56" s="48">
        <f t="shared" si="2"/>
        <v>0</v>
      </c>
      <c r="L56" s="48">
        <f t="shared" si="3"/>
        <v>23.71</v>
      </c>
      <c r="M56" s="48">
        <f t="shared" si="4"/>
        <v>0</v>
      </c>
      <c r="N56" s="48">
        <f t="shared" si="5"/>
        <v>23710</v>
      </c>
      <c r="O56" s="50">
        <f t="shared" si="6"/>
        <v>23710</v>
      </c>
      <c r="P56" s="50">
        <v>0</v>
      </c>
      <c r="Q56" s="76"/>
      <c r="R56" s="140">
        <f>IF((50*S9+100*S10)&gt;1000,1000,(50*S9+100*S10))</f>
        <v>1000</v>
      </c>
      <c r="S56" s="79">
        <v>0</v>
      </c>
      <c r="T56" s="80">
        <v>19.36</v>
      </c>
    </row>
    <row r="57" spans="2:20" ht="42">
      <c r="B57" s="5" t="s">
        <v>208</v>
      </c>
      <c r="C57" s="45" t="s">
        <v>135</v>
      </c>
      <c r="D57" s="45">
        <v>97666</v>
      </c>
      <c r="E57" s="6" t="s">
        <v>209</v>
      </c>
      <c r="F57" s="45" t="s">
        <v>210</v>
      </c>
      <c r="G57" s="46">
        <f t="shared" si="0"/>
        <v>30</v>
      </c>
      <c r="H57" s="46">
        <f>TRUNC(S57*(1-LOTE_03!$K$10),2)</f>
        <v>2.85</v>
      </c>
      <c r="I57" s="46">
        <f>TRUNC(T57*(1-LOTE_03!$K$10),2)</f>
        <v>7.41</v>
      </c>
      <c r="J57" s="100">
        <f t="shared" si="1"/>
        <v>0.22470000000000001</v>
      </c>
      <c r="K57" s="48">
        <f t="shared" si="2"/>
        <v>3.49</v>
      </c>
      <c r="L57" s="48">
        <f t="shared" si="3"/>
        <v>9.07</v>
      </c>
      <c r="M57" s="48">
        <f t="shared" si="4"/>
        <v>104.7</v>
      </c>
      <c r="N57" s="48">
        <f t="shared" si="5"/>
        <v>272.10000000000002</v>
      </c>
      <c r="O57" s="50">
        <f t="shared" si="6"/>
        <v>376.8</v>
      </c>
      <c r="P57" s="50">
        <v>0</v>
      </c>
      <c r="Q57" s="76"/>
      <c r="R57" s="140">
        <f>IF((2*S9+8*S10)&gt;30,30,(2*S9+8*S10))</f>
        <v>30</v>
      </c>
      <c r="S57" s="79">
        <v>2.8499999999999996</v>
      </c>
      <c r="T57" s="80">
        <v>7.41</v>
      </c>
    </row>
    <row r="58" spans="2:20" ht="56">
      <c r="B58" s="5" t="s">
        <v>211</v>
      </c>
      <c r="C58" s="45" t="s">
        <v>135</v>
      </c>
      <c r="D58" s="45">
        <v>97635</v>
      </c>
      <c r="E58" s="6" t="s">
        <v>212</v>
      </c>
      <c r="F58" s="45" t="s">
        <v>121</v>
      </c>
      <c r="G58" s="46">
        <f t="shared" si="0"/>
        <v>300</v>
      </c>
      <c r="H58" s="46">
        <f>TRUNC(S58*(1-LOTE_03!$K$10),2)</f>
        <v>4.9400000000000004</v>
      </c>
      <c r="I58" s="46">
        <f>TRUNC(T58*(1-LOTE_03!$K$10),2)</f>
        <v>13.83</v>
      </c>
      <c r="J58" s="100">
        <f t="shared" si="1"/>
        <v>0.22470000000000001</v>
      </c>
      <c r="K58" s="48">
        <f t="shared" si="2"/>
        <v>6.05</v>
      </c>
      <c r="L58" s="48">
        <f t="shared" si="3"/>
        <v>16.93</v>
      </c>
      <c r="M58" s="48">
        <f t="shared" si="4"/>
        <v>1815</v>
      </c>
      <c r="N58" s="48">
        <f t="shared" si="5"/>
        <v>5079</v>
      </c>
      <c r="O58" s="50">
        <f t="shared" si="6"/>
        <v>6894</v>
      </c>
      <c r="P58" s="50">
        <v>0</v>
      </c>
      <c r="Q58" s="76"/>
      <c r="R58" s="140">
        <f>IF((50*S9+100*S10)&gt;300,300,(50*S9+100*S10))</f>
        <v>300</v>
      </c>
      <c r="S58" s="79">
        <v>4.9399999999999995</v>
      </c>
      <c r="T58" s="80">
        <v>13.83</v>
      </c>
    </row>
    <row r="59" spans="2:20" ht="56">
      <c r="B59" s="5" t="s">
        <v>213</v>
      </c>
      <c r="C59" s="45" t="s">
        <v>135</v>
      </c>
      <c r="D59" s="45">
        <v>97643</v>
      </c>
      <c r="E59" s="6" t="s">
        <v>214</v>
      </c>
      <c r="F59" s="45" t="s">
        <v>121</v>
      </c>
      <c r="G59" s="46">
        <f t="shared" si="0"/>
        <v>200</v>
      </c>
      <c r="H59" s="46">
        <f>TRUNC(S59*(1-LOTE_03!$K$10),2)</f>
        <v>7.92</v>
      </c>
      <c r="I59" s="46">
        <f>TRUNC(T59*(1-LOTE_03!$K$10),2)</f>
        <v>19.309999999999999</v>
      </c>
      <c r="J59" s="100">
        <f t="shared" si="1"/>
        <v>0.22470000000000001</v>
      </c>
      <c r="K59" s="48">
        <f t="shared" si="2"/>
        <v>9.69</v>
      </c>
      <c r="L59" s="48">
        <f t="shared" si="3"/>
        <v>23.64</v>
      </c>
      <c r="M59" s="48">
        <f t="shared" si="4"/>
        <v>1938</v>
      </c>
      <c r="N59" s="48">
        <f t="shared" si="5"/>
        <v>4728</v>
      </c>
      <c r="O59" s="50">
        <f t="shared" si="6"/>
        <v>6666</v>
      </c>
      <c r="P59" s="50">
        <v>0</v>
      </c>
      <c r="Q59" s="76"/>
      <c r="R59" s="140">
        <f>IF((50*S9+50*S10)&gt;200,200,(50*S9+50*S10))</f>
        <v>200</v>
      </c>
      <c r="S59" s="79">
        <v>7.9200000000000017</v>
      </c>
      <c r="T59" s="80">
        <v>19.309999999999999</v>
      </c>
    </row>
    <row r="60" spans="2:20" ht="28">
      <c r="B60" s="5" t="s">
        <v>215</v>
      </c>
      <c r="C60" s="45" t="s">
        <v>165</v>
      </c>
      <c r="D60" s="45" t="s">
        <v>216</v>
      </c>
      <c r="E60" s="6" t="s">
        <v>217</v>
      </c>
      <c r="F60" s="45" t="s">
        <v>168</v>
      </c>
      <c r="G60" s="46">
        <f t="shared" si="0"/>
        <v>50</v>
      </c>
      <c r="H60" s="46">
        <f>TRUNC(S60*(1-LOTE_03!$K$10),2)</f>
        <v>0</v>
      </c>
      <c r="I60" s="46">
        <f>TRUNC(T60*(1-LOTE_03!$K$10),2)</f>
        <v>1.49</v>
      </c>
      <c r="J60" s="100">
        <f t="shared" si="1"/>
        <v>0.22470000000000001</v>
      </c>
      <c r="K60" s="48">
        <f t="shared" si="2"/>
        <v>0</v>
      </c>
      <c r="L60" s="48">
        <f t="shared" si="3"/>
        <v>1.82</v>
      </c>
      <c r="M60" s="48">
        <f t="shared" si="4"/>
        <v>0</v>
      </c>
      <c r="N60" s="48">
        <f t="shared" si="5"/>
        <v>91</v>
      </c>
      <c r="O60" s="50">
        <f t="shared" si="6"/>
        <v>91</v>
      </c>
      <c r="P60" s="50">
        <v>0</v>
      </c>
      <c r="Q60" s="76"/>
      <c r="R60" s="140">
        <f>IF((50*S9+50*S10)&gt;50,50,(50*S9+50*S10))</f>
        <v>50</v>
      </c>
      <c r="S60" s="79">
        <v>0</v>
      </c>
      <c r="T60" s="80">
        <v>1.49</v>
      </c>
    </row>
    <row r="61" spans="2:20" ht="28">
      <c r="B61" s="5" t="s">
        <v>218</v>
      </c>
      <c r="C61" s="45" t="s">
        <v>165</v>
      </c>
      <c r="D61" s="45" t="s">
        <v>219</v>
      </c>
      <c r="E61" s="6" t="s">
        <v>220</v>
      </c>
      <c r="F61" s="45" t="s">
        <v>168</v>
      </c>
      <c r="G61" s="46">
        <f t="shared" si="0"/>
        <v>500</v>
      </c>
      <c r="H61" s="46">
        <f>TRUNC(S61*(1-LOTE_03!$K$10),2)</f>
        <v>0</v>
      </c>
      <c r="I61" s="46">
        <f>TRUNC(T61*(1-LOTE_03!$K$10),2)</f>
        <v>13.4</v>
      </c>
      <c r="J61" s="100">
        <f t="shared" si="1"/>
        <v>0.22470000000000001</v>
      </c>
      <c r="K61" s="48">
        <f t="shared" si="2"/>
        <v>0</v>
      </c>
      <c r="L61" s="48">
        <f t="shared" si="3"/>
        <v>16.41</v>
      </c>
      <c r="M61" s="48">
        <f t="shared" si="4"/>
        <v>0</v>
      </c>
      <c r="N61" s="48">
        <f t="shared" si="5"/>
        <v>8205</v>
      </c>
      <c r="O61" s="50">
        <f t="shared" si="6"/>
        <v>8205</v>
      </c>
      <c r="P61" s="50">
        <v>0</v>
      </c>
      <c r="Q61" s="76"/>
      <c r="R61" s="140">
        <f>IF((20*S9+200*S10)&gt;500,500,((20*S9+200*S10)))</f>
        <v>500</v>
      </c>
      <c r="S61" s="79">
        <v>0</v>
      </c>
      <c r="T61" s="80">
        <v>13.4</v>
      </c>
    </row>
    <row r="62" spans="2:20" ht="42">
      <c r="B62" s="5" t="s">
        <v>221</v>
      </c>
      <c r="C62" s="45" t="s">
        <v>135</v>
      </c>
      <c r="D62" s="45">
        <v>97641</v>
      </c>
      <c r="E62" s="6" t="s">
        <v>222</v>
      </c>
      <c r="F62" s="45" t="s">
        <v>121</v>
      </c>
      <c r="G62" s="46">
        <f t="shared" si="0"/>
        <v>205</v>
      </c>
      <c r="H62" s="46">
        <f>TRUNC(S62*(1-LOTE_03!$K$10),2)</f>
        <v>0.93</v>
      </c>
      <c r="I62" s="46">
        <f>TRUNC(T62*(1-LOTE_03!$K$10),2)</f>
        <v>2.2200000000000002</v>
      </c>
      <c r="J62" s="100">
        <f t="shared" si="1"/>
        <v>0.22470000000000001</v>
      </c>
      <c r="K62" s="48">
        <f t="shared" si="2"/>
        <v>1.1299999999999999</v>
      </c>
      <c r="L62" s="48">
        <f t="shared" si="3"/>
        <v>2.71</v>
      </c>
      <c r="M62" s="48">
        <f t="shared" si="4"/>
        <v>231.65</v>
      </c>
      <c r="N62" s="48">
        <f t="shared" si="5"/>
        <v>555.54999999999995</v>
      </c>
      <c r="O62" s="50">
        <f t="shared" si="6"/>
        <v>787.2</v>
      </c>
      <c r="P62" s="50">
        <v>0</v>
      </c>
      <c r="Q62" s="76"/>
      <c r="R62" s="140">
        <f>IF((5*S9+20*S10)&gt;500,500,(5*S9+20*S10))</f>
        <v>205</v>
      </c>
      <c r="S62" s="79">
        <v>0.92999999999999972</v>
      </c>
      <c r="T62" s="80">
        <v>2.2200000000000002</v>
      </c>
    </row>
    <row r="63" spans="2:20" ht="56">
      <c r="B63" s="5" t="s">
        <v>223</v>
      </c>
      <c r="C63" s="45" t="s">
        <v>135</v>
      </c>
      <c r="D63" s="45">
        <v>97640</v>
      </c>
      <c r="E63" s="6" t="s">
        <v>224</v>
      </c>
      <c r="F63" s="45" t="s">
        <v>121</v>
      </c>
      <c r="G63" s="46">
        <f t="shared" si="0"/>
        <v>2000</v>
      </c>
      <c r="H63" s="46">
        <f>TRUNC(S63*(1-LOTE_03!$K$10),2)</f>
        <v>0.61</v>
      </c>
      <c r="I63" s="46">
        <f>TRUNC(T63*(1-LOTE_03!$K$10),2)</f>
        <v>1.43</v>
      </c>
      <c r="J63" s="100">
        <f t="shared" si="1"/>
        <v>0.22470000000000001</v>
      </c>
      <c r="K63" s="48">
        <f t="shared" si="2"/>
        <v>0.74</v>
      </c>
      <c r="L63" s="48">
        <f t="shared" si="3"/>
        <v>1.75</v>
      </c>
      <c r="M63" s="48">
        <f t="shared" si="4"/>
        <v>1480</v>
      </c>
      <c r="N63" s="48">
        <f t="shared" si="5"/>
        <v>3500</v>
      </c>
      <c r="O63" s="50">
        <f t="shared" si="6"/>
        <v>4980</v>
      </c>
      <c r="P63" s="50">
        <v>0</v>
      </c>
      <c r="Q63" s="76"/>
      <c r="R63" s="140">
        <f>IF((200*S9+200*S10)&gt;2000,2000,((20*S9+200*S10)))</f>
        <v>2000</v>
      </c>
      <c r="S63" s="79">
        <v>0.6100000000000001</v>
      </c>
      <c r="T63" s="80">
        <v>1.43</v>
      </c>
    </row>
    <row r="64" spans="2:20" ht="42">
      <c r="B64" s="5" t="s">
        <v>225</v>
      </c>
      <c r="C64" s="45" t="s">
        <v>135</v>
      </c>
      <c r="D64" s="45">
        <v>97663</v>
      </c>
      <c r="E64" s="6" t="s">
        <v>226</v>
      </c>
      <c r="F64" s="45" t="s">
        <v>210</v>
      </c>
      <c r="G64" s="46">
        <f t="shared" si="0"/>
        <v>1000</v>
      </c>
      <c r="H64" s="46">
        <f>TRUNC(S64*(1-LOTE_03!$K$10),2)</f>
        <v>3.92</v>
      </c>
      <c r="I64" s="46">
        <f>TRUNC(T64*(1-LOTE_03!$K$10),2)</f>
        <v>10.16</v>
      </c>
      <c r="J64" s="100">
        <f t="shared" si="1"/>
        <v>0.22470000000000001</v>
      </c>
      <c r="K64" s="48">
        <f t="shared" si="2"/>
        <v>4.8</v>
      </c>
      <c r="L64" s="48">
        <f t="shared" si="3"/>
        <v>12.44</v>
      </c>
      <c r="M64" s="48">
        <f t="shared" si="4"/>
        <v>4800</v>
      </c>
      <c r="N64" s="48">
        <f t="shared" si="5"/>
        <v>12440</v>
      </c>
      <c r="O64" s="50">
        <f t="shared" si="6"/>
        <v>17240</v>
      </c>
      <c r="P64" s="50">
        <v>0</v>
      </c>
      <c r="Q64" s="76"/>
      <c r="R64" s="140">
        <f>50*(S9+S10)</f>
        <v>1000</v>
      </c>
      <c r="S64" s="79">
        <v>3.92</v>
      </c>
      <c r="T64" s="80">
        <v>10.16</v>
      </c>
    </row>
    <row r="65" spans="2:20" ht="42">
      <c r="B65" s="5" t="s">
        <v>227</v>
      </c>
      <c r="C65" s="45" t="s">
        <v>135</v>
      </c>
      <c r="D65" s="45">
        <v>97638</v>
      </c>
      <c r="E65" s="6" t="s">
        <v>228</v>
      </c>
      <c r="F65" s="45" t="s">
        <v>121</v>
      </c>
      <c r="G65" s="46">
        <f t="shared" si="0"/>
        <v>500</v>
      </c>
      <c r="H65" s="46">
        <f>TRUNC(S65*(1-LOTE_03!$K$10),2)</f>
        <v>2.6</v>
      </c>
      <c r="I65" s="46">
        <f>TRUNC(T65*(1-LOTE_03!$K$10),2)</f>
        <v>6.11</v>
      </c>
      <c r="J65" s="100">
        <f t="shared" si="1"/>
        <v>0.22470000000000001</v>
      </c>
      <c r="K65" s="48">
        <f t="shared" si="2"/>
        <v>3.18</v>
      </c>
      <c r="L65" s="48">
        <f t="shared" si="3"/>
        <v>7.48</v>
      </c>
      <c r="M65" s="48">
        <f t="shared" si="4"/>
        <v>1590</v>
      </c>
      <c r="N65" s="48">
        <f t="shared" si="5"/>
        <v>3740</v>
      </c>
      <c r="O65" s="50">
        <f t="shared" si="6"/>
        <v>5330</v>
      </c>
      <c r="P65" s="50">
        <v>0</v>
      </c>
      <c r="Q65" s="76"/>
      <c r="R65" s="140">
        <f>IF((20*S9+100*S10)&gt;500,500,(20*S9+100*S10))</f>
        <v>500</v>
      </c>
      <c r="S65" s="79">
        <v>2.6000000000000005</v>
      </c>
      <c r="T65" s="80">
        <v>6.11</v>
      </c>
    </row>
    <row r="66" spans="2:20" ht="56">
      <c r="B66" s="5" t="s">
        <v>229</v>
      </c>
      <c r="C66" s="45" t="s">
        <v>135</v>
      </c>
      <c r="D66" s="45">
        <v>97642</v>
      </c>
      <c r="E66" s="6" t="s">
        <v>230</v>
      </c>
      <c r="F66" s="45" t="s">
        <v>121</v>
      </c>
      <c r="G66" s="46">
        <f t="shared" si="0"/>
        <v>1530</v>
      </c>
      <c r="H66" s="46">
        <f>TRUNC(S66*(1-LOTE_03!$K$10),2)</f>
        <v>0.88</v>
      </c>
      <c r="I66" s="46">
        <f>TRUNC(T66*(1-LOTE_03!$K$10),2)</f>
        <v>2.04</v>
      </c>
      <c r="J66" s="100">
        <f t="shared" si="1"/>
        <v>0.22470000000000001</v>
      </c>
      <c r="K66" s="48">
        <f t="shared" si="2"/>
        <v>1.07</v>
      </c>
      <c r="L66" s="48">
        <f t="shared" si="3"/>
        <v>2.4900000000000002</v>
      </c>
      <c r="M66" s="48">
        <f t="shared" si="4"/>
        <v>1637.1</v>
      </c>
      <c r="N66" s="48">
        <f t="shared" si="5"/>
        <v>3809.7</v>
      </c>
      <c r="O66" s="50">
        <f t="shared" si="6"/>
        <v>5446.8</v>
      </c>
      <c r="P66" s="50">
        <v>0</v>
      </c>
      <c r="Q66" s="76"/>
      <c r="R66" s="140">
        <f>IF((10*S9+200*S10)&gt;2000,2000,((10*S9+200*S10)))</f>
        <v>1530</v>
      </c>
      <c r="S66" s="79">
        <v>0.87999999999999989</v>
      </c>
      <c r="T66" s="80">
        <v>2.04</v>
      </c>
    </row>
    <row r="67" spans="2:20" ht="42">
      <c r="B67" s="5" t="s">
        <v>231</v>
      </c>
      <c r="C67" s="45" t="s">
        <v>135</v>
      </c>
      <c r="D67" s="45">
        <v>97650</v>
      </c>
      <c r="E67" s="6" t="s">
        <v>232</v>
      </c>
      <c r="F67" s="45" t="s">
        <v>121</v>
      </c>
      <c r="G67" s="46">
        <f t="shared" si="0"/>
        <v>1000</v>
      </c>
      <c r="H67" s="46">
        <f>TRUNC(S67*(1-LOTE_03!$K$10),2)</f>
        <v>2.4</v>
      </c>
      <c r="I67" s="46">
        <f>TRUNC(T67*(1-LOTE_03!$K$10),2)</f>
        <v>5.86</v>
      </c>
      <c r="J67" s="100">
        <f t="shared" si="1"/>
        <v>0.22470000000000001</v>
      </c>
      <c r="K67" s="48">
        <f t="shared" si="2"/>
        <v>2.93</v>
      </c>
      <c r="L67" s="48">
        <f t="shared" si="3"/>
        <v>7.17</v>
      </c>
      <c r="M67" s="48">
        <f t="shared" si="4"/>
        <v>2930</v>
      </c>
      <c r="N67" s="48">
        <f t="shared" si="5"/>
        <v>7170</v>
      </c>
      <c r="O67" s="50">
        <f t="shared" si="6"/>
        <v>10100</v>
      </c>
      <c r="P67" s="50">
        <v>0</v>
      </c>
      <c r="Q67" s="76"/>
      <c r="R67" s="140">
        <f>IF((20*S9+300*S10)&gt;1000,1000,(20*S9+100*S10))</f>
        <v>1000</v>
      </c>
      <c r="S67" s="79">
        <v>2.3999999999999995</v>
      </c>
      <c r="T67" s="80">
        <v>5.86</v>
      </c>
    </row>
    <row r="68" spans="2:20" ht="56">
      <c r="B68" s="5" t="s">
        <v>233</v>
      </c>
      <c r="C68" s="45" t="s">
        <v>135</v>
      </c>
      <c r="D68" s="45">
        <v>97637</v>
      </c>
      <c r="E68" s="6" t="s">
        <v>234</v>
      </c>
      <c r="F68" s="45" t="s">
        <v>121</v>
      </c>
      <c r="G68" s="46">
        <f t="shared" si="0"/>
        <v>100</v>
      </c>
      <c r="H68" s="46">
        <f>TRUNC(S68*(1-LOTE_03!$K$10),2)</f>
        <v>0.89</v>
      </c>
      <c r="I68" s="46">
        <f>TRUNC(T68*(1-LOTE_03!$K$10),2)</f>
        <v>2.11</v>
      </c>
      <c r="J68" s="100">
        <f t="shared" si="1"/>
        <v>0.22470000000000001</v>
      </c>
      <c r="K68" s="48">
        <f t="shared" si="2"/>
        <v>1.08</v>
      </c>
      <c r="L68" s="48">
        <f t="shared" si="3"/>
        <v>2.58</v>
      </c>
      <c r="M68" s="48">
        <f t="shared" si="4"/>
        <v>108</v>
      </c>
      <c r="N68" s="48">
        <f t="shared" si="5"/>
        <v>258</v>
      </c>
      <c r="O68" s="50">
        <f t="shared" si="6"/>
        <v>366</v>
      </c>
      <c r="P68" s="50">
        <v>0</v>
      </c>
      <c r="Q68" s="76"/>
      <c r="R68" s="140">
        <f>IF((10*S9+30*3*S10)&gt;100,100,(10*S9+15*3*S10))</f>
        <v>100</v>
      </c>
      <c r="S68" s="79">
        <v>0.89000000000000012</v>
      </c>
      <c r="T68" s="80">
        <v>2.11</v>
      </c>
    </row>
    <row r="69" spans="2:20" ht="42">
      <c r="B69" s="5" t="s">
        <v>235</v>
      </c>
      <c r="C69" s="45" t="s">
        <v>135</v>
      </c>
      <c r="D69" s="45">
        <v>97644</v>
      </c>
      <c r="E69" s="6" t="s">
        <v>236</v>
      </c>
      <c r="F69" s="45" t="s">
        <v>121</v>
      </c>
      <c r="G69" s="46">
        <f t="shared" si="0"/>
        <v>100</v>
      </c>
      <c r="H69" s="46">
        <f>TRUNC(S69*(1-LOTE_03!$K$10),2)</f>
        <v>3.01</v>
      </c>
      <c r="I69" s="46">
        <f>TRUNC(T69*(1-LOTE_03!$K$10),2)</f>
        <v>7.3</v>
      </c>
      <c r="J69" s="100">
        <f t="shared" si="1"/>
        <v>0.22470000000000001</v>
      </c>
      <c r="K69" s="48">
        <f t="shared" si="2"/>
        <v>3.68</v>
      </c>
      <c r="L69" s="48">
        <f t="shared" si="3"/>
        <v>8.94</v>
      </c>
      <c r="M69" s="48">
        <f t="shared" si="4"/>
        <v>368</v>
      </c>
      <c r="N69" s="48">
        <f t="shared" si="5"/>
        <v>894</v>
      </c>
      <c r="O69" s="50">
        <f t="shared" si="6"/>
        <v>1262</v>
      </c>
      <c r="P69" s="50">
        <v>0</v>
      </c>
      <c r="Q69" s="76"/>
      <c r="R69" s="140">
        <f>IF((0.9*2.1*3*S9+0.9*2.1*3*S10)&gt;100,100,(0.9*2.1*3*S9+0.9*2.1*3*S10))</f>
        <v>100</v>
      </c>
      <c r="S69" s="79">
        <v>3.0100000000000007</v>
      </c>
      <c r="T69" s="80">
        <v>7.3</v>
      </c>
    </row>
    <row r="70" spans="2:20" ht="42">
      <c r="B70" s="5" t="s">
        <v>237</v>
      </c>
      <c r="C70" s="45" t="s">
        <v>135</v>
      </c>
      <c r="D70" s="45">
        <v>97645</v>
      </c>
      <c r="E70" s="6" t="s">
        <v>238</v>
      </c>
      <c r="F70" s="45" t="s">
        <v>121</v>
      </c>
      <c r="G70" s="46">
        <f t="shared" si="0"/>
        <v>100</v>
      </c>
      <c r="H70" s="46">
        <f>TRUNC(S70*(1-LOTE_03!$K$10),2)</f>
        <v>7.78</v>
      </c>
      <c r="I70" s="46">
        <f>TRUNC(T70*(1-LOTE_03!$K$10),2)</f>
        <v>18.87</v>
      </c>
      <c r="J70" s="100">
        <f t="shared" si="1"/>
        <v>0.22470000000000001</v>
      </c>
      <c r="K70" s="48">
        <f t="shared" si="2"/>
        <v>9.52</v>
      </c>
      <c r="L70" s="48">
        <f t="shared" si="3"/>
        <v>23.11</v>
      </c>
      <c r="M70" s="48">
        <f t="shared" si="4"/>
        <v>952</v>
      </c>
      <c r="N70" s="48">
        <f t="shared" si="5"/>
        <v>2311</v>
      </c>
      <c r="O70" s="50">
        <f t="shared" si="6"/>
        <v>3263</v>
      </c>
      <c r="P70" s="50">
        <v>0</v>
      </c>
      <c r="Q70" s="76"/>
      <c r="R70" s="140">
        <f>IF((1.5*1*5*2*S9+1.5*1.5*3*(S10))&gt;100,100,(1.5*1*5*2*S9+1.5*1.5*3*(S10)))</f>
        <v>100</v>
      </c>
      <c r="S70" s="79">
        <v>7.7799999999999976</v>
      </c>
      <c r="T70" s="80">
        <v>18.87</v>
      </c>
    </row>
    <row r="71" spans="2:20" ht="56">
      <c r="B71" s="5" t="s">
        <v>239</v>
      </c>
      <c r="C71" s="45" t="s">
        <v>135</v>
      </c>
      <c r="D71" s="45">
        <v>97647</v>
      </c>
      <c r="E71" s="6" t="s">
        <v>240</v>
      </c>
      <c r="F71" s="45" t="s">
        <v>121</v>
      </c>
      <c r="G71" s="46">
        <f t="shared" si="0"/>
        <v>3000</v>
      </c>
      <c r="H71" s="46">
        <f>TRUNC(S71*(1-LOTE_03!$K$10),2)</f>
        <v>1.1200000000000001</v>
      </c>
      <c r="I71" s="46">
        <f>TRUNC(T71*(1-LOTE_03!$K$10),2)</f>
        <v>2.71</v>
      </c>
      <c r="J71" s="100">
        <f t="shared" si="1"/>
        <v>0.22470000000000001</v>
      </c>
      <c r="K71" s="48">
        <f t="shared" si="2"/>
        <v>1.37</v>
      </c>
      <c r="L71" s="48">
        <f t="shared" si="3"/>
        <v>3.31</v>
      </c>
      <c r="M71" s="48">
        <f t="shared" si="4"/>
        <v>4110</v>
      </c>
      <c r="N71" s="48">
        <f t="shared" si="5"/>
        <v>9930</v>
      </c>
      <c r="O71" s="50">
        <f t="shared" si="6"/>
        <v>14040</v>
      </c>
      <c r="P71" s="50">
        <v>0</v>
      </c>
      <c r="Q71" s="76"/>
      <c r="R71" s="140">
        <f>IF((200*S9+300*S10)&gt;3000,3000,(20*S9+200*S10))</f>
        <v>3000</v>
      </c>
      <c r="S71" s="79">
        <v>1.1200000000000001</v>
      </c>
      <c r="T71" s="80">
        <v>2.71</v>
      </c>
    </row>
    <row r="72" spans="2:20" ht="42">
      <c r="B72" s="5" t="s">
        <v>241</v>
      </c>
      <c r="C72" s="45" t="s">
        <v>97</v>
      </c>
      <c r="D72" s="45" t="s">
        <v>242</v>
      </c>
      <c r="E72" s="6" t="s">
        <v>243</v>
      </c>
      <c r="F72" s="45" t="s">
        <v>121</v>
      </c>
      <c r="G72" s="46">
        <f t="shared" si="0"/>
        <v>1530</v>
      </c>
      <c r="H72" s="46">
        <f>TRUNC(S72*(1-LOTE_03!$K$10),2)</f>
        <v>5.07</v>
      </c>
      <c r="I72" s="46">
        <f>TRUNC(T72*(1-LOTE_03!$K$10),2)</f>
        <v>12.39</v>
      </c>
      <c r="J72" s="100">
        <f t="shared" si="1"/>
        <v>0.22470000000000001</v>
      </c>
      <c r="K72" s="48">
        <f t="shared" si="2"/>
        <v>6.2</v>
      </c>
      <c r="L72" s="48">
        <f t="shared" si="3"/>
        <v>15.17</v>
      </c>
      <c r="M72" s="48">
        <f t="shared" si="4"/>
        <v>9486</v>
      </c>
      <c r="N72" s="48">
        <f t="shared" si="5"/>
        <v>23210.1</v>
      </c>
      <c r="O72" s="50">
        <f t="shared" si="6"/>
        <v>32696.1</v>
      </c>
      <c r="P72" s="50">
        <v>0</v>
      </c>
      <c r="Q72" s="76"/>
      <c r="R72" s="140">
        <f>10*S9+200*S10</f>
        <v>1530</v>
      </c>
      <c r="S72" s="79">
        <v>5.07</v>
      </c>
      <c r="T72" s="80">
        <v>12.39</v>
      </c>
    </row>
    <row r="73" spans="2:20" ht="42">
      <c r="B73" s="5" t="s">
        <v>244</v>
      </c>
      <c r="C73" s="45" t="s">
        <v>135</v>
      </c>
      <c r="D73" s="45">
        <v>97655</v>
      </c>
      <c r="E73" s="6" t="s">
        <v>245</v>
      </c>
      <c r="F73" s="45" t="s">
        <v>121</v>
      </c>
      <c r="G73" s="46">
        <f t="shared" si="0"/>
        <v>500</v>
      </c>
      <c r="H73" s="46">
        <f>TRUNC(S73*(1-LOTE_03!$K$10),2)</f>
        <v>26.89</v>
      </c>
      <c r="I73" s="46">
        <f>TRUNC(T73*(1-LOTE_03!$K$10),2)</f>
        <v>13.24</v>
      </c>
      <c r="J73" s="100">
        <f t="shared" si="1"/>
        <v>0.22470000000000001</v>
      </c>
      <c r="K73" s="48">
        <f t="shared" si="2"/>
        <v>32.93</v>
      </c>
      <c r="L73" s="48">
        <f t="shared" si="3"/>
        <v>16.21</v>
      </c>
      <c r="M73" s="48">
        <f t="shared" si="4"/>
        <v>16465</v>
      </c>
      <c r="N73" s="48">
        <f t="shared" si="5"/>
        <v>8105</v>
      </c>
      <c r="O73" s="50">
        <f t="shared" si="6"/>
        <v>24570</v>
      </c>
      <c r="P73" s="50">
        <v>0</v>
      </c>
      <c r="Q73" s="76"/>
      <c r="R73" s="140">
        <f>IF((20*S9+100*S10)&gt;500,500,(20*S9+100*S10))</f>
        <v>500</v>
      </c>
      <c r="S73" s="79">
        <v>26.89</v>
      </c>
      <c r="T73" s="80">
        <v>13.24</v>
      </c>
    </row>
    <row r="74" spans="2:20" ht="42">
      <c r="B74" s="5" t="s">
        <v>246</v>
      </c>
      <c r="C74" s="45" t="s">
        <v>97</v>
      </c>
      <c r="D74" s="45" t="s">
        <v>247</v>
      </c>
      <c r="E74" s="6" t="s">
        <v>248</v>
      </c>
      <c r="F74" s="45" t="s">
        <v>104</v>
      </c>
      <c r="G74" s="46">
        <f t="shared" si="0"/>
        <v>20</v>
      </c>
      <c r="H74" s="46">
        <f>TRUNC(S74*(1-LOTE_03!$K$10),2)</f>
        <v>0</v>
      </c>
      <c r="I74" s="46">
        <f>TRUNC(T74*(1-LOTE_03!$K$10),2)</f>
        <v>65.23</v>
      </c>
      <c r="J74" s="100">
        <f t="shared" si="1"/>
        <v>0.22470000000000001</v>
      </c>
      <c r="K74" s="48">
        <f t="shared" si="2"/>
        <v>0</v>
      </c>
      <c r="L74" s="48">
        <f t="shared" si="3"/>
        <v>79.88</v>
      </c>
      <c r="M74" s="48">
        <f t="shared" si="4"/>
        <v>0</v>
      </c>
      <c r="N74" s="48">
        <f t="shared" si="5"/>
        <v>1597.6</v>
      </c>
      <c r="O74" s="50">
        <f t="shared" si="6"/>
        <v>1597.6</v>
      </c>
      <c r="P74" s="50">
        <v>0</v>
      </c>
      <c r="Q74" s="76"/>
      <c r="R74" s="140">
        <f>IF((1*S9+2*S10)&gt;20,20,(1*S9+1*S10))</f>
        <v>20</v>
      </c>
      <c r="S74" s="79">
        <v>0</v>
      </c>
      <c r="T74" s="80">
        <v>65.23</v>
      </c>
    </row>
    <row r="75" spans="2:20" ht="42">
      <c r="B75" s="5" t="s">
        <v>249</v>
      </c>
      <c r="C75" s="45" t="s">
        <v>135</v>
      </c>
      <c r="D75" s="45">
        <v>102190</v>
      </c>
      <c r="E75" s="6" t="s">
        <v>1770</v>
      </c>
      <c r="F75" s="45" t="s">
        <v>121</v>
      </c>
      <c r="G75" s="46">
        <f t="shared" si="0"/>
        <v>100</v>
      </c>
      <c r="H75" s="46">
        <f>TRUNC(S75*(1-LOTE_03!$K$10),2)</f>
        <v>5.27</v>
      </c>
      <c r="I75" s="46">
        <f>TRUNC(T75*(1-LOTE_03!$K$10),2)</f>
        <v>12.92</v>
      </c>
      <c r="J75" s="100">
        <f t="shared" si="1"/>
        <v>0.22470000000000001</v>
      </c>
      <c r="K75" s="48">
        <f t="shared" si="2"/>
        <v>6.45</v>
      </c>
      <c r="L75" s="48">
        <f t="shared" si="3"/>
        <v>15.82</v>
      </c>
      <c r="M75" s="48">
        <f t="shared" si="4"/>
        <v>645</v>
      </c>
      <c r="N75" s="48">
        <f t="shared" si="5"/>
        <v>1582</v>
      </c>
      <c r="O75" s="50">
        <f t="shared" si="6"/>
        <v>2227</v>
      </c>
      <c r="P75" s="50">
        <v>0</v>
      </c>
      <c r="Q75" s="76"/>
      <c r="R75" s="140">
        <f>IF((5*S9+5*S10)&gt;100,100,(5*S9+5*S10))</f>
        <v>100</v>
      </c>
      <c r="S75" s="79">
        <v>5.2700000000000014</v>
      </c>
      <c r="T75" s="80">
        <v>12.92</v>
      </c>
    </row>
    <row r="76" spans="2:20" ht="56">
      <c r="B76" s="5" t="s">
        <v>250</v>
      </c>
      <c r="C76" s="45" t="s">
        <v>135</v>
      </c>
      <c r="D76" s="45">
        <v>97662</v>
      </c>
      <c r="E76" s="6" t="s">
        <v>251</v>
      </c>
      <c r="F76" s="45" t="s">
        <v>187</v>
      </c>
      <c r="G76" s="46">
        <f t="shared" si="0"/>
        <v>500</v>
      </c>
      <c r="H76" s="46">
        <f>TRUNC(S76*(1-LOTE_03!$K$10),2)</f>
        <v>0.16</v>
      </c>
      <c r="I76" s="46">
        <f>TRUNC(T76*(1-LOTE_03!$K$10),2)</f>
        <v>0.4</v>
      </c>
      <c r="J76" s="100">
        <f t="shared" si="1"/>
        <v>0.22470000000000001</v>
      </c>
      <c r="K76" s="48">
        <f t="shared" si="2"/>
        <v>0.19</v>
      </c>
      <c r="L76" s="48">
        <f t="shared" si="3"/>
        <v>0.48</v>
      </c>
      <c r="M76" s="48">
        <f t="shared" si="4"/>
        <v>95</v>
      </c>
      <c r="N76" s="48">
        <f t="shared" si="5"/>
        <v>240</v>
      </c>
      <c r="O76" s="50">
        <f t="shared" si="6"/>
        <v>335</v>
      </c>
      <c r="P76" s="50">
        <v>0</v>
      </c>
      <c r="Q76" s="76"/>
      <c r="R76" s="140">
        <f>IF((5*S9+100*S10)&gt;500,500,(5*S9+100*S10))</f>
        <v>500</v>
      </c>
      <c r="S76" s="79">
        <v>0.16000000000000003</v>
      </c>
      <c r="T76" s="80">
        <v>0.4</v>
      </c>
    </row>
    <row r="77" spans="2:20" ht="42">
      <c r="B77" s="5" t="s">
        <v>252</v>
      </c>
      <c r="C77" s="45" t="s">
        <v>135</v>
      </c>
      <c r="D77" s="45">
        <v>97664</v>
      </c>
      <c r="E77" s="6" t="s">
        <v>253</v>
      </c>
      <c r="F77" s="45" t="s">
        <v>210</v>
      </c>
      <c r="G77" s="46">
        <f t="shared" si="0"/>
        <v>30</v>
      </c>
      <c r="H77" s="46">
        <f>TRUNC(S77*(1-LOTE_03!$K$10),2)</f>
        <v>0.5</v>
      </c>
      <c r="I77" s="46">
        <f>TRUNC(T77*(1-LOTE_03!$K$10),2)</f>
        <v>1.25</v>
      </c>
      <c r="J77" s="100">
        <f t="shared" si="1"/>
        <v>0.22470000000000001</v>
      </c>
      <c r="K77" s="48">
        <f t="shared" si="2"/>
        <v>0.61</v>
      </c>
      <c r="L77" s="48">
        <f t="shared" si="3"/>
        <v>1.53</v>
      </c>
      <c r="M77" s="48">
        <f t="shared" si="4"/>
        <v>18.3</v>
      </c>
      <c r="N77" s="48">
        <f t="shared" si="5"/>
        <v>45.9</v>
      </c>
      <c r="O77" s="50">
        <f t="shared" si="6"/>
        <v>64.2</v>
      </c>
      <c r="P77" s="50">
        <v>0</v>
      </c>
      <c r="Q77" s="76"/>
      <c r="R77" s="140">
        <f>IF((2*S9+8*S10)&gt;30,30,(2*S9+8*S10))</f>
        <v>30</v>
      </c>
      <c r="S77" s="79">
        <v>0.5</v>
      </c>
      <c r="T77" s="80">
        <v>1.25</v>
      </c>
    </row>
    <row r="78" spans="2:20" ht="28">
      <c r="B78" s="5" t="s">
        <v>254</v>
      </c>
      <c r="C78" s="45" t="s">
        <v>97</v>
      </c>
      <c r="D78" s="45" t="s">
        <v>255</v>
      </c>
      <c r="E78" s="6" t="s">
        <v>256</v>
      </c>
      <c r="F78" s="45" t="s">
        <v>121</v>
      </c>
      <c r="G78" s="46">
        <f t="shared" si="0"/>
        <v>500</v>
      </c>
      <c r="H78" s="46">
        <f>TRUNC(S78*(1-LOTE_03!$K$10),2)</f>
        <v>2.19</v>
      </c>
      <c r="I78" s="46">
        <f>TRUNC(T78*(1-LOTE_03!$K$10),2)</f>
        <v>4.8</v>
      </c>
      <c r="J78" s="100">
        <f t="shared" si="1"/>
        <v>0.22470000000000001</v>
      </c>
      <c r="K78" s="48">
        <f t="shared" si="2"/>
        <v>2.68</v>
      </c>
      <c r="L78" s="48">
        <f t="shared" si="3"/>
        <v>5.87</v>
      </c>
      <c r="M78" s="48">
        <f t="shared" si="4"/>
        <v>1340</v>
      </c>
      <c r="N78" s="48">
        <f t="shared" si="5"/>
        <v>2935</v>
      </c>
      <c r="O78" s="50">
        <f t="shared" si="6"/>
        <v>4275</v>
      </c>
      <c r="P78" s="50">
        <v>0</v>
      </c>
      <c r="Q78" s="76"/>
      <c r="R78" s="140">
        <f>IF((30*S9+3*20*S10)&gt;500,500,(30*S9+3*20*S10))</f>
        <v>500</v>
      </c>
      <c r="S78" s="79">
        <v>2.19</v>
      </c>
      <c r="T78" s="80">
        <v>4.8</v>
      </c>
    </row>
    <row r="79" spans="2:20" ht="28">
      <c r="B79" s="5" t="s">
        <v>257</v>
      </c>
      <c r="C79" s="45" t="s">
        <v>97</v>
      </c>
      <c r="D79" s="45" t="s">
        <v>258</v>
      </c>
      <c r="E79" s="6" t="s">
        <v>259</v>
      </c>
      <c r="F79" s="45" t="s">
        <v>121</v>
      </c>
      <c r="G79" s="46">
        <f t="shared" si="0"/>
        <v>20</v>
      </c>
      <c r="H79" s="46">
        <f>TRUNC(S79*(1-LOTE_03!$K$10),2)</f>
        <v>8.3800000000000008</v>
      </c>
      <c r="I79" s="46">
        <f>TRUNC(T79*(1-LOTE_03!$K$10),2)</f>
        <v>19.3</v>
      </c>
      <c r="J79" s="100">
        <f t="shared" si="1"/>
        <v>0.22470000000000001</v>
      </c>
      <c r="K79" s="48">
        <f t="shared" si="2"/>
        <v>10.26</v>
      </c>
      <c r="L79" s="48">
        <f t="shared" si="3"/>
        <v>23.63</v>
      </c>
      <c r="M79" s="48">
        <f t="shared" si="4"/>
        <v>205.2</v>
      </c>
      <c r="N79" s="48">
        <f t="shared" si="5"/>
        <v>472.6</v>
      </c>
      <c r="O79" s="50">
        <f t="shared" si="6"/>
        <v>677.8</v>
      </c>
      <c r="P79" s="50">
        <v>0</v>
      </c>
      <c r="Q79" s="76"/>
      <c r="R79" s="140">
        <f>IF((S9+S10)&gt;20,20,(S9+S10))</f>
        <v>20</v>
      </c>
      <c r="S79" s="79">
        <v>8.3800000000000008</v>
      </c>
      <c r="T79" s="80">
        <v>19.3</v>
      </c>
    </row>
    <row r="80" spans="2:20" ht="28">
      <c r="B80" s="5" t="s">
        <v>260</v>
      </c>
      <c r="C80" s="45" t="s">
        <v>97</v>
      </c>
      <c r="D80" s="45" t="s">
        <v>261</v>
      </c>
      <c r="E80" s="6" t="s">
        <v>262</v>
      </c>
      <c r="F80" s="45" t="s">
        <v>121</v>
      </c>
      <c r="G80" s="46">
        <f t="shared" si="0"/>
        <v>61</v>
      </c>
      <c r="H80" s="46">
        <f>TRUNC(S80*(1-LOTE_03!$K$10),2)</f>
        <v>6.65</v>
      </c>
      <c r="I80" s="46">
        <f>TRUNC(T80*(1-LOTE_03!$K$10),2)</f>
        <v>16.62</v>
      </c>
      <c r="J80" s="100">
        <f t="shared" si="1"/>
        <v>0.22470000000000001</v>
      </c>
      <c r="K80" s="48">
        <f t="shared" si="2"/>
        <v>8.14</v>
      </c>
      <c r="L80" s="48">
        <f t="shared" si="3"/>
        <v>20.350000000000001</v>
      </c>
      <c r="M80" s="48">
        <f t="shared" si="4"/>
        <v>496.54</v>
      </c>
      <c r="N80" s="48">
        <f t="shared" si="5"/>
        <v>1241.3499999999999</v>
      </c>
      <c r="O80" s="50">
        <f t="shared" si="6"/>
        <v>1737.89</v>
      </c>
      <c r="P80" s="50">
        <v>0</v>
      </c>
      <c r="Q80" s="76"/>
      <c r="R80" s="140">
        <f>IF((5*S10)&gt;50,50,(2*S9+5*S10))</f>
        <v>61</v>
      </c>
      <c r="S80" s="79">
        <v>6.65</v>
      </c>
      <c r="T80" s="80">
        <v>16.62</v>
      </c>
    </row>
    <row r="81" spans="2:20" ht="28">
      <c r="B81" s="5" t="s">
        <v>263</v>
      </c>
      <c r="C81" s="45" t="s">
        <v>97</v>
      </c>
      <c r="D81" s="45" t="s">
        <v>264</v>
      </c>
      <c r="E81" s="6" t="s">
        <v>265</v>
      </c>
      <c r="F81" s="45" t="s">
        <v>104</v>
      </c>
      <c r="G81" s="46">
        <f t="shared" ref="G81:G134" si="7">TRUNC(R81,2)</f>
        <v>20</v>
      </c>
      <c r="H81" s="46">
        <f>TRUNC(S81*(1-LOTE_03!$K$10),2)</f>
        <v>7.32</v>
      </c>
      <c r="I81" s="46">
        <f>TRUNC(T81*(1-LOTE_03!$K$10),2)</f>
        <v>16.02</v>
      </c>
      <c r="J81" s="100">
        <f t="shared" ref="J81:J144" si="8">$J$4</f>
        <v>0.22470000000000001</v>
      </c>
      <c r="K81" s="48">
        <f t="shared" ref="K81:K144" si="9">TRUNC(H81*(1+J81),2)</f>
        <v>8.9600000000000009</v>
      </c>
      <c r="L81" s="48">
        <f t="shared" ref="L81:L144" si="10">TRUNC(I81*(1+J81),2)</f>
        <v>19.61</v>
      </c>
      <c r="M81" s="48">
        <f t="shared" ref="M81:M144" si="11">TRUNC(K81*G81,2)</f>
        <v>179.2</v>
      </c>
      <c r="N81" s="48">
        <f t="shared" ref="N81:N144" si="12">TRUNC(L81*G81,2)</f>
        <v>392.2</v>
      </c>
      <c r="O81" s="50">
        <f t="shared" ref="O81:O144" si="13">TRUNC(M81+N81,2)</f>
        <v>571.4</v>
      </c>
      <c r="P81" s="50">
        <v>0</v>
      </c>
      <c r="Q81" s="76"/>
      <c r="R81" s="140">
        <f>1*S9+1*S10</f>
        <v>20</v>
      </c>
      <c r="S81" s="79">
        <v>7.32</v>
      </c>
      <c r="T81" s="80">
        <v>16.02</v>
      </c>
    </row>
    <row r="82" spans="2:20" ht="28">
      <c r="B82" s="5" t="s">
        <v>266</v>
      </c>
      <c r="C82" s="45" t="s">
        <v>97</v>
      </c>
      <c r="D82" s="45" t="s">
        <v>267</v>
      </c>
      <c r="E82" s="6" t="s">
        <v>268</v>
      </c>
      <c r="F82" s="45" t="s">
        <v>104</v>
      </c>
      <c r="G82" s="46">
        <f t="shared" si="7"/>
        <v>40</v>
      </c>
      <c r="H82" s="46">
        <f>TRUNC(S82*(1-LOTE_03!$K$10),2)</f>
        <v>2.92</v>
      </c>
      <c r="I82" s="46">
        <f>TRUNC(T82*(1-LOTE_03!$K$10),2)</f>
        <v>6.4</v>
      </c>
      <c r="J82" s="100">
        <f t="shared" si="8"/>
        <v>0.22470000000000001</v>
      </c>
      <c r="K82" s="48">
        <f t="shared" si="9"/>
        <v>3.57</v>
      </c>
      <c r="L82" s="48">
        <f t="shared" si="10"/>
        <v>7.83</v>
      </c>
      <c r="M82" s="48">
        <f t="shared" si="11"/>
        <v>142.80000000000001</v>
      </c>
      <c r="N82" s="48">
        <f t="shared" si="12"/>
        <v>313.2</v>
      </c>
      <c r="O82" s="50">
        <f t="shared" si="13"/>
        <v>456</v>
      </c>
      <c r="P82" s="50">
        <v>0</v>
      </c>
      <c r="Q82" s="76"/>
      <c r="R82" s="140">
        <f>2*S9+2*(S10)</f>
        <v>40</v>
      </c>
      <c r="S82" s="79">
        <v>2.92</v>
      </c>
      <c r="T82" s="80">
        <v>6.4</v>
      </c>
    </row>
    <row r="83" spans="2:20" ht="28">
      <c r="B83" s="5" t="s">
        <v>269</v>
      </c>
      <c r="C83" s="45" t="s">
        <v>97</v>
      </c>
      <c r="D83" s="45" t="s">
        <v>270</v>
      </c>
      <c r="E83" s="6" t="s">
        <v>271</v>
      </c>
      <c r="F83" s="45" t="s">
        <v>104</v>
      </c>
      <c r="G83" s="46">
        <f t="shared" si="7"/>
        <v>40</v>
      </c>
      <c r="H83" s="46">
        <f>TRUNC(S83*(1-LOTE_03!$K$10),2)</f>
        <v>3.66</v>
      </c>
      <c r="I83" s="46">
        <f>TRUNC(T83*(1-LOTE_03!$K$10),2)</f>
        <v>8.01</v>
      </c>
      <c r="J83" s="100">
        <f t="shared" si="8"/>
        <v>0.22470000000000001</v>
      </c>
      <c r="K83" s="48">
        <f t="shared" si="9"/>
        <v>4.4800000000000004</v>
      </c>
      <c r="L83" s="48">
        <f t="shared" si="10"/>
        <v>9.8000000000000007</v>
      </c>
      <c r="M83" s="48">
        <f t="shared" si="11"/>
        <v>179.2</v>
      </c>
      <c r="N83" s="48">
        <f t="shared" si="12"/>
        <v>392</v>
      </c>
      <c r="O83" s="50">
        <f t="shared" si="13"/>
        <v>571.20000000000005</v>
      </c>
      <c r="P83" s="50">
        <v>0</v>
      </c>
      <c r="Q83" s="76"/>
      <c r="R83" s="140">
        <f>2*S9+2*(S10)</f>
        <v>40</v>
      </c>
      <c r="S83" s="79">
        <v>3.66</v>
      </c>
      <c r="T83" s="80">
        <v>8.01</v>
      </c>
    </row>
    <row r="84" spans="2:20">
      <c r="B84" s="5" t="s">
        <v>272</v>
      </c>
      <c r="C84" s="45" t="s">
        <v>97</v>
      </c>
      <c r="D84" s="45" t="s">
        <v>273</v>
      </c>
      <c r="E84" s="6" t="s">
        <v>274</v>
      </c>
      <c r="F84" s="45" t="s">
        <v>104</v>
      </c>
      <c r="G84" s="46">
        <f t="shared" si="7"/>
        <v>200</v>
      </c>
      <c r="H84" s="46">
        <f>TRUNC(S84*(1-LOTE_03!$K$10),2)</f>
        <v>1.46</v>
      </c>
      <c r="I84" s="46">
        <f>TRUNC(T84*(1-LOTE_03!$K$10),2)</f>
        <v>3.2</v>
      </c>
      <c r="J84" s="100">
        <f t="shared" si="8"/>
        <v>0.22470000000000001</v>
      </c>
      <c r="K84" s="48">
        <f t="shared" si="9"/>
        <v>1.78</v>
      </c>
      <c r="L84" s="48">
        <f t="shared" si="10"/>
        <v>3.91</v>
      </c>
      <c r="M84" s="48">
        <f t="shared" si="11"/>
        <v>356</v>
      </c>
      <c r="N84" s="48">
        <f t="shared" si="12"/>
        <v>782</v>
      </c>
      <c r="O84" s="50">
        <f t="shared" si="13"/>
        <v>1138</v>
      </c>
      <c r="P84" s="50">
        <v>0</v>
      </c>
      <c r="Q84" s="76"/>
      <c r="R84" s="140">
        <f>10*S9+10*S10</f>
        <v>200</v>
      </c>
      <c r="S84" s="79">
        <v>1.46</v>
      </c>
      <c r="T84" s="80">
        <v>3.2</v>
      </c>
    </row>
    <row r="85" spans="2:20" ht="28">
      <c r="B85" s="5" t="s">
        <v>275</v>
      </c>
      <c r="C85" s="45" t="s">
        <v>97</v>
      </c>
      <c r="D85" s="45" t="s">
        <v>276</v>
      </c>
      <c r="E85" s="6" t="s">
        <v>277</v>
      </c>
      <c r="F85" s="45" t="s">
        <v>104</v>
      </c>
      <c r="G85" s="46">
        <f t="shared" si="7"/>
        <v>100</v>
      </c>
      <c r="H85" s="46">
        <f>TRUNC(S85*(1-LOTE_03!$K$10),2)</f>
        <v>2.92</v>
      </c>
      <c r="I85" s="46">
        <f>TRUNC(T85*(1-LOTE_03!$K$10),2)</f>
        <v>6.4</v>
      </c>
      <c r="J85" s="100">
        <f t="shared" si="8"/>
        <v>0.22470000000000001</v>
      </c>
      <c r="K85" s="48">
        <f t="shared" si="9"/>
        <v>3.57</v>
      </c>
      <c r="L85" s="48">
        <f t="shared" si="10"/>
        <v>7.83</v>
      </c>
      <c r="M85" s="48">
        <f t="shared" si="11"/>
        <v>357</v>
      </c>
      <c r="N85" s="48">
        <f t="shared" si="12"/>
        <v>783</v>
      </c>
      <c r="O85" s="50">
        <f t="shared" si="13"/>
        <v>1140</v>
      </c>
      <c r="P85" s="50">
        <v>0</v>
      </c>
      <c r="Q85" s="76"/>
      <c r="R85" s="140">
        <f>5*S9+5*(S10)</f>
        <v>100</v>
      </c>
      <c r="S85" s="79">
        <v>2.92</v>
      </c>
      <c r="T85" s="80">
        <v>6.4</v>
      </c>
    </row>
    <row r="86" spans="2:20" ht="28">
      <c r="B86" s="5" t="s">
        <v>278</v>
      </c>
      <c r="C86" s="45" t="s">
        <v>97</v>
      </c>
      <c r="D86" s="45" t="s">
        <v>279</v>
      </c>
      <c r="E86" s="6" t="s">
        <v>280</v>
      </c>
      <c r="F86" s="45" t="s">
        <v>104</v>
      </c>
      <c r="G86" s="46">
        <f t="shared" si="7"/>
        <v>10</v>
      </c>
      <c r="H86" s="46">
        <f>TRUNC(S86*(1-LOTE_03!$K$10),2)</f>
        <v>727.08</v>
      </c>
      <c r="I86" s="46">
        <f>TRUNC(T86*(1-LOTE_03!$K$10),2)</f>
        <v>146.41999999999999</v>
      </c>
      <c r="J86" s="100">
        <f t="shared" si="8"/>
        <v>0.22470000000000001</v>
      </c>
      <c r="K86" s="48">
        <f t="shared" si="9"/>
        <v>890.45</v>
      </c>
      <c r="L86" s="48">
        <f t="shared" si="10"/>
        <v>179.32</v>
      </c>
      <c r="M86" s="48">
        <f t="shared" si="11"/>
        <v>8904.5</v>
      </c>
      <c r="N86" s="48">
        <f t="shared" si="12"/>
        <v>1793.2</v>
      </c>
      <c r="O86" s="50">
        <f t="shared" si="13"/>
        <v>10697.7</v>
      </c>
      <c r="P86" s="50">
        <v>0</v>
      </c>
      <c r="Q86" s="76"/>
      <c r="R86" s="140">
        <f>IF((1*S9+1*S10)&gt;10,10,(1*S9+1*S10))</f>
        <v>10</v>
      </c>
      <c r="S86" s="79">
        <v>727.08</v>
      </c>
      <c r="T86" s="80">
        <v>146.41999999999999</v>
      </c>
    </row>
    <row r="87" spans="2:20" ht="42">
      <c r="B87" s="5" t="s">
        <v>281</v>
      </c>
      <c r="C87" s="45" t="s">
        <v>97</v>
      </c>
      <c r="D87" s="45" t="s">
        <v>282</v>
      </c>
      <c r="E87" s="6" t="s">
        <v>283</v>
      </c>
      <c r="F87" s="45" t="s">
        <v>104</v>
      </c>
      <c r="G87" s="46">
        <f t="shared" si="7"/>
        <v>20</v>
      </c>
      <c r="H87" s="46">
        <f>TRUNC(S87*(1-LOTE_03!$K$10),2)</f>
        <v>367.37</v>
      </c>
      <c r="I87" s="46">
        <f>TRUNC(T87*(1-LOTE_03!$K$10),2)</f>
        <v>63.99</v>
      </c>
      <c r="J87" s="100">
        <f t="shared" si="8"/>
        <v>0.22470000000000001</v>
      </c>
      <c r="K87" s="48">
        <f t="shared" si="9"/>
        <v>449.91</v>
      </c>
      <c r="L87" s="48">
        <f t="shared" si="10"/>
        <v>78.36</v>
      </c>
      <c r="M87" s="48">
        <f t="shared" si="11"/>
        <v>8998.2000000000007</v>
      </c>
      <c r="N87" s="48">
        <f t="shared" si="12"/>
        <v>1567.2</v>
      </c>
      <c r="O87" s="50">
        <f t="shared" si="13"/>
        <v>10565.4</v>
      </c>
      <c r="P87" s="50">
        <v>0</v>
      </c>
      <c r="Q87" s="76"/>
      <c r="R87" s="140">
        <f>1*S9+1*S10</f>
        <v>20</v>
      </c>
      <c r="S87" s="79">
        <v>367.37</v>
      </c>
      <c r="T87" s="80">
        <v>63.99</v>
      </c>
    </row>
    <row r="88" spans="2:20" ht="42">
      <c r="B88" s="5" t="s">
        <v>284</v>
      </c>
      <c r="C88" s="45" t="s">
        <v>97</v>
      </c>
      <c r="D88" s="45" t="s">
        <v>285</v>
      </c>
      <c r="E88" s="6" t="s">
        <v>286</v>
      </c>
      <c r="F88" s="45" t="s">
        <v>104</v>
      </c>
      <c r="G88" s="46">
        <f t="shared" si="7"/>
        <v>30</v>
      </c>
      <c r="H88" s="46">
        <f>TRUNC(S88*(1-LOTE_03!$K$10),2)</f>
        <v>14.1</v>
      </c>
      <c r="I88" s="46">
        <f>TRUNC(T88*(1-LOTE_03!$K$10),2)</f>
        <v>37.5</v>
      </c>
      <c r="J88" s="100">
        <f t="shared" si="8"/>
        <v>0.22470000000000001</v>
      </c>
      <c r="K88" s="48">
        <f t="shared" si="9"/>
        <v>17.260000000000002</v>
      </c>
      <c r="L88" s="48">
        <f t="shared" si="10"/>
        <v>45.92</v>
      </c>
      <c r="M88" s="48">
        <f t="shared" si="11"/>
        <v>517.79999999999995</v>
      </c>
      <c r="N88" s="48">
        <f t="shared" si="12"/>
        <v>1377.6</v>
      </c>
      <c r="O88" s="50">
        <f t="shared" si="13"/>
        <v>1895.4</v>
      </c>
      <c r="P88" s="50">
        <v>0</v>
      </c>
      <c r="Q88" s="76"/>
      <c r="R88" s="140">
        <f>IF((1*S9+5*S10)&gt;30,30,(1*S9+5*S10))</f>
        <v>30</v>
      </c>
      <c r="S88" s="79">
        <v>14.1</v>
      </c>
      <c r="T88" s="80">
        <v>37.5</v>
      </c>
    </row>
    <row r="89" spans="2:20" ht="28">
      <c r="B89" s="5" t="s">
        <v>287</v>
      </c>
      <c r="C89" s="45" t="s">
        <v>97</v>
      </c>
      <c r="D89" s="45" t="s">
        <v>288</v>
      </c>
      <c r="E89" s="6" t="s">
        <v>289</v>
      </c>
      <c r="F89" s="45" t="s">
        <v>104</v>
      </c>
      <c r="G89" s="46">
        <f t="shared" si="7"/>
        <v>30</v>
      </c>
      <c r="H89" s="46">
        <f>TRUNC(S89*(1-LOTE_03!$K$10),2)</f>
        <v>7.19</v>
      </c>
      <c r="I89" s="46">
        <f>TRUNC(T89*(1-LOTE_03!$K$10),2)</f>
        <v>18.96</v>
      </c>
      <c r="J89" s="100">
        <f t="shared" si="8"/>
        <v>0.22470000000000001</v>
      </c>
      <c r="K89" s="48">
        <f t="shared" si="9"/>
        <v>8.8000000000000007</v>
      </c>
      <c r="L89" s="48">
        <f t="shared" si="10"/>
        <v>23.22</v>
      </c>
      <c r="M89" s="48">
        <f t="shared" si="11"/>
        <v>264</v>
      </c>
      <c r="N89" s="48">
        <f t="shared" si="12"/>
        <v>696.6</v>
      </c>
      <c r="O89" s="50">
        <f t="shared" si="13"/>
        <v>960.6</v>
      </c>
      <c r="P89" s="50">
        <v>0</v>
      </c>
      <c r="Q89" s="76"/>
      <c r="R89" s="140">
        <f>IF((1*S9+5*S10)&gt;30,30,(1*S9+5*S10))</f>
        <v>30</v>
      </c>
      <c r="S89" s="79">
        <v>7.19</v>
      </c>
      <c r="T89" s="80">
        <v>18.96</v>
      </c>
    </row>
    <row r="90" spans="2:20" ht="28">
      <c r="B90" s="5" t="s">
        <v>290</v>
      </c>
      <c r="C90" s="45" t="s">
        <v>135</v>
      </c>
      <c r="D90" s="45">
        <v>102192</v>
      </c>
      <c r="E90" s="6" t="s">
        <v>1771</v>
      </c>
      <c r="F90" s="45" t="s">
        <v>121</v>
      </c>
      <c r="G90" s="46">
        <f t="shared" si="7"/>
        <v>500</v>
      </c>
      <c r="H90" s="46">
        <f>TRUNC(S90*(1-LOTE_03!$K$10),2)</f>
        <v>5.03</v>
      </c>
      <c r="I90" s="46">
        <f>TRUNC(T90*(1-LOTE_03!$K$10),2)</f>
        <v>12.36</v>
      </c>
      <c r="J90" s="100">
        <f t="shared" si="8"/>
        <v>0.22470000000000001</v>
      </c>
      <c r="K90" s="48">
        <f t="shared" si="9"/>
        <v>6.16</v>
      </c>
      <c r="L90" s="48">
        <f t="shared" si="10"/>
        <v>15.13</v>
      </c>
      <c r="M90" s="48">
        <f t="shared" si="11"/>
        <v>3080</v>
      </c>
      <c r="N90" s="48">
        <f t="shared" si="12"/>
        <v>7565</v>
      </c>
      <c r="O90" s="50">
        <f t="shared" si="13"/>
        <v>10645</v>
      </c>
      <c r="P90" s="50">
        <v>0</v>
      </c>
      <c r="Q90" s="76"/>
      <c r="R90" s="140">
        <f>IF((20*S9+50*S10)&gt;500,500,50*S10+20*S9)</f>
        <v>500</v>
      </c>
      <c r="S90" s="79">
        <v>5.0300000000000011</v>
      </c>
      <c r="T90" s="80">
        <v>12.36</v>
      </c>
    </row>
    <row r="91" spans="2:20" ht="42">
      <c r="B91" s="5" t="s">
        <v>291</v>
      </c>
      <c r="C91" s="45" t="s">
        <v>97</v>
      </c>
      <c r="D91" s="45" t="s">
        <v>292</v>
      </c>
      <c r="E91" s="6" t="s">
        <v>293</v>
      </c>
      <c r="F91" s="45" t="s">
        <v>104</v>
      </c>
      <c r="G91" s="46">
        <f t="shared" si="7"/>
        <v>20</v>
      </c>
      <c r="H91" s="46">
        <f>TRUNC(S91*(1-LOTE_03!$K$10),2)</f>
        <v>367.36</v>
      </c>
      <c r="I91" s="46">
        <f>TRUNC(T91*(1-LOTE_03!$K$10),2)</f>
        <v>63.02</v>
      </c>
      <c r="J91" s="100">
        <f t="shared" si="8"/>
        <v>0.22470000000000001</v>
      </c>
      <c r="K91" s="48">
        <f t="shared" si="9"/>
        <v>449.9</v>
      </c>
      <c r="L91" s="48">
        <f t="shared" si="10"/>
        <v>77.180000000000007</v>
      </c>
      <c r="M91" s="48">
        <f t="shared" si="11"/>
        <v>8998</v>
      </c>
      <c r="N91" s="48">
        <f t="shared" si="12"/>
        <v>1543.6</v>
      </c>
      <c r="O91" s="50">
        <f t="shared" si="13"/>
        <v>10541.6</v>
      </c>
      <c r="P91" s="50">
        <v>0</v>
      </c>
      <c r="Q91" s="76"/>
      <c r="R91" s="140">
        <f>1*S9+1*S10</f>
        <v>20</v>
      </c>
      <c r="S91" s="79">
        <v>367.36</v>
      </c>
      <c r="T91" s="80">
        <v>63.02</v>
      </c>
    </row>
    <row r="92" spans="2:20" ht="28">
      <c r="B92" s="5" t="s">
        <v>294</v>
      </c>
      <c r="C92" s="45" t="s">
        <v>97</v>
      </c>
      <c r="D92" s="45" t="s">
        <v>295</v>
      </c>
      <c r="E92" s="6" t="s">
        <v>296</v>
      </c>
      <c r="F92" s="45" t="s">
        <v>121</v>
      </c>
      <c r="G92" s="46">
        <f t="shared" si="7"/>
        <v>10</v>
      </c>
      <c r="H92" s="46">
        <f>TRUNC(S92*(1-LOTE_03!$K$10),2)</f>
        <v>7.07</v>
      </c>
      <c r="I92" s="46">
        <f>TRUNC(T92*(1-LOTE_03!$K$10),2)</f>
        <v>21.69</v>
      </c>
      <c r="J92" s="100">
        <f t="shared" si="8"/>
        <v>0.22470000000000001</v>
      </c>
      <c r="K92" s="48">
        <f t="shared" si="9"/>
        <v>8.65</v>
      </c>
      <c r="L92" s="48">
        <f t="shared" si="10"/>
        <v>26.56</v>
      </c>
      <c r="M92" s="48">
        <f t="shared" si="11"/>
        <v>86.5</v>
      </c>
      <c r="N92" s="48">
        <f t="shared" si="12"/>
        <v>265.60000000000002</v>
      </c>
      <c r="O92" s="50">
        <f t="shared" si="13"/>
        <v>352.1</v>
      </c>
      <c r="P92" s="50">
        <v>0</v>
      </c>
      <c r="Q92" s="76"/>
      <c r="R92" s="140">
        <f>IF((1*S9+1*S10)&gt;10,10,(1*S9+1*S10))</f>
        <v>10</v>
      </c>
      <c r="S92" s="79">
        <v>7.07</v>
      </c>
      <c r="T92" s="80">
        <v>21.69</v>
      </c>
    </row>
    <row r="93" spans="2:20" ht="70">
      <c r="B93" s="5" t="s">
        <v>297</v>
      </c>
      <c r="C93" s="45" t="s">
        <v>97</v>
      </c>
      <c r="D93" s="45" t="s">
        <v>298</v>
      </c>
      <c r="E93" s="6" t="s">
        <v>299</v>
      </c>
      <c r="F93" s="45" t="s">
        <v>121</v>
      </c>
      <c r="G93" s="46">
        <f t="shared" si="7"/>
        <v>400</v>
      </c>
      <c r="H93" s="46">
        <f>TRUNC(S93*(1-LOTE_03!$K$10),2)</f>
        <v>0</v>
      </c>
      <c r="I93" s="46">
        <f>TRUNC(T93*(1-LOTE_03!$K$10),2)</f>
        <v>48.77</v>
      </c>
      <c r="J93" s="100">
        <f t="shared" si="8"/>
        <v>0.22470000000000001</v>
      </c>
      <c r="K93" s="48">
        <f t="shared" si="9"/>
        <v>0</v>
      </c>
      <c r="L93" s="48">
        <f t="shared" si="10"/>
        <v>59.72</v>
      </c>
      <c r="M93" s="48">
        <f t="shared" si="11"/>
        <v>0</v>
      </c>
      <c r="N93" s="48">
        <f t="shared" si="12"/>
        <v>23888</v>
      </c>
      <c r="O93" s="50">
        <f t="shared" si="13"/>
        <v>23888</v>
      </c>
      <c r="P93" s="50">
        <v>0</v>
      </c>
      <c r="Q93" s="76"/>
      <c r="R93" s="140">
        <f>20*S9+20*S10</f>
        <v>400</v>
      </c>
      <c r="S93" s="79">
        <v>0</v>
      </c>
      <c r="T93" s="80">
        <v>48.77</v>
      </c>
    </row>
    <row r="94" spans="2:20" ht="28">
      <c r="B94" s="5" t="s">
        <v>300</v>
      </c>
      <c r="C94" s="45" t="s">
        <v>97</v>
      </c>
      <c r="D94" s="45" t="s">
        <v>301</v>
      </c>
      <c r="E94" s="6" t="s">
        <v>302</v>
      </c>
      <c r="F94" s="45" t="s">
        <v>104</v>
      </c>
      <c r="G94" s="46">
        <f t="shared" si="7"/>
        <v>60</v>
      </c>
      <c r="H94" s="46">
        <f>TRUNC(S94*(1-LOTE_03!$K$10),2)</f>
        <v>1.46</v>
      </c>
      <c r="I94" s="46">
        <f>TRUNC(T94*(1-LOTE_03!$K$10),2)</f>
        <v>3.2</v>
      </c>
      <c r="J94" s="100">
        <f t="shared" si="8"/>
        <v>0.22470000000000001</v>
      </c>
      <c r="K94" s="48">
        <f t="shared" si="9"/>
        <v>1.78</v>
      </c>
      <c r="L94" s="48">
        <f t="shared" si="10"/>
        <v>3.91</v>
      </c>
      <c r="M94" s="48">
        <f t="shared" si="11"/>
        <v>106.8</v>
      </c>
      <c r="N94" s="48">
        <f t="shared" si="12"/>
        <v>234.6</v>
      </c>
      <c r="O94" s="50">
        <f t="shared" si="13"/>
        <v>341.4</v>
      </c>
      <c r="P94" s="50">
        <v>0</v>
      </c>
      <c r="Q94" s="76"/>
      <c r="R94" s="140">
        <f>3*S9+3*S10</f>
        <v>60</v>
      </c>
      <c r="S94" s="79">
        <v>1.46</v>
      </c>
      <c r="T94" s="80">
        <v>3.2</v>
      </c>
    </row>
    <row r="95" spans="2:20" ht="28">
      <c r="B95" s="5" t="s">
        <v>303</v>
      </c>
      <c r="C95" s="45" t="s">
        <v>97</v>
      </c>
      <c r="D95" s="45" t="s">
        <v>304</v>
      </c>
      <c r="E95" s="6" t="s">
        <v>305</v>
      </c>
      <c r="F95" s="45" t="s">
        <v>121</v>
      </c>
      <c r="G95" s="46">
        <f t="shared" si="7"/>
        <v>50</v>
      </c>
      <c r="H95" s="46">
        <f>TRUNC(S95*(1-LOTE_03!$K$10),2)</f>
        <v>5.61</v>
      </c>
      <c r="I95" s="46">
        <f>TRUNC(T95*(1-LOTE_03!$K$10),2)</f>
        <v>12.74</v>
      </c>
      <c r="J95" s="100">
        <f t="shared" si="8"/>
        <v>0.22470000000000001</v>
      </c>
      <c r="K95" s="48">
        <f t="shared" si="9"/>
        <v>6.87</v>
      </c>
      <c r="L95" s="48">
        <f t="shared" si="10"/>
        <v>15.6</v>
      </c>
      <c r="M95" s="48">
        <f t="shared" si="11"/>
        <v>343.5</v>
      </c>
      <c r="N95" s="48">
        <f t="shared" si="12"/>
        <v>780</v>
      </c>
      <c r="O95" s="50">
        <f t="shared" si="13"/>
        <v>1123.5</v>
      </c>
      <c r="P95" s="50">
        <v>0</v>
      </c>
      <c r="Q95" s="76"/>
      <c r="R95" s="140">
        <f>IF((10*S10+1*S9)&gt;50,50,(10*S10+1*S9))</f>
        <v>50</v>
      </c>
      <c r="S95" s="79">
        <v>5.61</v>
      </c>
      <c r="T95" s="80">
        <v>12.74</v>
      </c>
    </row>
    <row r="96" spans="2:20" ht="28">
      <c r="B96" s="5" t="s">
        <v>306</v>
      </c>
      <c r="C96" s="45" t="s">
        <v>97</v>
      </c>
      <c r="D96" s="45" t="s">
        <v>307</v>
      </c>
      <c r="E96" s="6" t="s">
        <v>308</v>
      </c>
      <c r="F96" s="45" t="s">
        <v>104</v>
      </c>
      <c r="G96" s="46">
        <f t="shared" si="7"/>
        <v>10</v>
      </c>
      <c r="H96" s="46">
        <f>TRUNC(S96*(1-LOTE_03!$K$10),2)</f>
        <v>9.51</v>
      </c>
      <c r="I96" s="46">
        <f>TRUNC(T96*(1-LOTE_03!$K$10),2)</f>
        <v>22.75</v>
      </c>
      <c r="J96" s="100">
        <f t="shared" si="8"/>
        <v>0.22470000000000001</v>
      </c>
      <c r="K96" s="48">
        <f t="shared" si="9"/>
        <v>11.64</v>
      </c>
      <c r="L96" s="48">
        <f t="shared" si="10"/>
        <v>27.86</v>
      </c>
      <c r="M96" s="48">
        <f t="shared" si="11"/>
        <v>116.4</v>
      </c>
      <c r="N96" s="48">
        <f t="shared" si="12"/>
        <v>278.60000000000002</v>
      </c>
      <c r="O96" s="50">
        <f t="shared" si="13"/>
        <v>395</v>
      </c>
      <c r="P96" s="50">
        <v>0</v>
      </c>
      <c r="Q96" s="76"/>
      <c r="R96" s="140">
        <f>IF((1*S9+2*S10)&gt;10,10,(1*S9+2*S10))</f>
        <v>10</v>
      </c>
      <c r="S96" s="79">
        <v>9.51</v>
      </c>
      <c r="T96" s="80">
        <v>22.75</v>
      </c>
    </row>
    <row r="97" spans="2:20">
      <c r="B97" s="5" t="s">
        <v>309</v>
      </c>
      <c r="C97" s="45" t="s">
        <v>97</v>
      </c>
      <c r="D97" s="45" t="s">
        <v>310</v>
      </c>
      <c r="E97" s="6" t="s">
        <v>311</v>
      </c>
      <c r="F97" s="45" t="s">
        <v>104</v>
      </c>
      <c r="G97" s="46">
        <f t="shared" si="7"/>
        <v>400</v>
      </c>
      <c r="H97" s="46">
        <f>TRUNC(S97*(1-LOTE_03!$K$10),2)</f>
        <v>0.73</v>
      </c>
      <c r="I97" s="46">
        <f>TRUNC(T97*(1-LOTE_03!$K$10),2)</f>
        <v>1.6</v>
      </c>
      <c r="J97" s="100">
        <f t="shared" si="8"/>
        <v>0.22470000000000001</v>
      </c>
      <c r="K97" s="48">
        <f t="shared" si="9"/>
        <v>0.89</v>
      </c>
      <c r="L97" s="48">
        <f t="shared" si="10"/>
        <v>1.95</v>
      </c>
      <c r="M97" s="48">
        <f t="shared" si="11"/>
        <v>356</v>
      </c>
      <c r="N97" s="48">
        <f t="shared" si="12"/>
        <v>780</v>
      </c>
      <c r="O97" s="50">
        <f t="shared" si="13"/>
        <v>1136</v>
      </c>
      <c r="P97" s="50">
        <v>0</v>
      </c>
      <c r="Q97" s="76"/>
      <c r="R97" s="140">
        <f>20*S9+20*S10</f>
        <v>400</v>
      </c>
      <c r="S97" s="79">
        <v>0.73</v>
      </c>
      <c r="T97" s="80">
        <v>1.6</v>
      </c>
    </row>
    <row r="98" spans="2:20" ht="42">
      <c r="B98" s="5" t="s">
        <v>312</v>
      </c>
      <c r="C98" s="45" t="s">
        <v>97</v>
      </c>
      <c r="D98" s="45" t="s">
        <v>313</v>
      </c>
      <c r="E98" s="6" t="s">
        <v>314</v>
      </c>
      <c r="F98" s="45" t="s">
        <v>104</v>
      </c>
      <c r="G98" s="46">
        <f t="shared" si="7"/>
        <v>5</v>
      </c>
      <c r="H98" s="46">
        <f>TRUNC(S98*(1-LOTE_03!$K$10),2)</f>
        <v>14.39</v>
      </c>
      <c r="I98" s="46">
        <f>TRUNC(T98*(1-LOTE_03!$K$10),2)</f>
        <v>37.92</v>
      </c>
      <c r="J98" s="100">
        <f t="shared" si="8"/>
        <v>0.22470000000000001</v>
      </c>
      <c r="K98" s="48">
        <f t="shared" si="9"/>
        <v>17.62</v>
      </c>
      <c r="L98" s="48">
        <f t="shared" si="10"/>
        <v>46.44</v>
      </c>
      <c r="M98" s="48">
        <f t="shared" si="11"/>
        <v>88.1</v>
      </c>
      <c r="N98" s="48">
        <f t="shared" si="12"/>
        <v>232.2</v>
      </c>
      <c r="O98" s="50">
        <f t="shared" si="13"/>
        <v>320.3</v>
      </c>
      <c r="P98" s="50">
        <v>0</v>
      </c>
      <c r="Q98" s="76"/>
      <c r="R98" s="140">
        <f>IF((1*S9+1*S10)&gt;5,5,(1*S9+1*S10))</f>
        <v>5</v>
      </c>
      <c r="S98" s="79">
        <v>14.39</v>
      </c>
      <c r="T98" s="80">
        <v>37.92</v>
      </c>
    </row>
    <row r="99" spans="2:20" ht="28">
      <c r="B99" s="5" t="s">
        <v>315</v>
      </c>
      <c r="C99" s="45" t="s">
        <v>97</v>
      </c>
      <c r="D99" s="45" t="s">
        <v>316</v>
      </c>
      <c r="E99" s="6" t="s">
        <v>317</v>
      </c>
      <c r="F99" s="45" t="s">
        <v>104</v>
      </c>
      <c r="G99" s="46">
        <f t="shared" si="7"/>
        <v>40</v>
      </c>
      <c r="H99" s="46">
        <f>TRUNC(S99*(1-LOTE_03!$K$10),2)</f>
        <v>1.69</v>
      </c>
      <c r="I99" s="46">
        <f>TRUNC(T99*(1-LOTE_03!$K$10),2)</f>
        <v>5.07</v>
      </c>
      <c r="J99" s="100">
        <f t="shared" si="8"/>
        <v>0.22470000000000001</v>
      </c>
      <c r="K99" s="48">
        <f t="shared" si="9"/>
        <v>2.06</v>
      </c>
      <c r="L99" s="48">
        <f t="shared" si="10"/>
        <v>6.2</v>
      </c>
      <c r="M99" s="48">
        <f t="shared" si="11"/>
        <v>82.4</v>
      </c>
      <c r="N99" s="48">
        <f t="shared" si="12"/>
        <v>248</v>
      </c>
      <c r="O99" s="50">
        <f t="shared" si="13"/>
        <v>330.4</v>
      </c>
      <c r="P99" s="50">
        <v>0</v>
      </c>
      <c r="Q99" s="76"/>
      <c r="R99" s="140">
        <f>IF((2*S9+2*S10)&gt;50,50,(2*S9+2*S10))</f>
        <v>40</v>
      </c>
      <c r="S99" s="79">
        <v>1.69</v>
      </c>
      <c r="T99" s="80">
        <v>5.07</v>
      </c>
    </row>
    <row r="100" spans="2:20" ht="28">
      <c r="B100" s="5" t="s">
        <v>318</v>
      </c>
      <c r="C100" s="45" t="s">
        <v>97</v>
      </c>
      <c r="D100" s="45" t="s">
        <v>319</v>
      </c>
      <c r="E100" s="6" t="s">
        <v>320</v>
      </c>
      <c r="F100" s="45" t="s">
        <v>187</v>
      </c>
      <c r="G100" s="46">
        <f t="shared" si="7"/>
        <v>100</v>
      </c>
      <c r="H100" s="46">
        <f>TRUNC(S100*(1-LOTE_03!$K$10),2)</f>
        <v>2.04</v>
      </c>
      <c r="I100" s="46">
        <f>TRUNC(T100*(1-LOTE_03!$K$10),2)</f>
        <v>4.45</v>
      </c>
      <c r="J100" s="100">
        <f t="shared" si="8"/>
        <v>0.22470000000000001</v>
      </c>
      <c r="K100" s="48">
        <f t="shared" si="9"/>
        <v>2.4900000000000002</v>
      </c>
      <c r="L100" s="48">
        <f t="shared" si="10"/>
        <v>5.44</v>
      </c>
      <c r="M100" s="48">
        <f t="shared" si="11"/>
        <v>249</v>
      </c>
      <c r="N100" s="48">
        <f t="shared" si="12"/>
        <v>544</v>
      </c>
      <c r="O100" s="50">
        <f t="shared" si="13"/>
        <v>793</v>
      </c>
      <c r="P100" s="50">
        <v>0</v>
      </c>
      <c r="Q100" s="76"/>
      <c r="R100" s="140">
        <f>IF((10*S9+30*S10)&gt;100,100,(10*S9+30*S10))</f>
        <v>100</v>
      </c>
      <c r="S100" s="79">
        <v>2.04</v>
      </c>
      <c r="T100" s="80">
        <v>4.45</v>
      </c>
    </row>
    <row r="101" spans="2:20" ht="28">
      <c r="B101" s="5" t="s">
        <v>321</v>
      </c>
      <c r="C101" s="45" t="s">
        <v>97</v>
      </c>
      <c r="D101" s="45" t="s">
        <v>322</v>
      </c>
      <c r="E101" s="6" t="s">
        <v>323</v>
      </c>
      <c r="F101" s="45" t="s">
        <v>121</v>
      </c>
      <c r="G101" s="46">
        <f t="shared" si="7"/>
        <v>200</v>
      </c>
      <c r="H101" s="46">
        <f>TRUNC(S101*(1-LOTE_03!$K$10),2)</f>
        <v>8.68</v>
      </c>
      <c r="I101" s="46">
        <f>TRUNC(T101*(1-LOTE_03!$K$10),2)</f>
        <v>21.57</v>
      </c>
      <c r="J101" s="100">
        <f t="shared" si="8"/>
        <v>0.22470000000000001</v>
      </c>
      <c r="K101" s="48">
        <f t="shared" si="9"/>
        <v>10.63</v>
      </c>
      <c r="L101" s="48">
        <f t="shared" si="10"/>
        <v>26.41</v>
      </c>
      <c r="M101" s="48">
        <f t="shared" si="11"/>
        <v>2126</v>
      </c>
      <c r="N101" s="48">
        <f t="shared" si="12"/>
        <v>5282</v>
      </c>
      <c r="O101" s="50">
        <f t="shared" si="13"/>
        <v>7408</v>
      </c>
      <c r="P101" s="50">
        <v>0</v>
      </c>
      <c r="Q101" s="76"/>
      <c r="R101" s="140">
        <f>10*S9+10*S10</f>
        <v>200</v>
      </c>
      <c r="S101" s="79">
        <v>8.68</v>
      </c>
      <c r="T101" s="80">
        <v>21.57</v>
      </c>
    </row>
    <row r="102" spans="2:20" ht="28">
      <c r="B102" s="5" t="s">
        <v>324</v>
      </c>
      <c r="C102" s="45" t="s">
        <v>97</v>
      </c>
      <c r="D102" s="45" t="s">
        <v>325</v>
      </c>
      <c r="E102" s="6" t="s">
        <v>326</v>
      </c>
      <c r="F102" s="45" t="s">
        <v>104</v>
      </c>
      <c r="G102" s="46">
        <f t="shared" si="7"/>
        <v>47</v>
      </c>
      <c r="H102" s="46">
        <f>TRUNC(S102*(1-LOTE_03!$K$10),2)</f>
        <v>3.39</v>
      </c>
      <c r="I102" s="46">
        <f>TRUNC(T102*(1-LOTE_03!$K$10),2)</f>
        <v>10.14</v>
      </c>
      <c r="J102" s="100">
        <f t="shared" si="8"/>
        <v>0.22470000000000001</v>
      </c>
      <c r="K102" s="48">
        <f t="shared" si="9"/>
        <v>4.1500000000000004</v>
      </c>
      <c r="L102" s="48">
        <f t="shared" si="10"/>
        <v>12.41</v>
      </c>
      <c r="M102" s="48">
        <f t="shared" si="11"/>
        <v>195.05</v>
      </c>
      <c r="N102" s="48">
        <f t="shared" si="12"/>
        <v>583.27</v>
      </c>
      <c r="O102" s="50">
        <f t="shared" si="13"/>
        <v>778.32</v>
      </c>
      <c r="P102" s="50">
        <v>0</v>
      </c>
      <c r="Q102" s="76"/>
      <c r="R102" s="140">
        <f>2*S9+3*S10</f>
        <v>47</v>
      </c>
      <c r="S102" s="79">
        <v>3.39</v>
      </c>
      <c r="T102" s="80">
        <v>10.14</v>
      </c>
    </row>
    <row r="103" spans="2:20" ht="28">
      <c r="B103" s="5" t="s">
        <v>327</v>
      </c>
      <c r="C103" s="45" t="s">
        <v>97</v>
      </c>
      <c r="D103" s="45" t="s">
        <v>328</v>
      </c>
      <c r="E103" s="6" t="s">
        <v>329</v>
      </c>
      <c r="F103" s="45" t="s">
        <v>104</v>
      </c>
      <c r="G103" s="46">
        <f t="shared" si="7"/>
        <v>10</v>
      </c>
      <c r="H103" s="46">
        <f>TRUNC(S103*(1-LOTE_03!$K$10),2)</f>
        <v>25.8</v>
      </c>
      <c r="I103" s="46">
        <f>TRUNC(T103*(1-LOTE_03!$K$10),2)</f>
        <v>63.24</v>
      </c>
      <c r="J103" s="100">
        <f t="shared" si="8"/>
        <v>0.22470000000000001</v>
      </c>
      <c r="K103" s="48">
        <f t="shared" si="9"/>
        <v>31.59</v>
      </c>
      <c r="L103" s="48">
        <f t="shared" si="10"/>
        <v>77.45</v>
      </c>
      <c r="M103" s="48">
        <f t="shared" si="11"/>
        <v>315.89999999999998</v>
      </c>
      <c r="N103" s="48">
        <f t="shared" si="12"/>
        <v>774.5</v>
      </c>
      <c r="O103" s="50">
        <f t="shared" si="13"/>
        <v>1090.4000000000001</v>
      </c>
      <c r="P103" s="50">
        <v>0</v>
      </c>
      <c r="Q103" s="76"/>
      <c r="R103" s="140">
        <f>IF((1*S9+1*S10)&gt;10,10,(1*S9+1*S10))</f>
        <v>10</v>
      </c>
      <c r="S103" s="79">
        <v>25.8</v>
      </c>
      <c r="T103" s="80">
        <v>63.24</v>
      </c>
    </row>
    <row r="104" spans="2:20" ht="28">
      <c r="B104" s="5" t="s">
        <v>330</v>
      </c>
      <c r="C104" s="45" t="s">
        <v>97</v>
      </c>
      <c r="D104" s="45" t="s">
        <v>331</v>
      </c>
      <c r="E104" s="6" t="s">
        <v>332</v>
      </c>
      <c r="F104" s="45" t="s">
        <v>104</v>
      </c>
      <c r="G104" s="46">
        <f t="shared" si="7"/>
        <v>10</v>
      </c>
      <c r="H104" s="46">
        <f>TRUNC(S104*(1-LOTE_03!$K$10),2)</f>
        <v>5845.75</v>
      </c>
      <c r="I104" s="46">
        <f>TRUNC(T104*(1-LOTE_03!$K$10),2)</f>
        <v>619.23</v>
      </c>
      <c r="J104" s="100">
        <f t="shared" si="8"/>
        <v>0.22470000000000001</v>
      </c>
      <c r="K104" s="48">
        <f t="shared" si="9"/>
        <v>7159.29</v>
      </c>
      <c r="L104" s="48">
        <f t="shared" si="10"/>
        <v>758.37</v>
      </c>
      <c r="M104" s="48">
        <f t="shared" si="11"/>
        <v>71592.899999999994</v>
      </c>
      <c r="N104" s="48">
        <f t="shared" si="12"/>
        <v>7583.7</v>
      </c>
      <c r="O104" s="50">
        <f t="shared" si="13"/>
        <v>79176.600000000006</v>
      </c>
      <c r="P104" s="50">
        <v>0</v>
      </c>
      <c r="Q104" s="76"/>
      <c r="R104" s="140">
        <f>IF((1*S9+1*S10)&gt;10,10,(1*S9+1*S10))</f>
        <v>10</v>
      </c>
      <c r="S104" s="79">
        <v>5845.75</v>
      </c>
      <c r="T104" s="80">
        <v>619.23</v>
      </c>
    </row>
    <row r="105" spans="2:20" ht="28">
      <c r="B105" s="5" t="s">
        <v>333</v>
      </c>
      <c r="C105" s="45" t="s">
        <v>97</v>
      </c>
      <c r="D105" s="45" t="s">
        <v>334</v>
      </c>
      <c r="E105" s="6" t="s">
        <v>335</v>
      </c>
      <c r="F105" s="45" t="s">
        <v>104</v>
      </c>
      <c r="G105" s="46">
        <f t="shared" si="7"/>
        <v>54</v>
      </c>
      <c r="H105" s="46">
        <f>TRUNC(S105*(1-LOTE_03!$K$10),2)</f>
        <v>2.19</v>
      </c>
      <c r="I105" s="46">
        <f>TRUNC(T105*(1-LOTE_03!$K$10),2)</f>
        <v>4.8</v>
      </c>
      <c r="J105" s="100">
        <f t="shared" si="8"/>
        <v>0.22470000000000001</v>
      </c>
      <c r="K105" s="48">
        <f t="shared" si="9"/>
        <v>2.68</v>
      </c>
      <c r="L105" s="48">
        <f t="shared" si="10"/>
        <v>5.87</v>
      </c>
      <c r="M105" s="48">
        <f t="shared" si="11"/>
        <v>144.72</v>
      </c>
      <c r="N105" s="48">
        <f t="shared" si="12"/>
        <v>316.98</v>
      </c>
      <c r="O105" s="50">
        <f t="shared" si="13"/>
        <v>461.7</v>
      </c>
      <c r="P105" s="50">
        <v>0</v>
      </c>
      <c r="Q105" s="76"/>
      <c r="R105" s="140">
        <f>2*S9+4*S10</f>
        <v>54</v>
      </c>
      <c r="S105" s="79">
        <v>2.19</v>
      </c>
      <c r="T105" s="80">
        <v>4.8</v>
      </c>
    </row>
    <row r="106" spans="2:20">
      <c r="B106" s="5" t="s">
        <v>336</v>
      </c>
      <c r="C106" s="45" t="s">
        <v>97</v>
      </c>
      <c r="D106" s="45" t="s">
        <v>337</v>
      </c>
      <c r="E106" s="6" t="s">
        <v>338</v>
      </c>
      <c r="F106" s="45" t="s">
        <v>104</v>
      </c>
      <c r="G106" s="46">
        <f t="shared" si="7"/>
        <v>470</v>
      </c>
      <c r="H106" s="46">
        <f>TRUNC(S106*(1-LOTE_03!$K$10),2)</f>
        <v>0.73</v>
      </c>
      <c r="I106" s="46">
        <f>TRUNC(T106*(1-LOTE_03!$K$10),2)</f>
        <v>1.6</v>
      </c>
      <c r="J106" s="100">
        <f t="shared" si="8"/>
        <v>0.22470000000000001</v>
      </c>
      <c r="K106" s="48">
        <f t="shared" si="9"/>
        <v>0.89</v>
      </c>
      <c r="L106" s="48">
        <f t="shared" si="10"/>
        <v>1.95</v>
      </c>
      <c r="M106" s="48">
        <f t="shared" si="11"/>
        <v>418.3</v>
      </c>
      <c r="N106" s="48">
        <f t="shared" si="12"/>
        <v>916.5</v>
      </c>
      <c r="O106" s="50">
        <f t="shared" si="13"/>
        <v>1334.8</v>
      </c>
      <c r="P106" s="50">
        <v>0</v>
      </c>
      <c r="Q106" s="76"/>
      <c r="R106" s="140">
        <f>20*S9+30*S10</f>
        <v>470</v>
      </c>
      <c r="S106" s="79">
        <v>0.73</v>
      </c>
      <c r="T106" s="80">
        <v>1.6</v>
      </c>
    </row>
    <row r="107" spans="2:20" ht="28">
      <c r="B107" s="5" t="s">
        <v>339</v>
      </c>
      <c r="C107" s="45" t="s">
        <v>97</v>
      </c>
      <c r="D107" s="45" t="s">
        <v>301</v>
      </c>
      <c r="E107" s="6" t="s">
        <v>302</v>
      </c>
      <c r="F107" s="45" t="s">
        <v>104</v>
      </c>
      <c r="G107" s="46">
        <f t="shared" si="7"/>
        <v>40</v>
      </c>
      <c r="H107" s="46">
        <f>TRUNC(S107*(1-LOTE_03!$K$10),2)</f>
        <v>1.46</v>
      </c>
      <c r="I107" s="46">
        <f>TRUNC(T107*(1-LOTE_03!$K$10),2)</f>
        <v>3.2</v>
      </c>
      <c r="J107" s="100">
        <f t="shared" si="8"/>
        <v>0.22470000000000001</v>
      </c>
      <c r="K107" s="48">
        <f t="shared" si="9"/>
        <v>1.78</v>
      </c>
      <c r="L107" s="48">
        <f t="shared" si="10"/>
        <v>3.91</v>
      </c>
      <c r="M107" s="48">
        <f t="shared" si="11"/>
        <v>71.2</v>
      </c>
      <c r="N107" s="48">
        <f t="shared" si="12"/>
        <v>156.4</v>
      </c>
      <c r="O107" s="50">
        <f t="shared" si="13"/>
        <v>227.6</v>
      </c>
      <c r="P107" s="50">
        <v>0</v>
      </c>
      <c r="Q107" s="76"/>
      <c r="R107" s="140">
        <f>2*S9+2*S10</f>
        <v>40</v>
      </c>
      <c r="S107" s="79">
        <v>1.46</v>
      </c>
      <c r="T107" s="80">
        <v>3.2</v>
      </c>
    </row>
    <row r="108" spans="2:20" ht="42">
      <c r="B108" s="5" t="s">
        <v>340</v>
      </c>
      <c r="C108" s="45" t="s">
        <v>135</v>
      </c>
      <c r="D108" s="45">
        <v>90436</v>
      </c>
      <c r="E108" s="6" t="s">
        <v>341</v>
      </c>
      <c r="F108" s="45" t="s">
        <v>210</v>
      </c>
      <c r="G108" s="46">
        <f t="shared" si="7"/>
        <v>20</v>
      </c>
      <c r="H108" s="46">
        <f>TRUNC(S108*(1-LOTE_03!$K$10),2)</f>
        <v>3.64</v>
      </c>
      <c r="I108" s="46">
        <f>TRUNC(T108*(1-LOTE_03!$K$10),2)</f>
        <v>13.29</v>
      </c>
      <c r="J108" s="100">
        <f t="shared" si="8"/>
        <v>0.22470000000000001</v>
      </c>
      <c r="K108" s="48">
        <f t="shared" si="9"/>
        <v>4.45</v>
      </c>
      <c r="L108" s="48">
        <f t="shared" si="10"/>
        <v>16.27</v>
      </c>
      <c r="M108" s="48">
        <f t="shared" si="11"/>
        <v>89</v>
      </c>
      <c r="N108" s="48">
        <f t="shared" si="12"/>
        <v>325.39999999999998</v>
      </c>
      <c r="O108" s="50">
        <f t="shared" si="13"/>
        <v>414.4</v>
      </c>
      <c r="P108" s="50">
        <v>0</v>
      </c>
      <c r="Q108" s="76"/>
      <c r="R108" s="140">
        <f>IF((2*S9+2*S10)&gt;20,20,(2*S9+2*S10))</f>
        <v>20</v>
      </c>
      <c r="S108" s="79">
        <v>3.6400000000000006</v>
      </c>
      <c r="T108" s="80">
        <v>13.29</v>
      </c>
    </row>
    <row r="109" spans="2:20" ht="56">
      <c r="B109" s="5" t="s">
        <v>342</v>
      </c>
      <c r="C109" s="45" t="s">
        <v>135</v>
      </c>
      <c r="D109" s="45">
        <v>90437</v>
      </c>
      <c r="E109" s="6" t="s">
        <v>343</v>
      </c>
      <c r="F109" s="45" t="s">
        <v>210</v>
      </c>
      <c r="G109" s="46">
        <f t="shared" si="7"/>
        <v>20</v>
      </c>
      <c r="H109" s="46">
        <f>TRUNC(S109*(1-LOTE_03!$K$10),2)</f>
        <v>9.69</v>
      </c>
      <c r="I109" s="46">
        <f>TRUNC(T109*(1-LOTE_03!$K$10),2)</f>
        <v>35.46</v>
      </c>
      <c r="J109" s="100">
        <f t="shared" si="8"/>
        <v>0.22470000000000001</v>
      </c>
      <c r="K109" s="48">
        <f t="shared" si="9"/>
        <v>11.86</v>
      </c>
      <c r="L109" s="48">
        <f t="shared" si="10"/>
        <v>43.42</v>
      </c>
      <c r="M109" s="48">
        <f t="shared" si="11"/>
        <v>237.2</v>
      </c>
      <c r="N109" s="48">
        <f t="shared" si="12"/>
        <v>868.4</v>
      </c>
      <c r="O109" s="50">
        <f t="shared" si="13"/>
        <v>1105.5999999999999</v>
      </c>
      <c r="P109" s="50">
        <v>0</v>
      </c>
      <c r="Q109" s="76"/>
      <c r="R109" s="140">
        <f>IF((2*S9+2*S10)&gt;20,20,(2*S9+2*S10))</f>
        <v>20</v>
      </c>
      <c r="S109" s="79">
        <v>9.6899999999999977</v>
      </c>
      <c r="T109" s="80">
        <v>35.46</v>
      </c>
    </row>
    <row r="110" spans="2:20" ht="56">
      <c r="B110" s="5" t="s">
        <v>344</v>
      </c>
      <c r="C110" s="45" t="s">
        <v>135</v>
      </c>
      <c r="D110" s="45">
        <v>90438</v>
      </c>
      <c r="E110" s="6" t="s">
        <v>345</v>
      </c>
      <c r="F110" s="45" t="s">
        <v>210</v>
      </c>
      <c r="G110" s="46">
        <f t="shared" si="7"/>
        <v>20</v>
      </c>
      <c r="H110" s="46">
        <f>TRUNC(S110*(1-LOTE_03!$K$10),2)</f>
        <v>14.15</v>
      </c>
      <c r="I110" s="46">
        <f>TRUNC(T110*(1-LOTE_03!$K$10),2)</f>
        <v>51.79</v>
      </c>
      <c r="J110" s="100">
        <f t="shared" si="8"/>
        <v>0.22470000000000001</v>
      </c>
      <c r="K110" s="48">
        <f t="shared" si="9"/>
        <v>17.32</v>
      </c>
      <c r="L110" s="48">
        <f t="shared" si="10"/>
        <v>63.42</v>
      </c>
      <c r="M110" s="48">
        <f t="shared" si="11"/>
        <v>346.4</v>
      </c>
      <c r="N110" s="48">
        <f t="shared" si="12"/>
        <v>1268.4000000000001</v>
      </c>
      <c r="O110" s="50">
        <f t="shared" si="13"/>
        <v>1614.8</v>
      </c>
      <c r="P110" s="50">
        <v>0</v>
      </c>
      <c r="Q110" s="76"/>
      <c r="R110" s="140">
        <f>IF((2*S9+2*S10)&gt;20,20,(2*S9+2*S10))</f>
        <v>20</v>
      </c>
      <c r="S110" s="79">
        <v>14.149999999999999</v>
      </c>
      <c r="T110" s="80">
        <v>51.79</v>
      </c>
    </row>
    <row r="111" spans="2:20" ht="56">
      <c r="B111" s="5" t="s">
        <v>346</v>
      </c>
      <c r="C111" s="45" t="s">
        <v>135</v>
      </c>
      <c r="D111" s="45">
        <v>90439</v>
      </c>
      <c r="E111" s="6" t="s">
        <v>347</v>
      </c>
      <c r="F111" s="45" t="s">
        <v>210</v>
      </c>
      <c r="G111" s="46">
        <f t="shared" si="7"/>
        <v>10</v>
      </c>
      <c r="H111" s="46">
        <f>TRUNC(S111*(1-LOTE_03!$K$10),2)</f>
        <v>2.97</v>
      </c>
      <c r="I111" s="46">
        <f>TRUNC(T111*(1-LOTE_03!$K$10),2)</f>
        <v>6.7</v>
      </c>
      <c r="J111" s="100">
        <f t="shared" si="8"/>
        <v>0.22470000000000001</v>
      </c>
      <c r="K111" s="48">
        <f t="shared" si="9"/>
        <v>3.63</v>
      </c>
      <c r="L111" s="48">
        <f t="shared" si="10"/>
        <v>8.1999999999999993</v>
      </c>
      <c r="M111" s="48">
        <f t="shared" si="11"/>
        <v>36.299999999999997</v>
      </c>
      <c r="N111" s="48">
        <f t="shared" si="12"/>
        <v>82</v>
      </c>
      <c r="O111" s="50">
        <f t="shared" si="13"/>
        <v>118.3</v>
      </c>
      <c r="P111" s="50">
        <v>0</v>
      </c>
      <c r="Q111" s="76"/>
      <c r="R111" s="140">
        <f>IF((2*S9+2*S10)&gt;10,10,(2*S9+2*S10))</f>
        <v>10</v>
      </c>
      <c r="S111" s="79">
        <v>2.9699999999999998</v>
      </c>
      <c r="T111" s="80">
        <v>6.7</v>
      </c>
    </row>
    <row r="112" spans="2:20" ht="70">
      <c r="B112" s="5" t="s">
        <v>348</v>
      </c>
      <c r="C112" s="45" t="s">
        <v>135</v>
      </c>
      <c r="D112" s="45">
        <v>90440</v>
      </c>
      <c r="E112" s="6" t="s">
        <v>349</v>
      </c>
      <c r="F112" s="45" t="s">
        <v>210</v>
      </c>
      <c r="G112" s="46">
        <f t="shared" si="7"/>
        <v>10</v>
      </c>
      <c r="H112" s="46">
        <f>TRUNC(S112*(1-LOTE_03!$K$10),2)</f>
        <v>7.92</v>
      </c>
      <c r="I112" s="46">
        <f>TRUNC(T112*(1-LOTE_03!$K$10),2)</f>
        <v>17.850000000000001</v>
      </c>
      <c r="J112" s="100">
        <f t="shared" si="8"/>
        <v>0.22470000000000001</v>
      </c>
      <c r="K112" s="48">
        <f t="shared" si="9"/>
        <v>9.69</v>
      </c>
      <c r="L112" s="48">
        <f t="shared" si="10"/>
        <v>21.86</v>
      </c>
      <c r="M112" s="48">
        <f t="shared" si="11"/>
        <v>96.9</v>
      </c>
      <c r="N112" s="48">
        <f t="shared" si="12"/>
        <v>218.6</v>
      </c>
      <c r="O112" s="50">
        <f t="shared" si="13"/>
        <v>315.5</v>
      </c>
      <c r="P112" s="50">
        <v>0</v>
      </c>
      <c r="Q112" s="76"/>
      <c r="R112" s="140">
        <f>IF((2*S9+2*S10)&gt;10,10,(2*S9+2*S10))</f>
        <v>10</v>
      </c>
      <c r="S112" s="79">
        <v>7.9199999999999982</v>
      </c>
      <c r="T112" s="80">
        <v>17.850000000000001</v>
      </c>
    </row>
    <row r="113" spans="2:20" ht="70">
      <c r="B113" s="5" t="s">
        <v>350</v>
      </c>
      <c r="C113" s="45" t="s">
        <v>135</v>
      </c>
      <c r="D113" s="45">
        <v>90441</v>
      </c>
      <c r="E113" s="6" t="s">
        <v>351</v>
      </c>
      <c r="F113" s="45" t="s">
        <v>210</v>
      </c>
      <c r="G113" s="46">
        <f t="shared" si="7"/>
        <v>10</v>
      </c>
      <c r="H113" s="46">
        <f>TRUNC(S113*(1-LOTE_03!$K$10),2)</f>
        <v>11.56</v>
      </c>
      <c r="I113" s="46">
        <f>TRUNC(T113*(1-LOTE_03!$K$10),2)</f>
        <v>26.08</v>
      </c>
      <c r="J113" s="100">
        <f t="shared" si="8"/>
        <v>0.22470000000000001</v>
      </c>
      <c r="K113" s="48">
        <f t="shared" si="9"/>
        <v>14.15</v>
      </c>
      <c r="L113" s="48">
        <f t="shared" si="10"/>
        <v>31.94</v>
      </c>
      <c r="M113" s="48">
        <f t="shared" si="11"/>
        <v>141.5</v>
      </c>
      <c r="N113" s="48">
        <f t="shared" si="12"/>
        <v>319.39999999999998</v>
      </c>
      <c r="O113" s="50">
        <f t="shared" si="13"/>
        <v>460.9</v>
      </c>
      <c r="P113" s="50">
        <v>0</v>
      </c>
      <c r="Q113" s="76"/>
      <c r="R113" s="140">
        <f>IF((2*S9+2*S10)&gt;10,10,(2*S9+2*S10))</f>
        <v>10</v>
      </c>
      <c r="S113" s="79">
        <v>11.560000000000002</v>
      </c>
      <c r="T113" s="80">
        <v>26.08</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3046.4499999999994</v>
      </c>
      <c r="Q114" s="76"/>
      <c r="R114" s="154"/>
      <c r="S114" s="79" t="s">
        <v>22</v>
      </c>
      <c r="T114" s="80" t="s">
        <v>22</v>
      </c>
    </row>
    <row r="115" spans="2:20" ht="28">
      <c r="B115" s="5" t="s">
        <v>352</v>
      </c>
      <c r="C115" s="45" t="s">
        <v>135</v>
      </c>
      <c r="D115" s="45">
        <v>94319</v>
      </c>
      <c r="E115" s="6" t="s">
        <v>353</v>
      </c>
      <c r="F115" s="45" t="s">
        <v>161</v>
      </c>
      <c r="G115" s="46">
        <f>IF($S$11=0,0,TRUNC(R115,2))</f>
        <v>5</v>
      </c>
      <c r="H115" s="46">
        <f>TRUNC(S115*(1-LOTE_03!$K$10),2)</f>
        <v>65.25</v>
      </c>
      <c r="I115" s="46">
        <f>TRUNC(T115*(1-LOTE_03!$K$10),2)</f>
        <v>16.39</v>
      </c>
      <c r="J115" s="100">
        <f t="shared" si="8"/>
        <v>0.22470000000000001</v>
      </c>
      <c r="K115" s="48">
        <f t="shared" si="9"/>
        <v>79.91</v>
      </c>
      <c r="L115" s="48">
        <f t="shared" si="10"/>
        <v>20.07</v>
      </c>
      <c r="M115" s="48">
        <f t="shared" si="11"/>
        <v>399.55</v>
      </c>
      <c r="N115" s="48">
        <f t="shared" si="12"/>
        <v>100.35</v>
      </c>
      <c r="O115" s="50">
        <f t="shared" si="13"/>
        <v>499.9</v>
      </c>
      <c r="P115" s="50">
        <v>0</v>
      </c>
      <c r="Q115" s="76"/>
      <c r="R115" s="140">
        <f>IF((1*S10)&gt;5,5,1)</f>
        <v>5</v>
      </c>
      <c r="S115" s="79">
        <v>65.25</v>
      </c>
      <c r="T115" s="80">
        <v>16.39</v>
      </c>
    </row>
    <row r="116" spans="2:20" ht="28">
      <c r="B116" s="5" t="s">
        <v>354</v>
      </c>
      <c r="C116" s="45" t="s">
        <v>135</v>
      </c>
      <c r="D116" s="45">
        <v>94342</v>
      </c>
      <c r="E116" s="6" t="s">
        <v>355</v>
      </c>
      <c r="F116" s="45" t="s">
        <v>161</v>
      </c>
      <c r="G116" s="46">
        <f t="shared" ref="G116:G123" si="14">IF($S$11=0,0,TRUNC(R116,2))</f>
        <v>5</v>
      </c>
      <c r="H116" s="46">
        <f>TRUNC(S116*(1-LOTE_03!$K$10),2)</f>
        <v>107.54</v>
      </c>
      <c r="I116" s="46">
        <f>TRUNC(T116*(1-LOTE_03!$K$10),2)</f>
        <v>17.489999999999998</v>
      </c>
      <c r="J116" s="100">
        <f t="shared" si="8"/>
        <v>0.22470000000000001</v>
      </c>
      <c r="K116" s="48">
        <f t="shared" si="9"/>
        <v>131.69999999999999</v>
      </c>
      <c r="L116" s="48">
        <f t="shared" si="10"/>
        <v>21.42</v>
      </c>
      <c r="M116" s="48">
        <f t="shared" si="11"/>
        <v>658.5</v>
      </c>
      <c r="N116" s="48">
        <f t="shared" si="12"/>
        <v>107.1</v>
      </c>
      <c r="O116" s="50">
        <f t="shared" si="13"/>
        <v>765.6</v>
      </c>
      <c r="P116" s="50">
        <v>0</v>
      </c>
      <c r="Q116" s="76"/>
      <c r="R116" s="140">
        <f>IF((1*S10)&gt;5,5,1)</f>
        <v>5</v>
      </c>
      <c r="S116" s="79">
        <v>107.54</v>
      </c>
      <c r="T116" s="80">
        <v>17.489999999999998</v>
      </c>
    </row>
    <row r="117" spans="2:20" ht="28">
      <c r="B117" s="5" t="s">
        <v>356</v>
      </c>
      <c r="C117" s="45" t="s">
        <v>165</v>
      </c>
      <c r="D117" s="45" t="s">
        <v>357</v>
      </c>
      <c r="E117" s="6" t="s">
        <v>358</v>
      </c>
      <c r="F117" s="45" t="s">
        <v>182</v>
      </c>
      <c r="G117" s="46">
        <f t="shared" si="14"/>
        <v>5</v>
      </c>
      <c r="H117" s="46">
        <f>TRUNC(S117*(1-LOTE_03!$K$10),2)</f>
        <v>16.21</v>
      </c>
      <c r="I117" s="46">
        <f>TRUNC(T117*(1-LOTE_03!$K$10),2)</f>
        <v>0.8</v>
      </c>
      <c r="J117" s="100">
        <f t="shared" si="8"/>
        <v>0.22470000000000001</v>
      </c>
      <c r="K117" s="48">
        <f t="shared" si="9"/>
        <v>19.850000000000001</v>
      </c>
      <c r="L117" s="48">
        <f t="shared" si="10"/>
        <v>0.97</v>
      </c>
      <c r="M117" s="48">
        <f t="shared" si="11"/>
        <v>99.25</v>
      </c>
      <c r="N117" s="48">
        <f t="shared" si="12"/>
        <v>4.8499999999999996</v>
      </c>
      <c r="O117" s="50">
        <f t="shared" si="13"/>
        <v>104.1</v>
      </c>
      <c r="P117" s="50">
        <v>0</v>
      </c>
      <c r="Q117" s="76"/>
      <c r="R117" s="140">
        <f>IF((1*S10)&gt;5,5,1)</f>
        <v>5</v>
      </c>
      <c r="S117" s="79">
        <v>16.21</v>
      </c>
      <c r="T117" s="80">
        <v>0.8</v>
      </c>
    </row>
    <row r="118" spans="2:20" ht="28">
      <c r="B118" s="5" t="s">
        <v>359</v>
      </c>
      <c r="C118" s="45" t="s">
        <v>165</v>
      </c>
      <c r="D118" s="45" t="s">
        <v>360</v>
      </c>
      <c r="E118" s="6" t="s">
        <v>361</v>
      </c>
      <c r="F118" s="45" t="s">
        <v>182</v>
      </c>
      <c r="G118" s="46">
        <f t="shared" si="14"/>
        <v>5</v>
      </c>
      <c r="H118" s="46">
        <f>TRUNC(S118*(1-LOTE_03!$K$10),2)</f>
        <v>23.94</v>
      </c>
      <c r="I118" s="46">
        <f>TRUNC(T118*(1-LOTE_03!$K$10),2)</f>
        <v>28.54</v>
      </c>
      <c r="J118" s="100">
        <f t="shared" si="8"/>
        <v>0.22470000000000001</v>
      </c>
      <c r="K118" s="48">
        <f t="shared" si="9"/>
        <v>29.31</v>
      </c>
      <c r="L118" s="48">
        <f t="shared" si="10"/>
        <v>34.950000000000003</v>
      </c>
      <c r="M118" s="48">
        <f t="shared" si="11"/>
        <v>146.55000000000001</v>
      </c>
      <c r="N118" s="48">
        <f t="shared" si="12"/>
        <v>174.75</v>
      </c>
      <c r="O118" s="50">
        <f t="shared" si="13"/>
        <v>321.3</v>
      </c>
      <c r="P118" s="50">
        <v>0</v>
      </c>
      <c r="Q118" s="76"/>
      <c r="R118" s="140">
        <f>IF((1*S10)&gt;5,5,1)</f>
        <v>5</v>
      </c>
      <c r="S118" s="79">
        <v>23.94</v>
      </c>
      <c r="T118" s="80">
        <v>28.54</v>
      </c>
    </row>
    <row r="119" spans="2:20" ht="28">
      <c r="B119" s="5" t="s">
        <v>362</v>
      </c>
      <c r="C119" s="45" t="s">
        <v>135</v>
      </c>
      <c r="D119" s="45">
        <v>93358</v>
      </c>
      <c r="E119" s="6" t="s">
        <v>363</v>
      </c>
      <c r="F119" s="45" t="s">
        <v>161</v>
      </c>
      <c r="G119" s="46">
        <f t="shared" si="14"/>
        <v>5</v>
      </c>
      <c r="H119" s="46">
        <f>TRUNC(S119*(1-LOTE_03!$K$10),2)</f>
        <v>28.96</v>
      </c>
      <c r="I119" s="46">
        <f>TRUNC(T119*(1-LOTE_03!$K$10),2)</f>
        <v>63.36</v>
      </c>
      <c r="J119" s="100">
        <f t="shared" si="8"/>
        <v>0.22470000000000001</v>
      </c>
      <c r="K119" s="48">
        <f t="shared" si="9"/>
        <v>35.46</v>
      </c>
      <c r="L119" s="48">
        <f t="shared" si="10"/>
        <v>77.59</v>
      </c>
      <c r="M119" s="48">
        <f t="shared" si="11"/>
        <v>177.3</v>
      </c>
      <c r="N119" s="48">
        <f t="shared" si="12"/>
        <v>387.95</v>
      </c>
      <c r="O119" s="50">
        <f t="shared" si="13"/>
        <v>565.25</v>
      </c>
      <c r="P119" s="50">
        <v>0</v>
      </c>
      <c r="Q119" s="76"/>
      <c r="R119" s="140">
        <f>IF((1*S10)&gt;5,5,1)</f>
        <v>5</v>
      </c>
      <c r="S119" s="79">
        <v>28.959999999999994</v>
      </c>
      <c r="T119" s="80">
        <v>63.36</v>
      </c>
    </row>
    <row r="120" spans="2:20" ht="28">
      <c r="B120" s="5" t="s">
        <v>364</v>
      </c>
      <c r="C120" s="45" t="s">
        <v>165</v>
      </c>
      <c r="D120" s="45" t="s">
        <v>365</v>
      </c>
      <c r="E120" s="6" t="s">
        <v>366</v>
      </c>
      <c r="F120" s="45" t="s">
        <v>182</v>
      </c>
      <c r="G120" s="46">
        <f t="shared" si="14"/>
        <v>5</v>
      </c>
      <c r="H120" s="46">
        <f>TRUNC(S120*(1-LOTE_03!$K$10),2)</f>
        <v>0</v>
      </c>
      <c r="I120" s="46">
        <f>TRUNC(T120*(1-LOTE_03!$K$10),2)</f>
        <v>51.73</v>
      </c>
      <c r="J120" s="100">
        <f t="shared" si="8"/>
        <v>0.22470000000000001</v>
      </c>
      <c r="K120" s="48">
        <f t="shared" si="9"/>
        <v>0</v>
      </c>
      <c r="L120" s="48">
        <f t="shared" si="10"/>
        <v>63.35</v>
      </c>
      <c r="M120" s="48">
        <f t="shared" si="11"/>
        <v>0</v>
      </c>
      <c r="N120" s="48">
        <f t="shared" si="12"/>
        <v>316.75</v>
      </c>
      <c r="O120" s="50">
        <f t="shared" si="13"/>
        <v>316.75</v>
      </c>
      <c r="P120" s="50">
        <v>0</v>
      </c>
      <c r="Q120" s="76"/>
      <c r="R120" s="140">
        <f>IF((1*S10)&gt;5,5,1)</f>
        <v>5</v>
      </c>
      <c r="S120" s="79">
        <v>0</v>
      </c>
      <c r="T120" s="80">
        <v>51.73</v>
      </c>
    </row>
    <row r="121" spans="2:20" ht="28">
      <c r="B121" s="5" t="s">
        <v>367</v>
      </c>
      <c r="C121" s="45" t="s">
        <v>165</v>
      </c>
      <c r="D121" s="45" t="s">
        <v>368</v>
      </c>
      <c r="E121" s="6" t="s">
        <v>369</v>
      </c>
      <c r="F121" s="45" t="s">
        <v>182</v>
      </c>
      <c r="G121" s="46">
        <f t="shared" si="14"/>
        <v>5</v>
      </c>
      <c r="H121" s="46">
        <f>TRUNC(S121*(1-LOTE_03!$K$10),2)</f>
        <v>0</v>
      </c>
      <c r="I121" s="46">
        <f>TRUNC(T121*(1-LOTE_03!$K$10),2)</f>
        <v>5.82</v>
      </c>
      <c r="J121" s="100">
        <f t="shared" si="8"/>
        <v>0.22470000000000001</v>
      </c>
      <c r="K121" s="48">
        <f t="shared" si="9"/>
        <v>0</v>
      </c>
      <c r="L121" s="48">
        <f t="shared" si="10"/>
        <v>7.12</v>
      </c>
      <c r="M121" s="48">
        <f t="shared" si="11"/>
        <v>0</v>
      </c>
      <c r="N121" s="48">
        <f t="shared" si="12"/>
        <v>35.6</v>
      </c>
      <c r="O121" s="50">
        <f t="shared" si="13"/>
        <v>35.6</v>
      </c>
      <c r="P121" s="50">
        <v>0</v>
      </c>
      <c r="Q121" s="76"/>
      <c r="R121" s="140">
        <f>IF((1*S10)&gt;5,5,1)</f>
        <v>5</v>
      </c>
      <c r="S121" s="79">
        <v>0</v>
      </c>
      <c r="T121" s="80">
        <v>5.82</v>
      </c>
    </row>
    <row r="122" spans="2:20" ht="28">
      <c r="B122" s="5" t="s">
        <v>370</v>
      </c>
      <c r="C122" s="45" t="s">
        <v>165</v>
      </c>
      <c r="D122" s="45" t="s">
        <v>371</v>
      </c>
      <c r="E122" s="6" t="s">
        <v>372</v>
      </c>
      <c r="F122" s="45" t="s">
        <v>182</v>
      </c>
      <c r="G122" s="46">
        <f t="shared" si="14"/>
        <v>5</v>
      </c>
      <c r="H122" s="46">
        <f>TRUNC(S122*(1-LOTE_03!$K$10),2)</f>
        <v>0</v>
      </c>
      <c r="I122" s="46">
        <f>TRUNC(T122*(1-LOTE_03!$K$10),2)</f>
        <v>52.13</v>
      </c>
      <c r="J122" s="100">
        <f t="shared" si="8"/>
        <v>0.22470000000000001</v>
      </c>
      <c r="K122" s="48">
        <f t="shared" si="9"/>
        <v>0</v>
      </c>
      <c r="L122" s="48">
        <f t="shared" si="10"/>
        <v>63.84</v>
      </c>
      <c r="M122" s="48">
        <f t="shared" si="11"/>
        <v>0</v>
      </c>
      <c r="N122" s="48">
        <f t="shared" si="12"/>
        <v>319.2</v>
      </c>
      <c r="O122" s="50">
        <f t="shared" si="13"/>
        <v>319.2</v>
      </c>
      <c r="P122" s="50">
        <v>0</v>
      </c>
      <c r="Q122" s="76"/>
      <c r="R122" s="140">
        <f>IF((1*S10)&gt;5,5,1)</f>
        <v>5</v>
      </c>
      <c r="S122" s="79">
        <v>0</v>
      </c>
      <c r="T122" s="80">
        <v>52.13</v>
      </c>
    </row>
    <row r="123" spans="2:20" ht="28">
      <c r="B123" s="5" t="s">
        <v>373</v>
      </c>
      <c r="C123" s="45" t="s">
        <v>165</v>
      </c>
      <c r="D123" s="45" t="s">
        <v>374</v>
      </c>
      <c r="E123" s="6" t="s">
        <v>375</v>
      </c>
      <c r="F123" s="45" t="s">
        <v>168</v>
      </c>
      <c r="G123" s="46">
        <f t="shared" si="14"/>
        <v>5</v>
      </c>
      <c r="H123" s="46">
        <f>TRUNC(S123*(1-LOTE_03!$K$10),2)</f>
        <v>0</v>
      </c>
      <c r="I123" s="46">
        <f>TRUNC(T123*(1-LOTE_03!$K$10),2)</f>
        <v>19.399999999999999</v>
      </c>
      <c r="J123" s="100">
        <f t="shared" si="8"/>
        <v>0.22470000000000001</v>
      </c>
      <c r="K123" s="48">
        <f t="shared" si="9"/>
        <v>0</v>
      </c>
      <c r="L123" s="48">
        <f t="shared" si="10"/>
        <v>23.75</v>
      </c>
      <c r="M123" s="48">
        <f t="shared" si="11"/>
        <v>0</v>
      </c>
      <c r="N123" s="48">
        <f t="shared" si="12"/>
        <v>118.75</v>
      </c>
      <c r="O123" s="50">
        <f t="shared" si="13"/>
        <v>118.75</v>
      </c>
      <c r="P123" s="50">
        <v>0</v>
      </c>
      <c r="Q123" s="76"/>
      <c r="R123" s="140">
        <f>IF((1*S10)&gt;5,5,1)</f>
        <v>5</v>
      </c>
      <c r="S123" s="79">
        <v>0</v>
      </c>
      <c r="T123" s="80">
        <v>19.399999999999999</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32270.149999999998</v>
      </c>
      <c r="Q124" s="76"/>
      <c r="R124" s="154"/>
      <c r="S124" s="79" t="s">
        <v>22</v>
      </c>
      <c r="T124" s="80" t="s">
        <v>22</v>
      </c>
    </row>
    <row r="125" spans="2:20" ht="70">
      <c r="B125" s="5" t="s">
        <v>376</v>
      </c>
      <c r="C125" s="45" t="s">
        <v>135</v>
      </c>
      <c r="D125" s="45">
        <v>94962</v>
      </c>
      <c r="E125" s="6" t="s">
        <v>377</v>
      </c>
      <c r="F125" s="45" t="s">
        <v>161</v>
      </c>
      <c r="G125" s="46">
        <f t="shared" ref="G125:G131" si="15">IF($S$11=0,0,TRUNC(R125,2))</f>
        <v>5</v>
      </c>
      <c r="H125" s="46">
        <f>TRUNC(S125*(1-LOTE_03!$K$10),2)</f>
        <v>442.97</v>
      </c>
      <c r="I125" s="46">
        <f>TRUNC(T125*(1-LOTE_03!$K$10),2)</f>
        <v>64.09</v>
      </c>
      <c r="J125" s="100">
        <f t="shared" si="8"/>
        <v>0.22470000000000001</v>
      </c>
      <c r="K125" s="48">
        <f t="shared" si="9"/>
        <v>542.5</v>
      </c>
      <c r="L125" s="48">
        <f t="shared" si="10"/>
        <v>78.489999999999995</v>
      </c>
      <c r="M125" s="48">
        <f t="shared" si="11"/>
        <v>2712.5</v>
      </c>
      <c r="N125" s="48">
        <f t="shared" si="12"/>
        <v>392.45</v>
      </c>
      <c r="O125" s="50">
        <f t="shared" si="13"/>
        <v>3104.95</v>
      </c>
      <c r="P125" s="50">
        <v>0</v>
      </c>
      <c r="Q125" s="76"/>
      <c r="R125" s="140">
        <f>IF((1*S10)&gt;5,5,1)</f>
        <v>5</v>
      </c>
      <c r="S125" s="79">
        <v>442.97</v>
      </c>
      <c r="T125" s="80">
        <v>64.09</v>
      </c>
    </row>
    <row r="126" spans="2:20" ht="56">
      <c r="B126" s="5" t="s">
        <v>378</v>
      </c>
      <c r="C126" s="45" t="s">
        <v>135</v>
      </c>
      <c r="D126" s="45">
        <v>94963</v>
      </c>
      <c r="E126" s="6" t="s">
        <v>379</v>
      </c>
      <c r="F126" s="45" t="s">
        <v>161</v>
      </c>
      <c r="G126" s="46">
        <f t="shared" si="15"/>
        <v>5</v>
      </c>
      <c r="H126" s="46">
        <f>TRUNC(S126*(1-LOTE_03!$K$10),2)</f>
        <v>499.64</v>
      </c>
      <c r="I126" s="46">
        <f>TRUNC(T126*(1-LOTE_03!$K$10),2)</f>
        <v>63.65</v>
      </c>
      <c r="J126" s="100">
        <f t="shared" si="8"/>
        <v>0.22470000000000001</v>
      </c>
      <c r="K126" s="48">
        <f t="shared" si="9"/>
        <v>611.9</v>
      </c>
      <c r="L126" s="48">
        <f t="shared" si="10"/>
        <v>77.95</v>
      </c>
      <c r="M126" s="48">
        <f t="shared" si="11"/>
        <v>3059.5</v>
      </c>
      <c r="N126" s="48">
        <f t="shared" si="12"/>
        <v>389.75</v>
      </c>
      <c r="O126" s="50">
        <f t="shared" si="13"/>
        <v>3449.25</v>
      </c>
      <c r="P126" s="50">
        <v>0</v>
      </c>
      <c r="Q126" s="76"/>
      <c r="R126" s="140">
        <f>IF((1*S10)&gt;5,5,1)</f>
        <v>5</v>
      </c>
      <c r="S126" s="79">
        <v>499.64</v>
      </c>
      <c r="T126" s="80">
        <v>63.65</v>
      </c>
    </row>
    <row r="127" spans="2:20" ht="56">
      <c r="B127" s="5" t="s">
        <v>380</v>
      </c>
      <c r="C127" s="45" t="s">
        <v>135</v>
      </c>
      <c r="D127" s="45">
        <v>94964</v>
      </c>
      <c r="E127" s="6" t="s">
        <v>381</v>
      </c>
      <c r="F127" s="45" t="s">
        <v>161</v>
      </c>
      <c r="G127" s="46">
        <f t="shared" si="15"/>
        <v>5</v>
      </c>
      <c r="H127" s="46">
        <f>TRUNC(S127*(1-LOTE_03!$K$10),2)</f>
        <v>545.27</v>
      </c>
      <c r="I127" s="46">
        <f>TRUNC(T127*(1-LOTE_03!$K$10),2)</f>
        <v>69.39</v>
      </c>
      <c r="J127" s="100">
        <f t="shared" si="8"/>
        <v>0.22470000000000001</v>
      </c>
      <c r="K127" s="48">
        <f t="shared" si="9"/>
        <v>667.79</v>
      </c>
      <c r="L127" s="48">
        <f t="shared" si="10"/>
        <v>84.98</v>
      </c>
      <c r="M127" s="48">
        <f t="shared" si="11"/>
        <v>3338.95</v>
      </c>
      <c r="N127" s="48">
        <f t="shared" si="12"/>
        <v>424.9</v>
      </c>
      <c r="O127" s="50">
        <f t="shared" si="13"/>
        <v>3763.85</v>
      </c>
      <c r="P127" s="50">
        <v>0</v>
      </c>
      <c r="Q127" s="76"/>
      <c r="R127" s="140">
        <f>IF((1*S10)&gt;5,5,1)</f>
        <v>5</v>
      </c>
      <c r="S127" s="79">
        <v>545.27</v>
      </c>
      <c r="T127" s="80">
        <v>69.39</v>
      </c>
    </row>
    <row r="128" spans="2:20" ht="56">
      <c r="B128" s="5" t="s">
        <v>382</v>
      </c>
      <c r="C128" s="45" t="s">
        <v>135</v>
      </c>
      <c r="D128" s="45">
        <v>94965</v>
      </c>
      <c r="E128" s="6" t="s">
        <v>383</v>
      </c>
      <c r="F128" s="45" t="s">
        <v>161</v>
      </c>
      <c r="G128" s="46">
        <f t="shared" si="15"/>
        <v>5</v>
      </c>
      <c r="H128" s="46">
        <f>TRUNC(S128*(1-LOTE_03!$K$10),2)</f>
        <v>578.08000000000004</v>
      </c>
      <c r="I128" s="46">
        <f>TRUNC(T128*(1-LOTE_03!$K$10),2)</f>
        <v>63.37</v>
      </c>
      <c r="J128" s="100">
        <f t="shared" si="8"/>
        <v>0.22470000000000001</v>
      </c>
      <c r="K128" s="48">
        <f t="shared" si="9"/>
        <v>707.97</v>
      </c>
      <c r="L128" s="48">
        <f t="shared" si="10"/>
        <v>77.599999999999994</v>
      </c>
      <c r="M128" s="48">
        <f t="shared" si="11"/>
        <v>3539.85</v>
      </c>
      <c r="N128" s="48">
        <f t="shared" si="12"/>
        <v>388</v>
      </c>
      <c r="O128" s="50">
        <f t="shared" si="13"/>
        <v>3927.85</v>
      </c>
      <c r="P128" s="50">
        <v>0</v>
      </c>
      <c r="Q128" s="76"/>
      <c r="R128" s="140">
        <f>IF((1*S10)&gt;5,5,1)</f>
        <v>5</v>
      </c>
      <c r="S128" s="79">
        <v>578.08000000000004</v>
      </c>
      <c r="T128" s="80">
        <v>63.37</v>
      </c>
    </row>
    <row r="129" spans="2:20" ht="42">
      <c r="B129" s="5" t="s">
        <v>384</v>
      </c>
      <c r="C129" s="45" t="s">
        <v>135</v>
      </c>
      <c r="D129" s="45">
        <v>102487</v>
      </c>
      <c r="E129" s="6" t="s">
        <v>385</v>
      </c>
      <c r="F129" s="45" t="s">
        <v>161</v>
      </c>
      <c r="G129" s="46">
        <f t="shared" si="15"/>
        <v>5</v>
      </c>
      <c r="H129" s="46">
        <f>TRUNC(S129*(1-LOTE_03!$K$10),2)</f>
        <v>528.36</v>
      </c>
      <c r="I129" s="46">
        <f>TRUNC(T129*(1-LOTE_03!$K$10),2)</f>
        <v>194.52</v>
      </c>
      <c r="J129" s="100">
        <f t="shared" si="8"/>
        <v>0.22470000000000001</v>
      </c>
      <c r="K129" s="48">
        <f t="shared" si="9"/>
        <v>647.08000000000004</v>
      </c>
      <c r="L129" s="48">
        <f t="shared" si="10"/>
        <v>238.22</v>
      </c>
      <c r="M129" s="48">
        <f t="shared" si="11"/>
        <v>3235.4</v>
      </c>
      <c r="N129" s="48">
        <f t="shared" si="12"/>
        <v>1191.0999999999999</v>
      </c>
      <c r="O129" s="50">
        <f t="shared" si="13"/>
        <v>4426.5</v>
      </c>
      <c r="P129" s="50">
        <v>0</v>
      </c>
      <c r="Q129" s="76"/>
      <c r="R129" s="140">
        <f>IF((1*S10)&gt;5,5,1)</f>
        <v>5</v>
      </c>
      <c r="S129" s="79">
        <v>528.36</v>
      </c>
      <c r="T129" s="80">
        <v>194.52</v>
      </c>
    </row>
    <row r="130" spans="2:20" ht="28">
      <c r="B130" s="5" t="s">
        <v>386</v>
      </c>
      <c r="C130" s="45" t="s">
        <v>165</v>
      </c>
      <c r="D130" s="45" t="s">
        <v>387</v>
      </c>
      <c r="E130" s="6" t="s">
        <v>388</v>
      </c>
      <c r="F130" s="45" t="s">
        <v>168</v>
      </c>
      <c r="G130" s="46">
        <f t="shared" si="15"/>
        <v>20</v>
      </c>
      <c r="H130" s="46">
        <f>TRUNC(S130*(1-LOTE_03!$K$10),2)</f>
        <v>140.03</v>
      </c>
      <c r="I130" s="46">
        <f>TRUNC(T130*(1-LOTE_03!$K$10),2)</f>
        <v>75.489999999999995</v>
      </c>
      <c r="J130" s="100">
        <f t="shared" si="8"/>
        <v>0.22470000000000001</v>
      </c>
      <c r="K130" s="48">
        <f t="shared" si="9"/>
        <v>171.49</v>
      </c>
      <c r="L130" s="48">
        <f t="shared" si="10"/>
        <v>92.45</v>
      </c>
      <c r="M130" s="48">
        <f t="shared" si="11"/>
        <v>3429.8</v>
      </c>
      <c r="N130" s="48">
        <f t="shared" si="12"/>
        <v>1849</v>
      </c>
      <c r="O130" s="50">
        <f t="shared" si="13"/>
        <v>5278.8</v>
      </c>
      <c r="P130" s="50">
        <v>0</v>
      </c>
      <c r="Q130" s="76"/>
      <c r="R130" s="140">
        <f>IF((5*S10)&gt;20,20,5)</f>
        <v>20</v>
      </c>
      <c r="S130" s="79">
        <v>140.03</v>
      </c>
      <c r="T130" s="80">
        <v>75.489999999999995</v>
      </c>
    </row>
    <row r="131" spans="2:20" ht="42">
      <c r="B131" s="5" t="s">
        <v>389</v>
      </c>
      <c r="C131" s="45" t="s">
        <v>135</v>
      </c>
      <c r="D131" s="45">
        <v>103670</v>
      </c>
      <c r="E131" s="6" t="s">
        <v>390</v>
      </c>
      <c r="F131" s="45" t="s">
        <v>161</v>
      </c>
      <c r="G131" s="46">
        <f t="shared" si="15"/>
        <v>5</v>
      </c>
      <c r="H131" s="46">
        <f>TRUNC(S131*(1-LOTE_03!$K$10),2)</f>
        <v>90.19</v>
      </c>
      <c r="I131" s="46">
        <f>TRUNC(T131*(1-LOTE_03!$K$10),2)</f>
        <v>225.13</v>
      </c>
      <c r="J131" s="100">
        <f t="shared" si="8"/>
        <v>0.22470000000000001</v>
      </c>
      <c r="K131" s="48">
        <f t="shared" si="9"/>
        <v>110.45</v>
      </c>
      <c r="L131" s="48">
        <f t="shared" si="10"/>
        <v>275.70999999999998</v>
      </c>
      <c r="M131" s="48">
        <f t="shared" si="11"/>
        <v>552.25</v>
      </c>
      <c r="N131" s="48">
        <f t="shared" si="12"/>
        <v>1378.55</v>
      </c>
      <c r="O131" s="50">
        <f t="shared" si="13"/>
        <v>1930.8</v>
      </c>
      <c r="P131" s="50">
        <v>0</v>
      </c>
      <c r="Q131" s="76"/>
      <c r="R131" s="140">
        <f>IF((1*S10)&gt;5,5,1)</f>
        <v>5</v>
      </c>
      <c r="S131" s="79">
        <v>90.19</v>
      </c>
      <c r="T131" s="80">
        <v>225.13</v>
      </c>
    </row>
    <row r="132" spans="2:20" ht="56">
      <c r="B132" s="5" t="s">
        <v>391</v>
      </c>
      <c r="C132" s="45" t="s">
        <v>135</v>
      </c>
      <c r="D132" s="45">
        <v>95240</v>
      </c>
      <c r="E132" s="6" t="s">
        <v>392</v>
      </c>
      <c r="F132" s="45" t="s">
        <v>121</v>
      </c>
      <c r="G132" s="46">
        <f t="shared" si="7"/>
        <v>20</v>
      </c>
      <c r="H132" s="46">
        <f>TRUNC(S132*(1-LOTE_03!$K$10),2)</f>
        <v>16.48</v>
      </c>
      <c r="I132" s="46">
        <f>TRUNC(T132*(1-LOTE_03!$K$10),2)</f>
        <v>6.37</v>
      </c>
      <c r="J132" s="100">
        <f t="shared" si="8"/>
        <v>0.22470000000000001</v>
      </c>
      <c r="K132" s="48">
        <f t="shared" si="9"/>
        <v>20.18</v>
      </c>
      <c r="L132" s="48">
        <f t="shared" si="10"/>
        <v>7.8</v>
      </c>
      <c r="M132" s="48">
        <f t="shared" si="11"/>
        <v>403.6</v>
      </c>
      <c r="N132" s="48">
        <f t="shared" si="12"/>
        <v>156</v>
      </c>
      <c r="O132" s="50">
        <f t="shared" si="13"/>
        <v>559.6</v>
      </c>
      <c r="P132" s="50">
        <v>0</v>
      </c>
      <c r="Q132" s="76"/>
      <c r="R132" s="140">
        <f>IF((S9+2*S10)&gt;20,20,(S9+2*S10))</f>
        <v>20</v>
      </c>
      <c r="S132" s="79">
        <v>16.48</v>
      </c>
      <c r="T132" s="80">
        <v>6.37</v>
      </c>
    </row>
    <row r="133" spans="2:20" ht="28">
      <c r="B133" s="5" t="s">
        <v>393</v>
      </c>
      <c r="C133" s="45" t="s">
        <v>97</v>
      </c>
      <c r="D133" s="45" t="s">
        <v>394</v>
      </c>
      <c r="E133" s="6" t="s">
        <v>395</v>
      </c>
      <c r="F133" s="45" t="s">
        <v>161</v>
      </c>
      <c r="G133" s="46">
        <f>IF($S$11=0,0,TRUNC(R133,2))</f>
        <v>5</v>
      </c>
      <c r="H133" s="46">
        <f>TRUNC(S133*(1-LOTE_03!$K$10),2)</f>
        <v>651.72</v>
      </c>
      <c r="I133" s="46">
        <f>TRUNC(T133*(1-LOTE_03!$K$10),2)</f>
        <v>300.12</v>
      </c>
      <c r="J133" s="100">
        <f t="shared" si="8"/>
        <v>0.22470000000000001</v>
      </c>
      <c r="K133" s="48">
        <f t="shared" si="9"/>
        <v>798.16</v>
      </c>
      <c r="L133" s="48">
        <f t="shared" si="10"/>
        <v>367.55</v>
      </c>
      <c r="M133" s="48">
        <f t="shared" si="11"/>
        <v>3990.8</v>
      </c>
      <c r="N133" s="48">
        <f t="shared" si="12"/>
        <v>1837.75</v>
      </c>
      <c r="O133" s="50">
        <f t="shared" si="13"/>
        <v>5828.55</v>
      </c>
      <c r="P133" s="50">
        <v>0</v>
      </c>
      <c r="Q133" s="76"/>
      <c r="R133" s="140">
        <f>IF((1*S10)&gt;5,5,1)</f>
        <v>5</v>
      </c>
      <c r="S133" s="79">
        <v>651.72</v>
      </c>
      <c r="T133" s="80">
        <v>300.12</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167212.69999999998</v>
      </c>
      <c r="Q134" s="76"/>
      <c r="R134" s="154"/>
      <c r="S134" s="79" t="s">
        <v>22</v>
      </c>
      <c r="T134" s="80" t="s">
        <v>22</v>
      </c>
    </row>
    <row r="135" spans="2:20" ht="28">
      <c r="B135" s="5" t="s">
        <v>396</v>
      </c>
      <c r="C135" s="45" t="s">
        <v>135</v>
      </c>
      <c r="D135" s="45">
        <v>96543</v>
      </c>
      <c r="E135" s="6" t="s">
        <v>397</v>
      </c>
      <c r="F135" s="45" t="s">
        <v>398</v>
      </c>
      <c r="G135" s="46">
        <f t="shared" ref="G135:G149" si="16">IF($S$11=0,0,TRUNC(R135,2))</f>
        <v>200</v>
      </c>
      <c r="H135" s="46">
        <f>TRUNC(S135*(1-LOTE_03!$K$10),2)</f>
        <v>10.97</v>
      </c>
      <c r="I135" s="46">
        <f>TRUNC(T135*(1-LOTE_03!$K$10),2)</f>
        <v>8.73</v>
      </c>
      <c r="J135" s="100">
        <f t="shared" si="8"/>
        <v>0.22470000000000001</v>
      </c>
      <c r="K135" s="48">
        <f t="shared" si="9"/>
        <v>13.43</v>
      </c>
      <c r="L135" s="48">
        <f t="shared" si="10"/>
        <v>10.69</v>
      </c>
      <c r="M135" s="48">
        <f t="shared" si="11"/>
        <v>2686</v>
      </c>
      <c r="N135" s="48">
        <f t="shared" si="12"/>
        <v>2138</v>
      </c>
      <c r="O135" s="50">
        <f t="shared" si="13"/>
        <v>4824</v>
      </c>
      <c r="P135" s="50">
        <v>0</v>
      </c>
      <c r="Q135" s="76"/>
      <c r="R135" s="140">
        <f>IF(20*S10&gt;=80,200,50)</f>
        <v>200</v>
      </c>
      <c r="S135" s="79">
        <v>10.969999999999999</v>
      </c>
      <c r="T135" s="80">
        <v>8.73</v>
      </c>
    </row>
    <row r="136" spans="2:20" ht="42">
      <c r="B136" s="5" t="s">
        <v>399</v>
      </c>
      <c r="C136" s="45" t="s">
        <v>165</v>
      </c>
      <c r="D136" s="45" t="s">
        <v>400</v>
      </c>
      <c r="E136" s="6" t="s">
        <v>401</v>
      </c>
      <c r="F136" s="45" t="s">
        <v>402</v>
      </c>
      <c r="G136" s="46">
        <f t="shared" si="16"/>
        <v>200</v>
      </c>
      <c r="H136" s="46">
        <f>TRUNC(S136*(1-LOTE_03!$K$10),2)</f>
        <v>9.92</v>
      </c>
      <c r="I136" s="46">
        <f>TRUNC(T136*(1-LOTE_03!$K$10),2)</f>
        <v>4.75</v>
      </c>
      <c r="J136" s="100">
        <f t="shared" si="8"/>
        <v>0.22470000000000001</v>
      </c>
      <c r="K136" s="48">
        <f t="shared" si="9"/>
        <v>12.14</v>
      </c>
      <c r="L136" s="48">
        <f t="shared" si="10"/>
        <v>5.81</v>
      </c>
      <c r="M136" s="48">
        <f t="shared" si="11"/>
        <v>2428</v>
      </c>
      <c r="N136" s="48">
        <f t="shared" si="12"/>
        <v>1162</v>
      </c>
      <c r="O136" s="50">
        <f t="shared" si="13"/>
        <v>3590</v>
      </c>
      <c r="P136" s="50">
        <v>0</v>
      </c>
      <c r="Q136" s="76"/>
      <c r="R136" s="140">
        <f>IF(20*S10&gt;=80,200,50)</f>
        <v>200</v>
      </c>
      <c r="S136" s="79">
        <v>9.92</v>
      </c>
      <c r="T136" s="80">
        <v>4.75</v>
      </c>
    </row>
    <row r="137" spans="2:20" ht="42">
      <c r="B137" s="5" t="s">
        <v>403</v>
      </c>
      <c r="C137" s="45" t="s">
        <v>165</v>
      </c>
      <c r="D137" s="45" t="s">
        <v>404</v>
      </c>
      <c r="E137" s="6" t="s">
        <v>405</v>
      </c>
      <c r="F137" s="45" t="s">
        <v>402</v>
      </c>
      <c r="G137" s="46">
        <f t="shared" si="16"/>
        <v>200</v>
      </c>
      <c r="H137" s="46">
        <f>TRUNC(S137*(1-LOTE_03!$K$10),2)</f>
        <v>20.46</v>
      </c>
      <c r="I137" s="46">
        <f>TRUNC(T137*(1-LOTE_03!$K$10),2)</f>
        <v>4.75</v>
      </c>
      <c r="J137" s="100">
        <f t="shared" si="8"/>
        <v>0.22470000000000001</v>
      </c>
      <c r="K137" s="48">
        <f t="shared" si="9"/>
        <v>25.05</v>
      </c>
      <c r="L137" s="48">
        <f t="shared" si="10"/>
        <v>5.81</v>
      </c>
      <c r="M137" s="48">
        <f t="shared" si="11"/>
        <v>5010</v>
      </c>
      <c r="N137" s="48">
        <f t="shared" si="12"/>
        <v>1162</v>
      </c>
      <c r="O137" s="50">
        <f t="shared" si="13"/>
        <v>6172</v>
      </c>
      <c r="P137" s="50">
        <v>0</v>
      </c>
      <c r="Q137" s="76"/>
      <c r="R137" s="140">
        <f>IF(20*S10&gt;=80,200,50)</f>
        <v>200</v>
      </c>
      <c r="S137" s="79">
        <v>20.46</v>
      </c>
      <c r="T137" s="80">
        <v>4.75</v>
      </c>
    </row>
    <row r="138" spans="2:20" ht="42">
      <c r="B138" s="5" t="s">
        <v>406</v>
      </c>
      <c r="C138" s="45" t="s">
        <v>165</v>
      </c>
      <c r="D138" s="45" t="s">
        <v>407</v>
      </c>
      <c r="E138" s="6" t="s">
        <v>408</v>
      </c>
      <c r="F138" s="45" t="s">
        <v>402</v>
      </c>
      <c r="G138" s="46">
        <f t="shared" si="16"/>
        <v>200</v>
      </c>
      <c r="H138" s="46">
        <f>TRUNC(S138*(1-LOTE_03!$K$10),2)</f>
        <v>27.74</v>
      </c>
      <c r="I138" s="46">
        <f>TRUNC(T138*(1-LOTE_03!$K$10),2)</f>
        <v>2.97</v>
      </c>
      <c r="J138" s="100">
        <f t="shared" si="8"/>
        <v>0.22470000000000001</v>
      </c>
      <c r="K138" s="48">
        <f t="shared" si="9"/>
        <v>33.97</v>
      </c>
      <c r="L138" s="48">
        <f t="shared" si="10"/>
        <v>3.63</v>
      </c>
      <c r="M138" s="48">
        <f t="shared" si="11"/>
        <v>6794</v>
      </c>
      <c r="N138" s="48">
        <f t="shared" si="12"/>
        <v>726</v>
      </c>
      <c r="O138" s="50">
        <f t="shared" si="13"/>
        <v>7520</v>
      </c>
      <c r="P138" s="50">
        <v>0</v>
      </c>
      <c r="Q138" s="76"/>
      <c r="R138" s="140">
        <f>IF(20*S10&gt;=80,200,50)</f>
        <v>200</v>
      </c>
      <c r="S138" s="79">
        <v>27.74</v>
      </c>
      <c r="T138" s="80">
        <v>2.97</v>
      </c>
    </row>
    <row r="139" spans="2:20" ht="28">
      <c r="B139" s="5" t="s">
        <v>409</v>
      </c>
      <c r="C139" s="45" t="s">
        <v>165</v>
      </c>
      <c r="D139" s="45" t="s">
        <v>410</v>
      </c>
      <c r="E139" s="6" t="s">
        <v>411</v>
      </c>
      <c r="F139" s="45" t="s">
        <v>168</v>
      </c>
      <c r="G139" s="46">
        <f t="shared" si="16"/>
        <v>100</v>
      </c>
      <c r="H139" s="46">
        <f>TRUNC(S139*(1-LOTE_03!$K$10),2)</f>
        <v>60.78</v>
      </c>
      <c r="I139" s="46">
        <f>TRUNC(T139*(1-LOTE_03!$K$10),2)</f>
        <v>2.2599999999999998</v>
      </c>
      <c r="J139" s="100">
        <f t="shared" si="8"/>
        <v>0.22470000000000001</v>
      </c>
      <c r="K139" s="48">
        <f t="shared" si="9"/>
        <v>74.430000000000007</v>
      </c>
      <c r="L139" s="48">
        <f t="shared" si="10"/>
        <v>2.76</v>
      </c>
      <c r="M139" s="48">
        <f t="shared" si="11"/>
        <v>7443</v>
      </c>
      <c r="N139" s="48">
        <f t="shared" si="12"/>
        <v>276</v>
      </c>
      <c r="O139" s="50">
        <f t="shared" si="13"/>
        <v>7719</v>
      </c>
      <c r="P139" s="50">
        <v>0</v>
      </c>
      <c r="Q139" s="76"/>
      <c r="R139" s="140">
        <f>IF(20*S10&gt;=50,100,50)</f>
        <v>100</v>
      </c>
      <c r="S139" s="79">
        <v>60.78</v>
      </c>
      <c r="T139" s="80">
        <v>2.2599999999999998</v>
      </c>
    </row>
    <row r="140" spans="2:20" ht="70">
      <c r="B140" s="5" t="s">
        <v>412</v>
      </c>
      <c r="C140" s="45" t="s">
        <v>135</v>
      </c>
      <c r="D140" s="45">
        <v>102475</v>
      </c>
      <c r="E140" s="6" t="s">
        <v>413</v>
      </c>
      <c r="F140" s="45" t="s">
        <v>161</v>
      </c>
      <c r="G140" s="46">
        <f t="shared" si="16"/>
        <v>5</v>
      </c>
      <c r="H140" s="46">
        <f>TRUNC(S140*(1-LOTE_03!$K$10),2)</f>
        <v>531.95000000000005</v>
      </c>
      <c r="I140" s="46">
        <f>TRUNC(T140*(1-LOTE_03!$K$10),2)</f>
        <v>71.44</v>
      </c>
      <c r="J140" s="100">
        <f t="shared" si="8"/>
        <v>0.22470000000000001</v>
      </c>
      <c r="K140" s="48">
        <f t="shared" si="9"/>
        <v>651.47</v>
      </c>
      <c r="L140" s="48">
        <f t="shared" si="10"/>
        <v>87.49</v>
      </c>
      <c r="M140" s="48">
        <f t="shared" si="11"/>
        <v>3257.35</v>
      </c>
      <c r="N140" s="48">
        <f t="shared" si="12"/>
        <v>437.45</v>
      </c>
      <c r="O140" s="50">
        <f t="shared" si="13"/>
        <v>3694.8</v>
      </c>
      <c r="P140" s="50">
        <v>0</v>
      </c>
      <c r="Q140" s="76"/>
      <c r="R140" s="140">
        <f>IF(S10&gt;5,5,1)</f>
        <v>5</v>
      </c>
      <c r="S140" s="79">
        <v>531.95000000000005</v>
      </c>
      <c r="T140" s="80">
        <v>71.44</v>
      </c>
    </row>
    <row r="141" spans="2:20" ht="42">
      <c r="B141" s="5" t="s">
        <v>414</v>
      </c>
      <c r="C141" s="45" t="s">
        <v>165</v>
      </c>
      <c r="D141" s="45" t="s">
        <v>415</v>
      </c>
      <c r="E141" s="6" t="s">
        <v>416</v>
      </c>
      <c r="F141" s="45" t="s">
        <v>168</v>
      </c>
      <c r="G141" s="46">
        <f t="shared" si="16"/>
        <v>10</v>
      </c>
      <c r="H141" s="46">
        <f>TRUNC(S141*(1-LOTE_03!$K$10),2)</f>
        <v>135.54</v>
      </c>
      <c r="I141" s="46">
        <f>TRUNC(T141*(1-LOTE_03!$K$10),2)</f>
        <v>7.54</v>
      </c>
      <c r="J141" s="100">
        <f t="shared" si="8"/>
        <v>0.22470000000000001</v>
      </c>
      <c r="K141" s="48">
        <f t="shared" si="9"/>
        <v>165.99</v>
      </c>
      <c r="L141" s="48">
        <f t="shared" si="10"/>
        <v>9.23</v>
      </c>
      <c r="M141" s="48">
        <f t="shared" si="11"/>
        <v>1659.9</v>
      </c>
      <c r="N141" s="48">
        <f t="shared" si="12"/>
        <v>92.3</v>
      </c>
      <c r="O141" s="50">
        <f t="shared" si="13"/>
        <v>1752.2</v>
      </c>
      <c r="P141" s="50">
        <v>0</v>
      </c>
      <c r="Q141" s="76"/>
      <c r="R141" s="140">
        <f>IF(S10*10&gt;100,100,10)</f>
        <v>10</v>
      </c>
      <c r="S141" s="79">
        <v>135.54</v>
      </c>
      <c r="T141" s="80">
        <v>7.54</v>
      </c>
    </row>
    <row r="142" spans="2:20" ht="56">
      <c r="B142" s="5" t="s">
        <v>417</v>
      </c>
      <c r="C142" s="45" t="s">
        <v>135</v>
      </c>
      <c r="D142" s="45">
        <v>94969</v>
      </c>
      <c r="E142" s="6" t="s">
        <v>418</v>
      </c>
      <c r="F142" s="45" t="s">
        <v>161</v>
      </c>
      <c r="G142" s="46">
        <f t="shared" si="16"/>
        <v>10</v>
      </c>
      <c r="H142" s="46">
        <f>TRUNC(S142*(1-LOTE_03!$K$10),2)</f>
        <v>501.73</v>
      </c>
      <c r="I142" s="46">
        <f>TRUNC(T142*(1-LOTE_03!$K$10),2)</f>
        <v>55.49</v>
      </c>
      <c r="J142" s="100">
        <f t="shared" si="8"/>
        <v>0.22470000000000001</v>
      </c>
      <c r="K142" s="48">
        <f t="shared" si="9"/>
        <v>614.46</v>
      </c>
      <c r="L142" s="48">
        <f t="shared" si="10"/>
        <v>67.95</v>
      </c>
      <c r="M142" s="48">
        <f t="shared" si="11"/>
        <v>6144.6</v>
      </c>
      <c r="N142" s="48">
        <f t="shared" si="12"/>
        <v>679.5</v>
      </c>
      <c r="O142" s="50">
        <f t="shared" si="13"/>
        <v>6824.1</v>
      </c>
      <c r="P142" s="50">
        <v>0</v>
      </c>
      <c r="Q142" s="76"/>
      <c r="R142" s="140">
        <f>IF(S10&gt;5,10,1)</f>
        <v>10</v>
      </c>
      <c r="S142" s="79">
        <v>501.73</v>
      </c>
      <c r="T142" s="80">
        <v>55.49</v>
      </c>
    </row>
    <row r="143" spans="2:20" ht="56">
      <c r="B143" s="5" t="s">
        <v>419</v>
      </c>
      <c r="C143" s="45" t="s">
        <v>135</v>
      </c>
      <c r="D143" s="45">
        <v>92263</v>
      </c>
      <c r="E143" s="6" t="s">
        <v>420</v>
      </c>
      <c r="F143" s="45" t="s">
        <v>121</v>
      </c>
      <c r="G143" s="46">
        <f t="shared" si="16"/>
        <v>100</v>
      </c>
      <c r="H143" s="46">
        <f>TRUNC(S143*(1-LOTE_03!$K$10),2)</f>
        <v>144.55000000000001</v>
      </c>
      <c r="I143" s="46">
        <f>TRUNC(T143*(1-LOTE_03!$K$10),2)</f>
        <v>36.33</v>
      </c>
      <c r="J143" s="100">
        <f t="shared" si="8"/>
        <v>0.22470000000000001</v>
      </c>
      <c r="K143" s="48">
        <f t="shared" si="9"/>
        <v>177.03</v>
      </c>
      <c r="L143" s="48">
        <f t="shared" si="10"/>
        <v>44.49</v>
      </c>
      <c r="M143" s="48">
        <f t="shared" si="11"/>
        <v>17703</v>
      </c>
      <c r="N143" s="48">
        <f t="shared" si="12"/>
        <v>4449</v>
      </c>
      <c r="O143" s="50">
        <f t="shared" si="13"/>
        <v>22152</v>
      </c>
      <c r="P143" s="50">
        <v>0</v>
      </c>
      <c r="Q143" s="76"/>
      <c r="R143" s="140">
        <f>IF(S10&gt;5,100,20)</f>
        <v>100</v>
      </c>
      <c r="S143" s="79">
        <v>144.55000000000001</v>
      </c>
      <c r="T143" s="80">
        <v>36.33</v>
      </c>
    </row>
    <row r="144" spans="2:20" ht="70">
      <c r="B144" s="5" t="s">
        <v>421</v>
      </c>
      <c r="C144" s="45" t="s">
        <v>135</v>
      </c>
      <c r="D144" s="45">
        <v>92409</v>
      </c>
      <c r="E144" s="6" t="s">
        <v>422</v>
      </c>
      <c r="F144" s="45" t="s">
        <v>121</v>
      </c>
      <c r="G144" s="46">
        <f t="shared" si="16"/>
        <v>100</v>
      </c>
      <c r="H144" s="46">
        <f>TRUNC(S144*(1-LOTE_03!$K$10),2)</f>
        <v>163.04</v>
      </c>
      <c r="I144" s="46">
        <f>TRUNC(T144*(1-LOTE_03!$K$10),2)</f>
        <v>95.54</v>
      </c>
      <c r="J144" s="100">
        <f t="shared" si="8"/>
        <v>0.22470000000000001</v>
      </c>
      <c r="K144" s="48">
        <f t="shared" si="9"/>
        <v>199.67</v>
      </c>
      <c r="L144" s="48">
        <f t="shared" si="10"/>
        <v>117</v>
      </c>
      <c r="M144" s="48">
        <f t="shared" si="11"/>
        <v>19967</v>
      </c>
      <c r="N144" s="48">
        <f t="shared" si="12"/>
        <v>11700</v>
      </c>
      <c r="O144" s="50">
        <f t="shared" si="13"/>
        <v>31667</v>
      </c>
      <c r="P144" s="50">
        <v>0</v>
      </c>
      <c r="Q144" s="76"/>
      <c r="R144" s="140">
        <f>IF(S10&gt;5,100,20)</f>
        <v>100</v>
      </c>
      <c r="S144" s="79">
        <v>163.03999999999996</v>
      </c>
      <c r="T144" s="80">
        <v>95.54</v>
      </c>
    </row>
    <row r="145" spans="2:20" ht="56">
      <c r="B145" s="5" t="s">
        <v>423</v>
      </c>
      <c r="C145" s="45" t="s">
        <v>135</v>
      </c>
      <c r="D145" s="45">
        <v>92482</v>
      </c>
      <c r="E145" s="6" t="s">
        <v>424</v>
      </c>
      <c r="F145" s="45" t="s">
        <v>121</v>
      </c>
      <c r="G145" s="46">
        <f t="shared" si="16"/>
        <v>100</v>
      </c>
      <c r="H145" s="46">
        <f>TRUNC(S145*(1-LOTE_03!$K$10),2)</f>
        <v>237.98</v>
      </c>
      <c r="I145" s="46">
        <f>TRUNC(T145*(1-LOTE_03!$K$10),2)</f>
        <v>102.71</v>
      </c>
      <c r="J145" s="100">
        <f t="shared" ref="J145:J209" si="17">$J$4</f>
        <v>0.22470000000000001</v>
      </c>
      <c r="K145" s="48">
        <f t="shared" ref="K145:K207" si="18">TRUNC(H145*(1+J145),2)</f>
        <v>291.45</v>
      </c>
      <c r="L145" s="48">
        <f t="shared" ref="L145:L207" si="19">TRUNC(I145*(1+J145),2)</f>
        <v>125.78</v>
      </c>
      <c r="M145" s="48">
        <f t="shared" ref="M145:M207" si="20">TRUNC(K145*G145,2)</f>
        <v>29145</v>
      </c>
      <c r="N145" s="48">
        <f t="shared" ref="N145:N207" si="21">TRUNC(L145*G145,2)</f>
        <v>12578</v>
      </c>
      <c r="O145" s="50">
        <f t="shared" ref="O145:O207" si="22">TRUNC(M145+N145,2)</f>
        <v>41723</v>
      </c>
      <c r="P145" s="50">
        <v>0</v>
      </c>
      <c r="Q145" s="76"/>
      <c r="R145" s="140">
        <f>IF(S10&gt;5,100,20)</f>
        <v>100</v>
      </c>
      <c r="S145" s="79">
        <v>237.98000000000002</v>
      </c>
      <c r="T145" s="80">
        <v>102.71</v>
      </c>
    </row>
    <row r="146" spans="2:20" ht="70">
      <c r="B146" s="5" t="s">
        <v>425</v>
      </c>
      <c r="C146" s="45" t="s">
        <v>135</v>
      </c>
      <c r="D146" s="45">
        <v>101963</v>
      </c>
      <c r="E146" s="6" t="s">
        <v>426</v>
      </c>
      <c r="F146" s="45" t="s">
        <v>121</v>
      </c>
      <c r="G146" s="46">
        <f t="shared" si="16"/>
        <v>100</v>
      </c>
      <c r="H146" s="46">
        <f>TRUNC(S146*(1-LOTE_03!$K$10),2)</f>
        <v>172.54</v>
      </c>
      <c r="I146" s="46">
        <f>TRUNC(T146*(1-LOTE_03!$K$10),2)</f>
        <v>27.08</v>
      </c>
      <c r="J146" s="100">
        <f t="shared" si="17"/>
        <v>0.22470000000000001</v>
      </c>
      <c r="K146" s="48">
        <f t="shared" si="18"/>
        <v>211.3</v>
      </c>
      <c r="L146" s="48">
        <f t="shared" si="19"/>
        <v>33.159999999999997</v>
      </c>
      <c r="M146" s="48">
        <f t="shared" si="20"/>
        <v>21130</v>
      </c>
      <c r="N146" s="48">
        <f t="shared" si="21"/>
        <v>3316</v>
      </c>
      <c r="O146" s="50">
        <f t="shared" si="22"/>
        <v>24446</v>
      </c>
      <c r="P146" s="50">
        <v>0</v>
      </c>
      <c r="Q146" s="76"/>
      <c r="R146" s="140">
        <f>IF(S10&gt;5,100,20)</f>
        <v>100</v>
      </c>
      <c r="S146" s="79">
        <v>172.54000000000002</v>
      </c>
      <c r="T146" s="80">
        <v>27.08</v>
      </c>
    </row>
    <row r="147" spans="2:20" ht="42">
      <c r="B147" s="5" t="s">
        <v>427</v>
      </c>
      <c r="C147" s="45" t="s">
        <v>135</v>
      </c>
      <c r="D147" s="45">
        <v>103670</v>
      </c>
      <c r="E147" s="6" t="s">
        <v>390</v>
      </c>
      <c r="F147" s="45" t="s">
        <v>161</v>
      </c>
      <c r="G147" s="46">
        <f t="shared" si="16"/>
        <v>5</v>
      </c>
      <c r="H147" s="46">
        <f>TRUNC(S147*(1-LOTE_03!$K$10),2)</f>
        <v>90.19</v>
      </c>
      <c r="I147" s="46">
        <f>TRUNC(T147*(1-LOTE_03!$K$10),2)</f>
        <v>225.13</v>
      </c>
      <c r="J147" s="100">
        <f t="shared" si="17"/>
        <v>0.22470000000000001</v>
      </c>
      <c r="K147" s="48">
        <f t="shared" si="18"/>
        <v>110.45</v>
      </c>
      <c r="L147" s="48">
        <f t="shared" si="19"/>
        <v>275.70999999999998</v>
      </c>
      <c r="M147" s="48">
        <f t="shared" si="20"/>
        <v>552.25</v>
      </c>
      <c r="N147" s="48">
        <f t="shared" si="21"/>
        <v>1378.55</v>
      </c>
      <c r="O147" s="50">
        <f t="shared" si="22"/>
        <v>1930.8</v>
      </c>
      <c r="P147" s="50">
        <v>0</v>
      </c>
      <c r="Q147" s="76"/>
      <c r="R147" s="140">
        <f>IF(S10&gt;5,5,1)</f>
        <v>5</v>
      </c>
      <c r="S147" s="79">
        <v>90.19</v>
      </c>
      <c r="T147" s="80">
        <v>225.13</v>
      </c>
    </row>
    <row r="148" spans="2:20" ht="42">
      <c r="B148" s="5" t="s">
        <v>428</v>
      </c>
      <c r="C148" s="45" t="s">
        <v>135</v>
      </c>
      <c r="D148" s="45">
        <v>105036</v>
      </c>
      <c r="E148" s="6" t="s">
        <v>429</v>
      </c>
      <c r="F148" s="45" t="s">
        <v>187</v>
      </c>
      <c r="G148" s="46">
        <f t="shared" si="16"/>
        <v>20</v>
      </c>
      <c r="H148" s="46">
        <f>TRUNC(S148*(1-LOTE_03!$K$10),2)</f>
        <v>25.86</v>
      </c>
      <c r="I148" s="46">
        <f>TRUNC(T148*(1-LOTE_03!$K$10),2)</f>
        <v>25.14</v>
      </c>
      <c r="J148" s="100">
        <f t="shared" si="17"/>
        <v>0.22470000000000001</v>
      </c>
      <c r="K148" s="48">
        <f t="shared" si="18"/>
        <v>31.67</v>
      </c>
      <c r="L148" s="48">
        <f t="shared" si="19"/>
        <v>30.78</v>
      </c>
      <c r="M148" s="48">
        <f t="shared" si="20"/>
        <v>633.4</v>
      </c>
      <c r="N148" s="48">
        <f t="shared" si="21"/>
        <v>615.6</v>
      </c>
      <c r="O148" s="50">
        <f t="shared" si="22"/>
        <v>1249</v>
      </c>
      <c r="P148" s="50">
        <v>0</v>
      </c>
      <c r="Q148" s="76"/>
      <c r="R148" s="140">
        <f>IF(S10&gt;=5,20,5)</f>
        <v>20</v>
      </c>
      <c r="S148" s="79">
        <v>25.86</v>
      </c>
      <c r="T148" s="80">
        <v>25.14</v>
      </c>
    </row>
    <row r="149" spans="2:20" ht="42">
      <c r="B149" s="5" t="s">
        <v>430</v>
      </c>
      <c r="C149" s="45" t="s">
        <v>135</v>
      </c>
      <c r="D149" s="45">
        <v>94588</v>
      </c>
      <c r="E149" s="6" t="s">
        <v>431</v>
      </c>
      <c r="F149" s="45" t="s">
        <v>187</v>
      </c>
      <c r="G149" s="46">
        <f t="shared" si="16"/>
        <v>20</v>
      </c>
      <c r="H149" s="46">
        <f>TRUNC(S149*(1-LOTE_03!$K$10),2)</f>
        <v>53.59</v>
      </c>
      <c r="I149" s="46">
        <f>TRUNC(T149*(1-LOTE_03!$K$10),2)</f>
        <v>25.98</v>
      </c>
      <c r="J149" s="100">
        <f t="shared" si="17"/>
        <v>0.22470000000000001</v>
      </c>
      <c r="K149" s="48">
        <f t="shared" si="18"/>
        <v>65.63</v>
      </c>
      <c r="L149" s="48">
        <f t="shared" si="19"/>
        <v>31.81</v>
      </c>
      <c r="M149" s="48">
        <f t="shared" si="20"/>
        <v>1312.6</v>
      </c>
      <c r="N149" s="48">
        <f t="shared" si="21"/>
        <v>636.20000000000005</v>
      </c>
      <c r="O149" s="50">
        <f t="shared" si="22"/>
        <v>1948.8</v>
      </c>
      <c r="P149" s="50">
        <v>0</v>
      </c>
      <c r="Q149" s="76"/>
      <c r="R149" s="140">
        <f>IF(S10&gt;=5,20,5)</f>
        <v>20</v>
      </c>
      <c r="S149" s="79">
        <v>53.589999999999989</v>
      </c>
      <c r="T149" s="80">
        <v>25.98</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1548933.1</v>
      </c>
      <c r="Q150" s="76"/>
      <c r="R150" s="154"/>
      <c r="S150" s="79" t="s">
        <v>22</v>
      </c>
      <c r="T150" s="80" t="s">
        <v>22</v>
      </c>
    </row>
    <row r="151" spans="2:20" ht="28">
      <c r="B151" s="5" t="s">
        <v>432</v>
      </c>
      <c r="C151" s="45" t="s">
        <v>135</v>
      </c>
      <c r="D151" s="45">
        <v>98458</v>
      </c>
      <c r="E151" s="6" t="s">
        <v>433</v>
      </c>
      <c r="F151" s="45" t="s">
        <v>121</v>
      </c>
      <c r="G151" s="46">
        <f t="shared" si="23"/>
        <v>200</v>
      </c>
      <c r="H151" s="46">
        <f>TRUNC(S151*(1-LOTE_03!$K$10),2)</f>
        <v>76.739999999999995</v>
      </c>
      <c r="I151" s="46">
        <f>TRUNC(T151*(1-LOTE_03!$K$10),2)</f>
        <v>27.88</v>
      </c>
      <c r="J151" s="100">
        <f t="shared" si="17"/>
        <v>0.22470000000000001</v>
      </c>
      <c r="K151" s="48">
        <f t="shared" si="18"/>
        <v>93.98</v>
      </c>
      <c r="L151" s="48">
        <f t="shared" si="19"/>
        <v>34.14</v>
      </c>
      <c r="M151" s="48">
        <f t="shared" si="20"/>
        <v>18796</v>
      </c>
      <c r="N151" s="48">
        <f t="shared" si="21"/>
        <v>6828</v>
      </c>
      <c r="O151" s="50">
        <f t="shared" si="22"/>
        <v>25624</v>
      </c>
      <c r="P151" s="50">
        <v>0</v>
      </c>
      <c r="Q151" s="76"/>
      <c r="R151" s="140">
        <f>IF((15*3*S9+15*3*S10)&gt;200,200,(15*3*S9+15*3*S10))</f>
        <v>200</v>
      </c>
      <c r="S151" s="79">
        <v>76.740000000000009</v>
      </c>
      <c r="T151" s="80">
        <v>27.88</v>
      </c>
    </row>
    <row r="152" spans="2:20" ht="70">
      <c r="B152" s="5" t="s">
        <v>434</v>
      </c>
      <c r="C152" s="45" t="s">
        <v>135</v>
      </c>
      <c r="D152" s="45">
        <v>103329</v>
      </c>
      <c r="E152" s="6" t="s">
        <v>435</v>
      </c>
      <c r="F152" s="45" t="s">
        <v>121</v>
      </c>
      <c r="G152" s="46">
        <f t="shared" si="23"/>
        <v>610</v>
      </c>
      <c r="H152" s="46">
        <f>TRUNC(S152*(1-LOTE_03!$K$10),2)</f>
        <v>56.14</v>
      </c>
      <c r="I152" s="46">
        <f>TRUNC(T152*(1-LOTE_03!$K$10),2)</f>
        <v>49.64</v>
      </c>
      <c r="J152" s="100">
        <f t="shared" si="17"/>
        <v>0.22470000000000001</v>
      </c>
      <c r="K152" s="48">
        <f t="shared" si="18"/>
        <v>68.75</v>
      </c>
      <c r="L152" s="48">
        <f t="shared" si="19"/>
        <v>60.79</v>
      </c>
      <c r="M152" s="48">
        <f t="shared" si="20"/>
        <v>41937.5</v>
      </c>
      <c r="N152" s="48">
        <f t="shared" si="21"/>
        <v>37081.9</v>
      </c>
      <c r="O152" s="50">
        <f t="shared" si="22"/>
        <v>79019.399999999994</v>
      </c>
      <c r="P152" s="50">
        <v>0</v>
      </c>
      <c r="Q152" s="76"/>
      <c r="R152" s="140">
        <f>IF((20*S9+50*S10)&gt;1000,1000,(20*S9+50*S10))</f>
        <v>610</v>
      </c>
      <c r="S152" s="79">
        <v>56.14</v>
      </c>
      <c r="T152" s="80">
        <v>49.64</v>
      </c>
    </row>
    <row r="153" spans="2:20" ht="70">
      <c r="B153" s="5" t="s">
        <v>436</v>
      </c>
      <c r="C153" s="45" t="s">
        <v>135</v>
      </c>
      <c r="D153" s="45">
        <v>103331</v>
      </c>
      <c r="E153" s="6" t="s">
        <v>437</v>
      </c>
      <c r="F153" s="45" t="s">
        <v>121</v>
      </c>
      <c r="G153" s="46">
        <f t="shared" si="23"/>
        <v>610</v>
      </c>
      <c r="H153" s="46">
        <f>TRUNC(S153*(1-LOTE_03!$K$10),2)</f>
        <v>57.16</v>
      </c>
      <c r="I153" s="46">
        <f>TRUNC(T153*(1-LOTE_03!$K$10),2)</f>
        <v>37.549999999999997</v>
      </c>
      <c r="J153" s="100">
        <f t="shared" si="17"/>
        <v>0.22470000000000001</v>
      </c>
      <c r="K153" s="48">
        <f t="shared" si="18"/>
        <v>70</v>
      </c>
      <c r="L153" s="48">
        <f t="shared" si="19"/>
        <v>45.98</v>
      </c>
      <c r="M153" s="48">
        <f t="shared" si="20"/>
        <v>42700</v>
      </c>
      <c r="N153" s="48">
        <f t="shared" si="21"/>
        <v>28047.8</v>
      </c>
      <c r="O153" s="50">
        <f t="shared" si="22"/>
        <v>70747.8</v>
      </c>
      <c r="P153" s="50">
        <v>0</v>
      </c>
      <c r="Q153" s="76"/>
      <c r="R153" s="140">
        <f>IF((20*S9+50*S10)&gt;1000,1000,(20*S9+50*S10))</f>
        <v>610</v>
      </c>
      <c r="S153" s="79">
        <v>57.16</v>
      </c>
      <c r="T153" s="80">
        <v>37.549999999999997</v>
      </c>
    </row>
    <row r="154" spans="2:20" ht="70">
      <c r="B154" s="5" t="s">
        <v>438</v>
      </c>
      <c r="C154" s="45" t="s">
        <v>135</v>
      </c>
      <c r="D154" s="45">
        <v>96358</v>
      </c>
      <c r="E154" s="6" t="s">
        <v>439</v>
      </c>
      <c r="F154" s="45" t="s">
        <v>121</v>
      </c>
      <c r="G154" s="46">
        <f t="shared" si="23"/>
        <v>500</v>
      </c>
      <c r="H154" s="46">
        <f>TRUNC(S154*(1-LOTE_03!$K$10),2)</f>
        <v>76.12</v>
      </c>
      <c r="I154" s="46">
        <f>TRUNC(T154*(1-LOTE_03!$K$10),2)</f>
        <v>11.89</v>
      </c>
      <c r="J154" s="100">
        <f t="shared" si="17"/>
        <v>0.22470000000000001</v>
      </c>
      <c r="K154" s="48">
        <f t="shared" si="18"/>
        <v>93.22</v>
      </c>
      <c r="L154" s="48">
        <f t="shared" si="19"/>
        <v>14.56</v>
      </c>
      <c r="M154" s="48">
        <f t="shared" si="20"/>
        <v>46610</v>
      </c>
      <c r="N154" s="48">
        <f t="shared" si="21"/>
        <v>7280</v>
      </c>
      <c r="O154" s="50">
        <f t="shared" si="22"/>
        <v>53890</v>
      </c>
      <c r="P154" s="50">
        <v>0</v>
      </c>
      <c r="Q154" s="76"/>
      <c r="R154" s="140">
        <f>IF((20*S9+50*S10)&gt;500,500,(20*S9+50*S10))</f>
        <v>500</v>
      </c>
      <c r="S154" s="79">
        <v>76.12</v>
      </c>
      <c r="T154" s="80">
        <v>11.89</v>
      </c>
    </row>
    <row r="155" spans="2:20" ht="98">
      <c r="B155" s="5" t="s">
        <v>440</v>
      </c>
      <c r="C155" s="45" t="s">
        <v>135</v>
      </c>
      <c r="D155" s="45">
        <v>96359</v>
      </c>
      <c r="E155" s="6" t="s">
        <v>441</v>
      </c>
      <c r="F155" s="45" t="s">
        <v>121</v>
      </c>
      <c r="G155" s="46">
        <f t="shared" si="23"/>
        <v>500</v>
      </c>
      <c r="H155" s="46">
        <f>TRUNC(S155*(1-LOTE_03!$K$10),2)</f>
        <v>83.45</v>
      </c>
      <c r="I155" s="46">
        <f>TRUNC(T155*(1-LOTE_03!$K$10),2)</f>
        <v>13.65</v>
      </c>
      <c r="J155" s="100">
        <f t="shared" si="17"/>
        <v>0.22470000000000001</v>
      </c>
      <c r="K155" s="48">
        <f t="shared" si="18"/>
        <v>102.2</v>
      </c>
      <c r="L155" s="48">
        <f t="shared" si="19"/>
        <v>16.71</v>
      </c>
      <c r="M155" s="48">
        <f t="shared" si="20"/>
        <v>51100</v>
      </c>
      <c r="N155" s="48">
        <f t="shared" si="21"/>
        <v>8355</v>
      </c>
      <c r="O155" s="50">
        <f t="shared" si="22"/>
        <v>59455</v>
      </c>
      <c r="P155" s="50">
        <v>0</v>
      </c>
      <c r="Q155" s="76"/>
      <c r="R155" s="140">
        <f>IF((20*S9+50*S10)&gt;500,500,(20*S9+50*S10))</f>
        <v>500</v>
      </c>
      <c r="S155" s="79">
        <v>83.449999999999989</v>
      </c>
      <c r="T155" s="80">
        <v>13.65</v>
      </c>
    </row>
    <row r="156" spans="2:20" ht="42">
      <c r="B156" s="5" t="s">
        <v>442</v>
      </c>
      <c r="C156" s="45" t="s">
        <v>97</v>
      </c>
      <c r="D156" s="45" t="s">
        <v>443</v>
      </c>
      <c r="E156" s="6" t="s">
        <v>444</v>
      </c>
      <c r="F156" s="45" t="s">
        <v>121</v>
      </c>
      <c r="G156" s="46">
        <f t="shared" si="23"/>
        <v>200</v>
      </c>
      <c r="H156" s="46">
        <f>TRUNC(S156*(1-LOTE_03!$K$10),2)</f>
        <v>408.36</v>
      </c>
      <c r="I156" s="46">
        <f>TRUNC(T156*(1-LOTE_03!$K$10),2)</f>
        <v>104.42</v>
      </c>
      <c r="J156" s="100">
        <f t="shared" si="17"/>
        <v>0.22470000000000001</v>
      </c>
      <c r="K156" s="48">
        <f t="shared" si="18"/>
        <v>500.11</v>
      </c>
      <c r="L156" s="48">
        <f t="shared" si="19"/>
        <v>127.88</v>
      </c>
      <c r="M156" s="48">
        <f t="shared" si="20"/>
        <v>100022</v>
      </c>
      <c r="N156" s="48">
        <f t="shared" si="21"/>
        <v>25576</v>
      </c>
      <c r="O156" s="50">
        <f t="shared" si="22"/>
        <v>125598</v>
      </c>
      <c r="P156" s="50">
        <v>0</v>
      </c>
      <c r="Q156" s="76"/>
      <c r="R156" s="140">
        <f>IF((20*S9+20*S10)&gt;200,200,(20*S9+20*S10))</f>
        <v>200</v>
      </c>
      <c r="S156" s="79">
        <v>408.36</v>
      </c>
      <c r="T156" s="80">
        <v>104.42</v>
      </c>
    </row>
    <row r="157" spans="2:20" ht="42">
      <c r="B157" s="5" t="s">
        <v>445</v>
      </c>
      <c r="C157" s="45" t="s">
        <v>135</v>
      </c>
      <c r="D157" s="45">
        <v>102180</v>
      </c>
      <c r="E157" s="6" t="s">
        <v>1772</v>
      </c>
      <c r="F157" s="45" t="s">
        <v>121</v>
      </c>
      <c r="G157" s="46">
        <f t="shared" si="23"/>
        <v>100</v>
      </c>
      <c r="H157" s="46">
        <f>TRUNC(S157*(1-LOTE_03!$K$10),2)</f>
        <v>446.88</v>
      </c>
      <c r="I157" s="46">
        <f>TRUNC(T157*(1-LOTE_03!$K$10),2)</f>
        <v>48.77</v>
      </c>
      <c r="J157" s="100">
        <f t="shared" si="17"/>
        <v>0.22470000000000001</v>
      </c>
      <c r="K157" s="48">
        <f t="shared" si="18"/>
        <v>547.29</v>
      </c>
      <c r="L157" s="48">
        <f t="shared" si="19"/>
        <v>59.72</v>
      </c>
      <c r="M157" s="48">
        <f t="shared" si="20"/>
        <v>54729</v>
      </c>
      <c r="N157" s="48">
        <f t="shared" si="21"/>
        <v>5972</v>
      </c>
      <c r="O157" s="50">
        <f t="shared" si="22"/>
        <v>60701</v>
      </c>
      <c r="P157" s="50">
        <v>0</v>
      </c>
      <c r="Q157" s="76"/>
      <c r="R157" s="140">
        <f>IF((20*S9+20*S10)&gt;100,100,(20*S9+20*S10))</f>
        <v>100</v>
      </c>
      <c r="S157" s="79">
        <v>446.88</v>
      </c>
      <c r="T157" s="80">
        <v>48.77</v>
      </c>
    </row>
    <row r="158" spans="2:20" ht="42">
      <c r="B158" s="5" t="s">
        <v>446</v>
      </c>
      <c r="C158" s="45" t="s">
        <v>135</v>
      </c>
      <c r="D158" s="45">
        <v>102181</v>
      </c>
      <c r="E158" s="6" t="s">
        <v>1773</v>
      </c>
      <c r="F158" s="45" t="s">
        <v>121</v>
      </c>
      <c r="G158" s="46">
        <f t="shared" si="23"/>
        <v>200</v>
      </c>
      <c r="H158" s="46">
        <f>TRUNC(S158*(1-LOTE_03!$K$10),2)</f>
        <v>554.91999999999996</v>
      </c>
      <c r="I158" s="46">
        <f>TRUNC(T158*(1-LOTE_03!$K$10),2)</f>
        <v>46.03</v>
      </c>
      <c r="J158" s="100">
        <f t="shared" si="17"/>
        <v>0.22470000000000001</v>
      </c>
      <c r="K158" s="48">
        <f t="shared" si="18"/>
        <v>679.61</v>
      </c>
      <c r="L158" s="48">
        <f t="shared" si="19"/>
        <v>56.37</v>
      </c>
      <c r="M158" s="48">
        <f t="shared" si="20"/>
        <v>135922</v>
      </c>
      <c r="N158" s="48">
        <f t="shared" si="21"/>
        <v>11274</v>
      </c>
      <c r="O158" s="50">
        <f t="shared" si="22"/>
        <v>147196</v>
      </c>
      <c r="P158" s="50">
        <v>0</v>
      </c>
      <c r="Q158" s="76"/>
      <c r="R158" s="140">
        <f>IF((20*S9+20*S10)&gt;200,200,(20*S9+20*S10))</f>
        <v>200</v>
      </c>
      <c r="S158" s="79">
        <v>554.92000000000007</v>
      </c>
      <c r="T158" s="80">
        <v>46.03</v>
      </c>
    </row>
    <row r="159" spans="2:20" ht="56">
      <c r="B159" s="5" t="s">
        <v>447</v>
      </c>
      <c r="C159" s="45" t="s">
        <v>97</v>
      </c>
      <c r="D159" s="45" t="s">
        <v>448</v>
      </c>
      <c r="E159" s="6" t="s">
        <v>449</v>
      </c>
      <c r="F159" s="45" t="s">
        <v>121</v>
      </c>
      <c r="G159" s="46">
        <f t="shared" si="23"/>
        <v>200</v>
      </c>
      <c r="H159" s="46">
        <f>TRUNC(S159*(1-LOTE_03!$K$10),2)</f>
        <v>143.80000000000001</v>
      </c>
      <c r="I159" s="46">
        <f>TRUNC(T159*(1-LOTE_03!$K$10),2)</f>
        <v>46.03</v>
      </c>
      <c r="J159" s="100">
        <f t="shared" si="17"/>
        <v>0.22470000000000001</v>
      </c>
      <c r="K159" s="48">
        <f t="shared" si="18"/>
        <v>176.11</v>
      </c>
      <c r="L159" s="48">
        <f t="shared" si="19"/>
        <v>56.37</v>
      </c>
      <c r="M159" s="48">
        <f t="shared" si="20"/>
        <v>35222</v>
      </c>
      <c r="N159" s="48">
        <f t="shared" si="21"/>
        <v>11274</v>
      </c>
      <c r="O159" s="50">
        <f t="shared" si="22"/>
        <v>46496</v>
      </c>
      <c r="P159" s="50">
        <v>0</v>
      </c>
      <c r="Q159" s="76"/>
      <c r="R159" s="140">
        <f>IF((20*S9+20*S10)&gt;200,200,(20*S9+20*S10))</f>
        <v>200</v>
      </c>
      <c r="S159" s="79">
        <v>143.80000000000001</v>
      </c>
      <c r="T159" s="80">
        <v>46.03</v>
      </c>
    </row>
    <row r="160" spans="2:20" ht="56">
      <c r="B160" s="5" t="s">
        <v>450</v>
      </c>
      <c r="C160" s="45" t="s">
        <v>135</v>
      </c>
      <c r="D160" s="45">
        <v>102253</v>
      </c>
      <c r="E160" s="6" t="s">
        <v>1774</v>
      </c>
      <c r="F160" s="45" t="s">
        <v>121</v>
      </c>
      <c r="G160" s="46">
        <f>IF($S$11=0,0,TRUNC(R160,2))</f>
        <v>10</v>
      </c>
      <c r="H160" s="46">
        <f>TRUNC(S160*(1-LOTE_03!$K$10),2)</f>
        <v>874.65</v>
      </c>
      <c r="I160" s="46">
        <f>TRUNC(T160*(1-LOTE_03!$K$10),2)</f>
        <v>68.97</v>
      </c>
      <c r="J160" s="100">
        <f t="shared" si="17"/>
        <v>0.22470000000000001</v>
      </c>
      <c r="K160" s="48">
        <f t="shared" si="18"/>
        <v>1071.18</v>
      </c>
      <c r="L160" s="48">
        <f t="shared" si="19"/>
        <v>84.46</v>
      </c>
      <c r="M160" s="48">
        <f t="shared" si="20"/>
        <v>10711.8</v>
      </c>
      <c r="N160" s="48">
        <f t="shared" si="21"/>
        <v>844.6</v>
      </c>
      <c r="O160" s="50">
        <f t="shared" si="22"/>
        <v>11556.4</v>
      </c>
      <c r="P160" s="50">
        <v>0</v>
      </c>
      <c r="Q160" s="76"/>
      <c r="R160" s="140">
        <f>IF(S10&gt;=5,10,5)</f>
        <v>10</v>
      </c>
      <c r="S160" s="79">
        <v>874.65</v>
      </c>
      <c r="T160" s="80">
        <v>68.97</v>
      </c>
    </row>
    <row r="161" spans="2:20" ht="42">
      <c r="B161" s="5" t="s">
        <v>451</v>
      </c>
      <c r="C161" s="45" t="s">
        <v>165</v>
      </c>
      <c r="D161" s="45" t="s">
        <v>452</v>
      </c>
      <c r="E161" s="6" t="s">
        <v>453</v>
      </c>
      <c r="F161" s="45" t="s">
        <v>168</v>
      </c>
      <c r="G161" s="46">
        <f t="shared" si="23"/>
        <v>500</v>
      </c>
      <c r="H161" s="46">
        <f>TRUNC(S161*(1-LOTE_03!$K$10),2)</f>
        <v>410.15</v>
      </c>
      <c r="I161" s="46">
        <f>TRUNC(T161*(1-LOTE_03!$K$10),2)</f>
        <v>0</v>
      </c>
      <c r="J161" s="100">
        <f t="shared" si="17"/>
        <v>0.22470000000000001</v>
      </c>
      <c r="K161" s="48">
        <f t="shared" si="18"/>
        <v>502.31</v>
      </c>
      <c r="L161" s="48">
        <f t="shared" si="19"/>
        <v>0</v>
      </c>
      <c r="M161" s="48">
        <f t="shared" si="20"/>
        <v>251155</v>
      </c>
      <c r="N161" s="48">
        <f t="shared" si="21"/>
        <v>0</v>
      </c>
      <c r="O161" s="50">
        <f t="shared" si="22"/>
        <v>251155</v>
      </c>
      <c r="P161" s="50">
        <v>0</v>
      </c>
      <c r="Q161" s="76"/>
      <c r="R161" s="140">
        <f>IF((50*S9+50*S10)&gt;500,500,(50*S9+50*S10))</f>
        <v>500</v>
      </c>
      <c r="S161" s="79">
        <v>410.15</v>
      </c>
      <c r="T161" s="80">
        <v>0</v>
      </c>
    </row>
    <row r="162" spans="2:20" ht="56">
      <c r="B162" s="5" t="s">
        <v>454</v>
      </c>
      <c r="C162" s="45" t="s">
        <v>165</v>
      </c>
      <c r="D162" s="45" t="s">
        <v>455</v>
      </c>
      <c r="E162" s="6" t="s">
        <v>456</v>
      </c>
      <c r="F162" s="45" t="s">
        <v>168</v>
      </c>
      <c r="G162" s="46">
        <f t="shared" si="23"/>
        <v>100</v>
      </c>
      <c r="H162" s="46">
        <f>TRUNC(S162*(1-LOTE_03!$K$10),2)</f>
        <v>775.39</v>
      </c>
      <c r="I162" s="46">
        <f>TRUNC(T162*(1-LOTE_03!$K$10),2)</f>
        <v>0</v>
      </c>
      <c r="J162" s="100">
        <f t="shared" si="17"/>
        <v>0.22470000000000001</v>
      </c>
      <c r="K162" s="48">
        <f t="shared" si="18"/>
        <v>949.62</v>
      </c>
      <c r="L162" s="48">
        <f t="shared" si="19"/>
        <v>0</v>
      </c>
      <c r="M162" s="48">
        <f t="shared" si="20"/>
        <v>94962</v>
      </c>
      <c r="N162" s="48">
        <f t="shared" si="21"/>
        <v>0</v>
      </c>
      <c r="O162" s="50">
        <f t="shared" si="22"/>
        <v>94962</v>
      </c>
      <c r="P162" s="50">
        <v>0</v>
      </c>
      <c r="Q162" s="76"/>
      <c r="R162" s="140">
        <f>IF((50*S9+50*S10)&gt;100,100,(50*S9+50*S10))</f>
        <v>100</v>
      </c>
      <c r="S162" s="79">
        <v>775.39</v>
      </c>
      <c r="T162" s="80">
        <v>0</v>
      </c>
    </row>
    <row r="163" spans="2:20" ht="56">
      <c r="B163" s="5" t="s">
        <v>457</v>
      </c>
      <c r="C163" s="45" t="s">
        <v>97</v>
      </c>
      <c r="D163" s="45" t="s">
        <v>458</v>
      </c>
      <c r="E163" s="6" t="s">
        <v>459</v>
      </c>
      <c r="F163" s="45" t="s">
        <v>121</v>
      </c>
      <c r="G163" s="46">
        <f t="shared" si="23"/>
        <v>100</v>
      </c>
      <c r="H163" s="46">
        <f>TRUNC(S163*(1-LOTE_03!$K$10),2)</f>
        <v>90.54</v>
      </c>
      <c r="I163" s="46">
        <f>TRUNC(T163*(1-LOTE_03!$K$10),2)</f>
        <v>26.98</v>
      </c>
      <c r="J163" s="100">
        <f t="shared" si="17"/>
        <v>0.22470000000000001</v>
      </c>
      <c r="K163" s="48">
        <f t="shared" si="18"/>
        <v>110.88</v>
      </c>
      <c r="L163" s="48">
        <f t="shared" si="19"/>
        <v>33.04</v>
      </c>
      <c r="M163" s="48">
        <f t="shared" si="20"/>
        <v>11088</v>
      </c>
      <c r="N163" s="48">
        <f t="shared" si="21"/>
        <v>3304</v>
      </c>
      <c r="O163" s="50">
        <f t="shared" si="22"/>
        <v>14392</v>
      </c>
      <c r="P163" s="50">
        <v>0</v>
      </c>
      <c r="Q163" s="76"/>
      <c r="R163" s="140">
        <f>IF((50*S9+50*S10)&gt;100,100,(50*S9+50*S10))</f>
        <v>100</v>
      </c>
      <c r="S163" s="79">
        <v>90.54</v>
      </c>
      <c r="T163" s="80">
        <v>26.98</v>
      </c>
    </row>
    <row r="164" spans="2:20" ht="42">
      <c r="B164" s="5" t="s">
        <v>460</v>
      </c>
      <c r="C164" s="45" t="s">
        <v>97</v>
      </c>
      <c r="D164" s="45" t="s">
        <v>461</v>
      </c>
      <c r="E164" s="6" t="s">
        <v>462</v>
      </c>
      <c r="F164" s="45" t="s">
        <v>121</v>
      </c>
      <c r="G164" s="46">
        <f t="shared" si="23"/>
        <v>200</v>
      </c>
      <c r="H164" s="46">
        <f>TRUNC(S164*(1-LOTE_03!$K$10),2)</f>
        <v>80.010000000000005</v>
      </c>
      <c r="I164" s="46">
        <f>TRUNC(T164*(1-LOTE_03!$K$10),2)</f>
        <v>26.98</v>
      </c>
      <c r="J164" s="100">
        <f t="shared" si="17"/>
        <v>0.22470000000000001</v>
      </c>
      <c r="K164" s="48">
        <f t="shared" si="18"/>
        <v>97.98</v>
      </c>
      <c r="L164" s="48">
        <f t="shared" si="19"/>
        <v>33.04</v>
      </c>
      <c r="M164" s="48">
        <f t="shared" si="20"/>
        <v>19596</v>
      </c>
      <c r="N164" s="48">
        <f t="shared" si="21"/>
        <v>6608</v>
      </c>
      <c r="O164" s="50">
        <f t="shared" si="22"/>
        <v>26204</v>
      </c>
      <c r="P164" s="50">
        <v>0</v>
      </c>
      <c r="Q164" s="76"/>
      <c r="R164" s="140">
        <f>IF((50*S9+50*S10)&gt;200,200,(50*S9+50*S10))</f>
        <v>200</v>
      </c>
      <c r="S164" s="79">
        <v>80.010000000000005</v>
      </c>
      <c r="T164" s="80">
        <v>26.98</v>
      </c>
    </row>
    <row r="165" spans="2:20" ht="28">
      <c r="B165" s="5" t="s">
        <v>463</v>
      </c>
      <c r="C165" s="45" t="s">
        <v>97</v>
      </c>
      <c r="D165" s="45" t="s">
        <v>464</v>
      </c>
      <c r="E165" s="6" t="s">
        <v>465</v>
      </c>
      <c r="F165" s="45" t="s">
        <v>121</v>
      </c>
      <c r="G165" s="46">
        <f t="shared" si="23"/>
        <v>500</v>
      </c>
      <c r="H165" s="46">
        <f>TRUNC(S165*(1-LOTE_03!$K$10),2)</f>
        <v>7.05</v>
      </c>
      <c r="I165" s="46">
        <f>TRUNC(T165*(1-LOTE_03!$K$10),2)</f>
        <v>18.149999999999999</v>
      </c>
      <c r="J165" s="100">
        <f t="shared" si="17"/>
        <v>0.22470000000000001</v>
      </c>
      <c r="K165" s="48">
        <f t="shared" si="18"/>
        <v>8.6300000000000008</v>
      </c>
      <c r="L165" s="48">
        <f t="shared" si="19"/>
        <v>22.22</v>
      </c>
      <c r="M165" s="48">
        <f t="shared" si="20"/>
        <v>4315</v>
      </c>
      <c r="N165" s="48">
        <f t="shared" si="21"/>
        <v>11110</v>
      </c>
      <c r="O165" s="50">
        <f t="shared" si="22"/>
        <v>15425</v>
      </c>
      <c r="P165" s="50">
        <v>0</v>
      </c>
      <c r="Q165" s="76"/>
      <c r="R165" s="140">
        <f>IF((50*S9+50*S10)&gt;500,500,(50*S9+50*S10))</f>
        <v>500</v>
      </c>
      <c r="S165" s="79">
        <v>7.05</v>
      </c>
      <c r="T165" s="80">
        <v>18.149999999999999</v>
      </c>
    </row>
    <row r="166" spans="2:20" ht="56">
      <c r="B166" s="5" t="s">
        <v>466</v>
      </c>
      <c r="C166" s="45" t="s">
        <v>97</v>
      </c>
      <c r="D166" s="45" t="s">
        <v>467</v>
      </c>
      <c r="E166" s="6" t="s">
        <v>468</v>
      </c>
      <c r="F166" s="45" t="s">
        <v>121</v>
      </c>
      <c r="G166" s="46">
        <f t="shared" si="23"/>
        <v>600</v>
      </c>
      <c r="H166" s="46">
        <f>TRUNC(S166*(1-LOTE_03!$K$10),2)</f>
        <v>379.76</v>
      </c>
      <c r="I166" s="46">
        <f>TRUNC(T166*(1-LOTE_03!$K$10),2)</f>
        <v>147.68</v>
      </c>
      <c r="J166" s="100">
        <f t="shared" si="17"/>
        <v>0.22470000000000001</v>
      </c>
      <c r="K166" s="48">
        <f t="shared" si="18"/>
        <v>465.09</v>
      </c>
      <c r="L166" s="48">
        <f t="shared" si="19"/>
        <v>180.86</v>
      </c>
      <c r="M166" s="48">
        <f t="shared" si="20"/>
        <v>279054</v>
      </c>
      <c r="N166" s="48">
        <f t="shared" si="21"/>
        <v>108516</v>
      </c>
      <c r="O166" s="50">
        <f t="shared" si="22"/>
        <v>387570</v>
      </c>
      <c r="P166" s="50">
        <v>0</v>
      </c>
      <c r="Q166" s="76"/>
      <c r="R166" s="140">
        <f>30*S9+30*S10</f>
        <v>600</v>
      </c>
      <c r="S166" s="79">
        <v>379.76</v>
      </c>
      <c r="T166" s="80">
        <v>147.68</v>
      </c>
    </row>
    <row r="167" spans="2:20" ht="42">
      <c r="B167" s="5" t="s">
        <v>469</v>
      </c>
      <c r="C167" s="45" t="s">
        <v>135</v>
      </c>
      <c r="D167" s="45">
        <v>102162</v>
      </c>
      <c r="E167" s="6" t="s">
        <v>1775</v>
      </c>
      <c r="F167" s="45" t="s">
        <v>121</v>
      </c>
      <c r="G167" s="46">
        <f t="shared" si="23"/>
        <v>50</v>
      </c>
      <c r="H167" s="46">
        <f>TRUNC(S167*(1-LOTE_03!$K$10),2)</f>
        <v>315.25</v>
      </c>
      <c r="I167" s="46">
        <f>TRUNC(T167*(1-LOTE_03!$K$10),2)</f>
        <v>24.82</v>
      </c>
      <c r="J167" s="100">
        <f t="shared" si="17"/>
        <v>0.22470000000000001</v>
      </c>
      <c r="K167" s="48">
        <f t="shared" si="18"/>
        <v>386.08</v>
      </c>
      <c r="L167" s="48">
        <f t="shared" si="19"/>
        <v>30.39</v>
      </c>
      <c r="M167" s="48">
        <f t="shared" si="20"/>
        <v>19304</v>
      </c>
      <c r="N167" s="48">
        <f t="shared" si="21"/>
        <v>1519.5</v>
      </c>
      <c r="O167" s="50">
        <f t="shared" si="22"/>
        <v>20823.5</v>
      </c>
      <c r="P167" s="50">
        <v>0</v>
      </c>
      <c r="Q167" s="76"/>
      <c r="R167" s="140">
        <f>IF((5*S9+10*S10)&gt;50,50,(5*S9+10*S10))</f>
        <v>50</v>
      </c>
      <c r="S167" s="79">
        <v>315.25</v>
      </c>
      <c r="T167" s="80">
        <v>24.82</v>
      </c>
    </row>
    <row r="168" spans="2:20" ht="42">
      <c r="B168" s="5" t="s">
        <v>470</v>
      </c>
      <c r="C168" s="45" t="s">
        <v>135</v>
      </c>
      <c r="D168" s="45">
        <v>102166</v>
      </c>
      <c r="E168" s="6" t="s">
        <v>1776</v>
      </c>
      <c r="F168" s="45" t="s">
        <v>121</v>
      </c>
      <c r="G168" s="46">
        <f t="shared" si="23"/>
        <v>50</v>
      </c>
      <c r="H168" s="46">
        <f>TRUNC(S168*(1-LOTE_03!$K$10),2)</f>
        <v>348.56</v>
      </c>
      <c r="I168" s="46">
        <f>TRUNC(T168*(1-LOTE_03!$K$10),2)</f>
        <v>15.16</v>
      </c>
      <c r="J168" s="100">
        <f t="shared" si="17"/>
        <v>0.22470000000000001</v>
      </c>
      <c r="K168" s="48">
        <f t="shared" si="18"/>
        <v>426.88</v>
      </c>
      <c r="L168" s="48">
        <f t="shared" si="19"/>
        <v>18.559999999999999</v>
      </c>
      <c r="M168" s="48">
        <f t="shared" si="20"/>
        <v>21344</v>
      </c>
      <c r="N168" s="48">
        <f t="shared" si="21"/>
        <v>928</v>
      </c>
      <c r="O168" s="50">
        <f t="shared" si="22"/>
        <v>22272</v>
      </c>
      <c r="P168" s="50">
        <v>0</v>
      </c>
      <c r="Q168" s="76"/>
      <c r="R168" s="140">
        <f>IF((5*S9+10*S10)&gt;50,50,(5*S9+10*S10))</f>
        <v>50</v>
      </c>
      <c r="S168" s="79">
        <v>348.56</v>
      </c>
      <c r="T168" s="80">
        <v>15.16</v>
      </c>
    </row>
    <row r="169" spans="2:20" ht="42">
      <c r="B169" s="5" t="s">
        <v>471</v>
      </c>
      <c r="C169" s="45" t="s">
        <v>135</v>
      </c>
      <c r="D169" s="45">
        <v>102172</v>
      </c>
      <c r="E169" s="6" t="s">
        <v>1777</v>
      </c>
      <c r="F169" s="45" t="s">
        <v>121</v>
      </c>
      <c r="G169" s="46">
        <f t="shared" si="23"/>
        <v>50</v>
      </c>
      <c r="H169" s="46">
        <f>TRUNC(S169*(1-LOTE_03!$K$10),2)</f>
        <v>570.29</v>
      </c>
      <c r="I169" s="46">
        <f>TRUNC(T169*(1-LOTE_03!$K$10),2)</f>
        <v>15.1</v>
      </c>
      <c r="J169" s="100">
        <f t="shared" si="17"/>
        <v>0.22470000000000001</v>
      </c>
      <c r="K169" s="48">
        <f t="shared" si="18"/>
        <v>698.43</v>
      </c>
      <c r="L169" s="48">
        <f t="shared" si="19"/>
        <v>18.489999999999998</v>
      </c>
      <c r="M169" s="48">
        <f t="shared" si="20"/>
        <v>34921.5</v>
      </c>
      <c r="N169" s="48">
        <f t="shared" si="21"/>
        <v>924.5</v>
      </c>
      <c r="O169" s="50">
        <f t="shared" si="22"/>
        <v>35846</v>
      </c>
      <c r="P169" s="50">
        <v>0</v>
      </c>
      <c r="Q169" s="76"/>
      <c r="R169" s="140">
        <f>IF((5*S9+10*S10)&gt;50,50,(5*S9+10*S10))</f>
        <v>50</v>
      </c>
      <c r="S169" s="79">
        <v>570.29</v>
      </c>
      <c r="T169" s="80">
        <v>15.1</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561889.19999999995</v>
      </c>
      <c r="Q170" s="76"/>
      <c r="R170" s="154"/>
      <c r="S170" s="79" t="s">
        <v>22</v>
      </c>
      <c r="T170" s="80" t="s">
        <v>22</v>
      </c>
    </row>
    <row r="171" spans="2:20" ht="84">
      <c r="B171" s="5" t="s">
        <v>472</v>
      </c>
      <c r="C171" s="45" t="s">
        <v>135</v>
      </c>
      <c r="D171" s="45">
        <v>87893</v>
      </c>
      <c r="E171" s="6" t="s">
        <v>473</v>
      </c>
      <c r="F171" s="45" t="s">
        <v>121</v>
      </c>
      <c r="G171" s="46">
        <f t="shared" si="23"/>
        <v>2440</v>
      </c>
      <c r="H171" s="46">
        <f>TRUNC(S171*(1-LOTE_03!$K$10),2)</f>
        <v>3.59</v>
      </c>
      <c r="I171" s="46">
        <f>TRUNC(T171*(1-LOTE_03!$K$10),2)</f>
        <v>4.49</v>
      </c>
      <c r="J171" s="100">
        <f t="shared" si="17"/>
        <v>0.22470000000000001</v>
      </c>
      <c r="K171" s="48">
        <f t="shared" si="18"/>
        <v>4.3899999999999997</v>
      </c>
      <c r="L171" s="48">
        <f t="shared" si="19"/>
        <v>5.49</v>
      </c>
      <c r="M171" s="48">
        <f t="shared" si="20"/>
        <v>10711.6</v>
      </c>
      <c r="N171" s="48">
        <f t="shared" si="21"/>
        <v>13395.6</v>
      </c>
      <c r="O171" s="50">
        <f t="shared" si="22"/>
        <v>24107.200000000001</v>
      </c>
      <c r="P171" s="50">
        <v>0</v>
      </c>
      <c r="Q171" s="76"/>
      <c r="R171" s="140">
        <f>(R152+R153)*2</f>
        <v>2440</v>
      </c>
      <c r="S171" s="79">
        <v>3.59</v>
      </c>
      <c r="T171" s="80">
        <v>4.49</v>
      </c>
    </row>
    <row r="172" spans="2:20" ht="84">
      <c r="B172" s="5" t="s">
        <v>474</v>
      </c>
      <c r="C172" s="45" t="s">
        <v>135</v>
      </c>
      <c r="D172" s="45">
        <v>87530</v>
      </c>
      <c r="E172" s="6" t="s">
        <v>475</v>
      </c>
      <c r="F172" s="45" t="s">
        <v>121</v>
      </c>
      <c r="G172" s="46">
        <f t="shared" si="23"/>
        <v>2440</v>
      </c>
      <c r="H172" s="46">
        <f>TRUNC(S172*(1-LOTE_03!$K$10),2)</f>
        <v>25.78</v>
      </c>
      <c r="I172" s="46">
        <f>TRUNC(T172*(1-LOTE_03!$K$10),2)</f>
        <v>19.670000000000002</v>
      </c>
      <c r="J172" s="100">
        <f t="shared" si="17"/>
        <v>0.22470000000000001</v>
      </c>
      <c r="K172" s="48">
        <f t="shared" si="18"/>
        <v>31.57</v>
      </c>
      <c r="L172" s="48">
        <f t="shared" si="19"/>
        <v>24.08</v>
      </c>
      <c r="M172" s="48">
        <f t="shared" si="20"/>
        <v>77030.8</v>
      </c>
      <c r="N172" s="48">
        <f t="shared" si="21"/>
        <v>58755.199999999997</v>
      </c>
      <c r="O172" s="50">
        <f t="shared" si="22"/>
        <v>135786</v>
      </c>
      <c r="P172" s="50">
        <v>0</v>
      </c>
      <c r="Q172" s="76"/>
      <c r="R172" s="140">
        <f>(R152+R153)*2</f>
        <v>2440</v>
      </c>
      <c r="S172" s="79">
        <v>25.78</v>
      </c>
      <c r="T172" s="80">
        <v>19.670000000000002</v>
      </c>
    </row>
    <row r="173" spans="2:20" ht="84">
      <c r="B173" s="5" t="s">
        <v>476</v>
      </c>
      <c r="C173" s="45" t="s">
        <v>135</v>
      </c>
      <c r="D173" s="45">
        <v>87528</v>
      </c>
      <c r="E173" s="6" t="s">
        <v>477</v>
      </c>
      <c r="F173" s="45" t="s">
        <v>121</v>
      </c>
      <c r="G173" s="46">
        <f t="shared" si="23"/>
        <v>200</v>
      </c>
      <c r="H173" s="46">
        <f>TRUNC(S173*(1-LOTE_03!$K$10),2)</f>
        <v>26.61</v>
      </c>
      <c r="I173" s="46">
        <f>TRUNC(T173*(1-LOTE_03!$K$10),2)</f>
        <v>22.05</v>
      </c>
      <c r="J173" s="100">
        <f t="shared" si="17"/>
        <v>0.22470000000000001</v>
      </c>
      <c r="K173" s="48">
        <f t="shared" si="18"/>
        <v>32.58</v>
      </c>
      <c r="L173" s="48">
        <f t="shared" si="19"/>
        <v>27</v>
      </c>
      <c r="M173" s="48">
        <f t="shared" si="20"/>
        <v>6516</v>
      </c>
      <c r="N173" s="48">
        <f t="shared" si="21"/>
        <v>5400</v>
      </c>
      <c r="O173" s="50">
        <f t="shared" si="22"/>
        <v>11916</v>
      </c>
      <c r="P173" s="50">
        <v>0</v>
      </c>
      <c r="Q173" s="76"/>
      <c r="R173" s="140">
        <f>R175</f>
        <v>200</v>
      </c>
      <c r="S173" s="79">
        <v>26.609999999999996</v>
      </c>
      <c r="T173" s="80">
        <v>22.05</v>
      </c>
    </row>
    <row r="174" spans="2:20" ht="56">
      <c r="B174" s="5" t="s">
        <v>478</v>
      </c>
      <c r="C174" s="45" t="s">
        <v>135</v>
      </c>
      <c r="D174" s="45">
        <v>87244</v>
      </c>
      <c r="E174" s="6" t="s">
        <v>479</v>
      </c>
      <c r="F174" s="45" t="s">
        <v>121</v>
      </c>
      <c r="G174" s="46">
        <f t="shared" si="23"/>
        <v>200</v>
      </c>
      <c r="H174" s="46">
        <f>TRUNC(S174*(1-LOTE_03!$K$10),2)</f>
        <v>270.02999999999997</v>
      </c>
      <c r="I174" s="46">
        <f>TRUNC(T174*(1-LOTE_03!$K$10),2)</f>
        <v>33.1</v>
      </c>
      <c r="J174" s="100">
        <f t="shared" si="17"/>
        <v>0.22470000000000001</v>
      </c>
      <c r="K174" s="48">
        <f t="shared" si="18"/>
        <v>330.7</v>
      </c>
      <c r="L174" s="48">
        <f t="shared" si="19"/>
        <v>40.53</v>
      </c>
      <c r="M174" s="48">
        <f t="shared" si="20"/>
        <v>66140</v>
      </c>
      <c r="N174" s="48">
        <f t="shared" si="21"/>
        <v>8106</v>
      </c>
      <c r="O174" s="50">
        <f t="shared" si="22"/>
        <v>74246</v>
      </c>
      <c r="P174" s="50">
        <v>0</v>
      </c>
      <c r="Q174" s="76"/>
      <c r="R174" s="140">
        <f>IF((50*S10)&gt;200,200,(10*S9+50*S10))</f>
        <v>200</v>
      </c>
      <c r="S174" s="79">
        <v>270.02999999999997</v>
      </c>
      <c r="T174" s="80">
        <v>33.1</v>
      </c>
    </row>
    <row r="175" spans="2:20" ht="70">
      <c r="B175" s="5" t="s">
        <v>480</v>
      </c>
      <c r="C175" s="45" t="s">
        <v>135</v>
      </c>
      <c r="D175" s="45">
        <v>87265</v>
      </c>
      <c r="E175" s="6" t="s">
        <v>481</v>
      </c>
      <c r="F175" s="45" t="s">
        <v>121</v>
      </c>
      <c r="G175" s="46">
        <f t="shared" si="23"/>
        <v>200</v>
      </c>
      <c r="H175" s="46">
        <f>TRUNC(S175*(1-LOTE_03!$K$10),2)</f>
        <v>47.47</v>
      </c>
      <c r="I175" s="46">
        <f>TRUNC(T175*(1-LOTE_03!$K$10),2)</f>
        <v>15.4</v>
      </c>
      <c r="J175" s="100">
        <f t="shared" si="17"/>
        <v>0.22470000000000001</v>
      </c>
      <c r="K175" s="48">
        <f t="shared" si="18"/>
        <v>58.13</v>
      </c>
      <c r="L175" s="48">
        <f t="shared" si="19"/>
        <v>18.86</v>
      </c>
      <c r="M175" s="48">
        <f t="shared" si="20"/>
        <v>11626</v>
      </c>
      <c r="N175" s="48">
        <f t="shared" si="21"/>
        <v>3772</v>
      </c>
      <c r="O175" s="50">
        <f t="shared" si="22"/>
        <v>15398</v>
      </c>
      <c r="P175" s="50">
        <v>0</v>
      </c>
      <c r="Q175" s="76"/>
      <c r="R175" s="140">
        <f>IF((50*S10)&gt;200,200,(10*S9+50*S10))</f>
        <v>200</v>
      </c>
      <c r="S175" s="79">
        <v>47.47</v>
      </c>
      <c r="T175" s="80">
        <v>15.4</v>
      </c>
    </row>
    <row r="176" spans="2:20" ht="70">
      <c r="B176" s="5" t="s">
        <v>482</v>
      </c>
      <c r="C176" s="45" t="s">
        <v>135</v>
      </c>
      <c r="D176" s="45">
        <v>87251</v>
      </c>
      <c r="E176" s="6" t="s">
        <v>483</v>
      </c>
      <c r="F176" s="45" t="s">
        <v>121</v>
      </c>
      <c r="G176" s="46">
        <f t="shared" si="23"/>
        <v>100</v>
      </c>
      <c r="H176" s="46">
        <f>TRUNC(S176*(1-LOTE_03!$K$10),2)</f>
        <v>49.27</v>
      </c>
      <c r="I176" s="46">
        <f>TRUNC(T176*(1-LOTE_03!$K$10),2)</f>
        <v>7.29</v>
      </c>
      <c r="J176" s="100">
        <f t="shared" si="17"/>
        <v>0.22470000000000001</v>
      </c>
      <c r="K176" s="48">
        <f t="shared" si="18"/>
        <v>60.34</v>
      </c>
      <c r="L176" s="48">
        <f t="shared" si="19"/>
        <v>8.92</v>
      </c>
      <c r="M176" s="48">
        <f t="shared" si="20"/>
        <v>6034</v>
      </c>
      <c r="N176" s="48">
        <f t="shared" si="21"/>
        <v>892</v>
      </c>
      <c r="O176" s="50">
        <f t="shared" si="22"/>
        <v>6926</v>
      </c>
      <c r="P176" s="50">
        <v>0</v>
      </c>
      <c r="Q176" s="76"/>
      <c r="R176" s="140">
        <f>IF((30*S10)&gt;100,100,(10*S9+30*S10))</f>
        <v>100</v>
      </c>
      <c r="S176" s="79">
        <v>49.27</v>
      </c>
      <c r="T176" s="80">
        <v>7.29</v>
      </c>
    </row>
    <row r="177" spans="2:20" ht="42">
      <c r="B177" s="5" t="s">
        <v>1752</v>
      </c>
      <c r="C177" s="45" t="s">
        <v>165</v>
      </c>
      <c r="D177" s="45" t="s">
        <v>1753</v>
      </c>
      <c r="E177" s="6" t="s">
        <v>1754</v>
      </c>
      <c r="F177" s="45" t="s">
        <v>168</v>
      </c>
      <c r="G177" s="46">
        <f t="shared" si="23"/>
        <v>1000</v>
      </c>
      <c r="H177" s="46">
        <f>TRUNC(S177*(1-LOTE_03!$K$10),2)</f>
        <v>142.44999999999999</v>
      </c>
      <c r="I177" s="46">
        <f>TRUNC(T177*(1-LOTE_03!$K$10),2)</f>
        <v>6.39</v>
      </c>
      <c r="J177" s="100">
        <f t="shared" si="17"/>
        <v>0.22470000000000001</v>
      </c>
      <c r="K177" s="48">
        <f t="shared" si="18"/>
        <v>174.45</v>
      </c>
      <c r="L177" s="48">
        <f t="shared" si="19"/>
        <v>7.82</v>
      </c>
      <c r="M177" s="48">
        <f t="shared" si="20"/>
        <v>174450</v>
      </c>
      <c r="N177" s="48">
        <f t="shared" si="21"/>
        <v>7820</v>
      </c>
      <c r="O177" s="50">
        <f t="shared" si="22"/>
        <v>182270</v>
      </c>
      <c r="P177" s="50"/>
      <c r="Q177" s="76"/>
      <c r="R177" s="148">
        <f>50*(S9+S10)</f>
        <v>1000</v>
      </c>
      <c r="S177" s="46">
        <v>142.44999999999999</v>
      </c>
      <c r="T177" s="47">
        <v>6.39</v>
      </c>
    </row>
    <row r="178" spans="2:20" ht="42">
      <c r="B178" s="5" t="s">
        <v>1755</v>
      </c>
      <c r="C178" s="45" t="s">
        <v>97</v>
      </c>
      <c r="D178" s="45" t="s">
        <v>1756</v>
      </c>
      <c r="E178" s="6" t="s">
        <v>1757</v>
      </c>
      <c r="F178" s="45" t="s">
        <v>121</v>
      </c>
      <c r="G178" s="46">
        <f t="shared" si="23"/>
        <v>1000</v>
      </c>
      <c r="H178" s="46">
        <f>TRUNC(S178*(1-LOTE_03!$K$10),2)</f>
        <v>63.52</v>
      </c>
      <c r="I178" s="46">
        <f>TRUNC(T178*(1-LOTE_03!$K$10),2)</f>
        <v>27.32</v>
      </c>
      <c r="J178" s="100">
        <f t="shared" si="17"/>
        <v>0.22470000000000001</v>
      </c>
      <c r="K178" s="48">
        <f t="shared" si="18"/>
        <v>77.790000000000006</v>
      </c>
      <c r="L178" s="48">
        <f t="shared" si="19"/>
        <v>33.450000000000003</v>
      </c>
      <c r="M178" s="48">
        <f t="shared" si="20"/>
        <v>77790</v>
      </c>
      <c r="N178" s="48">
        <f t="shared" si="21"/>
        <v>33450</v>
      </c>
      <c r="O178" s="50">
        <f t="shared" si="22"/>
        <v>111240</v>
      </c>
      <c r="P178" s="50"/>
      <c r="Q178" s="76"/>
      <c r="R178" s="140">
        <f>50*(S9+S10)</f>
        <v>1000</v>
      </c>
      <c r="S178" s="46">
        <v>63.52</v>
      </c>
      <c r="T178" s="47">
        <v>27.32</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476642.4</v>
      </c>
      <c r="Q179" s="76"/>
      <c r="R179" s="154"/>
      <c r="S179" s="79" t="s">
        <v>22</v>
      </c>
      <c r="T179" s="80" t="s">
        <v>22</v>
      </c>
    </row>
    <row r="180" spans="2:20" ht="70">
      <c r="B180" s="5" t="s">
        <v>484</v>
      </c>
      <c r="C180" s="45" t="s">
        <v>97</v>
      </c>
      <c r="D180" s="45" t="s">
        <v>485</v>
      </c>
      <c r="E180" s="6" t="s">
        <v>486</v>
      </c>
      <c r="F180" s="45" t="s">
        <v>121</v>
      </c>
      <c r="G180" s="46">
        <f t="shared" si="23"/>
        <v>1000</v>
      </c>
      <c r="H180" s="46">
        <f>TRUNC(S180*(1-LOTE_03!$K$10),2)</f>
        <v>11.26</v>
      </c>
      <c r="I180" s="46">
        <f>TRUNC(T180*(1-LOTE_03!$K$10),2)</f>
        <v>12.12</v>
      </c>
      <c r="J180" s="100">
        <f t="shared" si="17"/>
        <v>0.22470000000000001</v>
      </c>
      <c r="K180" s="48">
        <f t="shared" si="18"/>
        <v>13.79</v>
      </c>
      <c r="L180" s="48">
        <f t="shared" si="19"/>
        <v>14.84</v>
      </c>
      <c r="M180" s="48">
        <f t="shared" si="20"/>
        <v>13790</v>
      </c>
      <c r="N180" s="48">
        <f t="shared" si="21"/>
        <v>14840</v>
      </c>
      <c r="O180" s="50">
        <f t="shared" si="22"/>
        <v>28630</v>
      </c>
      <c r="P180" s="50">
        <v>0</v>
      </c>
      <c r="Q180" s="76"/>
      <c r="R180" s="140">
        <f>50*S9+50*S10</f>
        <v>1000</v>
      </c>
      <c r="S180" s="79">
        <v>11.26</v>
      </c>
      <c r="T180" s="80">
        <v>12.12</v>
      </c>
    </row>
    <row r="181" spans="2:20" ht="42">
      <c r="B181" s="5" t="s">
        <v>487</v>
      </c>
      <c r="C181" s="45" t="s">
        <v>165</v>
      </c>
      <c r="D181" s="45" t="s">
        <v>488</v>
      </c>
      <c r="E181" s="6" t="s">
        <v>489</v>
      </c>
      <c r="F181" s="45" t="s">
        <v>168</v>
      </c>
      <c r="G181" s="46">
        <f t="shared" si="23"/>
        <v>3060</v>
      </c>
      <c r="H181" s="46">
        <f>TRUNC(S181*(1-LOTE_03!$K$10),2)</f>
        <v>103.9</v>
      </c>
      <c r="I181" s="46">
        <f>TRUNC(T181*(1-LOTE_03!$K$10),2)</f>
        <v>0</v>
      </c>
      <c r="J181" s="100">
        <f t="shared" si="17"/>
        <v>0.22470000000000001</v>
      </c>
      <c r="K181" s="48">
        <f t="shared" si="18"/>
        <v>127.24</v>
      </c>
      <c r="L181" s="48">
        <f t="shared" si="19"/>
        <v>0</v>
      </c>
      <c r="M181" s="48">
        <f t="shared" si="20"/>
        <v>389354.4</v>
      </c>
      <c r="N181" s="48">
        <f t="shared" si="21"/>
        <v>0</v>
      </c>
      <c r="O181" s="50">
        <f t="shared" si="22"/>
        <v>389354.4</v>
      </c>
      <c r="P181" s="50">
        <v>0</v>
      </c>
      <c r="Q181" s="76"/>
      <c r="R181" s="140">
        <f>20*S9+400*S10</f>
        <v>3060</v>
      </c>
      <c r="S181" s="79">
        <v>103.9</v>
      </c>
      <c r="T181" s="80">
        <v>0</v>
      </c>
    </row>
    <row r="182" spans="2:20" ht="28">
      <c r="B182" s="5" t="s">
        <v>490</v>
      </c>
      <c r="C182" s="45" t="s">
        <v>135</v>
      </c>
      <c r="D182" s="45">
        <v>96113</v>
      </c>
      <c r="E182" s="6" t="s">
        <v>491</v>
      </c>
      <c r="F182" s="45" t="s">
        <v>121</v>
      </c>
      <c r="G182" s="46">
        <f t="shared" si="23"/>
        <v>200</v>
      </c>
      <c r="H182" s="46">
        <f>TRUNC(S182*(1-LOTE_03!$K$10),2)</f>
        <v>24.55</v>
      </c>
      <c r="I182" s="46">
        <f>TRUNC(T182*(1-LOTE_03!$K$10),2)</f>
        <v>23.5</v>
      </c>
      <c r="J182" s="100">
        <f t="shared" si="17"/>
        <v>0.22470000000000001</v>
      </c>
      <c r="K182" s="48">
        <f t="shared" si="18"/>
        <v>30.06</v>
      </c>
      <c r="L182" s="48">
        <f t="shared" si="19"/>
        <v>28.78</v>
      </c>
      <c r="M182" s="48">
        <f t="shared" si="20"/>
        <v>6012</v>
      </c>
      <c r="N182" s="48">
        <f t="shared" si="21"/>
        <v>5756</v>
      </c>
      <c r="O182" s="50">
        <f t="shared" si="22"/>
        <v>11768</v>
      </c>
      <c r="P182" s="50">
        <v>0</v>
      </c>
      <c r="Q182" s="76"/>
      <c r="R182" s="140">
        <f>IF((10*S10)&gt;100,100,(10*S9+10*S10))</f>
        <v>200</v>
      </c>
      <c r="S182" s="79">
        <v>24.549999999999997</v>
      </c>
      <c r="T182" s="80">
        <v>23.5</v>
      </c>
    </row>
    <row r="183" spans="2:20" ht="42">
      <c r="B183" s="5" t="s">
        <v>492</v>
      </c>
      <c r="C183" s="45" t="s">
        <v>135</v>
      </c>
      <c r="D183" s="45">
        <v>99054</v>
      </c>
      <c r="E183" s="6" t="s">
        <v>493</v>
      </c>
      <c r="F183" s="45" t="s">
        <v>121</v>
      </c>
      <c r="G183" s="46">
        <f t="shared" si="23"/>
        <v>100</v>
      </c>
      <c r="H183" s="46">
        <f>TRUNC(S183*(1-LOTE_03!$K$10),2)</f>
        <v>28.13</v>
      </c>
      <c r="I183" s="46">
        <f>TRUNC(T183*(1-LOTE_03!$K$10),2)</f>
        <v>32.770000000000003</v>
      </c>
      <c r="J183" s="100">
        <f t="shared" si="17"/>
        <v>0.22470000000000001</v>
      </c>
      <c r="K183" s="48">
        <f t="shared" si="18"/>
        <v>34.450000000000003</v>
      </c>
      <c r="L183" s="48">
        <f t="shared" si="19"/>
        <v>40.130000000000003</v>
      </c>
      <c r="M183" s="48">
        <f t="shared" si="20"/>
        <v>3445</v>
      </c>
      <c r="N183" s="48">
        <f t="shared" si="21"/>
        <v>4013</v>
      </c>
      <c r="O183" s="50">
        <f t="shared" si="22"/>
        <v>7458</v>
      </c>
      <c r="P183" s="50">
        <v>0</v>
      </c>
      <c r="Q183" s="76"/>
      <c r="R183" s="140">
        <f>IF((20*S10+20*S9)&gt;100,100,(20*S10+20*S9))</f>
        <v>100</v>
      </c>
      <c r="S183" s="79">
        <v>28.129999999999995</v>
      </c>
      <c r="T183" s="80">
        <v>32.770000000000003</v>
      </c>
    </row>
    <row r="184" spans="2:20" ht="28">
      <c r="B184" s="5" t="s">
        <v>494</v>
      </c>
      <c r="C184" s="45" t="s">
        <v>135</v>
      </c>
      <c r="D184" s="45">
        <v>96120</v>
      </c>
      <c r="E184" s="6" t="s">
        <v>495</v>
      </c>
      <c r="F184" s="45" t="s">
        <v>187</v>
      </c>
      <c r="G184" s="46">
        <f t="shared" si="23"/>
        <v>400</v>
      </c>
      <c r="H184" s="46">
        <f>TRUNC(S184*(1-LOTE_03!$K$10),2)</f>
        <v>1.77</v>
      </c>
      <c r="I184" s="46">
        <f>TRUNC(T184*(1-LOTE_03!$K$10),2)</f>
        <v>1.34</v>
      </c>
      <c r="J184" s="100">
        <f t="shared" si="17"/>
        <v>0.22470000000000001</v>
      </c>
      <c r="K184" s="48">
        <f t="shared" si="18"/>
        <v>2.16</v>
      </c>
      <c r="L184" s="48">
        <f t="shared" si="19"/>
        <v>1.64</v>
      </c>
      <c r="M184" s="48">
        <f t="shared" si="20"/>
        <v>864</v>
      </c>
      <c r="N184" s="48">
        <f t="shared" si="21"/>
        <v>656</v>
      </c>
      <c r="O184" s="50">
        <f t="shared" si="22"/>
        <v>1520</v>
      </c>
      <c r="P184" s="50">
        <v>0</v>
      </c>
      <c r="Q184" s="76"/>
      <c r="R184" s="140">
        <f>IF((20*S10+20*S9)&gt;500,500,(20*S10+20*S9))</f>
        <v>400</v>
      </c>
      <c r="S184" s="79">
        <v>1.7699999999999998</v>
      </c>
      <c r="T184" s="80">
        <v>1.34</v>
      </c>
    </row>
    <row r="185" spans="2:20" ht="56">
      <c r="B185" s="5" t="s">
        <v>496</v>
      </c>
      <c r="C185" s="45" t="s">
        <v>135</v>
      </c>
      <c r="D185" s="45">
        <v>96486</v>
      </c>
      <c r="E185" s="6" t="s">
        <v>497</v>
      </c>
      <c r="F185" s="45" t="s">
        <v>121</v>
      </c>
      <c r="G185" s="46">
        <f t="shared" si="23"/>
        <v>100</v>
      </c>
      <c r="H185" s="46">
        <f>TRUNC(S185*(1-LOTE_03!$K$10),2)</f>
        <v>54.2</v>
      </c>
      <c r="I185" s="46">
        <f>TRUNC(T185*(1-LOTE_03!$K$10),2)</f>
        <v>10.01</v>
      </c>
      <c r="J185" s="100">
        <f t="shared" si="17"/>
        <v>0.22470000000000001</v>
      </c>
      <c r="K185" s="48">
        <f t="shared" si="18"/>
        <v>66.37</v>
      </c>
      <c r="L185" s="48">
        <f t="shared" si="19"/>
        <v>12.25</v>
      </c>
      <c r="M185" s="48">
        <f t="shared" si="20"/>
        <v>6637</v>
      </c>
      <c r="N185" s="48">
        <f t="shared" si="21"/>
        <v>1225</v>
      </c>
      <c r="O185" s="50">
        <f t="shared" si="22"/>
        <v>7862</v>
      </c>
      <c r="P185" s="50">
        <v>0</v>
      </c>
      <c r="Q185" s="76"/>
      <c r="R185" s="140">
        <f>IF((20*S10+20*S9)&gt;100,100,(20*S10+20*S9))</f>
        <v>100</v>
      </c>
      <c r="S185" s="79">
        <v>54.199999999999996</v>
      </c>
      <c r="T185" s="80">
        <v>10.01</v>
      </c>
    </row>
    <row r="186" spans="2:20" ht="42">
      <c r="B186" s="5" t="s">
        <v>498</v>
      </c>
      <c r="C186" s="45" t="s">
        <v>135</v>
      </c>
      <c r="D186" s="45">
        <v>96114</v>
      </c>
      <c r="E186" s="6" t="s">
        <v>499</v>
      </c>
      <c r="F186" s="45" t="s">
        <v>121</v>
      </c>
      <c r="G186" s="46">
        <f t="shared" si="23"/>
        <v>200</v>
      </c>
      <c r="H186" s="46">
        <f>TRUNC(S186*(1-LOTE_03!$K$10),2)</f>
        <v>54.63</v>
      </c>
      <c r="I186" s="46">
        <f>TRUNC(T186*(1-LOTE_03!$K$10),2)</f>
        <v>16.100000000000001</v>
      </c>
      <c r="J186" s="100">
        <f t="shared" si="17"/>
        <v>0.22470000000000001</v>
      </c>
      <c r="K186" s="48">
        <f t="shared" si="18"/>
        <v>66.900000000000006</v>
      </c>
      <c r="L186" s="48">
        <f t="shared" si="19"/>
        <v>19.71</v>
      </c>
      <c r="M186" s="48">
        <f t="shared" si="20"/>
        <v>13380</v>
      </c>
      <c r="N186" s="48">
        <f t="shared" si="21"/>
        <v>3942</v>
      </c>
      <c r="O186" s="50">
        <f t="shared" si="22"/>
        <v>17322</v>
      </c>
      <c r="P186" s="50">
        <v>0</v>
      </c>
      <c r="Q186" s="76"/>
      <c r="R186" s="140">
        <f>IF((10*S10)&gt;100,100,(10*S9+10*S10))</f>
        <v>200</v>
      </c>
      <c r="S186" s="79">
        <v>54.63</v>
      </c>
      <c r="T186" s="80">
        <v>16.100000000000001</v>
      </c>
    </row>
    <row r="187" spans="2:20" ht="42">
      <c r="B187" s="5" t="s">
        <v>500</v>
      </c>
      <c r="C187" s="45" t="s">
        <v>135</v>
      </c>
      <c r="D187" s="45">
        <v>96123</v>
      </c>
      <c r="E187" s="6" t="s">
        <v>501</v>
      </c>
      <c r="F187" s="45" t="s">
        <v>187</v>
      </c>
      <c r="G187" s="46">
        <f t="shared" si="23"/>
        <v>400</v>
      </c>
      <c r="H187" s="46">
        <f>TRUNC(S187*(1-LOTE_03!$K$10),2)</f>
        <v>18.54</v>
      </c>
      <c r="I187" s="46">
        <f>TRUNC(T187*(1-LOTE_03!$K$10),2)</f>
        <v>7.45</v>
      </c>
      <c r="J187" s="100">
        <f t="shared" si="17"/>
        <v>0.22470000000000001</v>
      </c>
      <c r="K187" s="48">
        <f t="shared" si="18"/>
        <v>22.7</v>
      </c>
      <c r="L187" s="48">
        <f t="shared" si="19"/>
        <v>9.1199999999999992</v>
      </c>
      <c r="M187" s="48">
        <f t="shared" si="20"/>
        <v>9080</v>
      </c>
      <c r="N187" s="48">
        <f t="shared" si="21"/>
        <v>3648</v>
      </c>
      <c r="O187" s="50">
        <f t="shared" si="22"/>
        <v>12728</v>
      </c>
      <c r="P187" s="50">
        <v>0</v>
      </c>
      <c r="Q187" s="76"/>
      <c r="R187" s="140">
        <f>20*S10+20*S9</f>
        <v>400</v>
      </c>
      <c r="S187" s="79">
        <v>18.54</v>
      </c>
      <c r="T187" s="80">
        <v>7.45</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2692289.7</v>
      </c>
      <c r="Q188" s="76"/>
      <c r="R188" s="154"/>
      <c r="S188" s="79" t="s">
        <v>22</v>
      </c>
      <c r="T188" s="80" t="s">
        <v>22</v>
      </c>
    </row>
    <row r="189" spans="2:20" ht="84">
      <c r="B189" s="5" t="s">
        <v>502</v>
      </c>
      <c r="C189" s="45" t="s">
        <v>135</v>
      </c>
      <c r="D189" s="45">
        <v>87632</v>
      </c>
      <c r="E189" s="6" t="s">
        <v>503</v>
      </c>
      <c r="F189" s="45" t="s">
        <v>121</v>
      </c>
      <c r="G189" s="46">
        <f t="shared" si="23"/>
        <v>8000</v>
      </c>
      <c r="H189" s="46">
        <f>TRUNC(S189*(1-LOTE_03!$K$10),2)</f>
        <v>36.6</v>
      </c>
      <c r="I189" s="46">
        <f>TRUNC(T189*(1-LOTE_03!$K$10),2)</f>
        <v>15.05</v>
      </c>
      <c r="J189" s="100">
        <f t="shared" si="17"/>
        <v>0.22470000000000001</v>
      </c>
      <c r="K189" s="48">
        <f t="shared" si="18"/>
        <v>44.82</v>
      </c>
      <c r="L189" s="48">
        <f t="shared" si="19"/>
        <v>18.43</v>
      </c>
      <c r="M189" s="48">
        <f t="shared" si="20"/>
        <v>358560</v>
      </c>
      <c r="N189" s="48">
        <f t="shared" si="21"/>
        <v>147440</v>
      </c>
      <c r="O189" s="50">
        <f t="shared" si="22"/>
        <v>506000</v>
      </c>
      <c r="P189" s="50">
        <v>0</v>
      </c>
      <c r="Q189" s="76"/>
      <c r="R189" s="140">
        <f>400*S10+400*S9</f>
        <v>8000</v>
      </c>
      <c r="S189" s="79">
        <v>36.599999999999994</v>
      </c>
      <c r="T189" s="80">
        <v>15.05</v>
      </c>
    </row>
    <row r="190" spans="2:20" ht="56">
      <c r="B190" s="5" t="s">
        <v>504</v>
      </c>
      <c r="C190" s="45" t="s">
        <v>135</v>
      </c>
      <c r="D190" s="45">
        <v>101749</v>
      </c>
      <c r="E190" s="6" t="s">
        <v>1778</v>
      </c>
      <c r="F190" s="45" t="s">
        <v>121</v>
      </c>
      <c r="G190" s="46">
        <f t="shared" si="23"/>
        <v>1500</v>
      </c>
      <c r="H190" s="46">
        <f>TRUNC(S190*(1-LOTE_03!$K$10),2)</f>
        <v>41.07</v>
      </c>
      <c r="I190" s="46">
        <f>TRUNC(T190*(1-LOTE_03!$K$10),2)</f>
        <v>14.63</v>
      </c>
      <c r="J190" s="100">
        <f t="shared" si="17"/>
        <v>0.22470000000000001</v>
      </c>
      <c r="K190" s="48">
        <f t="shared" si="18"/>
        <v>50.29</v>
      </c>
      <c r="L190" s="48">
        <f t="shared" si="19"/>
        <v>17.91</v>
      </c>
      <c r="M190" s="48">
        <f t="shared" si="20"/>
        <v>75435</v>
      </c>
      <c r="N190" s="48">
        <f t="shared" si="21"/>
        <v>26865</v>
      </c>
      <c r="O190" s="50">
        <f t="shared" si="22"/>
        <v>102300</v>
      </c>
      <c r="P190" s="50">
        <v>0</v>
      </c>
      <c r="Q190" s="76"/>
      <c r="R190" s="140">
        <f>IF((50*S9+200*S10)&gt;1500,1500,(50*S9+200*S10))</f>
        <v>1500</v>
      </c>
      <c r="S190" s="79">
        <v>41.07</v>
      </c>
      <c r="T190" s="80">
        <v>14.63</v>
      </c>
    </row>
    <row r="191" spans="2:20" ht="126">
      <c r="B191" s="5" t="s">
        <v>505</v>
      </c>
      <c r="C191" s="45" t="s">
        <v>97</v>
      </c>
      <c r="D191" s="45" t="s">
        <v>506</v>
      </c>
      <c r="E191" s="6" t="s">
        <v>507</v>
      </c>
      <c r="F191" s="45" t="s">
        <v>121</v>
      </c>
      <c r="G191" s="46">
        <f t="shared" si="23"/>
        <v>4100</v>
      </c>
      <c r="H191" s="46">
        <f>TRUNC(S191*(1-LOTE_03!$K$10),2)</f>
        <v>225.86</v>
      </c>
      <c r="I191" s="46">
        <f>TRUNC(T191*(1-LOTE_03!$K$10),2)</f>
        <v>30.3</v>
      </c>
      <c r="J191" s="100">
        <f t="shared" si="17"/>
        <v>0.22470000000000001</v>
      </c>
      <c r="K191" s="48">
        <f t="shared" si="18"/>
        <v>276.61</v>
      </c>
      <c r="L191" s="48">
        <f t="shared" si="19"/>
        <v>37.1</v>
      </c>
      <c r="M191" s="48">
        <f t="shared" si="20"/>
        <v>1134101</v>
      </c>
      <c r="N191" s="48">
        <f t="shared" si="21"/>
        <v>152110</v>
      </c>
      <c r="O191" s="50">
        <f t="shared" si="22"/>
        <v>1286211</v>
      </c>
      <c r="P191" s="50">
        <v>0</v>
      </c>
      <c r="Q191" s="76"/>
      <c r="R191" s="141">
        <f>400*S10+100*S9</f>
        <v>4100</v>
      </c>
      <c r="S191" s="79">
        <v>225.86</v>
      </c>
      <c r="T191" s="80">
        <v>30.3</v>
      </c>
    </row>
    <row r="192" spans="2:20" ht="140">
      <c r="B192" s="5" t="s">
        <v>508</v>
      </c>
      <c r="C192" s="45" t="s">
        <v>97</v>
      </c>
      <c r="D192" s="45" t="s">
        <v>509</v>
      </c>
      <c r="E192" s="6" t="s">
        <v>510</v>
      </c>
      <c r="F192" s="45" t="s">
        <v>121</v>
      </c>
      <c r="G192" s="46">
        <f t="shared" si="23"/>
        <v>1790</v>
      </c>
      <c r="H192" s="46">
        <f>TRUNC(S192*(1-LOTE_03!$K$10),2)</f>
        <v>291.25</v>
      </c>
      <c r="I192" s="46">
        <f>TRUNC(T192*(1-LOTE_03!$K$10),2)</f>
        <v>30.3</v>
      </c>
      <c r="J192" s="100">
        <f t="shared" si="17"/>
        <v>0.22470000000000001</v>
      </c>
      <c r="K192" s="48">
        <f t="shared" si="18"/>
        <v>356.69</v>
      </c>
      <c r="L192" s="48">
        <f t="shared" si="19"/>
        <v>37.1</v>
      </c>
      <c r="M192" s="48">
        <f t="shared" si="20"/>
        <v>638475.1</v>
      </c>
      <c r="N192" s="48">
        <f t="shared" si="21"/>
        <v>66409</v>
      </c>
      <c r="O192" s="50">
        <f t="shared" si="22"/>
        <v>704884.1</v>
      </c>
      <c r="P192" s="50">
        <v>0</v>
      </c>
      <c r="Q192" s="76"/>
      <c r="R192" s="141">
        <f>14*5*(S10)+100*S9</f>
        <v>1790</v>
      </c>
      <c r="S192" s="79">
        <v>291.25</v>
      </c>
      <c r="T192" s="80">
        <v>30.3</v>
      </c>
    </row>
    <row r="193" spans="2:20" ht="42">
      <c r="B193" s="5" t="s">
        <v>511</v>
      </c>
      <c r="C193" s="45" t="s">
        <v>135</v>
      </c>
      <c r="D193" s="45">
        <v>101736</v>
      </c>
      <c r="E193" s="6" t="s">
        <v>1779</v>
      </c>
      <c r="F193" s="45" t="s">
        <v>121</v>
      </c>
      <c r="G193" s="46">
        <f t="shared" si="23"/>
        <v>40</v>
      </c>
      <c r="H193" s="46">
        <f>TRUNC(S193*(1-LOTE_03!$K$10),2)</f>
        <v>107.88</v>
      </c>
      <c r="I193" s="46">
        <f>TRUNC(T193*(1-LOTE_03!$K$10),2)</f>
        <v>13.78</v>
      </c>
      <c r="J193" s="100">
        <f t="shared" si="17"/>
        <v>0.22470000000000001</v>
      </c>
      <c r="K193" s="48">
        <f t="shared" si="18"/>
        <v>132.12</v>
      </c>
      <c r="L193" s="48">
        <f t="shared" si="19"/>
        <v>16.87</v>
      </c>
      <c r="M193" s="48">
        <f t="shared" si="20"/>
        <v>5284.8</v>
      </c>
      <c r="N193" s="48">
        <f t="shared" si="21"/>
        <v>674.8</v>
      </c>
      <c r="O193" s="50">
        <f t="shared" si="22"/>
        <v>5959.6</v>
      </c>
      <c r="P193" s="50">
        <v>0</v>
      </c>
      <c r="Q193" s="76"/>
      <c r="R193" s="141">
        <f>IF(2*(S10+S9)&gt;50,500,2*(S9+S10))</f>
        <v>40</v>
      </c>
      <c r="S193" s="79">
        <v>107.88</v>
      </c>
      <c r="T193" s="80">
        <v>13.78</v>
      </c>
    </row>
    <row r="194" spans="2:20" ht="70">
      <c r="B194" s="5" t="s">
        <v>512</v>
      </c>
      <c r="C194" s="45" t="s">
        <v>135</v>
      </c>
      <c r="D194" s="45">
        <v>94995</v>
      </c>
      <c r="E194" s="6" t="s">
        <v>1780</v>
      </c>
      <c r="F194" s="45" t="s">
        <v>121</v>
      </c>
      <c r="G194" s="46">
        <f t="shared" si="23"/>
        <v>500</v>
      </c>
      <c r="H194" s="46">
        <f>TRUNC(S194*(1-LOTE_03!$K$10),2)</f>
        <v>95.24</v>
      </c>
      <c r="I194" s="46">
        <f>TRUNC(T194*(1-LOTE_03!$K$10),2)</f>
        <v>8.0500000000000007</v>
      </c>
      <c r="J194" s="100">
        <f t="shared" si="17"/>
        <v>0.22470000000000001</v>
      </c>
      <c r="K194" s="48">
        <f t="shared" si="18"/>
        <v>116.64</v>
      </c>
      <c r="L194" s="48">
        <f t="shared" si="19"/>
        <v>9.85</v>
      </c>
      <c r="M194" s="48">
        <f t="shared" si="20"/>
        <v>58320</v>
      </c>
      <c r="N194" s="48">
        <f t="shared" si="21"/>
        <v>4925</v>
      </c>
      <c r="O194" s="50">
        <f t="shared" si="22"/>
        <v>63245</v>
      </c>
      <c r="P194" s="50">
        <v>0</v>
      </c>
      <c r="Q194" s="76"/>
      <c r="R194" s="141">
        <f>IF(50*(S10+S9)&gt;500,500,50*(S9+S10))</f>
        <v>500</v>
      </c>
      <c r="S194" s="79">
        <v>95.240000000000009</v>
      </c>
      <c r="T194" s="80">
        <v>8.0500000000000007</v>
      </c>
    </row>
    <row r="195" spans="2:20" ht="28">
      <c r="B195" s="5" t="s">
        <v>513</v>
      </c>
      <c r="C195" s="45" t="s">
        <v>165</v>
      </c>
      <c r="D195" s="45" t="s">
        <v>514</v>
      </c>
      <c r="E195" s="6" t="s">
        <v>515</v>
      </c>
      <c r="F195" s="45" t="s">
        <v>168</v>
      </c>
      <c r="G195" s="46">
        <f t="shared" si="23"/>
        <v>2000</v>
      </c>
      <c r="H195" s="46">
        <f>TRUNC(S195*(1-LOTE_03!$K$10),2)</f>
        <v>4.72</v>
      </c>
      <c r="I195" s="46">
        <f>TRUNC(T195*(1-LOTE_03!$K$10),2)</f>
        <v>3.23</v>
      </c>
      <c r="J195" s="100">
        <f t="shared" si="17"/>
        <v>0.22470000000000001</v>
      </c>
      <c r="K195" s="48">
        <f t="shared" si="18"/>
        <v>5.78</v>
      </c>
      <c r="L195" s="48">
        <f t="shared" si="19"/>
        <v>3.95</v>
      </c>
      <c r="M195" s="48">
        <f t="shared" si="20"/>
        <v>11560</v>
      </c>
      <c r="N195" s="48">
        <f t="shared" si="21"/>
        <v>7900</v>
      </c>
      <c r="O195" s="50">
        <f t="shared" si="22"/>
        <v>19460</v>
      </c>
      <c r="P195" s="50">
        <v>0</v>
      </c>
      <c r="Q195" s="76"/>
      <c r="R195" s="140">
        <f>100*(S9+S10)</f>
        <v>2000</v>
      </c>
      <c r="S195" s="79">
        <v>4.72</v>
      </c>
      <c r="T195" s="80">
        <v>3.23</v>
      </c>
    </row>
    <row r="196" spans="2:20">
      <c r="B196" s="5" t="s">
        <v>516</v>
      </c>
      <c r="C196" s="45" t="s">
        <v>97</v>
      </c>
      <c r="D196" s="45" t="s">
        <v>517</v>
      </c>
      <c r="E196" s="6" t="s">
        <v>518</v>
      </c>
      <c r="F196" s="45" t="s">
        <v>519</v>
      </c>
      <c r="G196" s="46">
        <f t="shared" si="23"/>
        <v>1000</v>
      </c>
      <c r="H196" s="46">
        <f>TRUNC(S196*(1-LOTE_03!$K$10),2)</f>
        <v>1.78</v>
      </c>
      <c r="I196" s="46">
        <f>TRUNC(T196*(1-LOTE_03!$K$10),2)</f>
        <v>1.69</v>
      </c>
      <c r="J196" s="100">
        <f t="shared" si="17"/>
        <v>0.22470000000000001</v>
      </c>
      <c r="K196" s="48">
        <f t="shared" si="18"/>
        <v>2.17</v>
      </c>
      <c r="L196" s="48">
        <f t="shared" si="19"/>
        <v>2.06</v>
      </c>
      <c r="M196" s="48">
        <f t="shared" si="20"/>
        <v>2170</v>
      </c>
      <c r="N196" s="48">
        <f t="shared" si="21"/>
        <v>2060</v>
      </c>
      <c r="O196" s="50">
        <f t="shared" si="22"/>
        <v>4230</v>
      </c>
      <c r="P196" s="50">
        <v>0</v>
      </c>
      <c r="Q196" s="76"/>
      <c r="R196" s="140">
        <f>IF((200*S9+200*S10)&gt;1000,1000,(200*S9+200*S10))</f>
        <v>1000</v>
      </c>
      <c r="S196" s="79">
        <v>1.78</v>
      </c>
      <c r="T196" s="80">
        <v>1.69</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229058.65</v>
      </c>
      <c r="Q197" s="76"/>
      <c r="R197" s="154"/>
      <c r="S197" s="79" t="s">
        <v>22</v>
      </c>
      <c r="T197" s="80" t="s">
        <v>22</v>
      </c>
    </row>
    <row r="198" spans="2:20" ht="42">
      <c r="B198" s="5" t="s">
        <v>520</v>
      </c>
      <c r="C198" s="45" t="s">
        <v>135</v>
      </c>
      <c r="D198" s="45">
        <v>88648</v>
      </c>
      <c r="E198" s="6" t="s">
        <v>521</v>
      </c>
      <c r="F198" s="45" t="s">
        <v>187</v>
      </c>
      <c r="G198" s="46">
        <f t="shared" si="23"/>
        <v>100</v>
      </c>
      <c r="H198" s="46">
        <f>TRUNC(S198*(1-LOTE_03!$K$10),2)</f>
        <v>6.12</v>
      </c>
      <c r="I198" s="46">
        <f>TRUNC(T198*(1-LOTE_03!$K$10),2)</f>
        <v>1.95</v>
      </c>
      <c r="J198" s="100">
        <f t="shared" si="17"/>
        <v>0.22470000000000001</v>
      </c>
      <c r="K198" s="48">
        <f t="shared" si="18"/>
        <v>7.49</v>
      </c>
      <c r="L198" s="48">
        <f t="shared" si="19"/>
        <v>2.38</v>
      </c>
      <c r="M198" s="48">
        <f t="shared" si="20"/>
        <v>749</v>
      </c>
      <c r="N198" s="48">
        <f t="shared" si="21"/>
        <v>238</v>
      </c>
      <c r="O198" s="50">
        <f t="shared" si="22"/>
        <v>987</v>
      </c>
      <c r="P198" s="50">
        <v>0</v>
      </c>
      <c r="Q198" s="76"/>
      <c r="R198" s="140">
        <f>IF((20*S10)&gt;100,100,(10*S9+10*S10))</f>
        <v>100</v>
      </c>
      <c r="S198" s="79">
        <v>6.12</v>
      </c>
      <c r="T198" s="80">
        <v>1.95</v>
      </c>
    </row>
    <row r="199" spans="2:20" ht="42">
      <c r="B199" s="5" t="s">
        <v>522</v>
      </c>
      <c r="C199" s="45" t="s">
        <v>135</v>
      </c>
      <c r="D199" s="45">
        <v>88650</v>
      </c>
      <c r="E199" s="6" t="s">
        <v>523</v>
      </c>
      <c r="F199" s="45" t="s">
        <v>187</v>
      </c>
      <c r="G199" s="46">
        <f t="shared" si="23"/>
        <v>1245</v>
      </c>
      <c r="H199" s="46">
        <f>TRUNC(S199*(1-LOTE_03!$K$10),2)</f>
        <v>10.31</v>
      </c>
      <c r="I199" s="46">
        <f>TRUNC(T199*(1-LOTE_03!$K$10),2)</f>
        <v>2.33</v>
      </c>
      <c r="J199" s="100">
        <f t="shared" si="17"/>
        <v>0.22470000000000001</v>
      </c>
      <c r="K199" s="48">
        <f t="shared" si="18"/>
        <v>12.62</v>
      </c>
      <c r="L199" s="48">
        <f t="shared" si="19"/>
        <v>2.85</v>
      </c>
      <c r="M199" s="48">
        <f t="shared" si="20"/>
        <v>15711.9</v>
      </c>
      <c r="N199" s="48">
        <f t="shared" si="21"/>
        <v>3548.25</v>
      </c>
      <c r="O199" s="50">
        <f t="shared" si="22"/>
        <v>19260.150000000001</v>
      </c>
      <c r="P199" s="50">
        <v>0</v>
      </c>
      <c r="Q199" s="76"/>
      <c r="R199" s="141">
        <f>85*S10+50*S9</f>
        <v>1245</v>
      </c>
      <c r="S199" s="79">
        <v>10.31</v>
      </c>
      <c r="T199" s="80">
        <v>2.33</v>
      </c>
    </row>
    <row r="200" spans="2:20" ht="126">
      <c r="B200" s="5" t="s">
        <v>524</v>
      </c>
      <c r="C200" s="45" t="s">
        <v>97</v>
      </c>
      <c r="D200" s="45" t="s">
        <v>525</v>
      </c>
      <c r="E200" s="6" t="s">
        <v>526</v>
      </c>
      <c r="F200" s="45" t="s">
        <v>187</v>
      </c>
      <c r="G200" s="46">
        <f t="shared" si="23"/>
        <v>4000</v>
      </c>
      <c r="H200" s="46">
        <f>TRUNC(S200*(1-LOTE_03!$K$10),2)</f>
        <v>33.229999999999997</v>
      </c>
      <c r="I200" s="46">
        <f>TRUNC(T200*(1-LOTE_03!$K$10),2)</f>
        <v>2.41</v>
      </c>
      <c r="J200" s="100">
        <f t="shared" si="17"/>
        <v>0.22470000000000001</v>
      </c>
      <c r="K200" s="48">
        <f t="shared" si="18"/>
        <v>40.69</v>
      </c>
      <c r="L200" s="48">
        <f t="shared" si="19"/>
        <v>2.95</v>
      </c>
      <c r="M200" s="48">
        <f t="shared" si="20"/>
        <v>162760</v>
      </c>
      <c r="N200" s="48">
        <f t="shared" si="21"/>
        <v>11800</v>
      </c>
      <c r="O200" s="50">
        <f t="shared" si="22"/>
        <v>174560</v>
      </c>
      <c r="P200" s="50">
        <v>0</v>
      </c>
      <c r="Q200" s="76"/>
      <c r="R200" s="140">
        <f>200*(S10+S9)</f>
        <v>4000</v>
      </c>
      <c r="S200" s="79">
        <v>33.229999999999997</v>
      </c>
      <c r="T200" s="80">
        <v>2.41</v>
      </c>
    </row>
    <row r="201" spans="2:20" ht="42">
      <c r="B201" s="5" t="s">
        <v>527</v>
      </c>
      <c r="C201" s="45" t="s">
        <v>135</v>
      </c>
      <c r="D201" s="45">
        <v>101738</v>
      </c>
      <c r="E201" s="6" t="s">
        <v>1781</v>
      </c>
      <c r="F201" s="45" t="s">
        <v>187</v>
      </c>
      <c r="G201" s="46">
        <f t="shared" si="23"/>
        <v>50</v>
      </c>
      <c r="H201" s="46">
        <f>TRUNC(S201*(1-LOTE_03!$K$10),2)</f>
        <v>35.06</v>
      </c>
      <c r="I201" s="46">
        <f>TRUNC(T201*(1-LOTE_03!$K$10),2)</f>
        <v>10.4</v>
      </c>
      <c r="J201" s="100">
        <f t="shared" si="17"/>
        <v>0.22470000000000001</v>
      </c>
      <c r="K201" s="48">
        <f t="shared" si="18"/>
        <v>42.93</v>
      </c>
      <c r="L201" s="48">
        <f t="shared" si="19"/>
        <v>12.73</v>
      </c>
      <c r="M201" s="48">
        <f t="shared" si="20"/>
        <v>2146.5</v>
      </c>
      <c r="N201" s="48">
        <f t="shared" si="21"/>
        <v>636.5</v>
      </c>
      <c r="O201" s="50">
        <f t="shared" si="22"/>
        <v>2783</v>
      </c>
      <c r="P201" s="50">
        <v>0</v>
      </c>
      <c r="Q201" s="76"/>
      <c r="R201" s="140">
        <f>IF((S9*5+20*S10)&gt;50,50,(5*S9+10*S10))</f>
        <v>50</v>
      </c>
      <c r="S201" s="79">
        <v>35.06</v>
      </c>
      <c r="T201" s="80">
        <v>10.4</v>
      </c>
    </row>
    <row r="202" spans="2:20" ht="28">
      <c r="B202" s="5" t="s">
        <v>528</v>
      </c>
      <c r="C202" s="45" t="s">
        <v>165</v>
      </c>
      <c r="D202" s="45" t="s">
        <v>529</v>
      </c>
      <c r="E202" s="6" t="s">
        <v>530</v>
      </c>
      <c r="F202" s="45" t="s">
        <v>531</v>
      </c>
      <c r="G202" s="46">
        <f t="shared" si="23"/>
        <v>50</v>
      </c>
      <c r="H202" s="46">
        <f>TRUNC(S202*(1-LOTE_03!$K$10),2)</f>
        <v>26.7</v>
      </c>
      <c r="I202" s="46">
        <f>TRUNC(T202*(1-LOTE_03!$K$10),2)</f>
        <v>1.37</v>
      </c>
      <c r="J202" s="100">
        <f t="shared" si="17"/>
        <v>0.22470000000000001</v>
      </c>
      <c r="K202" s="48">
        <f t="shared" si="18"/>
        <v>32.69</v>
      </c>
      <c r="L202" s="48">
        <f t="shared" si="19"/>
        <v>1.67</v>
      </c>
      <c r="M202" s="48">
        <f t="shared" si="20"/>
        <v>1634.5</v>
      </c>
      <c r="N202" s="48">
        <f t="shared" si="21"/>
        <v>83.5</v>
      </c>
      <c r="O202" s="50">
        <f t="shared" si="22"/>
        <v>1718</v>
      </c>
      <c r="P202" s="50">
        <v>0</v>
      </c>
      <c r="Q202" s="76"/>
      <c r="R202" s="140">
        <f>IF((S9*5+20*S10)&gt;50,50,(5*S9+10*S10))</f>
        <v>50</v>
      </c>
      <c r="S202" s="79">
        <v>26.7</v>
      </c>
      <c r="T202" s="80">
        <v>1.37</v>
      </c>
    </row>
    <row r="203" spans="2:20" ht="28">
      <c r="B203" s="5" t="s">
        <v>532</v>
      </c>
      <c r="C203" s="45" t="s">
        <v>135</v>
      </c>
      <c r="D203" s="45">
        <v>98685</v>
      </c>
      <c r="E203" s="6" t="s">
        <v>1782</v>
      </c>
      <c r="F203" s="45" t="s">
        <v>187</v>
      </c>
      <c r="G203" s="46">
        <f t="shared" si="23"/>
        <v>50</v>
      </c>
      <c r="H203" s="46">
        <f>TRUNC(S203*(1-LOTE_03!$K$10),2)</f>
        <v>79.14</v>
      </c>
      <c r="I203" s="46">
        <f>TRUNC(T203*(1-LOTE_03!$K$10),2)</f>
        <v>8.52</v>
      </c>
      <c r="J203" s="100">
        <f t="shared" si="17"/>
        <v>0.22470000000000001</v>
      </c>
      <c r="K203" s="48">
        <f t="shared" si="18"/>
        <v>96.92</v>
      </c>
      <c r="L203" s="48">
        <f t="shared" si="19"/>
        <v>10.43</v>
      </c>
      <c r="M203" s="48">
        <f t="shared" si="20"/>
        <v>4846</v>
      </c>
      <c r="N203" s="48">
        <f t="shared" si="21"/>
        <v>521.5</v>
      </c>
      <c r="O203" s="50">
        <f t="shared" si="22"/>
        <v>5367.5</v>
      </c>
      <c r="P203" s="50">
        <v>0</v>
      </c>
      <c r="Q203" s="76"/>
      <c r="R203" s="140">
        <f>IF((S9*5+20*S10)&gt;50,50,(5*S9+10*S10))</f>
        <v>50</v>
      </c>
      <c r="S203" s="79">
        <v>79.14</v>
      </c>
      <c r="T203" s="80">
        <v>8.52</v>
      </c>
    </row>
    <row r="204" spans="2:20" ht="28">
      <c r="B204" s="5" t="s">
        <v>533</v>
      </c>
      <c r="C204" s="45" t="s">
        <v>135</v>
      </c>
      <c r="D204" s="45">
        <v>98689</v>
      </c>
      <c r="E204" s="6" t="s">
        <v>1783</v>
      </c>
      <c r="F204" s="45" t="s">
        <v>187</v>
      </c>
      <c r="G204" s="46">
        <f t="shared" si="23"/>
        <v>50</v>
      </c>
      <c r="H204" s="46">
        <f>TRUNC(S204*(1-LOTE_03!$K$10),2)</f>
        <v>115.35</v>
      </c>
      <c r="I204" s="46">
        <f>TRUNC(T204*(1-LOTE_03!$K$10),2)</f>
        <v>16.55</v>
      </c>
      <c r="J204" s="100">
        <f t="shared" si="17"/>
        <v>0.22470000000000001</v>
      </c>
      <c r="K204" s="48">
        <f t="shared" si="18"/>
        <v>141.26</v>
      </c>
      <c r="L204" s="48">
        <f t="shared" si="19"/>
        <v>20.260000000000002</v>
      </c>
      <c r="M204" s="48">
        <f t="shared" si="20"/>
        <v>7063</v>
      </c>
      <c r="N204" s="48">
        <f t="shared" si="21"/>
        <v>1013</v>
      </c>
      <c r="O204" s="50">
        <f t="shared" si="22"/>
        <v>8076</v>
      </c>
      <c r="P204" s="50">
        <v>0</v>
      </c>
      <c r="Q204" s="76"/>
      <c r="R204" s="140">
        <f>IF((S9*5+20*S10)&gt;50,50,(5*S9+10*S10))</f>
        <v>50</v>
      </c>
      <c r="S204" s="79">
        <v>115.35000000000001</v>
      </c>
      <c r="T204" s="80">
        <v>16.55</v>
      </c>
    </row>
    <row r="205" spans="2:20" ht="28">
      <c r="B205" s="5" t="s">
        <v>534</v>
      </c>
      <c r="C205" s="45" t="s">
        <v>135</v>
      </c>
      <c r="D205" s="45">
        <v>98695</v>
      </c>
      <c r="E205" s="6" t="s">
        <v>1784</v>
      </c>
      <c r="F205" s="45" t="s">
        <v>187</v>
      </c>
      <c r="G205" s="46">
        <f t="shared" si="23"/>
        <v>50</v>
      </c>
      <c r="H205" s="46">
        <f>TRUNC(S205*(1-LOTE_03!$K$10),2)</f>
        <v>116.19</v>
      </c>
      <c r="I205" s="46">
        <f>TRUNC(T205*(1-LOTE_03!$K$10),2)</f>
        <v>16.899999999999999</v>
      </c>
      <c r="J205" s="100">
        <f t="shared" si="17"/>
        <v>0.22470000000000001</v>
      </c>
      <c r="K205" s="48">
        <f t="shared" si="18"/>
        <v>142.29</v>
      </c>
      <c r="L205" s="48">
        <f t="shared" si="19"/>
        <v>20.69</v>
      </c>
      <c r="M205" s="48">
        <f t="shared" si="20"/>
        <v>7114.5</v>
      </c>
      <c r="N205" s="48">
        <f t="shared" si="21"/>
        <v>1034.5</v>
      </c>
      <c r="O205" s="50">
        <f t="shared" si="22"/>
        <v>8149</v>
      </c>
      <c r="P205" s="50">
        <v>0</v>
      </c>
      <c r="Q205" s="76"/>
      <c r="R205" s="140">
        <f>IF((S9*5+20*S10)&gt;50,50,(5*S9+10*S10))</f>
        <v>50</v>
      </c>
      <c r="S205" s="79">
        <v>116.19</v>
      </c>
      <c r="T205" s="80">
        <v>16.899999999999999</v>
      </c>
    </row>
    <row r="206" spans="2:20" ht="28">
      <c r="B206" s="5" t="s">
        <v>535</v>
      </c>
      <c r="C206" s="45" t="s">
        <v>165</v>
      </c>
      <c r="D206" s="45" t="s">
        <v>536</v>
      </c>
      <c r="E206" s="6" t="s">
        <v>537</v>
      </c>
      <c r="F206" s="45" t="s">
        <v>531</v>
      </c>
      <c r="G206" s="46">
        <f t="shared" si="23"/>
        <v>50</v>
      </c>
      <c r="H206" s="46">
        <f>TRUNC(S206*(1-LOTE_03!$K$10),2)</f>
        <v>131.65</v>
      </c>
      <c r="I206" s="46">
        <f>TRUNC(T206*(1-LOTE_03!$K$10),2)</f>
        <v>1.58</v>
      </c>
      <c r="J206" s="100">
        <f t="shared" si="17"/>
        <v>0.22470000000000001</v>
      </c>
      <c r="K206" s="48">
        <f t="shared" si="18"/>
        <v>161.22999999999999</v>
      </c>
      <c r="L206" s="48">
        <f t="shared" si="19"/>
        <v>1.93</v>
      </c>
      <c r="M206" s="48">
        <f t="shared" si="20"/>
        <v>8061.5</v>
      </c>
      <c r="N206" s="48">
        <f t="shared" si="21"/>
        <v>96.5</v>
      </c>
      <c r="O206" s="50">
        <f t="shared" si="22"/>
        <v>8158</v>
      </c>
      <c r="P206" s="50">
        <v>0</v>
      </c>
      <c r="Q206" s="76"/>
      <c r="R206" s="140">
        <f>IF((S9*5+20*S10)&gt;50,50,(5*S9+10*S10))</f>
        <v>50</v>
      </c>
      <c r="S206" s="79">
        <v>131.65</v>
      </c>
      <c r="T206" s="80">
        <v>1.58</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1495187.5</v>
      </c>
      <c r="Q207" s="76"/>
      <c r="R207" s="154"/>
      <c r="S207" s="79" t="s">
        <v>22</v>
      </c>
      <c r="T207" s="80" t="s">
        <v>22</v>
      </c>
    </row>
    <row r="208" spans="2:20" ht="42">
      <c r="B208" s="5" t="s">
        <v>538</v>
      </c>
      <c r="C208" s="45" t="s">
        <v>97</v>
      </c>
      <c r="D208" s="45" t="s">
        <v>539</v>
      </c>
      <c r="E208" s="6" t="s">
        <v>540</v>
      </c>
      <c r="F208" s="45" t="s">
        <v>104</v>
      </c>
      <c r="G208" s="46">
        <f t="shared" si="23"/>
        <v>20</v>
      </c>
      <c r="H208" s="46">
        <f>TRUNC(S208*(1-LOTE_03!$K$10),2)</f>
        <v>27.26</v>
      </c>
      <c r="I208" s="46">
        <f>TRUNC(T208*(1-LOTE_03!$K$10),2)</f>
        <v>66.81</v>
      </c>
      <c r="J208" s="100">
        <f t="shared" si="17"/>
        <v>0.22470000000000001</v>
      </c>
      <c r="K208" s="48">
        <f t="shared" ref="K208:K271" si="24">TRUNC(H208*(1+J208),2)</f>
        <v>33.380000000000003</v>
      </c>
      <c r="L208" s="48">
        <f t="shared" ref="L208:L271" si="25">TRUNC(I208*(1+J208),2)</f>
        <v>81.819999999999993</v>
      </c>
      <c r="M208" s="48">
        <f t="shared" ref="M208:M271" si="26">TRUNC(K208*G208,2)</f>
        <v>667.6</v>
      </c>
      <c r="N208" s="48">
        <f t="shared" ref="N208:N271" si="27">TRUNC(L208*G208,2)</f>
        <v>1636.4</v>
      </c>
      <c r="O208" s="50">
        <f t="shared" ref="O208:O271" si="28">TRUNC(M208+N208,2)</f>
        <v>2304</v>
      </c>
      <c r="P208" s="50">
        <v>0</v>
      </c>
      <c r="Q208" s="76"/>
      <c r="R208" s="140">
        <f>IF((2*S9+2*S10)&gt;20,20,(2*S9+2*S10))</f>
        <v>20</v>
      </c>
      <c r="S208" s="79">
        <v>27.26</v>
      </c>
      <c r="T208" s="80">
        <v>66.81</v>
      </c>
    </row>
    <row r="209" spans="2:20" ht="28">
      <c r="B209" s="5" t="s">
        <v>541</v>
      </c>
      <c r="C209" s="45" t="s">
        <v>97</v>
      </c>
      <c r="D209" s="45" t="s">
        <v>542</v>
      </c>
      <c r="E209" s="6" t="s">
        <v>543</v>
      </c>
      <c r="F209" s="45" t="s">
        <v>104</v>
      </c>
      <c r="G209" s="46">
        <f t="shared" si="23"/>
        <v>10</v>
      </c>
      <c r="H209" s="46">
        <f>TRUNC(S209*(1-LOTE_03!$K$10),2)</f>
        <v>0</v>
      </c>
      <c r="I209" s="46">
        <f>TRUNC(T209*(1-LOTE_03!$K$10),2)</f>
        <v>119.01</v>
      </c>
      <c r="J209" s="100">
        <f t="shared" si="17"/>
        <v>0.22470000000000001</v>
      </c>
      <c r="K209" s="48">
        <f t="shared" si="24"/>
        <v>0</v>
      </c>
      <c r="L209" s="48">
        <f t="shared" si="25"/>
        <v>145.75</v>
      </c>
      <c r="M209" s="48">
        <f t="shared" si="26"/>
        <v>0</v>
      </c>
      <c r="N209" s="48">
        <f t="shared" si="27"/>
        <v>1457.5</v>
      </c>
      <c r="O209" s="50">
        <f t="shared" si="28"/>
        <v>1457.5</v>
      </c>
      <c r="P209" s="50">
        <v>0</v>
      </c>
      <c r="Q209" s="76"/>
      <c r="R209" s="140">
        <f>IF((1*S9+1*S10)&gt;10,10,(1*S9+1*S10))</f>
        <v>10</v>
      </c>
      <c r="S209" s="79">
        <v>0</v>
      </c>
      <c r="T209" s="80">
        <v>119.01</v>
      </c>
    </row>
    <row r="210" spans="2:20" ht="42">
      <c r="B210" s="5" t="s">
        <v>544</v>
      </c>
      <c r="C210" s="45" t="s">
        <v>135</v>
      </c>
      <c r="D210" s="45">
        <v>102182</v>
      </c>
      <c r="E210" s="6" t="s">
        <v>1785</v>
      </c>
      <c r="F210" s="45" t="s">
        <v>210</v>
      </c>
      <c r="G210" s="46">
        <f t="shared" ref="G210:G273" si="29">TRUNC(R210,2)</f>
        <v>20</v>
      </c>
      <c r="H210" s="46">
        <f>TRUNC(S210*(1-LOTE_03!$K$10),2)</f>
        <v>1224.08</v>
      </c>
      <c r="I210" s="46">
        <f>TRUNC(T210*(1-LOTE_03!$K$10),2)</f>
        <v>65.23</v>
      </c>
      <c r="J210" s="100">
        <f t="shared" ref="J210:J273" si="30">$J$4</f>
        <v>0.22470000000000001</v>
      </c>
      <c r="K210" s="48">
        <f t="shared" si="24"/>
        <v>1499.13</v>
      </c>
      <c r="L210" s="48">
        <f t="shared" si="25"/>
        <v>79.88</v>
      </c>
      <c r="M210" s="48">
        <f t="shared" si="26"/>
        <v>29982.6</v>
      </c>
      <c r="N210" s="48">
        <f t="shared" si="27"/>
        <v>1597.6</v>
      </c>
      <c r="O210" s="50">
        <f t="shared" si="28"/>
        <v>31580.2</v>
      </c>
      <c r="P210" s="50">
        <v>0</v>
      </c>
      <c r="Q210" s="76"/>
      <c r="R210" s="140">
        <f>IF((2*S9+2*S10)&gt;20,20,(2*S9+2*S10))</f>
        <v>20</v>
      </c>
      <c r="S210" s="79">
        <v>1224.08</v>
      </c>
      <c r="T210" s="80">
        <v>65.23</v>
      </c>
    </row>
    <row r="211" spans="2:20" ht="56">
      <c r="B211" s="5" t="s">
        <v>545</v>
      </c>
      <c r="C211" s="45" t="s">
        <v>135</v>
      </c>
      <c r="D211" s="45">
        <v>102183</v>
      </c>
      <c r="E211" s="6" t="s">
        <v>1786</v>
      </c>
      <c r="F211" s="45" t="s">
        <v>210</v>
      </c>
      <c r="G211" s="46">
        <f t="shared" si="29"/>
        <v>10</v>
      </c>
      <c r="H211" s="46">
        <f>TRUNC(S211*(1-LOTE_03!$K$10),2)</f>
        <v>2276.69</v>
      </c>
      <c r="I211" s="46">
        <f>TRUNC(T211*(1-LOTE_03!$K$10),2)</f>
        <v>129.44999999999999</v>
      </c>
      <c r="J211" s="100">
        <f t="shared" si="30"/>
        <v>0.22470000000000001</v>
      </c>
      <c r="K211" s="48">
        <f t="shared" si="24"/>
        <v>2788.26</v>
      </c>
      <c r="L211" s="48">
        <f t="shared" si="25"/>
        <v>158.53</v>
      </c>
      <c r="M211" s="48">
        <f t="shared" si="26"/>
        <v>27882.6</v>
      </c>
      <c r="N211" s="48">
        <f t="shared" si="27"/>
        <v>1585.3</v>
      </c>
      <c r="O211" s="50">
        <f t="shared" si="28"/>
        <v>29467.9</v>
      </c>
      <c r="P211" s="50">
        <v>0</v>
      </c>
      <c r="Q211" s="76"/>
      <c r="R211" s="140">
        <f>IF((1*S9+1*S10)&gt;10,10,(1*S9+1*S10))</f>
        <v>10</v>
      </c>
      <c r="S211" s="79">
        <v>2276.69</v>
      </c>
      <c r="T211" s="80">
        <v>129.44999999999999</v>
      </c>
    </row>
    <row r="212" spans="2:20" ht="56">
      <c r="B212" s="5" t="s">
        <v>546</v>
      </c>
      <c r="C212" s="45" t="s">
        <v>135</v>
      </c>
      <c r="D212" s="45">
        <v>102184</v>
      </c>
      <c r="E212" s="6" t="s">
        <v>1787</v>
      </c>
      <c r="F212" s="45" t="s">
        <v>210</v>
      </c>
      <c r="G212" s="46">
        <f t="shared" si="29"/>
        <v>10</v>
      </c>
      <c r="H212" s="46">
        <f>TRUNC(S212*(1-LOTE_03!$K$10),2)</f>
        <v>2223.77</v>
      </c>
      <c r="I212" s="46">
        <f>TRUNC(T212*(1-LOTE_03!$K$10),2)</f>
        <v>119.01</v>
      </c>
      <c r="J212" s="100">
        <f t="shared" si="30"/>
        <v>0.22470000000000001</v>
      </c>
      <c r="K212" s="48">
        <f t="shared" si="24"/>
        <v>2723.45</v>
      </c>
      <c r="L212" s="48">
        <f t="shared" si="25"/>
        <v>145.75</v>
      </c>
      <c r="M212" s="48">
        <f t="shared" si="26"/>
        <v>27234.5</v>
      </c>
      <c r="N212" s="48">
        <f t="shared" si="27"/>
        <v>1457.5</v>
      </c>
      <c r="O212" s="50">
        <f t="shared" si="28"/>
        <v>28692</v>
      </c>
      <c r="P212" s="50">
        <v>0</v>
      </c>
      <c r="Q212" s="76"/>
      <c r="R212" s="140">
        <f>IF((1*S9+1*S10)&gt;10,10,(1*S9+1*S10))</f>
        <v>10</v>
      </c>
      <c r="S212" s="79">
        <v>2223.77</v>
      </c>
      <c r="T212" s="80">
        <v>119.01</v>
      </c>
    </row>
    <row r="213" spans="2:20" ht="70">
      <c r="B213" s="5" t="s">
        <v>547</v>
      </c>
      <c r="C213" s="45" t="s">
        <v>135</v>
      </c>
      <c r="D213" s="45">
        <v>102185</v>
      </c>
      <c r="E213" s="6" t="s">
        <v>1788</v>
      </c>
      <c r="F213" s="45" t="s">
        <v>210</v>
      </c>
      <c r="G213" s="46">
        <f t="shared" si="29"/>
        <v>10</v>
      </c>
      <c r="H213" s="46">
        <f>TRUNC(S213*(1-LOTE_03!$K$10),2)</f>
        <v>4449.8100000000004</v>
      </c>
      <c r="I213" s="46">
        <f>TRUNC(T213*(1-LOTE_03!$K$10),2)</f>
        <v>247.55</v>
      </c>
      <c r="J213" s="100">
        <f t="shared" si="30"/>
        <v>0.22470000000000001</v>
      </c>
      <c r="K213" s="48">
        <f t="shared" si="24"/>
        <v>5449.68</v>
      </c>
      <c r="L213" s="48">
        <f t="shared" si="25"/>
        <v>303.17</v>
      </c>
      <c r="M213" s="48">
        <f t="shared" si="26"/>
        <v>54496.800000000003</v>
      </c>
      <c r="N213" s="48">
        <f t="shared" si="27"/>
        <v>3031.7</v>
      </c>
      <c r="O213" s="50">
        <f t="shared" si="28"/>
        <v>57528.5</v>
      </c>
      <c r="P213" s="50">
        <v>0</v>
      </c>
      <c r="Q213" s="76"/>
      <c r="R213" s="140">
        <f>IF((1*S9+1*S10)&gt;10,10,(1*S9+1*S10))</f>
        <v>10</v>
      </c>
      <c r="S213" s="79">
        <v>4449.8099999999995</v>
      </c>
      <c r="T213" s="80">
        <v>247.55</v>
      </c>
    </row>
    <row r="214" spans="2:20" ht="28">
      <c r="B214" s="5" t="s">
        <v>548</v>
      </c>
      <c r="C214" s="45" t="s">
        <v>97</v>
      </c>
      <c r="D214" s="45" t="s">
        <v>549</v>
      </c>
      <c r="E214" s="6" t="s">
        <v>550</v>
      </c>
      <c r="F214" s="45" t="s">
        <v>104</v>
      </c>
      <c r="G214" s="46">
        <f t="shared" si="29"/>
        <v>40</v>
      </c>
      <c r="H214" s="46">
        <f>TRUNC(S214*(1-LOTE_03!$K$10),2)</f>
        <v>15.98</v>
      </c>
      <c r="I214" s="46">
        <f>TRUNC(T214*(1-LOTE_03!$K$10),2)</f>
        <v>46.41</v>
      </c>
      <c r="J214" s="100">
        <f t="shared" si="30"/>
        <v>0.22470000000000001</v>
      </c>
      <c r="K214" s="48">
        <f t="shared" si="24"/>
        <v>19.57</v>
      </c>
      <c r="L214" s="48">
        <f t="shared" si="25"/>
        <v>56.83</v>
      </c>
      <c r="M214" s="48">
        <f t="shared" si="26"/>
        <v>782.8</v>
      </c>
      <c r="N214" s="48">
        <f t="shared" si="27"/>
        <v>2273.1999999999998</v>
      </c>
      <c r="O214" s="50">
        <f t="shared" si="28"/>
        <v>3056</v>
      </c>
      <c r="P214" s="50">
        <v>0</v>
      </c>
      <c r="Q214" s="76"/>
      <c r="R214" s="140">
        <f>IF((2*S9+2*S10)&gt;50,50,(2*S9+2*S10))</f>
        <v>40</v>
      </c>
      <c r="S214" s="79">
        <v>15.98</v>
      </c>
      <c r="T214" s="80">
        <v>46.41</v>
      </c>
    </row>
    <row r="215" spans="2:20" ht="70">
      <c r="B215" s="5" t="s">
        <v>551</v>
      </c>
      <c r="C215" s="45" t="s">
        <v>135</v>
      </c>
      <c r="D215" s="45">
        <v>100695</v>
      </c>
      <c r="E215" s="6" t="s">
        <v>1789</v>
      </c>
      <c r="F215" s="45" t="s">
        <v>210</v>
      </c>
      <c r="G215" s="46">
        <f t="shared" si="29"/>
        <v>40</v>
      </c>
      <c r="H215" s="46">
        <f>TRUNC(S215*(1-LOTE_03!$K$10),2)</f>
        <v>22.61</v>
      </c>
      <c r="I215" s="46">
        <f>TRUNC(T215*(1-LOTE_03!$K$10),2)</f>
        <v>55.71</v>
      </c>
      <c r="J215" s="100">
        <f t="shared" si="30"/>
        <v>0.22470000000000001</v>
      </c>
      <c r="K215" s="48">
        <f t="shared" si="24"/>
        <v>27.69</v>
      </c>
      <c r="L215" s="48">
        <f t="shared" si="25"/>
        <v>68.22</v>
      </c>
      <c r="M215" s="48">
        <f t="shared" si="26"/>
        <v>1107.5999999999999</v>
      </c>
      <c r="N215" s="48">
        <f t="shared" si="27"/>
        <v>2728.8</v>
      </c>
      <c r="O215" s="50">
        <f t="shared" si="28"/>
        <v>3836.4</v>
      </c>
      <c r="P215" s="50">
        <v>0</v>
      </c>
      <c r="Q215" s="76"/>
      <c r="R215" s="140">
        <f>IF((2*S9+2*S10)&gt;50,50,(2*S9+2*S10))</f>
        <v>40</v>
      </c>
      <c r="S215" s="79">
        <v>22.609999999999992</v>
      </c>
      <c r="T215" s="80">
        <v>55.71</v>
      </c>
    </row>
    <row r="216" spans="2:20" ht="70">
      <c r="B216" s="5" t="s">
        <v>552</v>
      </c>
      <c r="C216" s="45" t="s">
        <v>135</v>
      </c>
      <c r="D216" s="45">
        <v>100697</v>
      </c>
      <c r="E216" s="6" t="s">
        <v>1790</v>
      </c>
      <c r="F216" s="45" t="s">
        <v>210</v>
      </c>
      <c r="G216" s="46">
        <f t="shared" si="29"/>
        <v>40</v>
      </c>
      <c r="H216" s="46">
        <f>TRUNC(S216*(1-LOTE_03!$K$10),2)</f>
        <v>27.3</v>
      </c>
      <c r="I216" s="46">
        <f>TRUNC(T216*(1-LOTE_03!$K$10),2)</f>
        <v>68.25</v>
      </c>
      <c r="J216" s="100">
        <f t="shared" si="30"/>
        <v>0.22470000000000001</v>
      </c>
      <c r="K216" s="48">
        <f t="shared" si="24"/>
        <v>33.43</v>
      </c>
      <c r="L216" s="48">
        <f t="shared" si="25"/>
        <v>83.58</v>
      </c>
      <c r="M216" s="48">
        <f t="shared" si="26"/>
        <v>1337.2</v>
      </c>
      <c r="N216" s="48">
        <f t="shared" si="27"/>
        <v>3343.2</v>
      </c>
      <c r="O216" s="50">
        <f t="shared" si="28"/>
        <v>4680.3999999999996</v>
      </c>
      <c r="P216" s="50">
        <v>0</v>
      </c>
      <c r="Q216" s="76"/>
      <c r="R216" s="140">
        <f>IF((2*S9+2*S10)&gt;50,50,(2*S9+2*S10))</f>
        <v>40</v>
      </c>
      <c r="S216" s="79">
        <v>27.299999999999997</v>
      </c>
      <c r="T216" s="80">
        <v>68.25</v>
      </c>
    </row>
    <row r="217" spans="2:20" ht="70">
      <c r="B217" s="5" t="s">
        <v>553</v>
      </c>
      <c r="C217" s="45" t="s">
        <v>135</v>
      </c>
      <c r="D217" s="45">
        <v>90820</v>
      </c>
      <c r="E217" s="6" t="s">
        <v>1791</v>
      </c>
      <c r="F217" s="45" t="s">
        <v>210</v>
      </c>
      <c r="G217" s="46">
        <f t="shared" si="29"/>
        <v>20</v>
      </c>
      <c r="H217" s="46">
        <f>TRUNC(S217*(1-LOTE_03!$K$10),2)</f>
        <v>307.74</v>
      </c>
      <c r="I217" s="46">
        <f>TRUNC(T217*(1-LOTE_03!$K$10),2)</f>
        <v>37.22</v>
      </c>
      <c r="J217" s="100">
        <f t="shared" si="30"/>
        <v>0.22470000000000001</v>
      </c>
      <c r="K217" s="48">
        <f t="shared" si="24"/>
        <v>376.88</v>
      </c>
      <c r="L217" s="48">
        <f t="shared" si="25"/>
        <v>45.58</v>
      </c>
      <c r="M217" s="48">
        <f t="shared" si="26"/>
        <v>7537.6</v>
      </c>
      <c r="N217" s="48">
        <f t="shared" si="27"/>
        <v>911.6</v>
      </c>
      <c r="O217" s="50">
        <f t="shared" si="28"/>
        <v>8449.2000000000007</v>
      </c>
      <c r="P217" s="50">
        <v>0</v>
      </c>
      <c r="Q217" s="76"/>
      <c r="R217" s="140">
        <f>IF((1*S9+1*S10)&gt;50,50,(1*S9+1*S10))</f>
        <v>20</v>
      </c>
      <c r="S217" s="79">
        <v>307.74</v>
      </c>
      <c r="T217" s="80">
        <v>37.22</v>
      </c>
    </row>
    <row r="218" spans="2:20" ht="70">
      <c r="B218" s="5" t="s">
        <v>554</v>
      </c>
      <c r="C218" s="45" t="s">
        <v>135</v>
      </c>
      <c r="D218" s="45">
        <v>90822</v>
      </c>
      <c r="E218" s="6" t="s">
        <v>1792</v>
      </c>
      <c r="F218" s="45" t="s">
        <v>210</v>
      </c>
      <c r="G218" s="46">
        <f t="shared" si="29"/>
        <v>40</v>
      </c>
      <c r="H218" s="46">
        <f>TRUNC(S218*(1-LOTE_03!$K$10),2)</f>
        <v>336.84</v>
      </c>
      <c r="I218" s="46">
        <f>TRUNC(T218*(1-LOTE_03!$K$10),2)</f>
        <v>45.02</v>
      </c>
      <c r="J218" s="100">
        <f t="shared" si="30"/>
        <v>0.22470000000000001</v>
      </c>
      <c r="K218" s="48">
        <f t="shared" si="24"/>
        <v>412.52</v>
      </c>
      <c r="L218" s="48">
        <f t="shared" si="25"/>
        <v>55.13</v>
      </c>
      <c r="M218" s="48">
        <f t="shared" si="26"/>
        <v>16500.8</v>
      </c>
      <c r="N218" s="48">
        <f t="shared" si="27"/>
        <v>2205.1999999999998</v>
      </c>
      <c r="O218" s="50">
        <f t="shared" si="28"/>
        <v>18706</v>
      </c>
      <c r="P218" s="50">
        <v>0</v>
      </c>
      <c r="Q218" s="76"/>
      <c r="R218" s="140">
        <f>IF((2*S9+2*S10)&gt;50,50,(2*S9+2*S10))</f>
        <v>40</v>
      </c>
      <c r="S218" s="79">
        <v>336.84000000000003</v>
      </c>
      <c r="T218" s="80">
        <v>45.02</v>
      </c>
    </row>
    <row r="219" spans="2:20" ht="70">
      <c r="B219" s="5" t="s">
        <v>555</v>
      </c>
      <c r="C219" s="45" t="s">
        <v>135</v>
      </c>
      <c r="D219" s="45">
        <v>90823</v>
      </c>
      <c r="E219" s="6" t="s">
        <v>1793</v>
      </c>
      <c r="F219" s="45" t="s">
        <v>210</v>
      </c>
      <c r="G219" s="46">
        <f t="shared" si="29"/>
        <v>40</v>
      </c>
      <c r="H219" s="46">
        <f>TRUNC(S219*(1-LOTE_03!$K$10),2)</f>
        <v>426.73</v>
      </c>
      <c r="I219" s="46">
        <f>TRUNC(T219*(1-LOTE_03!$K$10),2)</f>
        <v>48.52</v>
      </c>
      <c r="J219" s="100">
        <f t="shared" si="30"/>
        <v>0.22470000000000001</v>
      </c>
      <c r="K219" s="48">
        <f t="shared" si="24"/>
        <v>522.61</v>
      </c>
      <c r="L219" s="48">
        <f t="shared" si="25"/>
        <v>59.42</v>
      </c>
      <c r="M219" s="48">
        <f t="shared" si="26"/>
        <v>20904.400000000001</v>
      </c>
      <c r="N219" s="48">
        <f t="shared" si="27"/>
        <v>2376.8000000000002</v>
      </c>
      <c r="O219" s="50">
        <f t="shared" si="28"/>
        <v>23281.200000000001</v>
      </c>
      <c r="P219" s="50">
        <v>0</v>
      </c>
      <c r="Q219" s="76"/>
      <c r="R219" s="140">
        <f>IF((2*S9+2*S10)&gt;50,50,(2*S9+2*S10))</f>
        <v>40</v>
      </c>
      <c r="S219" s="79">
        <v>426.73</v>
      </c>
      <c r="T219" s="80">
        <v>48.52</v>
      </c>
    </row>
    <row r="220" spans="2:20" ht="28">
      <c r="B220" s="5" t="s">
        <v>556</v>
      </c>
      <c r="C220" s="45" t="s">
        <v>165</v>
      </c>
      <c r="D220" s="45" t="s">
        <v>557</v>
      </c>
      <c r="E220" s="6" t="s">
        <v>558</v>
      </c>
      <c r="F220" s="45" t="s">
        <v>559</v>
      </c>
      <c r="G220" s="46">
        <f t="shared" si="29"/>
        <v>40</v>
      </c>
      <c r="H220" s="46">
        <f>TRUNC(S220*(1-LOTE_03!$K$10),2)</f>
        <v>1077.77</v>
      </c>
      <c r="I220" s="46">
        <f>TRUNC(T220*(1-LOTE_03!$K$10),2)</f>
        <v>178.66</v>
      </c>
      <c r="J220" s="100">
        <f t="shared" si="30"/>
        <v>0.22470000000000001</v>
      </c>
      <c r="K220" s="48">
        <f t="shared" si="24"/>
        <v>1319.94</v>
      </c>
      <c r="L220" s="48">
        <f t="shared" si="25"/>
        <v>218.8</v>
      </c>
      <c r="M220" s="48">
        <f t="shared" si="26"/>
        <v>52797.599999999999</v>
      </c>
      <c r="N220" s="48">
        <f t="shared" si="27"/>
        <v>8752</v>
      </c>
      <c r="O220" s="50">
        <f t="shared" si="28"/>
        <v>61549.599999999999</v>
      </c>
      <c r="P220" s="50">
        <v>0</v>
      </c>
      <c r="Q220" s="76"/>
      <c r="R220" s="140">
        <f>IF((2*S9+2*S10)&gt;50,50,(2*S9+2*S10))</f>
        <v>40</v>
      </c>
      <c r="S220" s="79">
        <v>1077.77</v>
      </c>
      <c r="T220" s="80">
        <v>178.66</v>
      </c>
    </row>
    <row r="221" spans="2:20" ht="28">
      <c r="B221" s="5" t="s">
        <v>560</v>
      </c>
      <c r="C221" s="45" t="s">
        <v>165</v>
      </c>
      <c r="D221" s="45" t="s">
        <v>561</v>
      </c>
      <c r="E221" s="6" t="s">
        <v>562</v>
      </c>
      <c r="F221" s="45" t="s">
        <v>559</v>
      </c>
      <c r="G221" s="46">
        <f t="shared" si="29"/>
        <v>20</v>
      </c>
      <c r="H221" s="46">
        <f>TRUNC(S221*(1-LOTE_03!$K$10),2)</f>
        <v>2169.13</v>
      </c>
      <c r="I221" s="46">
        <f>TRUNC(T221*(1-LOTE_03!$K$10),2)</f>
        <v>178.66</v>
      </c>
      <c r="J221" s="100">
        <f t="shared" si="30"/>
        <v>0.22470000000000001</v>
      </c>
      <c r="K221" s="48">
        <f t="shared" si="24"/>
        <v>2656.53</v>
      </c>
      <c r="L221" s="48">
        <f t="shared" si="25"/>
        <v>218.8</v>
      </c>
      <c r="M221" s="48">
        <f t="shared" si="26"/>
        <v>53130.6</v>
      </c>
      <c r="N221" s="48">
        <f t="shared" si="27"/>
        <v>4376</v>
      </c>
      <c r="O221" s="50">
        <f t="shared" si="28"/>
        <v>57506.6</v>
      </c>
      <c r="P221" s="50">
        <v>0</v>
      </c>
      <c r="Q221" s="76"/>
      <c r="R221" s="140">
        <f>IF((1*S9+1*S10)&gt;20,20,(1*S9+1*S10))</f>
        <v>20</v>
      </c>
      <c r="S221" s="79">
        <v>2169.13</v>
      </c>
      <c r="T221" s="80">
        <v>178.66</v>
      </c>
    </row>
    <row r="222" spans="2:20" ht="98">
      <c r="B222" s="5" t="s">
        <v>563</v>
      </c>
      <c r="C222" s="45" t="s">
        <v>135</v>
      </c>
      <c r="D222" s="45">
        <v>90793</v>
      </c>
      <c r="E222" s="6" t="s">
        <v>1794</v>
      </c>
      <c r="F222" s="45" t="s">
        <v>210</v>
      </c>
      <c r="G222" s="46">
        <f t="shared" si="29"/>
        <v>20</v>
      </c>
      <c r="H222" s="46">
        <f>TRUNC(S222*(1-LOTE_03!$K$10),2)</f>
        <v>1205.93</v>
      </c>
      <c r="I222" s="46">
        <f>TRUNC(T222*(1-LOTE_03!$K$10),2)</f>
        <v>26.24</v>
      </c>
      <c r="J222" s="100">
        <f t="shared" si="30"/>
        <v>0.22470000000000001</v>
      </c>
      <c r="K222" s="48">
        <f t="shared" si="24"/>
        <v>1476.9</v>
      </c>
      <c r="L222" s="48">
        <f t="shared" si="25"/>
        <v>32.130000000000003</v>
      </c>
      <c r="M222" s="48">
        <f t="shared" si="26"/>
        <v>29538</v>
      </c>
      <c r="N222" s="48">
        <f t="shared" si="27"/>
        <v>642.6</v>
      </c>
      <c r="O222" s="50">
        <f t="shared" si="28"/>
        <v>30180.6</v>
      </c>
      <c r="P222" s="50">
        <v>0</v>
      </c>
      <c r="Q222" s="76"/>
      <c r="R222" s="140">
        <f>IF((2*S9+2*S10)&gt;20,20,(2*S9+2*S10))</f>
        <v>20</v>
      </c>
      <c r="S222" s="79">
        <v>1205.93</v>
      </c>
      <c r="T222" s="80">
        <v>26.24</v>
      </c>
    </row>
    <row r="223" spans="2:20" ht="56">
      <c r="B223" s="5" t="s">
        <v>564</v>
      </c>
      <c r="C223" s="45" t="s">
        <v>97</v>
      </c>
      <c r="D223" s="45" t="s">
        <v>565</v>
      </c>
      <c r="E223" s="6" t="s">
        <v>566</v>
      </c>
      <c r="F223" s="45" t="s">
        <v>104</v>
      </c>
      <c r="G223" s="46">
        <f t="shared" si="29"/>
        <v>100</v>
      </c>
      <c r="H223" s="46">
        <f>TRUNC(S223*(1-LOTE_03!$K$10),2)</f>
        <v>1696.27</v>
      </c>
      <c r="I223" s="46">
        <f>TRUNC(T223*(1-LOTE_03!$K$10),2)</f>
        <v>50.18</v>
      </c>
      <c r="J223" s="100">
        <f t="shared" si="30"/>
        <v>0.22470000000000001</v>
      </c>
      <c r="K223" s="48">
        <f t="shared" si="24"/>
        <v>2077.42</v>
      </c>
      <c r="L223" s="48">
        <f t="shared" si="25"/>
        <v>61.45</v>
      </c>
      <c r="M223" s="48">
        <f t="shared" si="26"/>
        <v>207742</v>
      </c>
      <c r="N223" s="48">
        <f t="shared" si="27"/>
        <v>6145</v>
      </c>
      <c r="O223" s="50">
        <f t="shared" si="28"/>
        <v>213887</v>
      </c>
      <c r="P223" s="50">
        <v>0</v>
      </c>
      <c r="Q223" s="76"/>
      <c r="R223" s="140">
        <f>5*(S9+S10)</f>
        <v>100</v>
      </c>
      <c r="S223" s="79">
        <v>1696.27</v>
      </c>
      <c r="T223" s="80">
        <v>50.18</v>
      </c>
    </row>
    <row r="224" spans="2:20" ht="28">
      <c r="B224" s="5" t="s">
        <v>567</v>
      </c>
      <c r="C224" s="45" t="s">
        <v>97</v>
      </c>
      <c r="D224" s="45" t="s">
        <v>568</v>
      </c>
      <c r="E224" s="6" t="s">
        <v>569</v>
      </c>
      <c r="F224" s="45" t="s">
        <v>104</v>
      </c>
      <c r="G224" s="46">
        <f t="shared" si="29"/>
        <v>40</v>
      </c>
      <c r="H224" s="46">
        <f>TRUNC(S224*(1-LOTE_03!$K$10),2)</f>
        <v>290.18</v>
      </c>
      <c r="I224" s="46">
        <f>TRUNC(T224*(1-LOTE_03!$K$10),2)</f>
        <v>14.52</v>
      </c>
      <c r="J224" s="100">
        <f t="shared" si="30"/>
        <v>0.22470000000000001</v>
      </c>
      <c r="K224" s="48">
        <f t="shared" si="24"/>
        <v>355.38</v>
      </c>
      <c r="L224" s="48">
        <f t="shared" si="25"/>
        <v>17.78</v>
      </c>
      <c r="M224" s="48">
        <f t="shared" si="26"/>
        <v>14215.2</v>
      </c>
      <c r="N224" s="48">
        <f t="shared" si="27"/>
        <v>711.2</v>
      </c>
      <c r="O224" s="50">
        <f t="shared" si="28"/>
        <v>14926.4</v>
      </c>
      <c r="P224" s="50">
        <v>0</v>
      </c>
      <c r="Q224" s="76"/>
      <c r="R224" s="140">
        <f>IF((2*S9+2*S10)&gt;50,50,(2*S9+2*S10))</f>
        <v>40</v>
      </c>
      <c r="S224" s="79">
        <v>290.18</v>
      </c>
      <c r="T224" s="80">
        <v>14.52</v>
      </c>
    </row>
    <row r="225" spans="2:20" ht="42">
      <c r="B225" s="5" t="s">
        <v>570</v>
      </c>
      <c r="C225" s="45" t="s">
        <v>135</v>
      </c>
      <c r="D225" s="45">
        <v>100701</v>
      </c>
      <c r="E225" s="6" t="s">
        <v>1795</v>
      </c>
      <c r="F225" s="45" t="s">
        <v>121</v>
      </c>
      <c r="G225" s="46">
        <f t="shared" si="29"/>
        <v>100</v>
      </c>
      <c r="H225" s="46">
        <f>TRUNC(S225*(1-LOTE_03!$K$10),2)</f>
        <v>672.32</v>
      </c>
      <c r="I225" s="46">
        <f>TRUNC(T225*(1-LOTE_03!$K$10),2)</f>
        <v>14.42</v>
      </c>
      <c r="J225" s="100">
        <f t="shared" si="30"/>
        <v>0.22470000000000001</v>
      </c>
      <c r="K225" s="48">
        <f t="shared" si="24"/>
        <v>823.39</v>
      </c>
      <c r="L225" s="48">
        <f t="shared" si="25"/>
        <v>17.66</v>
      </c>
      <c r="M225" s="48">
        <f t="shared" si="26"/>
        <v>82339</v>
      </c>
      <c r="N225" s="48">
        <f t="shared" si="27"/>
        <v>1766</v>
      </c>
      <c r="O225" s="50">
        <f t="shared" si="28"/>
        <v>84105</v>
      </c>
      <c r="P225" s="50">
        <v>0</v>
      </c>
      <c r="Q225" s="76"/>
      <c r="R225" s="140">
        <f>IF((5*S9+7*S10)&gt;100,100,(5*S9+7*S10))</f>
        <v>100</v>
      </c>
      <c r="S225" s="79">
        <v>672.32</v>
      </c>
      <c r="T225" s="80">
        <v>14.42</v>
      </c>
    </row>
    <row r="226" spans="2:20" ht="42">
      <c r="B226" s="5" t="s">
        <v>571</v>
      </c>
      <c r="C226" s="45" t="s">
        <v>135</v>
      </c>
      <c r="D226" s="45">
        <v>90838</v>
      </c>
      <c r="E226" s="6" t="s">
        <v>1796</v>
      </c>
      <c r="F226" s="45" t="s">
        <v>210</v>
      </c>
      <c r="G226" s="46">
        <f t="shared" si="29"/>
        <v>10</v>
      </c>
      <c r="H226" s="46">
        <f>TRUNC(S226*(1-LOTE_03!$K$10),2)</f>
        <v>1577.51</v>
      </c>
      <c r="I226" s="46">
        <f>TRUNC(T226*(1-LOTE_03!$K$10),2)</f>
        <v>100.33</v>
      </c>
      <c r="J226" s="100">
        <f t="shared" si="30"/>
        <v>0.22470000000000001</v>
      </c>
      <c r="K226" s="48">
        <f t="shared" si="24"/>
        <v>1931.97</v>
      </c>
      <c r="L226" s="48">
        <f t="shared" si="25"/>
        <v>122.87</v>
      </c>
      <c r="M226" s="48">
        <f t="shared" si="26"/>
        <v>19319.7</v>
      </c>
      <c r="N226" s="48">
        <f t="shared" si="27"/>
        <v>1228.7</v>
      </c>
      <c r="O226" s="50">
        <f t="shared" si="28"/>
        <v>20548.400000000001</v>
      </c>
      <c r="P226" s="50">
        <v>0</v>
      </c>
      <c r="Q226" s="76"/>
      <c r="R226" s="140">
        <f>IF((1*S9+1*S10)&gt;10,10,(1*S9+1*S10))</f>
        <v>10</v>
      </c>
      <c r="S226" s="79">
        <v>1577.51</v>
      </c>
      <c r="T226" s="80">
        <v>100.33</v>
      </c>
    </row>
    <row r="227" spans="2:20" ht="56">
      <c r="B227" s="5" t="s">
        <v>572</v>
      </c>
      <c r="C227" s="45" t="s">
        <v>135</v>
      </c>
      <c r="D227" s="45">
        <v>91341</v>
      </c>
      <c r="E227" s="6" t="s">
        <v>1797</v>
      </c>
      <c r="F227" s="45" t="s">
        <v>121</v>
      </c>
      <c r="G227" s="46">
        <f t="shared" si="29"/>
        <v>20</v>
      </c>
      <c r="H227" s="46">
        <f>TRUNC(S227*(1-LOTE_03!$K$10),2)</f>
        <v>700.3</v>
      </c>
      <c r="I227" s="46">
        <f>TRUNC(T227*(1-LOTE_03!$K$10),2)</f>
        <v>11.17</v>
      </c>
      <c r="J227" s="100">
        <f t="shared" si="30"/>
        <v>0.22470000000000001</v>
      </c>
      <c r="K227" s="48">
        <f t="shared" si="24"/>
        <v>857.65</v>
      </c>
      <c r="L227" s="48">
        <f t="shared" si="25"/>
        <v>13.67</v>
      </c>
      <c r="M227" s="48">
        <f t="shared" si="26"/>
        <v>17153</v>
      </c>
      <c r="N227" s="48">
        <f t="shared" si="27"/>
        <v>273.39999999999998</v>
      </c>
      <c r="O227" s="50">
        <f t="shared" si="28"/>
        <v>17426.400000000001</v>
      </c>
      <c r="P227" s="50">
        <v>0</v>
      </c>
      <c r="Q227" s="76"/>
      <c r="R227" s="140">
        <f>IF((1*S9+2*S10)&gt;20,20,(1*S9+2*S10))</f>
        <v>20</v>
      </c>
      <c r="S227" s="79">
        <v>700.30000000000007</v>
      </c>
      <c r="T227" s="80">
        <v>11.17</v>
      </c>
    </row>
    <row r="228" spans="2:20" ht="56">
      <c r="B228" s="5" t="s">
        <v>573</v>
      </c>
      <c r="C228" s="45" t="s">
        <v>135</v>
      </c>
      <c r="D228" s="45">
        <v>100702</v>
      </c>
      <c r="E228" s="6" t="s">
        <v>1798</v>
      </c>
      <c r="F228" s="45" t="s">
        <v>121</v>
      </c>
      <c r="G228" s="46">
        <f t="shared" si="29"/>
        <v>50</v>
      </c>
      <c r="H228" s="46">
        <f>TRUNC(S228*(1-LOTE_03!$K$10),2)</f>
        <v>495.1</v>
      </c>
      <c r="I228" s="46">
        <f>TRUNC(T228*(1-LOTE_03!$K$10),2)</f>
        <v>8.25</v>
      </c>
      <c r="J228" s="100">
        <f t="shared" si="30"/>
        <v>0.22470000000000001</v>
      </c>
      <c r="K228" s="48">
        <f t="shared" si="24"/>
        <v>606.34</v>
      </c>
      <c r="L228" s="48">
        <f t="shared" si="25"/>
        <v>10.1</v>
      </c>
      <c r="M228" s="48">
        <f t="shared" si="26"/>
        <v>30317</v>
      </c>
      <c r="N228" s="48">
        <f t="shared" si="27"/>
        <v>505</v>
      </c>
      <c r="O228" s="50">
        <f t="shared" si="28"/>
        <v>30822</v>
      </c>
      <c r="P228" s="50">
        <v>0</v>
      </c>
      <c r="Q228" s="76"/>
      <c r="R228" s="140">
        <f>IF((10*S9+10*S10)&gt;50,50,(10*S9+10*S10))</f>
        <v>50</v>
      </c>
      <c r="S228" s="79">
        <v>495.1</v>
      </c>
      <c r="T228" s="80">
        <v>8.25</v>
      </c>
    </row>
    <row r="229" spans="2:20" ht="112">
      <c r="B229" s="5" t="s">
        <v>574</v>
      </c>
      <c r="C229" s="45" t="s">
        <v>135</v>
      </c>
      <c r="D229" s="45">
        <v>94569</v>
      </c>
      <c r="E229" s="6" t="s">
        <v>575</v>
      </c>
      <c r="F229" s="45" t="s">
        <v>121</v>
      </c>
      <c r="G229" s="46">
        <f t="shared" si="29"/>
        <v>50</v>
      </c>
      <c r="H229" s="46">
        <f>TRUNC(S229*(1-LOTE_03!$K$10),2)</f>
        <v>636.4</v>
      </c>
      <c r="I229" s="46">
        <f>TRUNC(T229*(1-LOTE_03!$K$10),2)</f>
        <v>29.15</v>
      </c>
      <c r="J229" s="100">
        <f t="shared" si="30"/>
        <v>0.22470000000000001</v>
      </c>
      <c r="K229" s="48">
        <f t="shared" si="24"/>
        <v>779.39</v>
      </c>
      <c r="L229" s="48">
        <f t="shared" si="25"/>
        <v>35.700000000000003</v>
      </c>
      <c r="M229" s="48">
        <f t="shared" si="26"/>
        <v>38969.5</v>
      </c>
      <c r="N229" s="48">
        <f t="shared" si="27"/>
        <v>1785</v>
      </c>
      <c r="O229" s="50">
        <f t="shared" si="28"/>
        <v>40754.5</v>
      </c>
      <c r="P229" s="50">
        <v>0</v>
      </c>
      <c r="Q229" s="76"/>
      <c r="R229" s="140">
        <f>IF((5*S9+5*S10)&gt;50,50,(5*S9+5*S10))</f>
        <v>50</v>
      </c>
      <c r="S229" s="79">
        <v>636.4</v>
      </c>
      <c r="T229" s="80">
        <v>29.15</v>
      </c>
    </row>
    <row r="230" spans="2:20" ht="140">
      <c r="B230" s="5" t="s">
        <v>576</v>
      </c>
      <c r="C230" s="45" t="s">
        <v>135</v>
      </c>
      <c r="D230" s="45">
        <v>94570</v>
      </c>
      <c r="E230" s="6" t="s">
        <v>577</v>
      </c>
      <c r="F230" s="45" t="s">
        <v>121</v>
      </c>
      <c r="G230" s="46">
        <f t="shared" si="29"/>
        <v>50</v>
      </c>
      <c r="H230" s="46">
        <f>TRUNC(S230*(1-LOTE_03!$K$10),2)</f>
        <v>343.23</v>
      </c>
      <c r="I230" s="46">
        <f>TRUNC(T230*(1-LOTE_03!$K$10),2)</f>
        <v>9.01</v>
      </c>
      <c r="J230" s="100">
        <f t="shared" si="30"/>
        <v>0.22470000000000001</v>
      </c>
      <c r="K230" s="48">
        <f t="shared" si="24"/>
        <v>420.35</v>
      </c>
      <c r="L230" s="48">
        <f t="shared" si="25"/>
        <v>11.03</v>
      </c>
      <c r="M230" s="48">
        <f t="shared" si="26"/>
        <v>21017.5</v>
      </c>
      <c r="N230" s="48">
        <f t="shared" si="27"/>
        <v>551.5</v>
      </c>
      <c r="O230" s="50">
        <f t="shared" si="28"/>
        <v>21569</v>
      </c>
      <c r="P230" s="50">
        <v>0</v>
      </c>
      <c r="Q230" s="76"/>
      <c r="R230" s="140">
        <f>IF((5*S9+5*S10)&gt;50,50,(5*S9+5*S10))</f>
        <v>50</v>
      </c>
      <c r="S230" s="79">
        <v>343.23</v>
      </c>
      <c r="T230" s="80">
        <v>9.01</v>
      </c>
    </row>
    <row r="231" spans="2:20" ht="98">
      <c r="B231" s="5" t="s">
        <v>578</v>
      </c>
      <c r="C231" s="45" t="s">
        <v>135</v>
      </c>
      <c r="D231" s="45">
        <v>100674</v>
      </c>
      <c r="E231" s="6" t="s">
        <v>579</v>
      </c>
      <c r="F231" s="45" t="s">
        <v>121</v>
      </c>
      <c r="G231" s="46">
        <f t="shared" si="29"/>
        <v>50</v>
      </c>
      <c r="H231" s="46">
        <f>TRUNC(S231*(1-LOTE_03!$K$10),2)</f>
        <v>742.08</v>
      </c>
      <c r="I231" s="46">
        <f>TRUNC(T231*(1-LOTE_03!$K$10),2)</f>
        <v>21.37</v>
      </c>
      <c r="J231" s="100">
        <f t="shared" si="30"/>
        <v>0.22470000000000001</v>
      </c>
      <c r="K231" s="48">
        <f t="shared" si="24"/>
        <v>908.82</v>
      </c>
      <c r="L231" s="48">
        <f t="shared" si="25"/>
        <v>26.17</v>
      </c>
      <c r="M231" s="48">
        <f t="shared" si="26"/>
        <v>45441</v>
      </c>
      <c r="N231" s="48">
        <f t="shared" si="27"/>
        <v>1308.5</v>
      </c>
      <c r="O231" s="50">
        <f t="shared" si="28"/>
        <v>46749.5</v>
      </c>
      <c r="P231" s="50">
        <v>0</v>
      </c>
      <c r="Q231" s="76"/>
      <c r="R231" s="140">
        <f>IF((5*S9+5*S10)&gt;50,50,(5*S9+5*S10))</f>
        <v>50</v>
      </c>
      <c r="S231" s="79">
        <v>742.08</v>
      </c>
      <c r="T231" s="80">
        <v>21.37</v>
      </c>
    </row>
    <row r="232" spans="2:20" ht="140">
      <c r="B232" s="5" t="s">
        <v>580</v>
      </c>
      <c r="C232" s="45" t="s">
        <v>135</v>
      </c>
      <c r="D232" s="45">
        <v>94573</v>
      </c>
      <c r="E232" s="6" t="s">
        <v>581</v>
      </c>
      <c r="F232" s="45" t="s">
        <v>121</v>
      </c>
      <c r="G232" s="46">
        <f t="shared" si="29"/>
        <v>50</v>
      </c>
      <c r="H232" s="46">
        <f>TRUNC(S232*(1-LOTE_03!$K$10),2)</f>
        <v>382.01</v>
      </c>
      <c r="I232" s="46">
        <f>TRUNC(T232*(1-LOTE_03!$K$10),2)</f>
        <v>8.99</v>
      </c>
      <c r="J232" s="100">
        <f t="shared" si="30"/>
        <v>0.22470000000000001</v>
      </c>
      <c r="K232" s="48">
        <f t="shared" si="24"/>
        <v>467.84</v>
      </c>
      <c r="L232" s="48">
        <f t="shared" si="25"/>
        <v>11.01</v>
      </c>
      <c r="M232" s="48">
        <f t="shared" si="26"/>
        <v>23392</v>
      </c>
      <c r="N232" s="48">
        <f t="shared" si="27"/>
        <v>550.5</v>
      </c>
      <c r="O232" s="50">
        <f t="shared" si="28"/>
        <v>23942.5</v>
      </c>
      <c r="P232" s="50">
        <v>0</v>
      </c>
      <c r="Q232" s="76"/>
      <c r="R232" s="140">
        <f>IF((5*S9+5*S10)&gt;50,50,(5*S9+5*S10))</f>
        <v>50</v>
      </c>
      <c r="S232" s="79">
        <v>382.01</v>
      </c>
      <c r="T232" s="80">
        <v>8.99</v>
      </c>
    </row>
    <row r="233" spans="2:20" ht="28">
      <c r="B233" s="5" t="s">
        <v>582</v>
      </c>
      <c r="C233" s="45" t="s">
        <v>165</v>
      </c>
      <c r="D233" s="45" t="s">
        <v>583</v>
      </c>
      <c r="E233" s="6" t="s">
        <v>584</v>
      </c>
      <c r="F233" s="45" t="s">
        <v>168</v>
      </c>
      <c r="G233" s="46">
        <f t="shared" si="29"/>
        <v>100</v>
      </c>
      <c r="H233" s="46">
        <f>TRUNC(S233*(1-LOTE_03!$K$10),2)</f>
        <v>433.02</v>
      </c>
      <c r="I233" s="46">
        <f>TRUNC(T233*(1-LOTE_03!$K$10),2)</f>
        <v>97.61</v>
      </c>
      <c r="J233" s="100">
        <f t="shared" si="30"/>
        <v>0.22470000000000001</v>
      </c>
      <c r="K233" s="48">
        <f t="shared" si="24"/>
        <v>530.30999999999995</v>
      </c>
      <c r="L233" s="48">
        <f t="shared" si="25"/>
        <v>119.54</v>
      </c>
      <c r="M233" s="48">
        <f t="shared" si="26"/>
        <v>53031</v>
      </c>
      <c r="N233" s="48">
        <f t="shared" si="27"/>
        <v>11954</v>
      </c>
      <c r="O233" s="50">
        <f t="shared" si="28"/>
        <v>64985</v>
      </c>
      <c r="P233" s="50">
        <v>0</v>
      </c>
      <c r="Q233" s="76"/>
      <c r="R233" s="140">
        <f>IF((20*S9+20*S10)&gt;100,100,(20*S9+20*S10))</f>
        <v>100</v>
      </c>
      <c r="S233" s="79">
        <v>433.02</v>
      </c>
      <c r="T233" s="80">
        <v>97.61</v>
      </c>
    </row>
    <row r="234" spans="2:20" ht="42">
      <c r="B234" s="5" t="s">
        <v>585</v>
      </c>
      <c r="C234" s="45" t="s">
        <v>135</v>
      </c>
      <c r="D234" s="45">
        <v>99861</v>
      </c>
      <c r="E234" s="6" t="s">
        <v>1799</v>
      </c>
      <c r="F234" s="45" t="s">
        <v>121</v>
      </c>
      <c r="G234" s="46">
        <f t="shared" si="29"/>
        <v>100</v>
      </c>
      <c r="H234" s="46">
        <f>TRUNC(S234*(1-LOTE_03!$K$10),2)</f>
        <v>263.62</v>
      </c>
      <c r="I234" s="46">
        <f>TRUNC(T234*(1-LOTE_03!$K$10),2)</f>
        <v>251.45</v>
      </c>
      <c r="J234" s="100">
        <f t="shared" si="30"/>
        <v>0.22470000000000001</v>
      </c>
      <c r="K234" s="48">
        <f t="shared" si="24"/>
        <v>322.85000000000002</v>
      </c>
      <c r="L234" s="48">
        <f t="shared" si="25"/>
        <v>307.95</v>
      </c>
      <c r="M234" s="48">
        <f t="shared" si="26"/>
        <v>32285</v>
      </c>
      <c r="N234" s="48">
        <f t="shared" si="27"/>
        <v>30795</v>
      </c>
      <c r="O234" s="50">
        <f t="shared" si="28"/>
        <v>63080</v>
      </c>
      <c r="P234" s="50">
        <v>0</v>
      </c>
      <c r="Q234" s="76"/>
      <c r="R234" s="140">
        <f>IF((20*S9+20*S10)&gt;100,100,(20*S9+20*S10))</f>
        <v>100</v>
      </c>
      <c r="S234" s="79">
        <v>263.62000000000006</v>
      </c>
      <c r="T234" s="80">
        <v>251.45</v>
      </c>
    </row>
    <row r="235" spans="2:20" ht="28">
      <c r="B235" s="5" t="s">
        <v>586</v>
      </c>
      <c r="C235" s="45" t="s">
        <v>97</v>
      </c>
      <c r="D235" s="45" t="s">
        <v>587</v>
      </c>
      <c r="E235" s="6" t="s">
        <v>588</v>
      </c>
      <c r="F235" s="45" t="s">
        <v>187</v>
      </c>
      <c r="G235" s="46">
        <f t="shared" si="29"/>
        <v>100</v>
      </c>
      <c r="H235" s="46">
        <f>TRUNC(S235*(1-LOTE_03!$K$10),2)</f>
        <v>396.03</v>
      </c>
      <c r="I235" s="46">
        <f>TRUNC(T235*(1-LOTE_03!$K$10),2)</f>
        <v>48.81</v>
      </c>
      <c r="J235" s="100">
        <f t="shared" si="30"/>
        <v>0.22470000000000001</v>
      </c>
      <c r="K235" s="48">
        <f t="shared" si="24"/>
        <v>485.01</v>
      </c>
      <c r="L235" s="48">
        <f t="shared" si="25"/>
        <v>59.77</v>
      </c>
      <c r="M235" s="48">
        <f t="shared" si="26"/>
        <v>48501</v>
      </c>
      <c r="N235" s="48">
        <f t="shared" si="27"/>
        <v>5977</v>
      </c>
      <c r="O235" s="50">
        <f t="shared" si="28"/>
        <v>54478</v>
      </c>
      <c r="P235" s="50">
        <v>0</v>
      </c>
      <c r="Q235" s="76"/>
      <c r="R235" s="140">
        <f>IF((10*S10+10*S9)&gt;100,100,(10*S10+10*S9))</f>
        <v>100</v>
      </c>
      <c r="S235" s="79">
        <v>396.03</v>
      </c>
      <c r="T235" s="80">
        <v>48.81</v>
      </c>
    </row>
    <row r="236" spans="2:20" ht="28">
      <c r="B236" s="5" t="s">
        <v>589</v>
      </c>
      <c r="C236" s="45" t="s">
        <v>165</v>
      </c>
      <c r="D236" s="45" t="s">
        <v>590</v>
      </c>
      <c r="E236" s="6" t="s">
        <v>591</v>
      </c>
      <c r="F236" s="45" t="s">
        <v>559</v>
      </c>
      <c r="G236" s="46">
        <f t="shared" si="29"/>
        <v>10</v>
      </c>
      <c r="H236" s="46">
        <f>TRUNC(S236*(1-LOTE_03!$K$10),2)</f>
        <v>1050.4100000000001</v>
      </c>
      <c r="I236" s="46">
        <f>TRUNC(T236*(1-LOTE_03!$K$10),2)</f>
        <v>19.52</v>
      </c>
      <c r="J236" s="100">
        <f t="shared" si="30"/>
        <v>0.22470000000000001</v>
      </c>
      <c r="K236" s="48">
        <f t="shared" si="24"/>
        <v>1286.43</v>
      </c>
      <c r="L236" s="48">
        <f t="shared" si="25"/>
        <v>23.9</v>
      </c>
      <c r="M236" s="48">
        <f t="shared" si="26"/>
        <v>12864.3</v>
      </c>
      <c r="N236" s="48">
        <f t="shared" si="27"/>
        <v>239</v>
      </c>
      <c r="O236" s="50">
        <f t="shared" si="28"/>
        <v>13103.3</v>
      </c>
      <c r="P236" s="50">
        <v>0</v>
      </c>
      <c r="Q236" s="76"/>
      <c r="R236" s="140">
        <f>IF((1*S9+1*S10)&gt;10,10,(1*S9+1*S10))</f>
        <v>10</v>
      </c>
      <c r="S236" s="79">
        <v>1050.4100000000001</v>
      </c>
      <c r="T236" s="80">
        <v>19.52</v>
      </c>
    </row>
    <row r="237" spans="2:20" ht="42">
      <c r="B237" s="5" t="s">
        <v>592</v>
      </c>
      <c r="C237" s="45" t="s">
        <v>97</v>
      </c>
      <c r="D237" s="45" t="s">
        <v>593</v>
      </c>
      <c r="E237" s="6" t="s">
        <v>594</v>
      </c>
      <c r="F237" s="45" t="s">
        <v>187</v>
      </c>
      <c r="G237" s="46">
        <f t="shared" si="29"/>
        <v>1500</v>
      </c>
      <c r="H237" s="46">
        <f>TRUNC(S237*(1-LOTE_03!$K$10),2)</f>
        <v>90.15</v>
      </c>
      <c r="I237" s="46">
        <f>TRUNC(T237*(1-LOTE_03!$K$10),2)</f>
        <v>93.94</v>
      </c>
      <c r="J237" s="100">
        <f t="shared" si="30"/>
        <v>0.22470000000000001</v>
      </c>
      <c r="K237" s="48">
        <f t="shared" si="24"/>
        <v>110.4</v>
      </c>
      <c r="L237" s="48">
        <f t="shared" si="25"/>
        <v>115.04</v>
      </c>
      <c r="M237" s="48">
        <f t="shared" si="26"/>
        <v>165600</v>
      </c>
      <c r="N237" s="48">
        <f t="shared" si="27"/>
        <v>172560</v>
      </c>
      <c r="O237" s="50">
        <f t="shared" si="28"/>
        <v>338160</v>
      </c>
      <c r="P237" s="50">
        <v>0</v>
      </c>
      <c r="Q237" s="76"/>
      <c r="R237" s="140">
        <f>IF((100*S9+100*S10)&gt;1500,1500,(100*S9+100*S10))</f>
        <v>1500</v>
      </c>
      <c r="S237" s="79">
        <v>90.15</v>
      </c>
      <c r="T237" s="80">
        <v>93.94</v>
      </c>
    </row>
    <row r="238" spans="2:20" ht="28">
      <c r="B238" s="5" t="s">
        <v>595</v>
      </c>
      <c r="C238" s="45" t="s">
        <v>165</v>
      </c>
      <c r="D238" s="45" t="s">
        <v>596</v>
      </c>
      <c r="E238" s="6" t="s">
        <v>597</v>
      </c>
      <c r="F238" s="45" t="s">
        <v>531</v>
      </c>
      <c r="G238" s="46">
        <f t="shared" si="29"/>
        <v>10</v>
      </c>
      <c r="H238" s="46">
        <f>TRUNC(S238*(1-LOTE_03!$K$10),2)</f>
        <v>134.72999999999999</v>
      </c>
      <c r="I238" s="46">
        <f>TRUNC(T238*(1-LOTE_03!$K$10),2)</f>
        <v>32.54</v>
      </c>
      <c r="J238" s="100">
        <f t="shared" si="30"/>
        <v>0.22470000000000001</v>
      </c>
      <c r="K238" s="48">
        <f t="shared" si="24"/>
        <v>165</v>
      </c>
      <c r="L238" s="48">
        <f t="shared" si="25"/>
        <v>39.85</v>
      </c>
      <c r="M238" s="48">
        <f t="shared" si="26"/>
        <v>1650</v>
      </c>
      <c r="N238" s="48">
        <f t="shared" si="27"/>
        <v>398.5</v>
      </c>
      <c r="O238" s="50">
        <f t="shared" si="28"/>
        <v>2048.5</v>
      </c>
      <c r="P238" s="50">
        <v>0</v>
      </c>
      <c r="Q238" s="76"/>
      <c r="R238" s="140">
        <f>IF((1*S9+1*S10)&gt;10,10,(1*S9+1*S10))</f>
        <v>10</v>
      </c>
      <c r="S238" s="79">
        <v>134.72999999999999</v>
      </c>
      <c r="T238" s="80">
        <v>32.54</v>
      </c>
    </row>
    <row r="239" spans="2:20" ht="28">
      <c r="B239" s="5" t="s">
        <v>598</v>
      </c>
      <c r="C239" s="45" t="s">
        <v>165</v>
      </c>
      <c r="D239" s="45" t="s">
        <v>599</v>
      </c>
      <c r="E239" s="6" t="s">
        <v>600</v>
      </c>
      <c r="F239" s="45" t="s">
        <v>559</v>
      </c>
      <c r="G239" s="46">
        <f t="shared" si="29"/>
        <v>10</v>
      </c>
      <c r="H239" s="46">
        <f>TRUNC(S239*(1-LOTE_03!$K$10),2)</f>
        <v>39.39</v>
      </c>
      <c r="I239" s="46">
        <f>TRUNC(T239*(1-LOTE_03!$K$10),2)</f>
        <v>2.13</v>
      </c>
      <c r="J239" s="100">
        <f t="shared" si="30"/>
        <v>0.22470000000000001</v>
      </c>
      <c r="K239" s="48">
        <f t="shared" si="24"/>
        <v>48.24</v>
      </c>
      <c r="L239" s="48">
        <f t="shared" si="25"/>
        <v>2.6</v>
      </c>
      <c r="M239" s="48">
        <f t="shared" si="26"/>
        <v>482.4</v>
      </c>
      <c r="N239" s="48">
        <f t="shared" si="27"/>
        <v>26</v>
      </c>
      <c r="O239" s="50">
        <f t="shared" si="28"/>
        <v>508.4</v>
      </c>
      <c r="P239" s="50">
        <v>0</v>
      </c>
      <c r="Q239" s="76"/>
      <c r="R239" s="140">
        <f>IF((1*S9+1*S10)&gt;10,10,(1*S9+1*S10))</f>
        <v>10</v>
      </c>
      <c r="S239" s="79">
        <v>39.39</v>
      </c>
      <c r="T239" s="80">
        <v>2.13</v>
      </c>
    </row>
    <row r="240" spans="2:20" ht="28">
      <c r="B240" s="5" t="s">
        <v>601</v>
      </c>
      <c r="C240" s="45" t="s">
        <v>97</v>
      </c>
      <c r="D240" s="45" t="s">
        <v>602</v>
      </c>
      <c r="E240" s="6" t="s">
        <v>603</v>
      </c>
      <c r="F240" s="45" t="s">
        <v>121</v>
      </c>
      <c r="G240" s="46">
        <f t="shared" si="29"/>
        <v>50</v>
      </c>
      <c r="H240" s="46">
        <f>TRUNC(S240*(1-LOTE_03!$K$10),2)</f>
        <v>313.94</v>
      </c>
      <c r="I240" s="46">
        <f>TRUNC(T240*(1-LOTE_03!$K$10),2)</f>
        <v>377.46</v>
      </c>
      <c r="J240" s="100">
        <f t="shared" si="30"/>
        <v>0.22470000000000001</v>
      </c>
      <c r="K240" s="48">
        <f t="shared" si="24"/>
        <v>384.48</v>
      </c>
      <c r="L240" s="48">
        <f t="shared" si="25"/>
        <v>462.27</v>
      </c>
      <c r="M240" s="48">
        <f t="shared" si="26"/>
        <v>19224</v>
      </c>
      <c r="N240" s="48">
        <f t="shared" si="27"/>
        <v>23113.5</v>
      </c>
      <c r="O240" s="50">
        <f t="shared" si="28"/>
        <v>42337.5</v>
      </c>
      <c r="P240" s="50">
        <v>0</v>
      </c>
      <c r="Q240" s="76"/>
      <c r="R240" s="140">
        <f>IF((5*S9+5*S10)&gt;50,50,(5*S9+5*S10))</f>
        <v>50</v>
      </c>
      <c r="S240" s="79">
        <v>313.94</v>
      </c>
      <c r="T240" s="80">
        <v>377.46</v>
      </c>
    </row>
    <row r="241" spans="2:20" ht="28">
      <c r="B241" s="5" t="s">
        <v>604</v>
      </c>
      <c r="C241" s="45" t="s">
        <v>97</v>
      </c>
      <c r="D241" s="45" t="s">
        <v>605</v>
      </c>
      <c r="E241" s="6" t="s">
        <v>606</v>
      </c>
      <c r="F241" s="45" t="s">
        <v>187</v>
      </c>
      <c r="G241" s="46">
        <f t="shared" si="29"/>
        <v>500</v>
      </c>
      <c r="H241" s="46">
        <f>TRUNC(S241*(1-LOTE_03!$K$10),2)</f>
        <v>45.63</v>
      </c>
      <c r="I241" s="46">
        <f>TRUNC(T241*(1-LOTE_03!$K$10),2)</f>
        <v>18.850000000000001</v>
      </c>
      <c r="J241" s="100">
        <f t="shared" si="30"/>
        <v>0.22470000000000001</v>
      </c>
      <c r="K241" s="48">
        <f t="shared" si="24"/>
        <v>55.88</v>
      </c>
      <c r="L241" s="48">
        <f t="shared" si="25"/>
        <v>23.08</v>
      </c>
      <c r="M241" s="48">
        <f t="shared" si="26"/>
        <v>27940</v>
      </c>
      <c r="N241" s="48">
        <f t="shared" si="27"/>
        <v>11540</v>
      </c>
      <c r="O241" s="50">
        <f t="shared" si="28"/>
        <v>39480</v>
      </c>
      <c r="P241" s="50">
        <v>0</v>
      </c>
      <c r="Q241" s="76"/>
      <c r="R241" s="140">
        <f>IF((100*S10+100*S9)&gt;500,500,(100*S10+100*S9))</f>
        <v>500</v>
      </c>
      <c r="S241" s="79">
        <v>45.63</v>
      </c>
      <c r="T241" s="80">
        <v>18.850000000000001</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70398.7</v>
      </c>
      <c r="Q242" s="76"/>
      <c r="R242" s="154"/>
      <c r="S242" s="79" t="s">
        <v>22</v>
      </c>
      <c r="T242" s="80" t="s">
        <v>22</v>
      </c>
    </row>
    <row r="243" spans="2:20" ht="28">
      <c r="B243" s="5" t="s">
        <v>607</v>
      </c>
      <c r="C243" s="45" t="s">
        <v>135</v>
      </c>
      <c r="D243" s="45">
        <v>102188</v>
      </c>
      <c r="E243" s="6" t="s">
        <v>1800</v>
      </c>
      <c r="F243" s="45" t="s">
        <v>210</v>
      </c>
      <c r="G243" s="46">
        <f t="shared" si="29"/>
        <v>10</v>
      </c>
      <c r="H243" s="46">
        <f>TRUNC(S243*(1-LOTE_03!$K$10),2)</f>
        <v>1002.35</v>
      </c>
      <c r="I243" s="46">
        <f>TRUNC(T243*(1-LOTE_03!$K$10),2)</f>
        <v>73.13</v>
      </c>
      <c r="J243" s="100">
        <f t="shared" si="30"/>
        <v>0.22470000000000001</v>
      </c>
      <c r="K243" s="48">
        <f t="shared" si="24"/>
        <v>1227.57</v>
      </c>
      <c r="L243" s="48">
        <f t="shared" si="25"/>
        <v>89.56</v>
      </c>
      <c r="M243" s="48">
        <f t="shared" si="26"/>
        <v>12275.7</v>
      </c>
      <c r="N243" s="48">
        <f t="shared" si="27"/>
        <v>895.6</v>
      </c>
      <c r="O243" s="50">
        <f t="shared" si="28"/>
        <v>13171.3</v>
      </c>
      <c r="P243" s="50">
        <v>0</v>
      </c>
      <c r="Q243" s="76"/>
      <c r="R243" s="140">
        <f>IF((1*S9+1*S10)&gt;10,10,(1*S9+1*S10))</f>
        <v>10</v>
      </c>
      <c r="S243" s="79">
        <v>1002.35</v>
      </c>
      <c r="T243" s="80">
        <v>73.13</v>
      </c>
    </row>
    <row r="244" spans="2:20" ht="98">
      <c r="B244" s="5" t="s">
        <v>608</v>
      </c>
      <c r="C244" s="45" t="s">
        <v>135</v>
      </c>
      <c r="D244" s="45">
        <v>102189</v>
      </c>
      <c r="E244" s="6" t="s">
        <v>1801</v>
      </c>
      <c r="F244" s="45" t="s">
        <v>210</v>
      </c>
      <c r="G244" s="46">
        <f t="shared" si="29"/>
        <v>10</v>
      </c>
      <c r="H244" s="46">
        <f>TRUNC(S244*(1-LOTE_03!$K$10),2)</f>
        <v>195.14</v>
      </c>
      <c r="I244" s="46">
        <f>TRUNC(T244*(1-LOTE_03!$K$10),2)</f>
        <v>74.2</v>
      </c>
      <c r="J244" s="100">
        <f t="shared" si="30"/>
        <v>0.22470000000000001</v>
      </c>
      <c r="K244" s="48">
        <f t="shared" si="24"/>
        <v>238.98</v>
      </c>
      <c r="L244" s="48">
        <f t="shared" si="25"/>
        <v>90.87</v>
      </c>
      <c r="M244" s="48">
        <f t="shared" si="26"/>
        <v>2389.8000000000002</v>
      </c>
      <c r="N244" s="48">
        <f t="shared" si="27"/>
        <v>908.7</v>
      </c>
      <c r="O244" s="50">
        <f t="shared" si="28"/>
        <v>3298.5</v>
      </c>
      <c r="P244" s="50">
        <v>0</v>
      </c>
      <c r="Q244" s="76"/>
      <c r="R244" s="140">
        <f>IF((1*S9+1*S10)&gt;10,10,(1*S9+1*S10))</f>
        <v>10</v>
      </c>
      <c r="S244" s="79">
        <v>195.14</v>
      </c>
      <c r="T244" s="80">
        <v>74.2</v>
      </c>
    </row>
    <row r="245" spans="2:20" ht="28">
      <c r="B245" s="5" t="s">
        <v>609</v>
      </c>
      <c r="C245" s="45" t="s">
        <v>135</v>
      </c>
      <c r="D245" s="45">
        <v>100705</v>
      </c>
      <c r="E245" s="6" t="s">
        <v>1802</v>
      </c>
      <c r="F245" s="45" t="s">
        <v>210</v>
      </c>
      <c r="G245" s="46">
        <f t="shared" si="29"/>
        <v>50</v>
      </c>
      <c r="H245" s="46">
        <f>TRUNC(S245*(1-LOTE_03!$K$10),2)</f>
        <v>55.35</v>
      </c>
      <c r="I245" s="46">
        <f>TRUNC(T245*(1-LOTE_03!$K$10),2)</f>
        <v>23.21</v>
      </c>
      <c r="J245" s="100">
        <f t="shared" si="30"/>
        <v>0.22470000000000001</v>
      </c>
      <c r="K245" s="48">
        <f t="shared" si="24"/>
        <v>67.78</v>
      </c>
      <c r="L245" s="48">
        <f t="shared" si="25"/>
        <v>28.42</v>
      </c>
      <c r="M245" s="48">
        <f t="shared" si="26"/>
        <v>3389</v>
      </c>
      <c r="N245" s="48">
        <f t="shared" si="27"/>
        <v>1421</v>
      </c>
      <c r="O245" s="50">
        <f t="shared" si="28"/>
        <v>4810</v>
      </c>
      <c r="P245" s="50">
        <v>0</v>
      </c>
      <c r="Q245" s="76"/>
      <c r="R245" s="140">
        <f>IF((5*2*S10+2*S9)&gt;50,50,(5*2*S10+2*S9))</f>
        <v>50</v>
      </c>
      <c r="S245" s="79">
        <v>55.35</v>
      </c>
      <c r="T245" s="80">
        <v>23.21</v>
      </c>
    </row>
    <row r="246" spans="2:20" ht="56">
      <c r="B246" s="5" t="s">
        <v>610</v>
      </c>
      <c r="C246" s="45" t="s">
        <v>135</v>
      </c>
      <c r="D246" s="45">
        <v>100709</v>
      </c>
      <c r="E246" s="6" t="s">
        <v>1803</v>
      </c>
      <c r="F246" s="45" t="s">
        <v>210</v>
      </c>
      <c r="G246" s="46">
        <f t="shared" si="29"/>
        <v>50</v>
      </c>
      <c r="H246" s="46">
        <f>TRUNC(S246*(1-LOTE_03!$K$10),2)</f>
        <v>20.98</v>
      </c>
      <c r="I246" s="46">
        <f>TRUNC(T246*(1-LOTE_03!$K$10),2)</f>
        <v>31.48</v>
      </c>
      <c r="J246" s="100">
        <f t="shared" si="30"/>
        <v>0.22470000000000001</v>
      </c>
      <c r="K246" s="48">
        <f t="shared" si="24"/>
        <v>25.69</v>
      </c>
      <c r="L246" s="48">
        <f t="shared" si="25"/>
        <v>38.549999999999997</v>
      </c>
      <c r="M246" s="48">
        <f t="shared" si="26"/>
        <v>1284.5</v>
      </c>
      <c r="N246" s="48">
        <f t="shared" si="27"/>
        <v>1927.5</v>
      </c>
      <c r="O246" s="50">
        <f t="shared" si="28"/>
        <v>3212</v>
      </c>
      <c r="P246" s="50">
        <v>0</v>
      </c>
      <c r="Q246" s="76"/>
      <c r="R246" s="140">
        <f>IF((3*2*S9+3*2*S10)&gt;50,50,(3*2*S9+3*2*S10))</f>
        <v>50</v>
      </c>
      <c r="S246" s="79">
        <v>20.98</v>
      </c>
      <c r="T246" s="80">
        <v>31.48</v>
      </c>
    </row>
    <row r="247" spans="2:20" ht="28">
      <c r="B247" s="5" t="s">
        <v>611</v>
      </c>
      <c r="C247" s="45" t="s">
        <v>97</v>
      </c>
      <c r="D247" s="45" t="s">
        <v>612</v>
      </c>
      <c r="E247" s="6" t="s">
        <v>613</v>
      </c>
      <c r="F247" s="45" t="s">
        <v>104</v>
      </c>
      <c r="G247" s="46">
        <f t="shared" si="29"/>
        <v>20</v>
      </c>
      <c r="H247" s="46">
        <f>TRUNC(S247*(1-LOTE_03!$K$10),2)</f>
        <v>292.01</v>
      </c>
      <c r="I247" s="46">
        <f>TRUNC(T247*(1-LOTE_03!$K$10),2)</f>
        <v>21.7</v>
      </c>
      <c r="J247" s="100">
        <f t="shared" si="30"/>
        <v>0.22470000000000001</v>
      </c>
      <c r="K247" s="48">
        <f t="shared" si="24"/>
        <v>357.62</v>
      </c>
      <c r="L247" s="48">
        <f t="shared" si="25"/>
        <v>26.57</v>
      </c>
      <c r="M247" s="48">
        <f t="shared" si="26"/>
        <v>7152.4</v>
      </c>
      <c r="N247" s="48">
        <f t="shared" si="27"/>
        <v>531.4</v>
      </c>
      <c r="O247" s="50">
        <f t="shared" si="28"/>
        <v>7683.8</v>
      </c>
      <c r="P247" s="50">
        <v>0</v>
      </c>
      <c r="Q247" s="76"/>
      <c r="R247" s="140">
        <f>IF((1*S9+1*S10)&gt;30,30,(1*S9+1*S10))</f>
        <v>20</v>
      </c>
      <c r="S247" s="79">
        <v>292.01</v>
      </c>
      <c r="T247" s="80">
        <v>21.7</v>
      </c>
    </row>
    <row r="248" spans="2:20" ht="70">
      <c r="B248" s="5" t="s">
        <v>614</v>
      </c>
      <c r="C248" s="45" t="s">
        <v>135</v>
      </c>
      <c r="D248" s="45">
        <v>91306</v>
      </c>
      <c r="E248" s="6" t="s">
        <v>1804</v>
      </c>
      <c r="F248" s="45" t="s">
        <v>210</v>
      </c>
      <c r="G248" s="46">
        <f t="shared" si="29"/>
        <v>30</v>
      </c>
      <c r="H248" s="46">
        <f>TRUNC(S248*(1-LOTE_03!$K$10),2)</f>
        <v>154.5</v>
      </c>
      <c r="I248" s="46">
        <f>TRUNC(T248*(1-LOTE_03!$K$10),2)</f>
        <v>26.26</v>
      </c>
      <c r="J248" s="100">
        <f t="shared" si="30"/>
        <v>0.22470000000000001</v>
      </c>
      <c r="K248" s="48">
        <f t="shared" si="24"/>
        <v>189.21</v>
      </c>
      <c r="L248" s="48">
        <f t="shared" si="25"/>
        <v>32.159999999999997</v>
      </c>
      <c r="M248" s="48">
        <f t="shared" si="26"/>
        <v>5676.3</v>
      </c>
      <c r="N248" s="48">
        <f t="shared" si="27"/>
        <v>964.8</v>
      </c>
      <c r="O248" s="50">
        <f t="shared" si="28"/>
        <v>6641.1</v>
      </c>
      <c r="P248" s="50">
        <v>0</v>
      </c>
      <c r="Q248" s="76"/>
      <c r="R248" s="140">
        <f>IF((2*S9+3*S10)&gt;30,30,(2*S9+3*S10))</f>
        <v>30</v>
      </c>
      <c r="S248" s="79">
        <v>154.5</v>
      </c>
      <c r="T248" s="80">
        <v>26.26</v>
      </c>
    </row>
    <row r="249" spans="2:20" ht="70">
      <c r="B249" s="5" t="s">
        <v>615</v>
      </c>
      <c r="C249" s="45" t="s">
        <v>135</v>
      </c>
      <c r="D249" s="45">
        <v>90831</v>
      </c>
      <c r="E249" s="6" t="s">
        <v>1805</v>
      </c>
      <c r="F249" s="45" t="s">
        <v>210</v>
      </c>
      <c r="G249" s="46">
        <f t="shared" si="29"/>
        <v>30</v>
      </c>
      <c r="H249" s="46">
        <f>TRUNC(S249*(1-LOTE_03!$K$10),2)</f>
        <v>154.5</v>
      </c>
      <c r="I249" s="46">
        <f>TRUNC(T249*(1-LOTE_03!$K$10),2)</f>
        <v>26.26</v>
      </c>
      <c r="J249" s="100">
        <f t="shared" si="30"/>
        <v>0.22470000000000001</v>
      </c>
      <c r="K249" s="48">
        <f t="shared" si="24"/>
        <v>189.21</v>
      </c>
      <c r="L249" s="48">
        <f t="shared" si="25"/>
        <v>32.159999999999997</v>
      </c>
      <c r="M249" s="48">
        <f t="shared" si="26"/>
        <v>5676.3</v>
      </c>
      <c r="N249" s="48">
        <f t="shared" si="27"/>
        <v>964.8</v>
      </c>
      <c r="O249" s="50">
        <f t="shared" si="28"/>
        <v>6641.1</v>
      </c>
      <c r="P249" s="50">
        <v>0</v>
      </c>
      <c r="Q249" s="76"/>
      <c r="R249" s="140">
        <f>IF((2*S9+2*S10)&gt;30,30,(2*S9+2*S10))</f>
        <v>30</v>
      </c>
      <c r="S249" s="79">
        <v>154.5</v>
      </c>
      <c r="T249" s="80">
        <v>26.26</v>
      </c>
    </row>
    <row r="250" spans="2:20" ht="70">
      <c r="B250" s="5" t="s">
        <v>616</v>
      </c>
      <c r="C250" s="45" t="s">
        <v>135</v>
      </c>
      <c r="D250" s="45">
        <v>90830</v>
      </c>
      <c r="E250" s="6" t="s">
        <v>1806</v>
      </c>
      <c r="F250" s="45" t="s">
        <v>210</v>
      </c>
      <c r="G250" s="46">
        <f t="shared" si="29"/>
        <v>20</v>
      </c>
      <c r="H250" s="46">
        <f>TRUNC(S250*(1-LOTE_03!$K$10),2)</f>
        <v>172.72</v>
      </c>
      <c r="I250" s="46">
        <f>TRUNC(T250*(1-LOTE_03!$K$10),2)</f>
        <v>34.35</v>
      </c>
      <c r="J250" s="100">
        <f t="shared" si="30"/>
        <v>0.22470000000000001</v>
      </c>
      <c r="K250" s="48">
        <f t="shared" si="24"/>
        <v>211.53</v>
      </c>
      <c r="L250" s="48">
        <f t="shared" si="25"/>
        <v>42.06</v>
      </c>
      <c r="M250" s="48">
        <f t="shared" si="26"/>
        <v>4230.6000000000004</v>
      </c>
      <c r="N250" s="48">
        <f t="shared" si="27"/>
        <v>841.2</v>
      </c>
      <c r="O250" s="50">
        <f t="shared" si="28"/>
        <v>5071.8</v>
      </c>
      <c r="P250" s="50">
        <v>0</v>
      </c>
      <c r="Q250" s="76"/>
      <c r="R250" s="140">
        <f>IF((1*S9+1*S10)&gt;30,30,(1*S9+1*S10))</f>
        <v>20</v>
      </c>
      <c r="S250" s="79">
        <v>172.72</v>
      </c>
      <c r="T250" s="80">
        <v>34.35</v>
      </c>
    </row>
    <row r="251" spans="2:20" ht="42">
      <c r="B251" s="5" t="s">
        <v>617</v>
      </c>
      <c r="C251" s="45" t="s">
        <v>97</v>
      </c>
      <c r="D251" s="45" t="s">
        <v>618</v>
      </c>
      <c r="E251" s="6" t="s">
        <v>619</v>
      </c>
      <c r="F251" s="45" t="s">
        <v>104</v>
      </c>
      <c r="G251" s="46">
        <f t="shared" si="29"/>
        <v>10</v>
      </c>
      <c r="H251" s="46">
        <f>TRUNC(S251*(1-LOTE_03!$K$10),2)</f>
        <v>114.87</v>
      </c>
      <c r="I251" s="46">
        <f>TRUNC(T251*(1-LOTE_03!$K$10),2)</f>
        <v>28.34</v>
      </c>
      <c r="J251" s="100">
        <f t="shared" si="30"/>
        <v>0.22470000000000001</v>
      </c>
      <c r="K251" s="48">
        <f t="shared" si="24"/>
        <v>140.68</v>
      </c>
      <c r="L251" s="48">
        <f t="shared" si="25"/>
        <v>34.700000000000003</v>
      </c>
      <c r="M251" s="48">
        <f t="shared" si="26"/>
        <v>1406.8</v>
      </c>
      <c r="N251" s="48">
        <f t="shared" si="27"/>
        <v>347</v>
      </c>
      <c r="O251" s="50">
        <f t="shared" si="28"/>
        <v>1753.8</v>
      </c>
      <c r="P251" s="50">
        <v>0</v>
      </c>
      <c r="Q251" s="76"/>
      <c r="R251" s="140">
        <f>IF((1*S9+1*S10)&gt;10,10,(1*S9+1*S10))</f>
        <v>10</v>
      </c>
      <c r="S251" s="79">
        <v>114.87</v>
      </c>
      <c r="T251" s="80">
        <v>28.34</v>
      </c>
    </row>
    <row r="252" spans="2:20" ht="98">
      <c r="B252" s="5" t="s">
        <v>620</v>
      </c>
      <c r="C252" s="45" t="s">
        <v>97</v>
      </c>
      <c r="D252" s="45" t="s">
        <v>621</v>
      </c>
      <c r="E252" s="7" t="s">
        <v>622</v>
      </c>
      <c r="F252" s="45" t="s">
        <v>104</v>
      </c>
      <c r="G252" s="46">
        <f t="shared" si="29"/>
        <v>10</v>
      </c>
      <c r="H252" s="46">
        <f>TRUNC(S252*(1-LOTE_03!$K$10),2)</f>
        <v>697.91</v>
      </c>
      <c r="I252" s="46">
        <f>TRUNC(T252*(1-LOTE_03!$K$10),2)</f>
        <v>781.26</v>
      </c>
      <c r="J252" s="100">
        <f t="shared" si="30"/>
        <v>0.22470000000000001</v>
      </c>
      <c r="K252" s="48">
        <f t="shared" si="24"/>
        <v>854.73</v>
      </c>
      <c r="L252" s="48">
        <f t="shared" si="25"/>
        <v>956.8</v>
      </c>
      <c r="M252" s="48">
        <f t="shared" si="26"/>
        <v>8547.2999999999993</v>
      </c>
      <c r="N252" s="48">
        <f t="shared" si="27"/>
        <v>9568</v>
      </c>
      <c r="O252" s="50">
        <f t="shared" si="28"/>
        <v>18115.3</v>
      </c>
      <c r="P252" s="50">
        <v>0</v>
      </c>
      <c r="Q252" s="76"/>
      <c r="R252" s="140">
        <f>IF((1*S9+1*S10)&gt;10,10,(1*S9+1*S10))</f>
        <v>10</v>
      </c>
      <c r="S252" s="79">
        <v>697.91</v>
      </c>
      <c r="T252" s="80">
        <v>781.26</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3205770.87</v>
      </c>
      <c r="Q253" s="76"/>
      <c r="R253" s="154"/>
      <c r="S253" s="79" t="s">
        <v>22</v>
      </c>
      <c r="T253" s="80" t="s">
        <v>22</v>
      </c>
    </row>
    <row r="254" spans="2:20" ht="70">
      <c r="B254" s="5" t="s">
        <v>623</v>
      </c>
      <c r="C254" s="45" t="s">
        <v>97</v>
      </c>
      <c r="D254" s="45" t="s">
        <v>624</v>
      </c>
      <c r="E254" s="6" t="s">
        <v>625</v>
      </c>
      <c r="F254" s="45" t="s">
        <v>121</v>
      </c>
      <c r="G254" s="46">
        <f t="shared" si="29"/>
        <v>2000</v>
      </c>
      <c r="H254" s="46">
        <f>TRUNC(S254*(1-LOTE_03!$K$10),2)</f>
        <v>16.11</v>
      </c>
      <c r="I254" s="46">
        <f>TRUNC(T254*(1-LOTE_03!$K$10),2)</f>
        <v>3.51</v>
      </c>
      <c r="J254" s="100">
        <f t="shared" si="30"/>
        <v>0.22470000000000001</v>
      </c>
      <c r="K254" s="48">
        <f t="shared" si="24"/>
        <v>19.72</v>
      </c>
      <c r="L254" s="48">
        <f t="shared" si="25"/>
        <v>4.29</v>
      </c>
      <c r="M254" s="48">
        <f t="shared" si="26"/>
        <v>39440</v>
      </c>
      <c r="N254" s="48">
        <f t="shared" si="27"/>
        <v>8580</v>
      </c>
      <c r="O254" s="50">
        <f t="shared" si="28"/>
        <v>48020</v>
      </c>
      <c r="P254" s="50">
        <v>0</v>
      </c>
      <c r="Q254" s="76"/>
      <c r="R254" s="140">
        <f>IF((50*S9+200*S10)&gt;2000,2000,(50*S9+200*S10))</f>
        <v>2000</v>
      </c>
      <c r="S254" s="79">
        <v>16.11</v>
      </c>
      <c r="T254" s="80">
        <v>3.51</v>
      </c>
    </row>
    <row r="255" spans="2:20" ht="84">
      <c r="B255" s="5" t="s">
        <v>626</v>
      </c>
      <c r="C255" s="45" t="s">
        <v>135</v>
      </c>
      <c r="D255" s="45">
        <v>92543</v>
      </c>
      <c r="E255" s="6" t="s">
        <v>1807</v>
      </c>
      <c r="F255" s="45" t="s">
        <v>121</v>
      </c>
      <c r="G255" s="46">
        <f t="shared" si="29"/>
        <v>1000</v>
      </c>
      <c r="H255" s="46">
        <f>TRUNC(S255*(1-LOTE_03!$K$10),2)</f>
        <v>22.72</v>
      </c>
      <c r="I255" s="46">
        <f>TRUNC(T255*(1-LOTE_03!$K$10),2)</f>
        <v>4.38</v>
      </c>
      <c r="J255" s="100">
        <f t="shared" si="30"/>
        <v>0.22470000000000001</v>
      </c>
      <c r="K255" s="48">
        <f t="shared" si="24"/>
        <v>27.82</v>
      </c>
      <c r="L255" s="48">
        <f t="shared" si="25"/>
        <v>5.36</v>
      </c>
      <c r="M255" s="48">
        <f t="shared" si="26"/>
        <v>27820</v>
      </c>
      <c r="N255" s="48">
        <f t="shared" si="27"/>
        <v>5360</v>
      </c>
      <c r="O255" s="50">
        <f t="shared" si="28"/>
        <v>33180</v>
      </c>
      <c r="P255" s="50">
        <v>0</v>
      </c>
      <c r="Q255" s="76"/>
      <c r="R255" s="140">
        <f>IF((10*S9+200*S10)&gt;1000,1000,(10*S9+200*S10))</f>
        <v>1000</v>
      </c>
      <c r="S255" s="79">
        <v>22.720000000000002</v>
      </c>
      <c r="T255" s="80">
        <v>4.38</v>
      </c>
    </row>
    <row r="256" spans="2:20" ht="98">
      <c r="B256" s="5" t="s">
        <v>627</v>
      </c>
      <c r="C256" s="45" t="s">
        <v>135</v>
      </c>
      <c r="D256" s="45">
        <v>92580</v>
      </c>
      <c r="E256" s="6" t="s">
        <v>1808</v>
      </c>
      <c r="F256" s="45" t="s">
        <v>121</v>
      </c>
      <c r="G256" s="46">
        <f t="shared" si="29"/>
        <v>1530</v>
      </c>
      <c r="H256" s="46">
        <f>TRUNC(S256*(1-LOTE_03!$K$10),2)</f>
        <v>42.6</v>
      </c>
      <c r="I256" s="46">
        <f>TRUNC(T256*(1-LOTE_03!$K$10),2)</f>
        <v>5.68</v>
      </c>
      <c r="J256" s="100">
        <f t="shared" si="30"/>
        <v>0.22470000000000001</v>
      </c>
      <c r="K256" s="48">
        <f t="shared" si="24"/>
        <v>52.17</v>
      </c>
      <c r="L256" s="48">
        <f t="shared" si="25"/>
        <v>6.95</v>
      </c>
      <c r="M256" s="48">
        <f t="shared" si="26"/>
        <v>79820.100000000006</v>
      </c>
      <c r="N256" s="48">
        <f t="shared" si="27"/>
        <v>10633.5</v>
      </c>
      <c r="O256" s="50">
        <f t="shared" si="28"/>
        <v>90453.6</v>
      </c>
      <c r="P256" s="50">
        <v>0</v>
      </c>
      <c r="Q256" s="76"/>
      <c r="R256" s="140">
        <f>IF((10*S9+200*S10)&gt;5000,5000,(10*S9+200*S10))</f>
        <v>1530</v>
      </c>
      <c r="S256" s="79">
        <v>42.6</v>
      </c>
      <c r="T256" s="80">
        <v>5.68</v>
      </c>
    </row>
    <row r="257" spans="2:20" ht="84">
      <c r="B257" s="5" t="s">
        <v>628</v>
      </c>
      <c r="C257" s="45" t="s">
        <v>135</v>
      </c>
      <c r="D257" s="45">
        <v>94207</v>
      </c>
      <c r="E257" s="6" t="s">
        <v>629</v>
      </c>
      <c r="F257" s="45" t="s">
        <v>121</v>
      </c>
      <c r="G257" s="46">
        <f t="shared" si="29"/>
        <v>1000</v>
      </c>
      <c r="H257" s="46">
        <f>TRUNC(S257*(1-LOTE_03!$K$10),2)</f>
        <v>54.32</v>
      </c>
      <c r="I257" s="46">
        <f>TRUNC(T257*(1-LOTE_03!$K$10),2)</f>
        <v>4.5999999999999996</v>
      </c>
      <c r="J257" s="100">
        <f t="shared" si="30"/>
        <v>0.22470000000000001</v>
      </c>
      <c r="K257" s="48">
        <f t="shared" si="24"/>
        <v>66.52</v>
      </c>
      <c r="L257" s="48">
        <f t="shared" si="25"/>
        <v>5.63</v>
      </c>
      <c r="M257" s="48">
        <f t="shared" si="26"/>
        <v>66520</v>
      </c>
      <c r="N257" s="48">
        <f t="shared" si="27"/>
        <v>5630</v>
      </c>
      <c r="O257" s="50">
        <f t="shared" si="28"/>
        <v>72150</v>
      </c>
      <c r="P257" s="50">
        <v>0</v>
      </c>
      <c r="Q257" s="76"/>
      <c r="R257" s="140">
        <f>IF((10*S9+200*S10)&gt;1000,1000,(10*S9+200*S10))</f>
        <v>1000</v>
      </c>
      <c r="S257" s="79">
        <v>54.32</v>
      </c>
      <c r="T257" s="80">
        <v>4.5999999999999996</v>
      </c>
    </row>
    <row r="258" spans="2:20" ht="42">
      <c r="B258" s="5" t="s">
        <v>630</v>
      </c>
      <c r="C258" s="45" t="s">
        <v>135</v>
      </c>
      <c r="D258" s="45">
        <v>94216</v>
      </c>
      <c r="E258" s="6" t="s">
        <v>631</v>
      </c>
      <c r="F258" s="45" t="s">
        <v>121</v>
      </c>
      <c r="G258" s="46">
        <f t="shared" si="29"/>
        <v>1000</v>
      </c>
      <c r="H258" s="46">
        <f>TRUNC(S258*(1-LOTE_03!$K$10),2)</f>
        <v>210.16</v>
      </c>
      <c r="I258" s="46">
        <f>TRUNC(T258*(1-LOTE_03!$K$10),2)</f>
        <v>2.14</v>
      </c>
      <c r="J258" s="100">
        <f t="shared" si="30"/>
        <v>0.22470000000000001</v>
      </c>
      <c r="K258" s="48">
        <f t="shared" si="24"/>
        <v>257.38</v>
      </c>
      <c r="L258" s="48">
        <f t="shared" si="25"/>
        <v>2.62</v>
      </c>
      <c r="M258" s="48">
        <f t="shared" si="26"/>
        <v>257380</v>
      </c>
      <c r="N258" s="48">
        <f t="shared" si="27"/>
        <v>2620</v>
      </c>
      <c r="O258" s="50">
        <f t="shared" si="28"/>
        <v>260000</v>
      </c>
      <c r="P258" s="50">
        <v>0</v>
      </c>
      <c r="Q258" s="76"/>
      <c r="R258" s="140">
        <f>IF((10*S9+200*S10)&gt;1000,1000,(10*S9+200*S10))</f>
        <v>1000</v>
      </c>
      <c r="S258" s="79">
        <v>210.16000000000003</v>
      </c>
      <c r="T258" s="80">
        <v>2.14</v>
      </c>
    </row>
    <row r="259" spans="2:20" ht="42">
      <c r="B259" s="5" t="s">
        <v>632</v>
      </c>
      <c r="C259" s="45" t="s">
        <v>135</v>
      </c>
      <c r="D259" s="45">
        <v>94213</v>
      </c>
      <c r="E259" s="6" t="s">
        <v>633</v>
      </c>
      <c r="F259" s="45" t="s">
        <v>121</v>
      </c>
      <c r="G259" s="46">
        <f t="shared" si="29"/>
        <v>1000</v>
      </c>
      <c r="H259" s="46">
        <f>TRUNC(S259*(1-LOTE_03!$K$10),2)</f>
        <v>70.27</v>
      </c>
      <c r="I259" s="46">
        <f>TRUNC(T259*(1-LOTE_03!$K$10),2)</f>
        <v>3.41</v>
      </c>
      <c r="J259" s="100">
        <f t="shared" si="30"/>
        <v>0.22470000000000001</v>
      </c>
      <c r="K259" s="48">
        <f t="shared" si="24"/>
        <v>86.05</v>
      </c>
      <c r="L259" s="48">
        <f t="shared" si="25"/>
        <v>4.17</v>
      </c>
      <c r="M259" s="48">
        <f t="shared" si="26"/>
        <v>86050</v>
      </c>
      <c r="N259" s="48">
        <f t="shared" si="27"/>
        <v>4170</v>
      </c>
      <c r="O259" s="50">
        <f t="shared" si="28"/>
        <v>90220</v>
      </c>
      <c r="P259" s="50">
        <v>0</v>
      </c>
      <c r="Q259" s="76"/>
      <c r="R259" s="140">
        <f>IF((10*S9+200*S10)&gt;1000,1000,(10*S9+200*S10))</f>
        <v>1000</v>
      </c>
      <c r="S259" s="79">
        <v>70.27000000000001</v>
      </c>
      <c r="T259" s="80">
        <v>3.41</v>
      </c>
    </row>
    <row r="260" spans="2:20" ht="56">
      <c r="B260" s="5" t="s">
        <v>634</v>
      </c>
      <c r="C260" s="45" t="s">
        <v>135</v>
      </c>
      <c r="D260" s="45">
        <v>94227</v>
      </c>
      <c r="E260" s="6" t="s">
        <v>635</v>
      </c>
      <c r="F260" s="45" t="s">
        <v>187</v>
      </c>
      <c r="G260" s="46">
        <f t="shared" si="29"/>
        <v>500</v>
      </c>
      <c r="H260" s="46">
        <f>TRUNC(S260*(1-LOTE_03!$K$10),2)</f>
        <v>47.04</v>
      </c>
      <c r="I260" s="46">
        <f>TRUNC(T260*(1-LOTE_03!$K$10),2)</f>
        <v>8.83</v>
      </c>
      <c r="J260" s="100">
        <f t="shared" si="30"/>
        <v>0.22470000000000001</v>
      </c>
      <c r="K260" s="48">
        <f t="shared" si="24"/>
        <v>57.6</v>
      </c>
      <c r="L260" s="48">
        <f t="shared" si="25"/>
        <v>10.81</v>
      </c>
      <c r="M260" s="48">
        <f t="shared" si="26"/>
        <v>28800</v>
      </c>
      <c r="N260" s="48">
        <f t="shared" si="27"/>
        <v>5405</v>
      </c>
      <c r="O260" s="50">
        <f t="shared" si="28"/>
        <v>34205</v>
      </c>
      <c r="P260" s="50">
        <v>0</v>
      </c>
      <c r="Q260" s="76"/>
      <c r="R260" s="140">
        <f>IF((50*S10+50*S9)&gt;500,500,(50*S10+50*S9))</f>
        <v>500</v>
      </c>
      <c r="S260" s="79">
        <v>47.04</v>
      </c>
      <c r="T260" s="80">
        <v>8.83</v>
      </c>
    </row>
    <row r="261" spans="2:20" ht="56">
      <c r="B261" s="5" t="s">
        <v>636</v>
      </c>
      <c r="C261" s="45" t="s">
        <v>135</v>
      </c>
      <c r="D261" s="45">
        <v>94228</v>
      </c>
      <c r="E261" s="6" t="s">
        <v>637</v>
      </c>
      <c r="F261" s="45" t="s">
        <v>187</v>
      </c>
      <c r="G261" s="46">
        <f t="shared" si="29"/>
        <v>500</v>
      </c>
      <c r="H261" s="46">
        <f>TRUNC(S261*(1-LOTE_03!$K$10),2)</f>
        <v>63.76</v>
      </c>
      <c r="I261" s="46">
        <f>TRUNC(T261*(1-LOTE_03!$K$10),2)</f>
        <v>12.08</v>
      </c>
      <c r="J261" s="100">
        <f t="shared" si="30"/>
        <v>0.22470000000000001</v>
      </c>
      <c r="K261" s="48">
        <f t="shared" si="24"/>
        <v>78.08</v>
      </c>
      <c r="L261" s="48">
        <f t="shared" si="25"/>
        <v>14.79</v>
      </c>
      <c r="M261" s="48">
        <f t="shared" si="26"/>
        <v>39040</v>
      </c>
      <c r="N261" s="48">
        <f t="shared" si="27"/>
        <v>7395</v>
      </c>
      <c r="O261" s="50">
        <f t="shared" si="28"/>
        <v>46435</v>
      </c>
      <c r="P261" s="50">
        <v>0</v>
      </c>
      <c r="Q261" s="76"/>
      <c r="R261" s="140">
        <f>IF((50*S10+20*S9)&gt;500,500,(50*S10+20*S9))</f>
        <v>500</v>
      </c>
      <c r="S261" s="79">
        <v>63.760000000000005</v>
      </c>
      <c r="T261" s="80">
        <v>12.08</v>
      </c>
    </row>
    <row r="262" spans="2:20" ht="56">
      <c r="B262" s="5" t="s">
        <v>638</v>
      </c>
      <c r="C262" s="45" t="s">
        <v>135</v>
      </c>
      <c r="D262" s="45">
        <v>94229</v>
      </c>
      <c r="E262" s="6" t="s">
        <v>639</v>
      </c>
      <c r="F262" s="45" t="s">
        <v>187</v>
      </c>
      <c r="G262" s="46">
        <f t="shared" si="29"/>
        <v>500</v>
      </c>
      <c r="H262" s="46">
        <f>TRUNC(S262*(1-LOTE_03!$K$10),2)</f>
        <v>124.45</v>
      </c>
      <c r="I262" s="46">
        <f>TRUNC(T262*(1-LOTE_03!$K$10),2)</f>
        <v>21.61</v>
      </c>
      <c r="J262" s="100">
        <f t="shared" si="30"/>
        <v>0.22470000000000001</v>
      </c>
      <c r="K262" s="48">
        <f t="shared" si="24"/>
        <v>152.41</v>
      </c>
      <c r="L262" s="48">
        <f t="shared" si="25"/>
        <v>26.46</v>
      </c>
      <c r="M262" s="48">
        <f t="shared" si="26"/>
        <v>76205</v>
      </c>
      <c r="N262" s="48">
        <f t="shared" si="27"/>
        <v>13230</v>
      </c>
      <c r="O262" s="50">
        <f t="shared" si="28"/>
        <v>89435</v>
      </c>
      <c r="P262" s="50">
        <v>0</v>
      </c>
      <c r="Q262" s="76"/>
      <c r="R262" s="140">
        <f>IF((50*S10+20*S9)&gt;500,500,(50*S10+20*S9))</f>
        <v>500</v>
      </c>
      <c r="S262" s="79">
        <v>124.45</v>
      </c>
      <c r="T262" s="80">
        <v>21.61</v>
      </c>
    </row>
    <row r="263" spans="2:20" ht="56">
      <c r="B263" s="5" t="s">
        <v>640</v>
      </c>
      <c r="C263" s="45" t="s">
        <v>135</v>
      </c>
      <c r="D263" s="45">
        <v>94223</v>
      </c>
      <c r="E263" s="6" t="s">
        <v>641</v>
      </c>
      <c r="F263" s="45" t="s">
        <v>187</v>
      </c>
      <c r="G263" s="46">
        <f t="shared" si="29"/>
        <v>500</v>
      </c>
      <c r="H263" s="46">
        <f>TRUNC(S263*(1-LOTE_03!$K$10),2)</f>
        <v>97.67</v>
      </c>
      <c r="I263" s="46">
        <f>TRUNC(T263*(1-LOTE_03!$K$10),2)</f>
        <v>2.2799999999999998</v>
      </c>
      <c r="J263" s="100">
        <f t="shared" si="30"/>
        <v>0.22470000000000001</v>
      </c>
      <c r="K263" s="48">
        <f t="shared" si="24"/>
        <v>119.61</v>
      </c>
      <c r="L263" s="48">
        <f t="shared" si="25"/>
        <v>2.79</v>
      </c>
      <c r="M263" s="48">
        <f t="shared" si="26"/>
        <v>59805</v>
      </c>
      <c r="N263" s="48">
        <f t="shared" si="27"/>
        <v>1395</v>
      </c>
      <c r="O263" s="50">
        <f t="shared" si="28"/>
        <v>61200</v>
      </c>
      <c r="P263" s="50">
        <v>0</v>
      </c>
      <c r="Q263" s="76"/>
      <c r="R263" s="140">
        <f>IF((50*S10+50*S9)&gt;500,500,(50*S10+50*S9))</f>
        <v>500</v>
      </c>
      <c r="S263" s="79">
        <v>97.67</v>
      </c>
      <c r="T263" s="80">
        <v>2.2799999999999998</v>
      </c>
    </row>
    <row r="264" spans="2:20" ht="28">
      <c r="B264" s="5" t="s">
        <v>642</v>
      </c>
      <c r="C264" s="45" t="s">
        <v>165</v>
      </c>
      <c r="D264" s="45" t="s">
        <v>643</v>
      </c>
      <c r="E264" s="6" t="s">
        <v>644</v>
      </c>
      <c r="F264" s="45" t="s">
        <v>531</v>
      </c>
      <c r="G264" s="46">
        <f t="shared" si="29"/>
        <v>500</v>
      </c>
      <c r="H264" s="46">
        <f>TRUNC(S264*(1-LOTE_03!$K$10),2)</f>
        <v>112.22</v>
      </c>
      <c r="I264" s="46">
        <f>TRUNC(T264*(1-LOTE_03!$K$10),2)</f>
        <v>4.26</v>
      </c>
      <c r="J264" s="100">
        <f t="shared" si="30"/>
        <v>0.22470000000000001</v>
      </c>
      <c r="K264" s="48">
        <f t="shared" si="24"/>
        <v>137.43</v>
      </c>
      <c r="L264" s="48">
        <f t="shared" si="25"/>
        <v>5.21</v>
      </c>
      <c r="M264" s="48">
        <f t="shared" si="26"/>
        <v>68715</v>
      </c>
      <c r="N264" s="48">
        <f t="shared" si="27"/>
        <v>2605</v>
      </c>
      <c r="O264" s="50">
        <f t="shared" si="28"/>
        <v>71320</v>
      </c>
      <c r="P264" s="50">
        <v>0</v>
      </c>
      <c r="Q264" s="76"/>
      <c r="R264" s="140">
        <f>IF((50*S10+50*S9)&gt;500,500,(50*S10+50*S9))</f>
        <v>500</v>
      </c>
      <c r="S264" s="79">
        <v>112.22</v>
      </c>
      <c r="T264" s="80">
        <v>4.26</v>
      </c>
    </row>
    <row r="265" spans="2:20" ht="28">
      <c r="B265" s="5" t="s">
        <v>645</v>
      </c>
      <c r="C265" s="45" t="s">
        <v>97</v>
      </c>
      <c r="D265" s="45" t="s">
        <v>646</v>
      </c>
      <c r="E265" s="6" t="s">
        <v>647</v>
      </c>
      <c r="F265" s="45" t="s">
        <v>187</v>
      </c>
      <c r="G265" s="46">
        <f t="shared" si="29"/>
        <v>500</v>
      </c>
      <c r="H265" s="46">
        <f>TRUNC(S265*(1-LOTE_03!$K$10),2)</f>
        <v>60.93</v>
      </c>
      <c r="I265" s="46">
        <f>TRUNC(T265*(1-LOTE_03!$K$10),2)</f>
        <v>4.43</v>
      </c>
      <c r="J265" s="100">
        <f t="shared" si="30"/>
        <v>0.22470000000000001</v>
      </c>
      <c r="K265" s="48">
        <f t="shared" si="24"/>
        <v>74.62</v>
      </c>
      <c r="L265" s="48">
        <f t="shared" si="25"/>
        <v>5.42</v>
      </c>
      <c r="M265" s="48">
        <f t="shared" si="26"/>
        <v>37310</v>
      </c>
      <c r="N265" s="48">
        <f t="shared" si="27"/>
        <v>2710</v>
      </c>
      <c r="O265" s="50">
        <f t="shared" si="28"/>
        <v>40020</v>
      </c>
      <c r="P265" s="50">
        <v>0</v>
      </c>
      <c r="Q265" s="76"/>
      <c r="R265" s="140">
        <f>IF((50*S10+50*S9)&gt;500,500,(50*S10+50*S9))</f>
        <v>500</v>
      </c>
      <c r="S265" s="79">
        <v>60.93</v>
      </c>
      <c r="T265" s="80">
        <v>4.43</v>
      </c>
    </row>
    <row r="266" spans="2:20" ht="56">
      <c r="B266" s="5" t="s">
        <v>648</v>
      </c>
      <c r="C266" s="45" t="s">
        <v>135</v>
      </c>
      <c r="D266" s="45">
        <v>100327</v>
      </c>
      <c r="E266" s="6" t="s">
        <v>649</v>
      </c>
      <c r="F266" s="45" t="s">
        <v>187</v>
      </c>
      <c r="G266" s="46">
        <f t="shared" si="29"/>
        <v>500</v>
      </c>
      <c r="H266" s="46">
        <f>TRUNC(S266*(1-LOTE_03!$K$10),2)</f>
        <v>46.61</v>
      </c>
      <c r="I266" s="46">
        <f>TRUNC(T266*(1-LOTE_03!$K$10),2)</f>
        <v>7.29</v>
      </c>
      <c r="J266" s="100">
        <f t="shared" si="30"/>
        <v>0.22470000000000001</v>
      </c>
      <c r="K266" s="48">
        <f t="shared" si="24"/>
        <v>57.08</v>
      </c>
      <c r="L266" s="48">
        <f t="shared" si="25"/>
        <v>8.92</v>
      </c>
      <c r="M266" s="48">
        <f t="shared" si="26"/>
        <v>28540</v>
      </c>
      <c r="N266" s="48">
        <f t="shared" si="27"/>
        <v>4460</v>
      </c>
      <c r="O266" s="50">
        <f t="shared" si="28"/>
        <v>33000</v>
      </c>
      <c r="P266" s="50">
        <v>0</v>
      </c>
      <c r="Q266" s="76"/>
      <c r="R266" s="140">
        <f>IF((50*S10+50*S9)&gt;500,500,(50*S10+50*S9))</f>
        <v>500</v>
      </c>
      <c r="S266" s="79">
        <v>46.61</v>
      </c>
      <c r="T266" s="80">
        <v>7.29</v>
      </c>
    </row>
    <row r="267" spans="2:20" ht="56">
      <c r="B267" s="5" t="s">
        <v>650</v>
      </c>
      <c r="C267" s="45" t="s">
        <v>135</v>
      </c>
      <c r="D267" s="45">
        <v>100435</v>
      </c>
      <c r="E267" s="6" t="s">
        <v>651</v>
      </c>
      <c r="F267" s="45" t="s">
        <v>187</v>
      </c>
      <c r="G267" s="46">
        <f t="shared" si="29"/>
        <v>500</v>
      </c>
      <c r="H267" s="46">
        <f>TRUNC(S267*(1-LOTE_03!$K$10),2)</f>
        <v>76.11</v>
      </c>
      <c r="I267" s="46">
        <f>TRUNC(T267*(1-LOTE_03!$K$10),2)</f>
        <v>4.72</v>
      </c>
      <c r="J267" s="100">
        <f t="shared" si="30"/>
        <v>0.22470000000000001</v>
      </c>
      <c r="K267" s="48">
        <f t="shared" si="24"/>
        <v>93.21</v>
      </c>
      <c r="L267" s="48">
        <f t="shared" si="25"/>
        <v>5.78</v>
      </c>
      <c r="M267" s="48">
        <f t="shared" si="26"/>
        <v>46605</v>
      </c>
      <c r="N267" s="48">
        <f t="shared" si="27"/>
        <v>2890</v>
      </c>
      <c r="O267" s="50">
        <f t="shared" si="28"/>
        <v>49495</v>
      </c>
      <c r="P267" s="50">
        <v>0</v>
      </c>
      <c r="Q267" s="76"/>
      <c r="R267" s="140">
        <f>IF((50*S10+50*S9)&gt;500,500,(50*S10+50*S9))</f>
        <v>500</v>
      </c>
      <c r="S267" s="79">
        <v>76.11</v>
      </c>
      <c r="T267" s="80">
        <v>4.72</v>
      </c>
    </row>
    <row r="268" spans="2:20" ht="42">
      <c r="B268" s="5" t="s">
        <v>652</v>
      </c>
      <c r="C268" s="45" t="s">
        <v>135</v>
      </c>
      <c r="D268" s="45">
        <v>94231</v>
      </c>
      <c r="E268" s="6" t="s">
        <v>653</v>
      </c>
      <c r="F268" s="45" t="s">
        <v>187</v>
      </c>
      <c r="G268" s="46">
        <f t="shared" si="29"/>
        <v>500</v>
      </c>
      <c r="H268" s="46">
        <f>TRUNC(S268*(1-LOTE_03!$K$10),2)</f>
        <v>41.91</v>
      </c>
      <c r="I268" s="46">
        <f>TRUNC(T268*(1-LOTE_03!$K$10),2)</f>
        <v>6.1</v>
      </c>
      <c r="J268" s="100">
        <f t="shared" si="30"/>
        <v>0.22470000000000001</v>
      </c>
      <c r="K268" s="48">
        <f t="shared" si="24"/>
        <v>51.32</v>
      </c>
      <c r="L268" s="48">
        <f t="shared" si="25"/>
        <v>7.47</v>
      </c>
      <c r="M268" s="48">
        <f t="shared" si="26"/>
        <v>25660</v>
      </c>
      <c r="N268" s="48">
        <f t="shared" si="27"/>
        <v>3735</v>
      </c>
      <c r="O268" s="50">
        <f t="shared" si="28"/>
        <v>29395</v>
      </c>
      <c r="P268" s="50">
        <v>0</v>
      </c>
      <c r="Q268" s="76"/>
      <c r="R268" s="140">
        <f>IF((50*S10+50*S9)&gt;500,500,(50*S10+50*S9))</f>
        <v>500</v>
      </c>
      <c r="S268" s="79">
        <v>41.91</v>
      </c>
      <c r="T268" s="80">
        <v>6.1</v>
      </c>
    </row>
    <row r="269" spans="2:20" ht="28">
      <c r="B269" s="5" t="s">
        <v>654</v>
      </c>
      <c r="C269" s="45" t="s">
        <v>97</v>
      </c>
      <c r="D269" s="45" t="s">
        <v>655</v>
      </c>
      <c r="E269" s="6" t="s">
        <v>656</v>
      </c>
      <c r="F269" s="45" t="s">
        <v>161</v>
      </c>
      <c r="G269" s="46">
        <f t="shared" si="29"/>
        <v>27</v>
      </c>
      <c r="H269" s="46">
        <f>TRUNC(S269*(1-LOTE_03!$K$10),2)</f>
        <v>2776.76</v>
      </c>
      <c r="I269" s="46">
        <f>TRUNC(T269*(1-LOTE_03!$K$10),2)</f>
        <v>827.41</v>
      </c>
      <c r="J269" s="100">
        <f t="shared" si="30"/>
        <v>0.22470000000000001</v>
      </c>
      <c r="K269" s="48">
        <f t="shared" si="24"/>
        <v>3400.69</v>
      </c>
      <c r="L269" s="48">
        <f t="shared" si="25"/>
        <v>1013.32</v>
      </c>
      <c r="M269" s="48">
        <f t="shared" si="26"/>
        <v>91818.63</v>
      </c>
      <c r="N269" s="48">
        <f t="shared" si="27"/>
        <v>27359.64</v>
      </c>
      <c r="O269" s="50">
        <f t="shared" si="28"/>
        <v>119178.27</v>
      </c>
      <c r="P269" s="50">
        <v>0</v>
      </c>
      <c r="Q269" s="76"/>
      <c r="R269" s="140">
        <f>IF((S9+2*S10)&gt;50,50,(S9+2*S10))</f>
        <v>27</v>
      </c>
      <c r="S269" s="79">
        <v>2776.76</v>
      </c>
      <c r="T269" s="80">
        <v>827.41</v>
      </c>
    </row>
    <row r="270" spans="2:20" ht="56">
      <c r="B270" s="5" t="s">
        <v>657</v>
      </c>
      <c r="C270" s="45" t="s">
        <v>135</v>
      </c>
      <c r="D270" s="45">
        <v>98562</v>
      </c>
      <c r="E270" s="6" t="s">
        <v>658</v>
      </c>
      <c r="F270" s="45" t="s">
        <v>121</v>
      </c>
      <c r="G270" s="46">
        <f t="shared" si="29"/>
        <v>1000</v>
      </c>
      <c r="H270" s="46">
        <f>TRUNC(S270*(1-LOTE_03!$K$10),2)</f>
        <v>27.97</v>
      </c>
      <c r="I270" s="46">
        <f>TRUNC(T270*(1-LOTE_03!$K$10),2)</f>
        <v>27.15</v>
      </c>
      <c r="J270" s="100">
        <f t="shared" si="30"/>
        <v>0.22470000000000001</v>
      </c>
      <c r="K270" s="48">
        <f t="shared" si="24"/>
        <v>34.25</v>
      </c>
      <c r="L270" s="48">
        <f t="shared" si="25"/>
        <v>33.25</v>
      </c>
      <c r="M270" s="48">
        <f t="shared" si="26"/>
        <v>34250</v>
      </c>
      <c r="N270" s="48">
        <f t="shared" si="27"/>
        <v>33250</v>
      </c>
      <c r="O270" s="50">
        <f t="shared" si="28"/>
        <v>67500</v>
      </c>
      <c r="P270" s="50">
        <v>0</v>
      </c>
      <c r="Q270" s="76"/>
      <c r="R270" s="140">
        <f>50*S9+50*S10</f>
        <v>1000</v>
      </c>
      <c r="S270" s="79">
        <v>27.97</v>
      </c>
      <c r="T270" s="80">
        <v>27.15</v>
      </c>
    </row>
    <row r="271" spans="2:20" ht="56">
      <c r="B271" s="5" t="s">
        <v>659</v>
      </c>
      <c r="C271" s="45" t="s">
        <v>135</v>
      </c>
      <c r="D271" s="45">
        <v>98555</v>
      </c>
      <c r="E271" s="6" t="s">
        <v>660</v>
      </c>
      <c r="F271" s="45" t="s">
        <v>121</v>
      </c>
      <c r="G271" s="46">
        <f t="shared" si="29"/>
        <v>2000</v>
      </c>
      <c r="H271" s="46">
        <f>TRUNC(S271*(1-LOTE_03!$K$10),2)</f>
        <v>21.18</v>
      </c>
      <c r="I271" s="46">
        <f>TRUNC(T271*(1-LOTE_03!$K$10),2)</f>
        <v>15.73</v>
      </c>
      <c r="J271" s="100">
        <f t="shared" si="30"/>
        <v>0.22470000000000001</v>
      </c>
      <c r="K271" s="48">
        <f t="shared" si="24"/>
        <v>25.93</v>
      </c>
      <c r="L271" s="48">
        <f t="shared" si="25"/>
        <v>19.260000000000002</v>
      </c>
      <c r="M271" s="48">
        <f t="shared" si="26"/>
        <v>51860</v>
      </c>
      <c r="N271" s="48">
        <f t="shared" si="27"/>
        <v>38520</v>
      </c>
      <c r="O271" s="50">
        <f t="shared" si="28"/>
        <v>90380</v>
      </c>
      <c r="P271" s="50">
        <v>0</v>
      </c>
      <c r="Q271" s="76"/>
      <c r="R271" s="140">
        <f>100*S9+100*S10</f>
        <v>2000</v>
      </c>
      <c r="S271" s="79">
        <v>21.179999999999996</v>
      </c>
      <c r="T271" s="80">
        <v>15.73</v>
      </c>
    </row>
    <row r="272" spans="2:20" ht="70">
      <c r="B272" s="5" t="s">
        <v>661</v>
      </c>
      <c r="C272" s="45" t="s">
        <v>135</v>
      </c>
      <c r="D272" s="45">
        <v>98556</v>
      </c>
      <c r="E272" s="6" t="s">
        <v>1809</v>
      </c>
      <c r="F272" s="45" t="s">
        <v>121</v>
      </c>
      <c r="G272" s="46">
        <f t="shared" si="29"/>
        <v>2000</v>
      </c>
      <c r="H272" s="46">
        <f>TRUNC(S272*(1-LOTE_03!$K$10),2)</f>
        <v>39.950000000000003</v>
      </c>
      <c r="I272" s="46">
        <f>TRUNC(T272*(1-LOTE_03!$K$10),2)</f>
        <v>25.58</v>
      </c>
      <c r="J272" s="100">
        <f t="shared" si="30"/>
        <v>0.22470000000000001</v>
      </c>
      <c r="K272" s="48">
        <f t="shared" ref="K272:K335" si="31">TRUNC(H272*(1+J272),2)</f>
        <v>48.92</v>
      </c>
      <c r="L272" s="48">
        <f t="shared" ref="L272:L335" si="32">TRUNC(I272*(1+J272),2)</f>
        <v>31.32</v>
      </c>
      <c r="M272" s="48">
        <f t="shared" ref="M272:M335" si="33">TRUNC(K272*G272,2)</f>
        <v>97840</v>
      </c>
      <c r="N272" s="48">
        <f t="shared" ref="N272:N335" si="34">TRUNC(L272*G272,2)</f>
        <v>62640</v>
      </c>
      <c r="O272" s="50">
        <f t="shared" ref="O272:O335" si="35">TRUNC(M272+N272,2)</f>
        <v>160480</v>
      </c>
      <c r="P272" s="50">
        <v>0</v>
      </c>
      <c r="Q272" s="76"/>
      <c r="R272" s="140">
        <f>100*S9+100*S10</f>
        <v>2000</v>
      </c>
      <c r="S272" s="79">
        <v>39.950000000000003</v>
      </c>
      <c r="T272" s="80">
        <v>25.58</v>
      </c>
    </row>
    <row r="273" spans="2:20" ht="70">
      <c r="B273" s="5" t="s">
        <v>662</v>
      </c>
      <c r="C273" s="45" t="s">
        <v>135</v>
      </c>
      <c r="D273" s="45">
        <v>98547</v>
      </c>
      <c r="E273" s="6" t="s">
        <v>663</v>
      </c>
      <c r="F273" s="45" t="s">
        <v>121</v>
      </c>
      <c r="G273" s="46">
        <f t="shared" si="29"/>
        <v>2000</v>
      </c>
      <c r="H273" s="46">
        <f>TRUNC(S273*(1-LOTE_03!$K$10),2)</f>
        <v>172.02</v>
      </c>
      <c r="I273" s="46">
        <f>TRUNC(T273*(1-LOTE_03!$K$10),2)</f>
        <v>37.630000000000003</v>
      </c>
      <c r="J273" s="100">
        <f t="shared" si="30"/>
        <v>0.22470000000000001</v>
      </c>
      <c r="K273" s="48">
        <f t="shared" si="31"/>
        <v>210.67</v>
      </c>
      <c r="L273" s="48">
        <f t="shared" si="32"/>
        <v>46.08</v>
      </c>
      <c r="M273" s="48">
        <f t="shared" si="33"/>
        <v>421340</v>
      </c>
      <c r="N273" s="48">
        <f t="shared" si="34"/>
        <v>92160</v>
      </c>
      <c r="O273" s="50">
        <f t="shared" si="35"/>
        <v>513500</v>
      </c>
      <c r="P273" s="50">
        <v>0</v>
      </c>
      <c r="Q273" s="76"/>
      <c r="R273" s="140">
        <f>100*S9+100*S10</f>
        <v>2000</v>
      </c>
      <c r="S273" s="79">
        <v>172.02</v>
      </c>
      <c r="T273" s="80">
        <v>37.630000000000003</v>
      </c>
    </row>
    <row r="274" spans="2:20" ht="42">
      <c r="B274" s="5" t="s">
        <v>664</v>
      </c>
      <c r="C274" s="45" t="s">
        <v>135</v>
      </c>
      <c r="D274" s="45">
        <v>98553</v>
      </c>
      <c r="E274" s="6" t="s">
        <v>665</v>
      </c>
      <c r="F274" s="45" t="s">
        <v>121</v>
      </c>
      <c r="G274" s="46">
        <f t="shared" ref="G274:G337" si="36">TRUNC(R274,2)</f>
        <v>2000</v>
      </c>
      <c r="H274" s="46">
        <f>TRUNC(S274*(1-LOTE_03!$K$10),2)</f>
        <v>204.84</v>
      </c>
      <c r="I274" s="46">
        <f>TRUNC(T274*(1-LOTE_03!$K$10),2)</f>
        <v>13.02</v>
      </c>
      <c r="J274" s="100">
        <f t="shared" ref="J274:J337" si="37">$J$4</f>
        <v>0.22470000000000001</v>
      </c>
      <c r="K274" s="48">
        <f t="shared" si="31"/>
        <v>250.86</v>
      </c>
      <c r="L274" s="48">
        <f t="shared" si="32"/>
        <v>15.94</v>
      </c>
      <c r="M274" s="48">
        <f t="shared" si="33"/>
        <v>501720</v>
      </c>
      <c r="N274" s="48">
        <f t="shared" si="34"/>
        <v>31880</v>
      </c>
      <c r="O274" s="50">
        <f t="shared" si="35"/>
        <v>533600</v>
      </c>
      <c r="P274" s="50">
        <v>0</v>
      </c>
      <c r="Q274" s="76"/>
      <c r="R274" s="140">
        <f>100*S9+100*S10</f>
        <v>2000</v>
      </c>
      <c r="S274" s="79">
        <v>204.84</v>
      </c>
      <c r="T274" s="80">
        <v>13.02</v>
      </c>
    </row>
    <row r="275" spans="2:20" ht="42">
      <c r="B275" s="5" t="s">
        <v>666</v>
      </c>
      <c r="C275" s="45" t="s">
        <v>135</v>
      </c>
      <c r="D275" s="45">
        <v>98557</v>
      </c>
      <c r="E275" s="6" t="s">
        <v>667</v>
      </c>
      <c r="F275" s="45" t="s">
        <v>121</v>
      </c>
      <c r="G275" s="46">
        <f t="shared" si="36"/>
        <v>2000</v>
      </c>
      <c r="H275" s="46">
        <f>TRUNC(S275*(1-LOTE_03!$K$10),2)</f>
        <v>29.35</v>
      </c>
      <c r="I275" s="46">
        <f>TRUNC(T275*(1-LOTE_03!$K$10),2)</f>
        <v>10.050000000000001</v>
      </c>
      <c r="J275" s="100">
        <f t="shared" si="37"/>
        <v>0.22470000000000001</v>
      </c>
      <c r="K275" s="48">
        <f t="shared" si="31"/>
        <v>35.94</v>
      </c>
      <c r="L275" s="48">
        <f t="shared" si="32"/>
        <v>12.3</v>
      </c>
      <c r="M275" s="48">
        <f t="shared" si="33"/>
        <v>71880</v>
      </c>
      <c r="N275" s="48">
        <f t="shared" si="34"/>
        <v>24600</v>
      </c>
      <c r="O275" s="50">
        <f t="shared" si="35"/>
        <v>96480</v>
      </c>
      <c r="P275" s="50">
        <v>0</v>
      </c>
      <c r="Q275" s="76"/>
      <c r="R275" s="140">
        <f>100*S9+100*S10</f>
        <v>2000</v>
      </c>
      <c r="S275" s="79">
        <v>29.349999999999998</v>
      </c>
      <c r="T275" s="80">
        <v>10.050000000000001</v>
      </c>
    </row>
    <row r="276" spans="2:20" ht="42">
      <c r="B276" s="5" t="s">
        <v>668</v>
      </c>
      <c r="C276" s="45" t="s">
        <v>135</v>
      </c>
      <c r="D276" s="45">
        <v>98554</v>
      </c>
      <c r="E276" s="6" t="s">
        <v>669</v>
      </c>
      <c r="F276" s="45" t="s">
        <v>121</v>
      </c>
      <c r="G276" s="46">
        <f t="shared" si="36"/>
        <v>2000</v>
      </c>
      <c r="H276" s="46">
        <f>TRUNC(S276*(1-LOTE_03!$K$10),2)</f>
        <v>43.78</v>
      </c>
      <c r="I276" s="46">
        <f>TRUNC(T276*(1-LOTE_03!$K$10),2)</f>
        <v>14.85</v>
      </c>
      <c r="J276" s="100">
        <f t="shared" si="37"/>
        <v>0.22470000000000001</v>
      </c>
      <c r="K276" s="48">
        <f t="shared" si="31"/>
        <v>53.61</v>
      </c>
      <c r="L276" s="48">
        <f t="shared" si="32"/>
        <v>18.18</v>
      </c>
      <c r="M276" s="48">
        <f t="shared" si="33"/>
        <v>107220</v>
      </c>
      <c r="N276" s="48">
        <f t="shared" si="34"/>
        <v>36360</v>
      </c>
      <c r="O276" s="50">
        <f t="shared" si="35"/>
        <v>143580</v>
      </c>
      <c r="P276" s="50">
        <v>0</v>
      </c>
      <c r="Q276" s="76"/>
      <c r="R276" s="140">
        <f>100*S9+100*S10</f>
        <v>2000</v>
      </c>
      <c r="S276" s="79">
        <v>43.78</v>
      </c>
      <c r="T276" s="80">
        <v>14.85</v>
      </c>
    </row>
    <row r="277" spans="2:20" ht="28">
      <c r="B277" s="5" t="s">
        <v>670</v>
      </c>
      <c r="C277" s="45" t="s">
        <v>165</v>
      </c>
      <c r="D277" s="45" t="s">
        <v>671</v>
      </c>
      <c r="E277" s="6" t="s">
        <v>672</v>
      </c>
      <c r="F277" s="45" t="s">
        <v>531</v>
      </c>
      <c r="G277" s="46">
        <f t="shared" si="36"/>
        <v>1000</v>
      </c>
      <c r="H277" s="46">
        <f>TRUNC(S277*(1-LOTE_03!$K$10),2)</f>
        <v>22.33</v>
      </c>
      <c r="I277" s="46">
        <f>TRUNC(T277*(1-LOTE_03!$K$10),2)</f>
        <v>5.17</v>
      </c>
      <c r="J277" s="100">
        <f t="shared" si="37"/>
        <v>0.22470000000000001</v>
      </c>
      <c r="K277" s="48">
        <f t="shared" si="31"/>
        <v>27.34</v>
      </c>
      <c r="L277" s="48">
        <f t="shared" si="32"/>
        <v>6.33</v>
      </c>
      <c r="M277" s="48">
        <f t="shared" si="33"/>
        <v>27340</v>
      </c>
      <c r="N277" s="48">
        <f t="shared" si="34"/>
        <v>6330</v>
      </c>
      <c r="O277" s="50">
        <f t="shared" si="35"/>
        <v>33670</v>
      </c>
      <c r="P277" s="50">
        <v>0</v>
      </c>
      <c r="Q277" s="76"/>
      <c r="R277" s="140">
        <f>50*S9+50*S10</f>
        <v>1000</v>
      </c>
      <c r="S277" s="79">
        <v>22.33</v>
      </c>
      <c r="T277" s="80">
        <v>5.17</v>
      </c>
    </row>
    <row r="278" spans="2:20" ht="42">
      <c r="B278" s="5" t="s">
        <v>673</v>
      </c>
      <c r="C278" s="45" t="s">
        <v>165</v>
      </c>
      <c r="D278" s="45" t="s">
        <v>674</v>
      </c>
      <c r="E278" s="6" t="s">
        <v>675</v>
      </c>
      <c r="F278" s="45" t="s">
        <v>168</v>
      </c>
      <c r="G278" s="46">
        <f t="shared" si="36"/>
        <v>1000</v>
      </c>
      <c r="H278" s="46">
        <f>TRUNC(S278*(1-LOTE_03!$K$10),2)</f>
        <v>57.52</v>
      </c>
      <c r="I278" s="46">
        <f>TRUNC(T278*(1-LOTE_03!$K$10),2)</f>
        <v>11.76</v>
      </c>
      <c r="J278" s="100">
        <f t="shared" si="37"/>
        <v>0.22470000000000001</v>
      </c>
      <c r="K278" s="48">
        <f t="shared" si="31"/>
        <v>70.44</v>
      </c>
      <c r="L278" s="48">
        <f t="shared" si="32"/>
        <v>14.4</v>
      </c>
      <c r="M278" s="48">
        <f t="shared" si="33"/>
        <v>70440</v>
      </c>
      <c r="N278" s="48">
        <f t="shared" si="34"/>
        <v>14400</v>
      </c>
      <c r="O278" s="50">
        <f t="shared" si="35"/>
        <v>84840</v>
      </c>
      <c r="P278" s="50">
        <v>0</v>
      </c>
      <c r="Q278" s="76"/>
      <c r="R278" s="140">
        <f>50*S9+50*S10</f>
        <v>1000</v>
      </c>
      <c r="S278" s="79">
        <v>57.52</v>
      </c>
      <c r="T278" s="80">
        <v>11.76</v>
      </c>
    </row>
    <row r="279" spans="2:20" ht="42">
      <c r="B279" s="5" t="s">
        <v>676</v>
      </c>
      <c r="C279" s="45" t="s">
        <v>165</v>
      </c>
      <c r="D279" s="45" t="s">
        <v>677</v>
      </c>
      <c r="E279" s="6" t="s">
        <v>678</v>
      </c>
      <c r="F279" s="45" t="s">
        <v>168</v>
      </c>
      <c r="G279" s="46">
        <f t="shared" si="36"/>
        <v>1000</v>
      </c>
      <c r="H279" s="46">
        <f>TRUNC(S279*(1-LOTE_03!$K$10),2)</f>
        <v>118.64</v>
      </c>
      <c r="I279" s="46">
        <f>TRUNC(T279*(1-LOTE_03!$K$10),2)</f>
        <v>82.72</v>
      </c>
      <c r="J279" s="100">
        <f t="shared" si="37"/>
        <v>0.22470000000000001</v>
      </c>
      <c r="K279" s="48">
        <f t="shared" si="31"/>
        <v>145.29</v>
      </c>
      <c r="L279" s="48">
        <f t="shared" si="32"/>
        <v>101.3</v>
      </c>
      <c r="M279" s="48">
        <f t="shared" si="33"/>
        <v>145290</v>
      </c>
      <c r="N279" s="48">
        <f t="shared" si="34"/>
        <v>101300</v>
      </c>
      <c r="O279" s="50">
        <f t="shared" si="35"/>
        <v>246590</v>
      </c>
      <c r="P279" s="50">
        <v>0</v>
      </c>
      <c r="Q279" s="76"/>
      <c r="R279" s="140">
        <f>50*S9+50*S10</f>
        <v>1000</v>
      </c>
      <c r="S279" s="79">
        <v>118.64</v>
      </c>
      <c r="T279" s="80">
        <v>82.72</v>
      </c>
    </row>
    <row r="280" spans="2:20" ht="28">
      <c r="B280" s="5" t="s">
        <v>679</v>
      </c>
      <c r="C280" s="45" t="s">
        <v>165</v>
      </c>
      <c r="D280" s="45" t="s">
        <v>680</v>
      </c>
      <c r="E280" s="6" t="s">
        <v>681</v>
      </c>
      <c r="F280" s="45" t="s">
        <v>168</v>
      </c>
      <c r="G280" s="46">
        <f t="shared" si="36"/>
        <v>1000</v>
      </c>
      <c r="H280" s="46">
        <f>TRUNC(S280*(1-LOTE_03!$K$10),2)</f>
        <v>26.52</v>
      </c>
      <c r="I280" s="46">
        <f>TRUNC(T280*(1-LOTE_03!$K$10),2)</f>
        <v>10.43</v>
      </c>
      <c r="J280" s="100">
        <f t="shared" si="37"/>
        <v>0.22470000000000001</v>
      </c>
      <c r="K280" s="48">
        <f t="shared" si="31"/>
        <v>32.47</v>
      </c>
      <c r="L280" s="48">
        <f t="shared" si="32"/>
        <v>12.77</v>
      </c>
      <c r="M280" s="48">
        <f t="shared" si="33"/>
        <v>32470</v>
      </c>
      <c r="N280" s="48">
        <f t="shared" si="34"/>
        <v>12770</v>
      </c>
      <c r="O280" s="50">
        <f t="shared" si="35"/>
        <v>45240</v>
      </c>
      <c r="P280" s="50">
        <v>0</v>
      </c>
      <c r="Q280" s="76"/>
      <c r="R280" s="140">
        <f>50*S9+50*S10</f>
        <v>1000</v>
      </c>
      <c r="S280" s="79">
        <v>26.52</v>
      </c>
      <c r="T280" s="80">
        <v>10.43</v>
      </c>
    </row>
    <row r="281" spans="2:20" ht="42">
      <c r="B281" s="5" t="s">
        <v>682</v>
      </c>
      <c r="C281" s="45" t="s">
        <v>97</v>
      </c>
      <c r="D281" s="45" t="s">
        <v>683</v>
      </c>
      <c r="E281" s="6" t="s">
        <v>684</v>
      </c>
      <c r="F281" s="45" t="s">
        <v>104</v>
      </c>
      <c r="G281" s="46">
        <f t="shared" si="36"/>
        <v>50</v>
      </c>
      <c r="H281" s="46">
        <f>TRUNC(S281*(1-LOTE_03!$K$10),2)</f>
        <v>21.51</v>
      </c>
      <c r="I281" s="46">
        <f>TRUNC(T281*(1-LOTE_03!$K$10),2)</f>
        <v>1.6</v>
      </c>
      <c r="J281" s="100">
        <f t="shared" si="37"/>
        <v>0.22470000000000001</v>
      </c>
      <c r="K281" s="48">
        <f t="shared" si="31"/>
        <v>26.34</v>
      </c>
      <c r="L281" s="48">
        <f t="shared" si="32"/>
        <v>1.95</v>
      </c>
      <c r="M281" s="48">
        <f t="shared" si="33"/>
        <v>1317</v>
      </c>
      <c r="N281" s="48">
        <f t="shared" si="34"/>
        <v>97.5</v>
      </c>
      <c r="O281" s="50">
        <f t="shared" si="35"/>
        <v>1414.5</v>
      </c>
      <c r="P281" s="50">
        <v>0</v>
      </c>
      <c r="Q281" s="76"/>
      <c r="R281" s="140">
        <f>IF((4*S10+4*S9)&gt;50,50,(4*S10+4*S9))</f>
        <v>50</v>
      </c>
      <c r="S281" s="79">
        <v>21.51</v>
      </c>
      <c r="T281" s="80">
        <v>1.6</v>
      </c>
    </row>
    <row r="282" spans="2:20" ht="42">
      <c r="B282" s="5" t="s">
        <v>685</v>
      </c>
      <c r="C282" s="45" t="s">
        <v>97</v>
      </c>
      <c r="D282" s="45" t="s">
        <v>686</v>
      </c>
      <c r="E282" s="6" t="s">
        <v>687</v>
      </c>
      <c r="F282" s="45" t="s">
        <v>121</v>
      </c>
      <c r="G282" s="46">
        <f t="shared" si="36"/>
        <v>1000</v>
      </c>
      <c r="H282" s="46">
        <f>TRUNC(S282*(1-LOTE_03!$K$10),2)</f>
        <v>3.6</v>
      </c>
      <c r="I282" s="46">
        <f>TRUNC(T282*(1-LOTE_03!$K$10),2)</f>
        <v>3.2</v>
      </c>
      <c r="J282" s="100">
        <f t="shared" si="37"/>
        <v>0.22470000000000001</v>
      </c>
      <c r="K282" s="48">
        <f t="shared" si="31"/>
        <v>4.4000000000000004</v>
      </c>
      <c r="L282" s="48">
        <f t="shared" si="32"/>
        <v>3.91</v>
      </c>
      <c r="M282" s="48">
        <f t="shared" si="33"/>
        <v>4400</v>
      </c>
      <c r="N282" s="48">
        <f t="shared" si="34"/>
        <v>3910</v>
      </c>
      <c r="O282" s="50">
        <f t="shared" si="35"/>
        <v>8310</v>
      </c>
      <c r="P282" s="50">
        <v>0</v>
      </c>
      <c r="Q282" s="76"/>
      <c r="R282" s="140">
        <f>IF((100*S9+100*S10)&gt;1000,1000,(100*S9+100*S10))</f>
        <v>1000</v>
      </c>
      <c r="S282" s="79">
        <v>3.6</v>
      </c>
      <c r="T282" s="80">
        <v>3.2</v>
      </c>
    </row>
    <row r="283" spans="2:20" ht="28">
      <c r="B283" s="5" t="s">
        <v>688</v>
      </c>
      <c r="C283" s="45" t="s">
        <v>97</v>
      </c>
      <c r="D283" s="45" t="s">
        <v>689</v>
      </c>
      <c r="E283" s="6" t="s">
        <v>690</v>
      </c>
      <c r="F283" s="45" t="s">
        <v>187</v>
      </c>
      <c r="G283" s="46">
        <f t="shared" si="36"/>
        <v>500</v>
      </c>
      <c r="H283" s="46">
        <f>TRUNC(S283*(1-LOTE_03!$K$10),2)</f>
        <v>0.45</v>
      </c>
      <c r="I283" s="46">
        <f>TRUNC(T283*(1-LOTE_03!$K$10),2)</f>
        <v>1.72</v>
      </c>
      <c r="J283" s="100">
        <f t="shared" si="37"/>
        <v>0.22470000000000001</v>
      </c>
      <c r="K283" s="48">
        <f t="shared" si="31"/>
        <v>0.55000000000000004</v>
      </c>
      <c r="L283" s="48">
        <f t="shared" si="32"/>
        <v>2.1</v>
      </c>
      <c r="M283" s="48">
        <f t="shared" si="33"/>
        <v>275</v>
      </c>
      <c r="N283" s="48">
        <f t="shared" si="34"/>
        <v>1050</v>
      </c>
      <c r="O283" s="50">
        <f t="shared" si="35"/>
        <v>1325</v>
      </c>
      <c r="P283" s="50">
        <v>0</v>
      </c>
      <c r="Q283" s="76"/>
      <c r="R283" s="140">
        <f>IF((50*S10+50*S9)&gt;500,500,(50*S10+50*S9))</f>
        <v>500</v>
      </c>
      <c r="S283" s="79">
        <v>0.45</v>
      </c>
      <c r="T283" s="80">
        <v>1.72</v>
      </c>
    </row>
    <row r="284" spans="2:20" ht="28">
      <c r="B284" s="5" t="s">
        <v>691</v>
      </c>
      <c r="C284" s="45" t="s">
        <v>97</v>
      </c>
      <c r="D284" s="45" t="s">
        <v>692</v>
      </c>
      <c r="E284" s="6" t="s">
        <v>693</v>
      </c>
      <c r="F284" s="45" t="s">
        <v>104</v>
      </c>
      <c r="G284" s="46">
        <f t="shared" si="36"/>
        <v>200</v>
      </c>
      <c r="H284" s="46">
        <f>TRUNC(S284*(1-LOTE_03!$K$10),2)</f>
        <v>6.65</v>
      </c>
      <c r="I284" s="46">
        <f>TRUNC(T284*(1-LOTE_03!$K$10),2)</f>
        <v>21.53</v>
      </c>
      <c r="J284" s="100">
        <f t="shared" si="37"/>
        <v>0.22470000000000001</v>
      </c>
      <c r="K284" s="48">
        <f t="shared" si="31"/>
        <v>8.14</v>
      </c>
      <c r="L284" s="48">
        <f t="shared" si="32"/>
        <v>26.36</v>
      </c>
      <c r="M284" s="48">
        <f t="shared" si="33"/>
        <v>1628</v>
      </c>
      <c r="N284" s="48">
        <f t="shared" si="34"/>
        <v>5272</v>
      </c>
      <c r="O284" s="50">
        <f t="shared" si="35"/>
        <v>6900</v>
      </c>
      <c r="P284" s="50">
        <v>0</v>
      </c>
      <c r="Q284" s="76"/>
      <c r="R284" s="140">
        <f>10*S9+10*S10</f>
        <v>200</v>
      </c>
      <c r="S284" s="79">
        <v>6.65</v>
      </c>
      <c r="T284" s="80">
        <v>21.53</v>
      </c>
    </row>
    <row r="285" spans="2:20" ht="28">
      <c r="B285" s="5" t="s">
        <v>694</v>
      </c>
      <c r="C285" s="45" t="s">
        <v>97</v>
      </c>
      <c r="D285" s="45" t="s">
        <v>695</v>
      </c>
      <c r="E285" s="6" t="s">
        <v>696</v>
      </c>
      <c r="F285" s="45" t="s">
        <v>104</v>
      </c>
      <c r="G285" s="46">
        <f t="shared" si="36"/>
        <v>50</v>
      </c>
      <c r="H285" s="46">
        <f>TRUNC(S285*(1-LOTE_03!$K$10),2)</f>
        <v>42.33</v>
      </c>
      <c r="I285" s="46">
        <f>TRUNC(T285*(1-LOTE_03!$K$10),2)</f>
        <v>27.15</v>
      </c>
      <c r="J285" s="100">
        <f t="shared" si="37"/>
        <v>0.22470000000000001</v>
      </c>
      <c r="K285" s="48">
        <f t="shared" si="31"/>
        <v>51.84</v>
      </c>
      <c r="L285" s="48">
        <f t="shared" si="32"/>
        <v>33.25</v>
      </c>
      <c r="M285" s="48">
        <f t="shared" si="33"/>
        <v>2592</v>
      </c>
      <c r="N285" s="48">
        <f t="shared" si="34"/>
        <v>1662.5</v>
      </c>
      <c r="O285" s="50">
        <f t="shared" si="35"/>
        <v>4254.5</v>
      </c>
      <c r="P285" s="50">
        <v>0</v>
      </c>
      <c r="Q285" s="76"/>
      <c r="R285" s="140">
        <f>IF((5*S9+5*S10)&gt;50,50,(5*S9+5*S10))</f>
        <v>50</v>
      </c>
      <c r="S285" s="79">
        <v>42.33</v>
      </c>
      <c r="T285" s="80">
        <v>27.15</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723862.29999999981</v>
      </c>
      <c r="Q286" s="76"/>
      <c r="R286" s="154"/>
      <c r="S286" s="79" t="s">
        <v>22</v>
      </c>
      <c r="T286" s="80" t="s">
        <v>22</v>
      </c>
    </row>
    <row r="287" spans="2:20" ht="56">
      <c r="B287" s="5" t="s">
        <v>697</v>
      </c>
      <c r="C287" s="45" t="s">
        <v>135</v>
      </c>
      <c r="D287" s="45">
        <v>101094</v>
      </c>
      <c r="E287" s="6" t="s">
        <v>1810</v>
      </c>
      <c r="F287" s="45" t="s">
        <v>187</v>
      </c>
      <c r="G287" s="46">
        <f t="shared" si="36"/>
        <v>400</v>
      </c>
      <c r="H287" s="46">
        <f>TRUNC(S287*(1-LOTE_03!$K$10),2)</f>
        <v>196.23</v>
      </c>
      <c r="I287" s="46">
        <f>TRUNC(T287*(1-LOTE_03!$K$10),2)</f>
        <v>14.63</v>
      </c>
      <c r="J287" s="100">
        <f t="shared" si="37"/>
        <v>0.22470000000000001</v>
      </c>
      <c r="K287" s="48">
        <f t="shared" si="31"/>
        <v>240.32</v>
      </c>
      <c r="L287" s="48">
        <f t="shared" si="32"/>
        <v>17.91</v>
      </c>
      <c r="M287" s="48">
        <f t="shared" si="33"/>
        <v>96128</v>
      </c>
      <c r="N287" s="48">
        <f t="shared" si="34"/>
        <v>7164</v>
      </c>
      <c r="O287" s="50">
        <f t="shared" si="35"/>
        <v>103292</v>
      </c>
      <c r="P287" s="50">
        <v>0</v>
      </c>
      <c r="Q287" s="76"/>
      <c r="R287" s="140">
        <f>20*S9+20*S10</f>
        <v>400</v>
      </c>
      <c r="S287" s="79">
        <v>196.23000000000002</v>
      </c>
      <c r="T287" s="80">
        <v>14.63</v>
      </c>
    </row>
    <row r="288" spans="2:20" ht="28">
      <c r="B288" s="5" t="s">
        <v>698</v>
      </c>
      <c r="C288" s="45" t="s">
        <v>97</v>
      </c>
      <c r="D288" s="45" t="s">
        <v>699</v>
      </c>
      <c r="E288" s="6" t="s">
        <v>700</v>
      </c>
      <c r="F288" s="45" t="s">
        <v>187</v>
      </c>
      <c r="G288" s="46">
        <f t="shared" si="36"/>
        <v>590</v>
      </c>
      <c r="H288" s="46">
        <f>TRUNC(S288*(1-LOTE_03!$K$10),2)</f>
        <v>140.41</v>
      </c>
      <c r="I288" s="46">
        <f>TRUNC(T288*(1-LOTE_03!$K$10),2)</f>
        <v>21.15</v>
      </c>
      <c r="J288" s="100">
        <f t="shared" si="37"/>
        <v>0.22470000000000001</v>
      </c>
      <c r="K288" s="48">
        <f t="shared" si="31"/>
        <v>171.96</v>
      </c>
      <c r="L288" s="48">
        <f t="shared" si="32"/>
        <v>25.9</v>
      </c>
      <c r="M288" s="48">
        <f t="shared" si="33"/>
        <v>101456.4</v>
      </c>
      <c r="N288" s="48">
        <f t="shared" si="34"/>
        <v>15281</v>
      </c>
      <c r="O288" s="50">
        <f t="shared" si="35"/>
        <v>116737.4</v>
      </c>
      <c r="P288" s="50">
        <v>0</v>
      </c>
      <c r="Q288" s="76"/>
      <c r="R288" s="140">
        <f>((28+17+33+40)*0.25)*(S9+S10)</f>
        <v>590</v>
      </c>
      <c r="S288" s="79">
        <v>140.41</v>
      </c>
      <c r="T288" s="80">
        <v>21.15</v>
      </c>
    </row>
    <row r="289" spans="2:20" ht="28">
      <c r="B289" s="5" t="s">
        <v>701</v>
      </c>
      <c r="C289" s="45" t="s">
        <v>97</v>
      </c>
      <c r="D289" s="45" t="s">
        <v>702</v>
      </c>
      <c r="E289" s="6" t="s">
        <v>703</v>
      </c>
      <c r="F289" s="45" t="s">
        <v>187</v>
      </c>
      <c r="G289" s="46">
        <f t="shared" si="36"/>
        <v>640</v>
      </c>
      <c r="H289" s="46">
        <f>TRUNC(S289*(1-LOTE_03!$K$10),2)</f>
        <v>153.33000000000001</v>
      </c>
      <c r="I289" s="46">
        <f>TRUNC(T289*(1-LOTE_03!$K$10),2)</f>
        <v>21.15</v>
      </c>
      <c r="J289" s="100">
        <f t="shared" si="37"/>
        <v>0.22470000000000001</v>
      </c>
      <c r="K289" s="48">
        <f t="shared" si="31"/>
        <v>187.78</v>
      </c>
      <c r="L289" s="48">
        <f t="shared" si="32"/>
        <v>25.9</v>
      </c>
      <c r="M289" s="48">
        <f t="shared" si="33"/>
        <v>120179.2</v>
      </c>
      <c r="N289" s="48">
        <f t="shared" si="34"/>
        <v>16576</v>
      </c>
      <c r="O289" s="50">
        <f t="shared" si="35"/>
        <v>136755.20000000001</v>
      </c>
      <c r="P289" s="50">
        <v>0</v>
      </c>
      <c r="Q289" s="76"/>
      <c r="R289" s="140">
        <f>((17+22+60+29)*0.25)*(S9+S10)</f>
        <v>640</v>
      </c>
      <c r="S289" s="79">
        <v>153.33000000000001</v>
      </c>
      <c r="T289" s="80">
        <v>21.15</v>
      </c>
    </row>
    <row r="290" spans="2:20" ht="28">
      <c r="B290" s="5" t="s">
        <v>704</v>
      </c>
      <c r="C290" s="45" t="s">
        <v>165</v>
      </c>
      <c r="D290" s="45" t="s">
        <v>705</v>
      </c>
      <c r="E290" s="6" t="s">
        <v>706</v>
      </c>
      <c r="F290" s="45" t="s">
        <v>168</v>
      </c>
      <c r="G290" s="46">
        <f t="shared" si="36"/>
        <v>400</v>
      </c>
      <c r="H290" s="46">
        <f>TRUNC(S290*(1-LOTE_03!$K$10),2)</f>
        <v>166.49</v>
      </c>
      <c r="I290" s="46">
        <f>TRUNC(T290*(1-LOTE_03!$K$10),2)</f>
        <v>22.37</v>
      </c>
      <c r="J290" s="100">
        <f t="shared" si="37"/>
        <v>0.22470000000000001</v>
      </c>
      <c r="K290" s="48">
        <f t="shared" si="31"/>
        <v>203.9</v>
      </c>
      <c r="L290" s="48">
        <f t="shared" si="32"/>
        <v>27.39</v>
      </c>
      <c r="M290" s="48">
        <f t="shared" si="33"/>
        <v>81560</v>
      </c>
      <c r="N290" s="48">
        <f t="shared" si="34"/>
        <v>10956</v>
      </c>
      <c r="O290" s="50">
        <f t="shared" si="35"/>
        <v>92516</v>
      </c>
      <c r="P290" s="50">
        <v>0</v>
      </c>
      <c r="Q290" s="76"/>
      <c r="R290" s="140">
        <f>20*S9+20*S10</f>
        <v>400</v>
      </c>
      <c r="S290" s="79">
        <v>166.49</v>
      </c>
      <c r="T290" s="80">
        <v>22.37</v>
      </c>
    </row>
    <row r="291" spans="2:20" ht="56">
      <c r="B291" s="5" t="s">
        <v>707</v>
      </c>
      <c r="C291" s="45" t="s">
        <v>135</v>
      </c>
      <c r="D291" s="45">
        <v>104658</v>
      </c>
      <c r="E291" s="6" t="s">
        <v>708</v>
      </c>
      <c r="F291" s="45" t="s">
        <v>121</v>
      </c>
      <c r="G291" s="46">
        <f t="shared" si="36"/>
        <v>400</v>
      </c>
      <c r="H291" s="46">
        <f>TRUNC(S291*(1-LOTE_03!$K$10),2)</f>
        <v>162.72999999999999</v>
      </c>
      <c r="I291" s="46">
        <f>TRUNC(T291*(1-LOTE_03!$K$10),2)</f>
        <v>32.880000000000003</v>
      </c>
      <c r="J291" s="100">
        <f t="shared" si="37"/>
        <v>0.22470000000000001</v>
      </c>
      <c r="K291" s="48">
        <f t="shared" si="31"/>
        <v>199.29</v>
      </c>
      <c r="L291" s="48">
        <f t="shared" si="32"/>
        <v>40.26</v>
      </c>
      <c r="M291" s="48">
        <f t="shared" si="33"/>
        <v>79716</v>
      </c>
      <c r="N291" s="48">
        <f t="shared" si="34"/>
        <v>16104</v>
      </c>
      <c r="O291" s="50">
        <f t="shared" si="35"/>
        <v>95820</v>
      </c>
      <c r="P291" s="50">
        <v>0</v>
      </c>
      <c r="Q291" s="76"/>
      <c r="R291" s="140">
        <f>20*S9+20*S10</f>
        <v>400</v>
      </c>
      <c r="S291" s="79">
        <v>162.73000000000002</v>
      </c>
      <c r="T291" s="80">
        <v>32.880000000000003</v>
      </c>
    </row>
    <row r="292" spans="2:20" ht="84">
      <c r="B292" s="5" t="s">
        <v>709</v>
      </c>
      <c r="C292" s="45" t="s">
        <v>97</v>
      </c>
      <c r="D292" s="45" t="s">
        <v>710</v>
      </c>
      <c r="E292" s="6" t="s">
        <v>711</v>
      </c>
      <c r="F292" s="45" t="s">
        <v>104</v>
      </c>
      <c r="G292" s="46">
        <f t="shared" si="36"/>
        <v>20</v>
      </c>
      <c r="H292" s="46">
        <f>TRUNC(S292*(1-LOTE_03!$K$10),2)</f>
        <v>201.9</v>
      </c>
      <c r="I292" s="46">
        <f>TRUNC(T292*(1-LOTE_03!$K$10),2)</f>
        <v>3.2</v>
      </c>
      <c r="J292" s="100">
        <f t="shared" si="37"/>
        <v>0.22470000000000001</v>
      </c>
      <c r="K292" s="48">
        <f t="shared" si="31"/>
        <v>247.26</v>
      </c>
      <c r="L292" s="48">
        <f t="shared" si="32"/>
        <v>3.91</v>
      </c>
      <c r="M292" s="48">
        <f t="shared" si="33"/>
        <v>4945.2</v>
      </c>
      <c r="N292" s="48">
        <f t="shared" si="34"/>
        <v>78.2</v>
      </c>
      <c r="O292" s="50">
        <f t="shared" si="35"/>
        <v>5023.3999999999996</v>
      </c>
      <c r="P292" s="50">
        <v>0</v>
      </c>
      <c r="Q292" s="76"/>
      <c r="R292" s="140">
        <f>1*S9+1*S10</f>
        <v>20</v>
      </c>
      <c r="S292" s="79">
        <v>201.9</v>
      </c>
      <c r="T292" s="80">
        <v>3.2</v>
      </c>
    </row>
    <row r="293" spans="2:20" ht="56">
      <c r="B293" s="5" t="s">
        <v>712</v>
      </c>
      <c r="C293" s="45" t="s">
        <v>97</v>
      </c>
      <c r="D293" s="45" t="s">
        <v>713</v>
      </c>
      <c r="E293" s="6" t="s">
        <v>714</v>
      </c>
      <c r="F293" s="45" t="s">
        <v>104</v>
      </c>
      <c r="G293" s="46">
        <f t="shared" si="36"/>
        <v>100</v>
      </c>
      <c r="H293" s="46">
        <f>TRUNC(S293*(1-LOTE_03!$K$10),2)</f>
        <v>14.23</v>
      </c>
      <c r="I293" s="46">
        <f>TRUNC(T293*(1-LOTE_03!$K$10),2)</f>
        <v>0.8</v>
      </c>
      <c r="J293" s="100">
        <f t="shared" si="37"/>
        <v>0.22470000000000001</v>
      </c>
      <c r="K293" s="48">
        <f t="shared" si="31"/>
        <v>17.420000000000002</v>
      </c>
      <c r="L293" s="48">
        <f t="shared" si="32"/>
        <v>0.97</v>
      </c>
      <c r="M293" s="48">
        <f t="shared" si="33"/>
        <v>1742</v>
      </c>
      <c r="N293" s="48">
        <f t="shared" si="34"/>
        <v>97</v>
      </c>
      <c r="O293" s="50">
        <f t="shared" si="35"/>
        <v>1839</v>
      </c>
      <c r="P293" s="50">
        <v>0</v>
      </c>
      <c r="Q293" s="76"/>
      <c r="R293" s="140">
        <f>5*S9+5*S10</f>
        <v>100</v>
      </c>
      <c r="S293" s="79">
        <v>14.23</v>
      </c>
      <c r="T293" s="80">
        <v>0.8</v>
      </c>
    </row>
    <row r="294" spans="2:20" ht="70">
      <c r="B294" s="5" t="s">
        <v>715</v>
      </c>
      <c r="C294" s="45" t="s">
        <v>97</v>
      </c>
      <c r="D294" s="45" t="s">
        <v>716</v>
      </c>
      <c r="E294" s="6" t="s">
        <v>717</v>
      </c>
      <c r="F294" s="45" t="s">
        <v>104</v>
      </c>
      <c r="G294" s="46">
        <f t="shared" si="36"/>
        <v>40</v>
      </c>
      <c r="H294" s="46">
        <f>TRUNC(S294*(1-LOTE_03!$K$10),2)</f>
        <v>225.46</v>
      </c>
      <c r="I294" s="46">
        <f>TRUNC(T294*(1-LOTE_03!$K$10),2)</f>
        <v>3.2</v>
      </c>
      <c r="J294" s="100">
        <f t="shared" si="37"/>
        <v>0.22470000000000001</v>
      </c>
      <c r="K294" s="48">
        <f t="shared" si="31"/>
        <v>276.12</v>
      </c>
      <c r="L294" s="48">
        <f t="shared" si="32"/>
        <v>3.91</v>
      </c>
      <c r="M294" s="48">
        <f t="shared" si="33"/>
        <v>11044.8</v>
      </c>
      <c r="N294" s="48">
        <f t="shared" si="34"/>
        <v>156.4</v>
      </c>
      <c r="O294" s="50">
        <f t="shared" si="35"/>
        <v>11201.2</v>
      </c>
      <c r="P294" s="50">
        <v>0</v>
      </c>
      <c r="Q294" s="76"/>
      <c r="R294" s="140">
        <f>2*S9+2*S10</f>
        <v>40</v>
      </c>
      <c r="S294" s="79">
        <v>225.46</v>
      </c>
      <c r="T294" s="80">
        <v>3.2</v>
      </c>
    </row>
    <row r="295" spans="2:20" ht="56">
      <c r="B295" s="5" t="s">
        <v>718</v>
      </c>
      <c r="C295" s="45" t="s">
        <v>97</v>
      </c>
      <c r="D295" s="45" t="s">
        <v>719</v>
      </c>
      <c r="E295" s="6" t="s">
        <v>720</v>
      </c>
      <c r="F295" s="45" t="s">
        <v>104</v>
      </c>
      <c r="G295" s="46">
        <f t="shared" si="36"/>
        <v>40</v>
      </c>
      <c r="H295" s="46">
        <f>TRUNC(S295*(1-LOTE_03!$K$10),2)</f>
        <v>26.35</v>
      </c>
      <c r="I295" s="46">
        <f>TRUNC(T295*(1-LOTE_03!$K$10),2)</f>
        <v>4.38</v>
      </c>
      <c r="J295" s="100">
        <f t="shared" si="37"/>
        <v>0.22470000000000001</v>
      </c>
      <c r="K295" s="48">
        <f t="shared" si="31"/>
        <v>32.270000000000003</v>
      </c>
      <c r="L295" s="48">
        <f t="shared" si="32"/>
        <v>5.36</v>
      </c>
      <c r="M295" s="48">
        <f t="shared" si="33"/>
        <v>1290.8</v>
      </c>
      <c r="N295" s="48">
        <f t="shared" si="34"/>
        <v>214.4</v>
      </c>
      <c r="O295" s="50">
        <f t="shared" si="35"/>
        <v>1505.2</v>
      </c>
      <c r="P295" s="50">
        <v>0</v>
      </c>
      <c r="Q295" s="76"/>
      <c r="R295" s="140">
        <f>2*S9+2*S10</f>
        <v>40</v>
      </c>
      <c r="S295" s="79">
        <v>26.35</v>
      </c>
      <c r="T295" s="80">
        <v>4.38</v>
      </c>
    </row>
    <row r="296" spans="2:20" ht="42">
      <c r="B296" s="5" t="s">
        <v>721</v>
      </c>
      <c r="C296" s="45" t="s">
        <v>97</v>
      </c>
      <c r="D296" s="45" t="s">
        <v>722</v>
      </c>
      <c r="E296" s="6" t="s">
        <v>723</v>
      </c>
      <c r="F296" s="45" t="s">
        <v>104</v>
      </c>
      <c r="G296" s="46">
        <f t="shared" si="36"/>
        <v>40</v>
      </c>
      <c r="H296" s="46">
        <f>TRUNC(S296*(1-LOTE_03!$K$10),2)</f>
        <v>42.81</v>
      </c>
      <c r="I296" s="46">
        <f>TRUNC(T296*(1-LOTE_03!$K$10),2)</f>
        <v>4.38</v>
      </c>
      <c r="J296" s="100">
        <f t="shared" si="37"/>
        <v>0.22470000000000001</v>
      </c>
      <c r="K296" s="48">
        <f t="shared" si="31"/>
        <v>52.42</v>
      </c>
      <c r="L296" s="48">
        <f t="shared" si="32"/>
        <v>5.36</v>
      </c>
      <c r="M296" s="48">
        <f t="shared" si="33"/>
        <v>2096.8000000000002</v>
      </c>
      <c r="N296" s="48">
        <f t="shared" si="34"/>
        <v>214.4</v>
      </c>
      <c r="O296" s="50">
        <f t="shared" si="35"/>
        <v>2311.1999999999998</v>
      </c>
      <c r="P296" s="50">
        <v>0</v>
      </c>
      <c r="Q296" s="76"/>
      <c r="R296" s="140">
        <f>2*S9+2*S10</f>
        <v>40</v>
      </c>
      <c r="S296" s="79">
        <v>42.81</v>
      </c>
      <c r="T296" s="80">
        <v>4.38</v>
      </c>
    </row>
    <row r="297" spans="2:20" ht="56">
      <c r="B297" s="5" t="s">
        <v>724</v>
      </c>
      <c r="C297" s="45" t="s">
        <v>135</v>
      </c>
      <c r="D297" s="45">
        <v>100868</v>
      </c>
      <c r="E297" s="6" t="s">
        <v>1811</v>
      </c>
      <c r="F297" s="45" t="s">
        <v>210</v>
      </c>
      <c r="G297" s="46">
        <f t="shared" si="36"/>
        <v>20</v>
      </c>
      <c r="H297" s="46">
        <f>TRUNC(S297*(1-LOTE_03!$K$10),2)</f>
        <v>315.11</v>
      </c>
      <c r="I297" s="46">
        <f>TRUNC(T297*(1-LOTE_03!$K$10),2)</f>
        <v>26.65</v>
      </c>
      <c r="J297" s="100">
        <f t="shared" si="37"/>
        <v>0.22470000000000001</v>
      </c>
      <c r="K297" s="48">
        <f t="shared" si="31"/>
        <v>385.91</v>
      </c>
      <c r="L297" s="48">
        <f t="shared" si="32"/>
        <v>32.630000000000003</v>
      </c>
      <c r="M297" s="48">
        <f t="shared" si="33"/>
        <v>7718.2</v>
      </c>
      <c r="N297" s="48">
        <f t="shared" si="34"/>
        <v>652.6</v>
      </c>
      <c r="O297" s="50">
        <f t="shared" si="35"/>
        <v>8370.7999999999993</v>
      </c>
      <c r="P297" s="50">
        <v>0</v>
      </c>
      <c r="Q297" s="76"/>
      <c r="R297" s="140">
        <f>1*S9+1*S10</f>
        <v>20</v>
      </c>
      <c r="S297" s="79">
        <v>315.11</v>
      </c>
      <c r="T297" s="80">
        <v>26.65</v>
      </c>
    </row>
    <row r="298" spans="2:20" ht="56">
      <c r="B298" s="5" t="s">
        <v>725</v>
      </c>
      <c r="C298" s="45" t="s">
        <v>135</v>
      </c>
      <c r="D298" s="45">
        <v>100871</v>
      </c>
      <c r="E298" s="6" t="s">
        <v>1812</v>
      </c>
      <c r="F298" s="45" t="s">
        <v>210</v>
      </c>
      <c r="G298" s="46">
        <f t="shared" si="36"/>
        <v>20</v>
      </c>
      <c r="H298" s="46">
        <f>TRUNC(S298*(1-LOTE_03!$K$10),2)</f>
        <v>314.14999999999998</v>
      </c>
      <c r="I298" s="46">
        <f>TRUNC(T298*(1-LOTE_03!$K$10),2)</f>
        <v>26.94</v>
      </c>
      <c r="J298" s="100">
        <f t="shared" si="37"/>
        <v>0.22470000000000001</v>
      </c>
      <c r="K298" s="48">
        <f t="shared" si="31"/>
        <v>384.73</v>
      </c>
      <c r="L298" s="48">
        <f t="shared" si="32"/>
        <v>32.99</v>
      </c>
      <c r="M298" s="48">
        <f t="shared" si="33"/>
        <v>7694.6</v>
      </c>
      <c r="N298" s="48">
        <f t="shared" si="34"/>
        <v>659.8</v>
      </c>
      <c r="O298" s="50">
        <f t="shared" si="35"/>
        <v>8354.4</v>
      </c>
      <c r="P298" s="50">
        <v>0</v>
      </c>
      <c r="Q298" s="76"/>
      <c r="R298" s="140">
        <f>1*S9+1*S10</f>
        <v>20</v>
      </c>
      <c r="S298" s="79">
        <v>314.14999999999998</v>
      </c>
      <c r="T298" s="80">
        <v>26.94</v>
      </c>
    </row>
    <row r="299" spans="2:20" ht="56">
      <c r="B299" s="5" t="s">
        <v>726</v>
      </c>
      <c r="C299" s="45" t="s">
        <v>135</v>
      </c>
      <c r="D299" s="45">
        <v>100866</v>
      </c>
      <c r="E299" s="6" t="s">
        <v>1813</v>
      </c>
      <c r="F299" s="45" t="s">
        <v>210</v>
      </c>
      <c r="G299" s="46">
        <f t="shared" si="36"/>
        <v>40</v>
      </c>
      <c r="H299" s="46">
        <f>TRUNC(S299*(1-LOTE_03!$K$10),2)</f>
        <v>284.12</v>
      </c>
      <c r="I299" s="46">
        <f>TRUNC(T299*(1-LOTE_03!$K$10),2)</f>
        <v>26.63</v>
      </c>
      <c r="J299" s="100">
        <f t="shared" si="37"/>
        <v>0.22470000000000001</v>
      </c>
      <c r="K299" s="48">
        <f t="shared" si="31"/>
        <v>347.96</v>
      </c>
      <c r="L299" s="48">
        <f t="shared" si="32"/>
        <v>32.61</v>
      </c>
      <c r="M299" s="48">
        <f t="shared" si="33"/>
        <v>13918.4</v>
      </c>
      <c r="N299" s="48">
        <f t="shared" si="34"/>
        <v>1304.4000000000001</v>
      </c>
      <c r="O299" s="50">
        <f t="shared" si="35"/>
        <v>15222.8</v>
      </c>
      <c r="P299" s="50">
        <v>0</v>
      </c>
      <c r="Q299" s="76"/>
      <c r="R299" s="140">
        <f>2*S9+2*S10</f>
        <v>40</v>
      </c>
      <c r="S299" s="79">
        <v>284.12</v>
      </c>
      <c r="T299" s="80">
        <v>26.63</v>
      </c>
    </row>
    <row r="300" spans="2:20" ht="112">
      <c r="B300" s="5" t="s">
        <v>727</v>
      </c>
      <c r="C300" s="45" t="s">
        <v>97</v>
      </c>
      <c r="D300" s="45" t="s">
        <v>728</v>
      </c>
      <c r="E300" s="6" t="s">
        <v>729</v>
      </c>
      <c r="F300" s="45" t="s">
        <v>104</v>
      </c>
      <c r="G300" s="46">
        <f t="shared" si="36"/>
        <v>10</v>
      </c>
      <c r="H300" s="46">
        <f>TRUNC(S300*(1-LOTE_03!$K$10),2)</f>
        <v>546.05999999999995</v>
      </c>
      <c r="I300" s="46">
        <f>TRUNC(T300*(1-LOTE_03!$K$10),2)</f>
        <v>7.61</v>
      </c>
      <c r="J300" s="100">
        <f t="shared" si="37"/>
        <v>0.22470000000000001</v>
      </c>
      <c r="K300" s="48">
        <f t="shared" si="31"/>
        <v>668.75</v>
      </c>
      <c r="L300" s="48">
        <f t="shared" si="32"/>
        <v>9.31</v>
      </c>
      <c r="M300" s="48">
        <f t="shared" si="33"/>
        <v>6687.5</v>
      </c>
      <c r="N300" s="48">
        <f t="shared" si="34"/>
        <v>93.1</v>
      </c>
      <c r="O300" s="50">
        <f t="shared" si="35"/>
        <v>6780.6</v>
      </c>
      <c r="P300" s="50">
        <v>0</v>
      </c>
      <c r="Q300" s="76"/>
      <c r="R300" s="140">
        <f>IF((1*S9+1*S10)&gt;10,10,(1*S9+1*S10))</f>
        <v>10</v>
      </c>
      <c r="S300" s="79">
        <v>546.05999999999995</v>
      </c>
      <c r="T300" s="80">
        <v>7.61</v>
      </c>
    </row>
    <row r="301" spans="2:20" ht="42">
      <c r="B301" s="5" t="s">
        <v>730</v>
      </c>
      <c r="C301" s="45" t="s">
        <v>97</v>
      </c>
      <c r="D301" s="45" t="s">
        <v>731</v>
      </c>
      <c r="E301" s="6" t="s">
        <v>732</v>
      </c>
      <c r="F301" s="45" t="s">
        <v>104</v>
      </c>
      <c r="G301" s="46">
        <f t="shared" si="36"/>
        <v>20</v>
      </c>
      <c r="H301" s="46">
        <f>TRUNC(S301*(1-LOTE_03!$K$10),2)</f>
        <v>790</v>
      </c>
      <c r="I301" s="46">
        <f>TRUNC(T301*(1-LOTE_03!$K$10),2)</f>
        <v>0</v>
      </c>
      <c r="J301" s="100">
        <f t="shared" si="37"/>
        <v>0.22470000000000001</v>
      </c>
      <c r="K301" s="48">
        <f t="shared" si="31"/>
        <v>967.51</v>
      </c>
      <c r="L301" s="48">
        <f t="shared" si="32"/>
        <v>0</v>
      </c>
      <c r="M301" s="48">
        <f t="shared" si="33"/>
        <v>19350.2</v>
      </c>
      <c r="N301" s="48">
        <f t="shared" si="34"/>
        <v>0</v>
      </c>
      <c r="O301" s="50">
        <f t="shared" si="35"/>
        <v>19350.2</v>
      </c>
      <c r="P301" s="50">
        <v>0</v>
      </c>
      <c r="Q301" s="76"/>
      <c r="R301" s="140">
        <f>1*S9+1*S10</f>
        <v>20</v>
      </c>
      <c r="S301" s="79">
        <v>790</v>
      </c>
      <c r="T301" s="80">
        <v>0</v>
      </c>
    </row>
    <row r="302" spans="2:20" ht="42">
      <c r="B302" s="5" t="s">
        <v>733</v>
      </c>
      <c r="C302" s="45" t="s">
        <v>97</v>
      </c>
      <c r="D302" s="45" t="s">
        <v>734</v>
      </c>
      <c r="E302" s="6" t="s">
        <v>735</v>
      </c>
      <c r="F302" s="45" t="s">
        <v>104</v>
      </c>
      <c r="G302" s="46">
        <f t="shared" si="36"/>
        <v>10</v>
      </c>
      <c r="H302" s="46">
        <f>TRUNC(S302*(1-LOTE_03!$K$10),2)</f>
        <v>2668.79</v>
      </c>
      <c r="I302" s="46">
        <f>TRUNC(T302*(1-LOTE_03!$K$10),2)</f>
        <v>0</v>
      </c>
      <c r="J302" s="100">
        <f t="shared" si="37"/>
        <v>0.22470000000000001</v>
      </c>
      <c r="K302" s="48">
        <f t="shared" si="31"/>
        <v>3268.46</v>
      </c>
      <c r="L302" s="48">
        <f t="shared" si="32"/>
        <v>0</v>
      </c>
      <c r="M302" s="48">
        <f t="shared" si="33"/>
        <v>32684.6</v>
      </c>
      <c r="N302" s="48">
        <f t="shared" si="34"/>
        <v>0</v>
      </c>
      <c r="O302" s="50">
        <f t="shared" si="35"/>
        <v>32684.6</v>
      </c>
      <c r="P302" s="50">
        <v>0</v>
      </c>
      <c r="Q302" s="76"/>
      <c r="R302" s="140">
        <f>IF((1*S9+1*S10)&gt;10,10,(1*S9+1*S10))</f>
        <v>10</v>
      </c>
      <c r="S302" s="79">
        <v>2668.79</v>
      </c>
      <c r="T302" s="80">
        <v>0</v>
      </c>
    </row>
    <row r="303" spans="2:20">
      <c r="B303" s="5" t="s">
        <v>736</v>
      </c>
      <c r="C303" s="45" t="s">
        <v>97</v>
      </c>
      <c r="D303" s="45" t="s">
        <v>737</v>
      </c>
      <c r="E303" s="6" t="s">
        <v>738</v>
      </c>
      <c r="F303" s="45" t="s">
        <v>104</v>
      </c>
      <c r="G303" s="46">
        <f t="shared" si="36"/>
        <v>10</v>
      </c>
      <c r="H303" s="46">
        <f>TRUNC(S303*(1-LOTE_03!$K$10),2)</f>
        <v>1474.67</v>
      </c>
      <c r="I303" s="46">
        <f>TRUNC(T303*(1-LOTE_03!$K$10),2)</f>
        <v>3.2</v>
      </c>
      <c r="J303" s="100">
        <f t="shared" si="37"/>
        <v>0.22470000000000001</v>
      </c>
      <c r="K303" s="48">
        <f t="shared" si="31"/>
        <v>1806.02</v>
      </c>
      <c r="L303" s="48">
        <f t="shared" si="32"/>
        <v>3.91</v>
      </c>
      <c r="M303" s="48">
        <f t="shared" si="33"/>
        <v>18060.2</v>
      </c>
      <c r="N303" s="48">
        <f t="shared" si="34"/>
        <v>39.1</v>
      </c>
      <c r="O303" s="50">
        <f t="shared" si="35"/>
        <v>18099.3</v>
      </c>
      <c r="P303" s="50">
        <v>0</v>
      </c>
      <c r="Q303" s="76"/>
      <c r="R303" s="140">
        <f>IF((1*S9+1*S10)&gt;10,10,(1*S9+1*S10))</f>
        <v>10</v>
      </c>
      <c r="S303" s="79">
        <v>1474.67</v>
      </c>
      <c r="T303" s="80">
        <v>3.2</v>
      </c>
    </row>
    <row r="304" spans="2:20" ht="42">
      <c r="B304" s="5" t="s">
        <v>739</v>
      </c>
      <c r="C304" s="45" t="s">
        <v>97</v>
      </c>
      <c r="D304" s="45" t="s">
        <v>740</v>
      </c>
      <c r="E304" s="6" t="s">
        <v>741</v>
      </c>
      <c r="F304" s="45" t="s">
        <v>104</v>
      </c>
      <c r="G304" s="46">
        <f t="shared" si="36"/>
        <v>80</v>
      </c>
      <c r="H304" s="46">
        <f>TRUNC(S304*(1-LOTE_03!$K$10),2)</f>
        <v>66.3</v>
      </c>
      <c r="I304" s="46">
        <f>TRUNC(T304*(1-LOTE_03!$K$10),2)</f>
        <v>0</v>
      </c>
      <c r="J304" s="100">
        <f t="shared" si="37"/>
        <v>0.22470000000000001</v>
      </c>
      <c r="K304" s="48">
        <f t="shared" si="31"/>
        <v>81.19</v>
      </c>
      <c r="L304" s="48">
        <f t="shared" si="32"/>
        <v>0</v>
      </c>
      <c r="M304" s="48">
        <f t="shared" si="33"/>
        <v>6495.2</v>
      </c>
      <c r="N304" s="48">
        <f t="shared" si="34"/>
        <v>0</v>
      </c>
      <c r="O304" s="50">
        <f t="shared" si="35"/>
        <v>6495.2</v>
      </c>
      <c r="P304" s="50">
        <v>0</v>
      </c>
      <c r="Q304" s="76"/>
      <c r="R304" s="140">
        <f>4*S9+4*S10</f>
        <v>80</v>
      </c>
      <c r="S304" s="79">
        <v>66.3</v>
      </c>
      <c r="T304" s="80">
        <v>0</v>
      </c>
    </row>
    <row r="305" spans="2:20" ht="84">
      <c r="B305" s="5" t="s">
        <v>742</v>
      </c>
      <c r="C305" s="45" t="s">
        <v>97</v>
      </c>
      <c r="D305" s="45" t="s">
        <v>743</v>
      </c>
      <c r="E305" s="6" t="s">
        <v>744</v>
      </c>
      <c r="F305" s="45" t="s">
        <v>104</v>
      </c>
      <c r="G305" s="46">
        <f t="shared" si="36"/>
        <v>10</v>
      </c>
      <c r="H305" s="46">
        <f>TRUNC(S305*(1-LOTE_03!$K$10),2)</f>
        <v>75.459999999999994</v>
      </c>
      <c r="I305" s="46">
        <f>TRUNC(T305*(1-LOTE_03!$K$10),2)</f>
        <v>3.2</v>
      </c>
      <c r="J305" s="100">
        <f t="shared" si="37"/>
        <v>0.22470000000000001</v>
      </c>
      <c r="K305" s="48">
        <f t="shared" si="31"/>
        <v>92.41</v>
      </c>
      <c r="L305" s="48">
        <f t="shared" si="32"/>
        <v>3.91</v>
      </c>
      <c r="M305" s="48">
        <f t="shared" si="33"/>
        <v>924.1</v>
      </c>
      <c r="N305" s="48">
        <f t="shared" si="34"/>
        <v>39.1</v>
      </c>
      <c r="O305" s="50">
        <f t="shared" si="35"/>
        <v>963.2</v>
      </c>
      <c r="P305" s="50">
        <v>0</v>
      </c>
      <c r="Q305" s="76"/>
      <c r="R305" s="140">
        <f>IF((1*S9+1*S10)&gt;10,10,(1*S9+1*S10))</f>
        <v>10</v>
      </c>
      <c r="S305" s="79">
        <v>75.459999999999994</v>
      </c>
      <c r="T305" s="80">
        <v>3.2</v>
      </c>
    </row>
    <row r="306" spans="2:20" ht="98">
      <c r="B306" s="5" t="s">
        <v>745</v>
      </c>
      <c r="C306" s="45" t="s">
        <v>97</v>
      </c>
      <c r="D306" s="45" t="s">
        <v>746</v>
      </c>
      <c r="E306" s="6" t="s">
        <v>747</v>
      </c>
      <c r="F306" s="45" t="s">
        <v>104</v>
      </c>
      <c r="G306" s="46">
        <f t="shared" si="36"/>
        <v>20</v>
      </c>
      <c r="H306" s="46">
        <f>TRUNC(S306*(1-LOTE_03!$K$10),2)</f>
        <v>64.39</v>
      </c>
      <c r="I306" s="46">
        <f>TRUNC(T306*(1-LOTE_03!$K$10),2)</f>
        <v>0</v>
      </c>
      <c r="J306" s="100">
        <f t="shared" si="37"/>
        <v>0.22470000000000001</v>
      </c>
      <c r="K306" s="48">
        <f t="shared" si="31"/>
        <v>78.849999999999994</v>
      </c>
      <c r="L306" s="48">
        <f t="shared" si="32"/>
        <v>0</v>
      </c>
      <c r="M306" s="48">
        <f t="shared" si="33"/>
        <v>1577</v>
      </c>
      <c r="N306" s="48">
        <f t="shared" si="34"/>
        <v>0</v>
      </c>
      <c r="O306" s="50">
        <f t="shared" si="35"/>
        <v>1577</v>
      </c>
      <c r="P306" s="50">
        <v>0</v>
      </c>
      <c r="Q306" s="76"/>
      <c r="R306" s="140">
        <f>S9+S10</f>
        <v>20</v>
      </c>
      <c r="S306" s="79">
        <v>64.39</v>
      </c>
      <c r="T306" s="80">
        <v>0</v>
      </c>
    </row>
    <row r="307" spans="2:20" ht="84">
      <c r="B307" s="5" t="s">
        <v>748</v>
      </c>
      <c r="C307" s="45" t="s">
        <v>97</v>
      </c>
      <c r="D307" s="45" t="s">
        <v>749</v>
      </c>
      <c r="E307" s="6" t="s">
        <v>750</v>
      </c>
      <c r="F307" s="45" t="s">
        <v>104</v>
      </c>
      <c r="G307" s="46">
        <f t="shared" si="36"/>
        <v>10</v>
      </c>
      <c r="H307" s="46">
        <f>TRUNC(S307*(1-LOTE_03!$K$10),2)</f>
        <v>657.25</v>
      </c>
      <c r="I307" s="46">
        <f>TRUNC(T307*(1-LOTE_03!$K$10),2)</f>
        <v>25.41</v>
      </c>
      <c r="J307" s="100">
        <f t="shared" si="37"/>
        <v>0.22470000000000001</v>
      </c>
      <c r="K307" s="48">
        <f t="shared" si="31"/>
        <v>804.93</v>
      </c>
      <c r="L307" s="48">
        <f t="shared" si="32"/>
        <v>31.11</v>
      </c>
      <c r="M307" s="48">
        <f t="shared" si="33"/>
        <v>8049.3</v>
      </c>
      <c r="N307" s="48">
        <f t="shared" si="34"/>
        <v>311.10000000000002</v>
      </c>
      <c r="O307" s="50">
        <f t="shared" si="35"/>
        <v>8360.4</v>
      </c>
      <c r="P307" s="50">
        <v>0</v>
      </c>
      <c r="Q307" s="76"/>
      <c r="R307" s="140">
        <f>IF((1*S9+1*S10)&gt;10,10,(1*S9+1*S10))</f>
        <v>10</v>
      </c>
      <c r="S307" s="79">
        <v>657.25</v>
      </c>
      <c r="T307" s="80">
        <v>25.41</v>
      </c>
    </row>
    <row r="308" spans="2:20" ht="70">
      <c r="B308" s="5" t="s">
        <v>751</v>
      </c>
      <c r="C308" s="45" t="s">
        <v>97</v>
      </c>
      <c r="D308" s="45" t="s">
        <v>752</v>
      </c>
      <c r="E308" s="6" t="s">
        <v>753</v>
      </c>
      <c r="F308" s="45" t="s">
        <v>104</v>
      </c>
      <c r="G308" s="46">
        <f t="shared" si="36"/>
        <v>10</v>
      </c>
      <c r="H308" s="46">
        <f>TRUNC(S308*(1-LOTE_03!$K$10),2)</f>
        <v>257.39999999999998</v>
      </c>
      <c r="I308" s="46">
        <f>TRUNC(T308*(1-LOTE_03!$K$10),2)</f>
        <v>11.92</v>
      </c>
      <c r="J308" s="100">
        <f t="shared" si="37"/>
        <v>0.22470000000000001</v>
      </c>
      <c r="K308" s="48">
        <f t="shared" si="31"/>
        <v>315.23</v>
      </c>
      <c r="L308" s="48">
        <f t="shared" si="32"/>
        <v>14.59</v>
      </c>
      <c r="M308" s="48">
        <f t="shared" si="33"/>
        <v>3152.3</v>
      </c>
      <c r="N308" s="48">
        <f t="shared" si="34"/>
        <v>145.9</v>
      </c>
      <c r="O308" s="50">
        <f t="shared" si="35"/>
        <v>3298.2</v>
      </c>
      <c r="P308" s="50">
        <v>0</v>
      </c>
      <c r="Q308" s="76"/>
      <c r="R308" s="140">
        <f>IF((1*S9+1*S10)&gt;10,10,(1*S9+1*S10))</f>
        <v>10</v>
      </c>
      <c r="S308" s="79">
        <v>257.39999999999998</v>
      </c>
      <c r="T308" s="80">
        <v>11.92</v>
      </c>
    </row>
    <row r="309" spans="2:20" ht="28">
      <c r="B309" s="5" t="s">
        <v>754</v>
      </c>
      <c r="C309" s="45" t="s">
        <v>97</v>
      </c>
      <c r="D309" s="45" t="s">
        <v>755</v>
      </c>
      <c r="E309" s="6" t="s">
        <v>756</v>
      </c>
      <c r="F309" s="45" t="s">
        <v>187</v>
      </c>
      <c r="G309" s="46">
        <f t="shared" si="36"/>
        <v>50</v>
      </c>
      <c r="H309" s="46">
        <f>TRUNC(S309*(1-LOTE_03!$K$10),2)</f>
        <v>276.18</v>
      </c>
      <c r="I309" s="46">
        <f>TRUNC(T309*(1-LOTE_03!$K$10),2)</f>
        <v>37.92</v>
      </c>
      <c r="J309" s="100">
        <f t="shared" si="37"/>
        <v>0.22470000000000001</v>
      </c>
      <c r="K309" s="48">
        <f t="shared" si="31"/>
        <v>338.23</v>
      </c>
      <c r="L309" s="48">
        <f t="shared" si="32"/>
        <v>46.44</v>
      </c>
      <c r="M309" s="48">
        <f t="shared" si="33"/>
        <v>16911.5</v>
      </c>
      <c r="N309" s="48">
        <f t="shared" si="34"/>
        <v>2322</v>
      </c>
      <c r="O309" s="50">
        <f t="shared" si="35"/>
        <v>19233.5</v>
      </c>
      <c r="P309" s="50">
        <v>0</v>
      </c>
      <c r="Q309" s="76"/>
      <c r="R309" s="140">
        <f>IF((10*S9+10*S10)&gt;50,50,(10*S9+10*S10))</f>
        <v>50</v>
      </c>
      <c r="S309" s="79">
        <v>276.18</v>
      </c>
      <c r="T309" s="80">
        <v>37.92</v>
      </c>
    </row>
    <row r="310" spans="2:20" ht="84">
      <c r="B310" s="5" t="s">
        <v>757</v>
      </c>
      <c r="C310" s="45" t="s">
        <v>97</v>
      </c>
      <c r="D310" s="45" t="s">
        <v>758</v>
      </c>
      <c r="E310" s="6" t="s">
        <v>759</v>
      </c>
      <c r="F310" s="45" t="s">
        <v>104</v>
      </c>
      <c r="G310" s="46">
        <f t="shared" si="36"/>
        <v>10</v>
      </c>
      <c r="H310" s="46">
        <f>TRUNC(S310*(1-LOTE_03!$K$10),2)</f>
        <v>644.46</v>
      </c>
      <c r="I310" s="46">
        <f>TRUNC(T310*(1-LOTE_03!$K$10),2)</f>
        <v>14.6</v>
      </c>
      <c r="J310" s="100">
        <f t="shared" si="37"/>
        <v>0.22470000000000001</v>
      </c>
      <c r="K310" s="48">
        <f t="shared" si="31"/>
        <v>789.27</v>
      </c>
      <c r="L310" s="48">
        <f t="shared" si="32"/>
        <v>17.88</v>
      </c>
      <c r="M310" s="48">
        <f t="shared" si="33"/>
        <v>7892.7</v>
      </c>
      <c r="N310" s="48">
        <f t="shared" si="34"/>
        <v>178.8</v>
      </c>
      <c r="O310" s="50">
        <f t="shared" si="35"/>
        <v>8071.5</v>
      </c>
      <c r="P310" s="50">
        <v>0</v>
      </c>
      <c r="Q310" s="76"/>
      <c r="R310" s="140">
        <f>IF((1*S9+1*S10)&gt;10,10,(1*S9+1*S10))</f>
        <v>10</v>
      </c>
      <c r="S310" s="79">
        <v>644.46</v>
      </c>
      <c r="T310" s="80">
        <v>14.6</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4837173.3</v>
      </c>
      <c r="Q311" s="76"/>
      <c r="R311" s="154"/>
      <c r="S311" s="79" t="s">
        <v>22</v>
      </c>
      <c r="T311" s="80" t="s">
        <v>22</v>
      </c>
    </row>
    <row r="312" spans="2:20" ht="28">
      <c r="B312" s="5" t="s">
        <v>760</v>
      </c>
      <c r="C312" s="45" t="s">
        <v>165</v>
      </c>
      <c r="D312" s="45" t="s">
        <v>761</v>
      </c>
      <c r="E312" s="6" t="s">
        <v>762</v>
      </c>
      <c r="F312" s="45" t="s">
        <v>168</v>
      </c>
      <c r="G312" s="46">
        <f t="shared" si="36"/>
        <v>10800</v>
      </c>
      <c r="H312" s="46">
        <f>TRUNC(S312*(1-LOTE_03!$K$10),2)</f>
        <v>0</v>
      </c>
      <c r="I312" s="46">
        <f>TRUNC(T312*(1-LOTE_03!$K$10),2)</f>
        <v>15.52</v>
      </c>
      <c r="J312" s="100">
        <f t="shared" si="37"/>
        <v>0.22470000000000001</v>
      </c>
      <c r="K312" s="48">
        <f t="shared" si="31"/>
        <v>0</v>
      </c>
      <c r="L312" s="48">
        <f t="shared" si="32"/>
        <v>19</v>
      </c>
      <c r="M312" s="48">
        <f t="shared" si="33"/>
        <v>0</v>
      </c>
      <c r="N312" s="48">
        <f t="shared" si="34"/>
        <v>205200</v>
      </c>
      <c r="O312" s="50">
        <f t="shared" si="35"/>
        <v>205200</v>
      </c>
      <c r="P312" s="50">
        <v>0</v>
      </c>
      <c r="Q312" s="76"/>
      <c r="R312" s="140">
        <f>90*6*(S9+S10)</f>
        <v>10800</v>
      </c>
      <c r="S312" s="79">
        <v>0</v>
      </c>
      <c r="T312" s="80">
        <v>15.52</v>
      </c>
    </row>
    <row r="313" spans="2:20" ht="28">
      <c r="B313" s="5" t="s">
        <v>763</v>
      </c>
      <c r="C313" s="45" t="s">
        <v>165</v>
      </c>
      <c r="D313" s="45" t="s">
        <v>764</v>
      </c>
      <c r="E313" s="6" t="s">
        <v>765</v>
      </c>
      <c r="F313" s="45" t="s">
        <v>168</v>
      </c>
      <c r="G313" s="46">
        <f t="shared" si="36"/>
        <v>790</v>
      </c>
      <c r="H313" s="46">
        <f>TRUNC(S313*(1-LOTE_03!$K$10),2)</f>
        <v>30.54</v>
      </c>
      <c r="I313" s="46">
        <f>TRUNC(T313*(1-LOTE_03!$K$10),2)</f>
        <v>21.34</v>
      </c>
      <c r="J313" s="100">
        <f t="shared" si="37"/>
        <v>0.22470000000000001</v>
      </c>
      <c r="K313" s="48">
        <f t="shared" si="31"/>
        <v>37.4</v>
      </c>
      <c r="L313" s="48">
        <f t="shared" si="32"/>
        <v>26.13</v>
      </c>
      <c r="M313" s="48">
        <f t="shared" si="33"/>
        <v>29546</v>
      </c>
      <c r="N313" s="48">
        <f t="shared" si="34"/>
        <v>20642.7</v>
      </c>
      <c r="O313" s="50">
        <f t="shared" si="35"/>
        <v>50188.7</v>
      </c>
      <c r="P313" s="50">
        <v>0</v>
      </c>
      <c r="Q313" s="76"/>
      <c r="R313" s="140">
        <f>50*S9+20*(S10)</f>
        <v>790</v>
      </c>
      <c r="S313" s="79">
        <v>30.54</v>
      </c>
      <c r="T313" s="80">
        <v>21.34</v>
      </c>
    </row>
    <row r="314" spans="2:20" ht="28">
      <c r="B314" s="5" t="s">
        <v>766</v>
      </c>
      <c r="C314" s="45" t="s">
        <v>135</v>
      </c>
      <c r="D314" s="45">
        <v>100717</v>
      </c>
      <c r="E314" s="6" t="s">
        <v>767</v>
      </c>
      <c r="F314" s="45" t="s">
        <v>121</v>
      </c>
      <c r="G314" s="46">
        <f t="shared" si="36"/>
        <v>5300</v>
      </c>
      <c r="H314" s="46">
        <f>TRUNC(S314*(1-LOTE_03!$K$10),2)</f>
        <v>4.17</v>
      </c>
      <c r="I314" s="46">
        <f>TRUNC(T314*(1-LOTE_03!$K$10),2)</f>
        <v>7.24</v>
      </c>
      <c r="J314" s="100">
        <f t="shared" si="37"/>
        <v>0.22470000000000001</v>
      </c>
      <c r="K314" s="48">
        <f t="shared" si="31"/>
        <v>5.0999999999999996</v>
      </c>
      <c r="L314" s="48">
        <f t="shared" si="32"/>
        <v>8.86</v>
      </c>
      <c r="M314" s="48">
        <f t="shared" si="33"/>
        <v>27030</v>
      </c>
      <c r="N314" s="48">
        <f t="shared" si="34"/>
        <v>46958</v>
      </c>
      <c r="O314" s="50">
        <f t="shared" si="35"/>
        <v>73988</v>
      </c>
      <c r="P314" s="50">
        <v>0</v>
      </c>
      <c r="Q314" s="76"/>
      <c r="R314" s="140">
        <f>R330</f>
        <v>5300</v>
      </c>
      <c r="S314" s="79">
        <v>4.17</v>
      </c>
      <c r="T314" s="80">
        <v>7.24</v>
      </c>
    </row>
    <row r="315" spans="2:20" ht="28">
      <c r="B315" s="5" t="s">
        <v>768</v>
      </c>
      <c r="C315" s="45" t="s">
        <v>135</v>
      </c>
      <c r="D315" s="45">
        <v>102197</v>
      </c>
      <c r="E315" s="6" t="s">
        <v>769</v>
      </c>
      <c r="F315" s="45" t="s">
        <v>121</v>
      </c>
      <c r="G315" s="46">
        <f t="shared" si="36"/>
        <v>1530</v>
      </c>
      <c r="H315" s="46">
        <f>TRUNC(S315*(1-LOTE_03!$K$10),2)</f>
        <v>25.89</v>
      </c>
      <c r="I315" s="46">
        <f>TRUNC(T315*(1-LOTE_03!$K$10),2)</f>
        <v>6.09</v>
      </c>
      <c r="J315" s="100">
        <f t="shared" si="37"/>
        <v>0.22470000000000001</v>
      </c>
      <c r="K315" s="48">
        <f t="shared" si="31"/>
        <v>31.7</v>
      </c>
      <c r="L315" s="48">
        <f t="shared" si="32"/>
        <v>7.45</v>
      </c>
      <c r="M315" s="48">
        <f t="shared" si="33"/>
        <v>48501</v>
      </c>
      <c r="N315" s="48">
        <f t="shared" si="34"/>
        <v>11398.5</v>
      </c>
      <c r="O315" s="50">
        <f t="shared" si="35"/>
        <v>59899.5</v>
      </c>
      <c r="P315" s="50">
        <v>0</v>
      </c>
      <c r="Q315" s="76"/>
      <c r="R315" s="140">
        <f>R256</f>
        <v>1530</v>
      </c>
      <c r="S315" s="79">
        <v>25.89</v>
      </c>
      <c r="T315" s="80">
        <v>6.09</v>
      </c>
    </row>
    <row r="316" spans="2:20" ht="70">
      <c r="B316" s="5" t="s">
        <v>770</v>
      </c>
      <c r="C316" s="45" t="s">
        <v>135</v>
      </c>
      <c r="D316" s="45">
        <v>88412</v>
      </c>
      <c r="E316" s="6" t="s">
        <v>771</v>
      </c>
      <c r="F316" s="45" t="s">
        <v>121</v>
      </c>
      <c r="G316" s="46">
        <f t="shared" si="36"/>
        <v>30000</v>
      </c>
      <c r="H316" s="46">
        <f>TRUNC(S316*(1-LOTE_03!$K$10),2)</f>
        <v>3.71</v>
      </c>
      <c r="I316" s="46">
        <f>TRUNC(T316*(1-LOTE_03!$K$10),2)</f>
        <v>0.77</v>
      </c>
      <c r="J316" s="100">
        <f t="shared" si="37"/>
        <v>0.22470000000000001</v>
      </c>
      <c r="K316" s="48">
        <f t="shared" si="31"/>
        <v>4.54</v>
      </c>
      <c r="L316" s="48">
        <f t="shared" si="32"/>
        <v>0.94</v>
      </c>
      <c r="M316" s="48">
        <f t="shared" si="33"/>
        <v>136200</v>
      </c>
      <c r="N316" s="48">
        <f t="shared" si="34"/>
        <v>28200</v>
      </c>
      <c r="O316" s="50">
        <f t="shared" si="35"/>
        <v>164400</v>
      </c>
      <c r="P316" s="50">
        <v>0</v>
      </c>
      <c r="Q316" s="76"/>
      <c r="R316" s="140">
        <f>1500*S9+1500*S10</f>
        <v>30000</v>
      </c>
      <c r="S316" s="79">
        <v>3.7100000000000004</v>
      </c>
      <c r="T316" s="80">
        <v>0.77</v>
      </c>
    </row>
    <row r="317" spans="2:20" ht="42">
      <c r="B317" s="5" t="s">
        <v>772</v>
      </c>
      <c r="C317" s="45" t="s">
        <v>135</v>
      </c>
      <c r="D317" s="45">
        <v>88484</v>
      </c>
      <c r="E317" s="6" t="s">
        <v>773</v>
      </c>
      <c r="F317" s="45" t="s">
        <v>121</v>
      </c>
      <c r="G317" s="46">
        <f t="shared" si="36"/>
        <v>30000</v>
      </c>
      <c r="H317" s="46">
        <f>TRUNC(S317*(1-LOTE_03!$K$10),2)</f>
        <v>3.12</v>
      </c>
      <c r="I317" s="46">
        <f>TRUNC(T317*(1-LOTE_03!$K$10),2)</f>
        <v>2.66</v>
      </c>
      <c r="J317" s="100">
        <f t="shared" si="37"/>
        <v>0.22470000000000001</v>
      </c>
      <c r="K317" s="48">
        <f t="shared" si="31"/>
        <v>3.82</v>
      </c>
      <c r="L317" s="48">
        <f t="shared" si="32"/>
        <v>3.25</v>
      </c>
      <c r="M317" s="48">
        <f t="shared" si="33"/>
        <v>114600</v>
      </c>
      <c r="N317" s="48">
        <f t="shared" si="34"/>
        <v>97500</v>
      </c>
      <c r="O317" s="50">
        <f t="shared" si="35"/>
        <v>212100</v>
      </c>
      <c r="P317" s="50">
        <v>0</v>
      </c>
      <c r="Q317" s="76"/>
      <c r="R317" s="140">
        <f>1500*S9+1500*S10</f>
        <v>30000</v>
      </c>
      <c r="S317" s="79">
        <v>3.12</v>
      </c>
      <c r="T317" s="80">
        <v>2.66</v>
      </c>
    </row>
    <row r="318" spans="2:20" ht="42">
      <c r="B318" s="5" t="s">
        <v>774</v>
      </c>
      <c r="C318" s="45" t="s">
        <v>135</v>
      </c>
      <c r="D318" s="45">
        <v>88485</v>
      </c>
      <c r="E318" s="6" t="s">
        <v>775</v>
      </c>
      <c r="F318" s="45" t="s">
        <v>121</v>
      </c>
      <c r="G318" s="46">
        <f t="shared" si="36"/>
        <v>30000</v>
      </c>
      <c r="H318" s="46">
        <f>TRUNC(S318*(1-LOTE_03!$K$10),2)</f>
        <v>2.8</v>
      </c>
      <c r="I318" s="46">
        <f>TRUNC(T318*(1-LOTE_03!$K$10),2)</f>
        <v>1.89</v>
      </c>
      <c r="J318" s="100">
        <f t="shared" si="37"/>
        <v>0.22470000000000001</v>
      </c>
      <c r="K318" s="48">
        <f t="shared" si="31"/>
        <v>3.42</v>
      </c>
      <c r="L318" s="48">
        <f t="shared" si="32"/>
        <v>2.31</v>
      </c>
      <c r="M318" s="48">
        <f t="shared" si="33"/>
        <v>102600</v>
      </c>
      <c r="N318" s="48">
        <f t="shared" si="34"/>
        <v>69300</v>
      </c>
      <c r="O318" s="50">
        <f t="shared" si="35"/>
        <v>171900</v>
      </c>
      <c r="P318" s="50">
        <v>0</v>
      </c>
      <c r="Q318" s="76"/>
      <c r="R318" s="140">
        <f>1500*S9+1500*S10</f>
        <v>30000</v>
      </c>
      <c r="S318" s="79">
        <v>2.8000000000000007</v>
      </c>
      <c r="T318" s="80">
        <v>1.89</v>
      </c>
    </row>
    <row r="319" spans="2:20" ht="42">
      <c r="B319" s="5" t="s">
        <v>776</v>
      </c>
      <c r="C319" s="45" t="s">
        <v>135</v>
      </c>
      <c r="D319" s="45">
        <v>88495</v>
      </c>
      <c r="E319" s="6" t="s">
        <v>777</v>
      </c>
      <c r="F319" s="45" t="s">
        <v>121</v>
      </c>
      <c r="G319" s="46">
        <f t="shared" si="36"/>
        <v>30000</v>
      </c>
      <c r="H319" s="46">
        <f>TRUNC(S319*(1-LOTE_03!$K$10),2)</f>
        <v>6.41</v>
      </c>
      <c r="I319" s="46">
        <f>TRUNC(T319*(1-LOTE_03!$K$10),2)</f>
        <v>7.04</v>
      </c>
      <c r="J319" s="100">
        <f t="shared" si="37"/>
        <v>0.22470000000000001</v>
      </c>
      <c r="K319" s="48">
        <f t="shared" si="31"/>
        <v>7.85</v>
      </c>
      <c r="L319" s="48">
        <f t="shared" si="32"/>
        <v>8.6199999999999992</v>
      </c>
      <c r="M319" s="48">
        <f t="shared" si="33"/>
        <v>235500</v>
      </c>
      <c r="N319" s="48">
        <f t="shared" si="34"/>
        <v>258600</v>
      </c>
      <c r="O319" s="50">
        <f t="shared" si="35"/>
        <v>494100</v>
      </c>
      <c r="P319" s="50">
        <v>0</v>
      </c>
      <c r="Q319" s="76"/>
      <c r="R319" s="140">
        <f>R316</f>
        <v>30000</v>
      </c>
      <c r="S319" s="79">
        <v>6.4099999999999993</v>
      </c>
      <c r="T319" s="80">
        <v>7.04</v>
      </c>
    </row>
    <row r="320" spans="2:20" ht="42">
      <c r="B320" s="5" t="s">
        <v>778</v>
      </c>
      <c r="C320" s="45" t="s">
        <v>135</v>
      </c>
      <c r="D320" s="45">
        <v>88497</v>
      </c>
      <c r="E320" s="6" t="s">
        <v>779</v>
      </c>
      <c r="F320" s="45" t="s">
        <v>121</v>
      </c>
      <c r="G320" s="46">
        <f t="shared" si="36"/>
        <v>30000</v>
      </c>
      <c r="H320" s="46">
        <f>TRUNC(S320*(1-LOTE_03!$K$10),2)</f>
        <v>10.71</v>
      </c>
      <c r="I320" s="46">
        <f>TRUNC(T320*(1-LOTE_03!$K$10),2)</f>
        <v>10.25</v>
      </c>
      <c r="J320" s="100">
        <f t="shared" si="37"/>
        <v>0.22470000000000001</v>
      </c>
      <c r="K320" s="48">
        <f t="shared" si="31"/>
        <v>13.11</v>
      </c>
      <c r="L320" s="48">
        <f t="shared" si="32"/>
        <v>12.55</v>
      </c>
      <c r="M320" s="48">
        <f t="shared" si="33"/>
        <v>393300</v>
      </c>
      <c r="N320" s="48">
        <f t="shared" si="34"/>
        <v>376500</v>
      </c>
      <c r="O320" s="50">
        <f t="shared" si="35"/>
        <v>769800</v>
      </c>
      <c r="P320" s="50">
        <v>0</v>
      </c>
      <c r="Q320" s="76"/>
      <c r="R320" s="140">
        <f>R316</f>
        <v>30000</v>
      </c>
      <c r="S320" s="79">
        <v>10.71</v>
      </c>
      <c r="T320" s="80">
        <v>10.25</v>
      </c>
    </row>
    <row r="321" spans="2:20" ht="42">
      <c r="B321" s="5" t="s">
        <v>780</v>
      </c>
      <c r="C321" s="45" t="s">
        <v>135</v>
      </c>
      <c r="D321" s="45">
        <v>88494</v>
      </c>
      <c r="E321" s="6" t="s">
        <v>781</v>
      </c>
      <c r="F321" s="45" t="s">
        <v>121</v>
      </c>
      <c r="G321" s="46">
        <f t="shared" si="36"/>
        <v>7500</v>
      </c>
      <c r="H321" s="46">
        <f>TRUNC(S321*(1-LOTE_03!$K$10),2)</f>
        <v>9.43</v>
      </c>
      <c r="I321" s="46">
        <f>TRUNC(T321*(1-LOTE_03!$K$10),2)</f>
        <v>14.81</v>
      </c>
      <c r="J321" s="100">
        <f t="shared" si="37"/>
        <v>0.22470000000000001</v>
      </c>
      <c r="K321" s="48">
        <f t="shared" si="31"/>
        <v>11.54</v>
      </c>
      <c r="L321" s="48">
        <f t="shared" si="32"/>
        <v>18.13</v>
      </c>
      <c r="M321" s="48">
        <f t="shared" si="33"/>
        <v>86550</v>
      </c>
      <c r="N321" s="48">
        <f t="shared" si="34"/>
        <v>135975</v>
      </c>
      <c r="O321" s="50">
        <f t="shared" si="35"/>
        <v>222525</v>
      </c>
      <c r="P321" s="50">
        <v>0</v>
      </c>
      <c r="Q321" s="76"/>
      <c r="R321" s="140">
        <f>R316/4</f>
        <v>7500</v>
      </c>
      <c r="S321" s="79">
        <v>9.4299999999999979</v>
      </c>
      <c r="T321" s="80">
        <v>14.81</v>
      </c>
    </row>
    <row r="322" spans="2:20" ht="42">
      <c r="B322" s="5" t="s">
        <v>782</v>
      </c>
      <c r="C322" s="45" t="s">
        <v>135</v>
      </c>
      <c r="D322" s="45">
        <v>88496</v>
      </c>
      <c r="E322" s="6" t="s">
        <v>783</v>
      </c>
      <c r="F322" s="45" t="s">
        <v>121</v>
      </c>
      <c r="G322" s="46">
        <f t="shared" si="36"/>
        <v>7500</v>
      </c>
      <c r="H322" s="46">
        <f>TRUNC(S322*(1-LOTE_03!$K$10),2)</f>
        <v>15.18</v>
      </c>
      <c r="I322" s="46">
        <f>TRUNC(T322*(1-LOTE_03!$K$10),2)</f>
        <v>21.62</v>
      </c>
      <c r="J322" s="100">
        <f t="shared" si="37"/>
        <v>0.22470000000000001</v>
      </c>
      <c r="K322" s="48">
        <f t="shared" si="31"/>
        <v>18.59</v>
      </c>
      <c r="L322" s="48">
        <f t="shared" si="32"/>
        <v>26.47</v>
      </c>
      <c r="M322" s="48">
        <f t="shared" si="33"/>
        <v>139425</v>
      </c>
      <c r="N322" s="48">
        <f t="shared" si="34"/>
        <v>198525</v>
      </c>
      <c r="O322" s="50">
        <f t="shared" si="35"/>
        <v>337950</v>
      </c>
      <c r="P322" s="50">
        <v>0</v>
      </c>
      <c r="Q322" s="76"/>
      <c r="R322" s="140">
        <f>R316/4</f>
        <v>7500</v>
      </c>
      <c r="S322" s="79">
        <v>15.179999999999996</v>
      </c>
      <c r="T322" s="80">
        <v>21.62</v>
      </c>
    </row>
    <row r="323" spans="2:20" ht="56">
      <c r="B323" s="5" t="s">
        <v>784</v>
      </c>
      <c r="C323" s="45" t="s">
        <v>135</v>
      </c>
      <c r="D323" s="45">
        <v>96132</v>
      </c>
      <c r="E323" s="6" t="s">
        <v>785</v>
      </c>
      <c r="F323" s="45" t="s">
        <v>121</v>
      </c>
      <c r="G323" s="46">
        <f t="shared" si="36"/>
        <v>30000</v>
      </c>
      <c r="H323" s="46">
        <f>TRUNC(S323*(1-LOTE_03!$K$10),2)</f>
        <v>14.42</v>
      </c>
      <c r="I323" s="46">
        <f>TRUNC(T323*(1-LOTE_03!$K$10),2)</f>
        <v>7.42</v>
      </c>
      <c r="J323" s="100">
        <f t="shared" si="37"/>
        <v>0.22470000000000001</v>
      </c>
      <c r="K323" s="48">
        <f t="shared" si="31"/>
        <v>17.66</v>
      </c>
      <c r="L323" s="48">
        <f t="shared" si="32"/>
        <v>9.08</v>
      </c>
      <c r="M323" s="48">
        <f t="shared" si="33"/>
        <v>529800</v>
      </c>
      <c r="N323" s="48">
        <f t="shared" si="34"/>
        <v>272400</v>
      </c>
      <c r="O323" s="50">
        <f t="shared" si="35"/>
        <v>802200</v>
      </c>
      <c r="P323" s="50">
        <v>0</v>
      </c>
      <c r="Q323" s="76"/>
      <c r="R323" s="140">
        <f>R316</f>
        <v>30000</v>
      </c>
      <c r="S323" s="79">
        <v>14.42</v>
      </c>
      <c r="T323" s="80">
        <v>7.42</v>
      </c>
    </row>
    <row r="324" spans="2:20" ht="42">
      <c r="B324" s="5" t="s">
        <v>786</v>
      </c>
      <c r="C324" s="45" t="s">
        <v>135</v>
      </c>
      <c r="D324" s="45">
        <v>88489</v>
      </c>
      <c r="E324" s="6" t="s">
        <v>787</v>
      </c>
      <c r="F324" s="45" t="s">
        <v>121</v>
      </c>
      <c r="G324" s="46">
        <f t="shared" si="36"/>
        <v>30000</v>
      </c>
      <c r="H324" s="46">
        <f>TRUNC(S324*(1-LOTE_03!$K$10),2)</f>
        <v>10.44</v>
      </c>
      <c r="I324" s="46">
        <f>TRUNC(T324*(1-LOTE_03!$K$10),2)</f>
        <v>4.99</v>
      </c>
      <c r="J324" s="100">
        <f t="shared" si="37"/>
        <v>0.22470000000000001</v>
      </c>
      <c r="K324" s="48">
        <f t="shared" si="31"/>
        <v>12.78</v>
      </c>
      <c r="L324" s="48">
        <f t="shared" si="32"/>
        <v>6.11</v>
      </c>
      <c r="M324" s="48">
        <f t="shared" si="33"/>
        <v>383400</v>
      </c>
      <c r="N324" s="48">
        <f t="shared" si="34"/>
        <v>183300</v>
      </c>
      <c r="O324" s="50">
        <f t="shared" si="35"/>
        <v>566700</v>
      </c>
      <c r="P324" s="50">
        <v>0</v>
      </c>
      <c r="Q324" s="76"/>
      <c r="R324" s="140">
        <f>R316</f>
        <v>30000</v>
      </c>
      <c r="S324" s="79">
        <v>10.44</v>
      </c>
      <c r="T324" s="80">
        <v>4.99</v>
      </c>
    </row>
    <row r="325" spans="2:20" ht="56">
      <c r="B325" s="5" t="s">
        <v>788</v>
      </c>
      <c r="C325" s="45" t="s">
        <v>135</v>
      </c>
      <c r="D325" s="45">
        <v>102491</v>
      </c>
      <c r="E325" s="6" t="s">
        <v>789</v>
      </c>
      <c r="F325" s="45" t="s">
        <v>121</v>
      </c>
      <c r="G325" s="46">
        <f t="shared" si="36"/>
        <v>3000</v>
      </c>
      <c r="H325" s="46">
        <f>TRUNC(S325*(1-LOTE_03!$K$10),2)</f>
        <v>16.16</v>
      </c>
      <c r="I325" s="46">
        <f>TRUNC(T325*(1-LOTE_03!$K$10),2)</f>
        <v>8.66</v>
      </c>
      <c r="J325" s="100">
        <f t="shared" si="37"/>
        <v>0.22470000000000001</v>
      </c>
      <c r="K325" s="48">
        <f t="shared" si="31"/>
        <v>19.79</v>
      </c>
      <c r="L325" s="48">
        <f t="shared" si="32"/>
        <v>10.6</v>
      </c>
      <c r="M325" s="48">
        <f t="shared" si="33"/>
        <v>59370</v>
      </c>
      <c r="N325" s="48">
        <f t="shared" si="34"/>
        <v>31800</v>
      </c>
      <c r="O325" s="50">
        <f t="shared" si="35"/>
        <v>91170</v>
      </c>
      <c r="P325" s="50">
        <v>0</v>
      </c>
      <c r="Q325" s="76"/>
      <c r="R325" s="140">
        <f>150*S9+150*S10</f>
        <v>3000</v>
      </c>
      <c r="S325" s="79">
        <v>16.16</v>
      </c>
      <c r="T325" s="80">
        <v>8.66</v>
      </c>
    </row>
    <row r="326" spans="2:20" ht="56">
      <c r="B326" s="5" t="s">
        <v>790</v>
      </c>
      <c r="C326" s="45" t="s">
        <v>135</v>
      </c>
      <c r="D326" s="45">
        <v>102513</v>
      </c>
      <c r="E326" s="6" t="s">
        <v>791</v>
      </c>
      <c r="F326" s="45" t="s">
        <v>121</v>
      </c>
      <c r="G326" s="46">
        <f t="shared" si="36"/>
        <v>800</v>
      </c>
      <c r="H326" s="46">
        <f>TRUNC(S326*(1-LOTE_03!$K$10),2)</f>
        <v>25.8</v>
      </c>
      <c r="I326" s="46">
        <f>TRUNC(T326*(1-LOTE_03!$K$10),2)</f>
        <v>30.03</v>
      </c>
      <c r="J326" s="100">
        <f t="shared" si="37"/>
        <v>0.22470000000000001</v>
      </c>
      <c r="K326" s="48">
        <f t="shared" si="31"/>
        <v>31.59</v>
      </c>
      <c r="L326" s="48">
        <f t="shared" si="32"/>
        <v>36.770000000000003</v>
      </c>
      <c r="M326" s="48">
        <f t="shared" si="33"/>
        <v>25272</v>
      </c>
      <c r="N326" s="48">
        <f t="shared" si="34"/>
        <v>29416</v>
      </c>
      <c r="O326" s="50">
        <f t="shared" si="35"/>
        <v>54688</v>
      </c>
      <c r="P326" s="50">
        <v>0</v>
      </c>
      <c r="Q326" s="76"/>
      <c r="R326" s="140">
        <f>40*S9+40*S10</f>
        <v>800</v>
      </c>
      <c r="S326" s="79">
        <v>25.799999999999997</v>
      </c>
      <c r="T326" s="80">
        <v>30.03</v>
      </c>
    </row>
    <row r="327" spans="2:20" ht="42">
      <c r="B327" s="5" t="s">
        <v>792</v>
      </c>
      <c r="C327" s="45" t="s">
        <v>135</v>
      </c>
      <c r="D327" s="45">
        <v>102501</v>
      </c>
      <c r="E327" s="6" t="s">
        <v>793</v>
      </c>
      <c r="F327" s="45" t="s">
        <v>121</v>
      </c>
      <c r="G327" s="46">
        <f t="shared" si="36"/>
        <v>300</v>
      </c>
      <c r="H327" s="46">
        <f>TRUNC(S327*(1-LOTE_03!$K$10),2)</f>
        <v>16.100000000000001</v>
      </c>
      <c r="I327" s="46">
        <f>TRUNC(T327*(1-LOTE_03!$K$10),2)</f>
        <v>13.72</v>
      </c>
      <c r="J327" s="100">
        <f t="shared" si="37"/>
        <v>0.22470000000000001</v>
      </c>
      <c r="K327" s="48">
        <f t="shared" si="31"/>
        <v>19.71</v>
      </c>
      <c r="L327" s="48">
        <f t="shared" si="32"/>
        <v>16.8</v>
      </c>
      <c r="M327" s="48">
        <f t="shared" si="33"/>
        <v>5913</v>
      </c>
      <c r="N327" s="48">
        <f t="shared" si="34"/>
        <v>5040</v>
      </c>
      <c r="O327" s="50">
        <f t="shared" si="35"/>
        <v>10953</v>
      </c>
      <c r="P327" s="50">
        <v>0</v>
      </c>
      <c r="Q327" s="76"/>
      <c r="R327" s="140">
        <f>15*S9+15*S10</f>
        <v>300</v>
      </c>
      <c r="S327" s="79">
        <v>16.100000000000001</v>
      </c>
      <c r="T327" s="80">
        <v>13.72</v>
      </c>
    </row>
    <row r="328" spans="2:20" ht="98">
      <c r="B328" s="5" t="s">
        <v>794</v>
      </c>
      <c r="C328" s="45" t="s">
        <v>135</v>
      </c>
      <c r="D328" s="45">
        <v>100726</v>
      </c>
      <c r="E328" s="6" t="s">
        <v>795</v>
      </c>
      <c r="F328" s="45" t="s">
        <v>121</v>
      </c>
      <c r="G328" s="46">
        <f t="shared" si="36"/>
        <v>5300</v>
      </c>
      <c r="H328" s="46">
        <f>TRUNC(S328*(1-LOTE_03!$K$10),2)</f>
        <v>13.42</v>
      </c>
      <c r="I328" s="46">
        <f>TRUNC(T328*(1-LOTE_03!$K$10),2)</f>
        <v>16.91</v>
      </c>
      <c r="J328" s="100">
        <f t="shared" si="37"/>
        <v>0.22470000000000001</v>
      </c>
      <c r="K328" s="48">
        <f t="shared" si="31"/>
        <v>16.43</v>
      </c>
      <c r="L328" s="48">
        <f t="shared" si="32"/>
        <v>20.7</v>
      </c>
      <c r="M328" s="48">
        <f t="shared" si="33"/>
        <v>87079</v>
      </c>
      <c r="N328" s="48">
        <f t="shared" si="34"/>
        <v>109710</v>
      </c>
      <c r="O328" s="50">
        <f t="shared" si="35"/>
        <v>196789</v>
      </c>
      <c r="P328" s="50">
        <v>0</v>
      </c>
      <c r="Q328" s="76"/>
      <c r="R328" s="140">
        <f>300*S9+200*S10</f>
        <v>5300</v>
      </c>
      <c r="S328" s="79">
        <v>13.419999999999998</v>
      </c>
      <c r="T328" s="80">
        <v>16.91</v>
      </c>
    </row>
    <row r="329" spans="2:20" ht="28">
      <c r="B329" s="5" t="s">
        <v>796</v>
      </c>
      <c r="C329" s="45" t="s">
        <v>135</v>
      </c>
      <c r="D329" s="45">
        <v>102234</v>
      </c>
      <c r="E329" s="6" t="s">
        <v>797</v>
      </c>
      <c r="F329" s="45" t="s">
        <v>121</v>
      </c>
      <c r="G329" s="46">
        <f t="shared" si="36"/>
        <v>1530</v>
      </c>
      <c r="H329" s="46">
        <f>TRUNC(S329*(1-LOTE_03!$K$10),2)</f>
        <v>12.75</v>
      </c>
      <c r="I329" s="46">
        <f>TRUNC(T329*(1-LOTE_03!$K$10),2)</f>
        <v>10.59</v>
      </c>
      <c r="J329" s="100">
        <f t="shared" si="37"/>
        <v>0.22470000000000001</v>
      </c>
      <c r="K329" s="48">
        <f t="shared" si="31"/>
        <v>15.61</v>
      </c>
      <c r="L329" s="48">
        <f t="shared" si="32"/>
        <v>12.96</v>
      </c>
      <c r="M329" s="48">
        <f t="shared" si="33"/>
        <v>23883.3</v>
      </c>
      <c r="N329" s="48">
        <f t="shared" si="34"/>
        <v>19828.8</v>
      </c>
      <c r="O329" s="50">
        <f t="shared" si="35"/>
        <v>43712.1</v>
      </c>
      <c r="P329" s="50">
        <v>0</v>
      </c>
      <c r="Q329" s="76"/>
      <c r="R329" s="140">
        <f>IF((10*S9+200*S10)&gt;5000,5000,(10*S9+200*S10))</f>
        <v>1530</v>
      </c>
      <c r="S329" s="79">
        <v>12.75</v>
      </c>
      <c r="T329" s="80">
        <v>10.59</v>
      </c>
    </row>
    <row r="330" spans="2:20" ht="84">
      <c r="B330" s="5" t="s">
        <v>798</v>
      </c>
      <c r="C330" s="45" t="s">
        <v>135</v>
      </c>
      <c r="D330" s="45">
        <v>100749</v>
      </c>
      <c r="E330" s="6" t="s">
        <v>799</v>
      </c>
      <c r="F330" s="45" t="s">
        <v>121</v>
      </c>
      <c r="G330" s="46">
        <f t="shared" si="36"/>
        <v>5300</v>
      </c>
      <c r="H330" s="46">
        <f>TRUNC(S330*(1-LOTE_03!$K$10),2)</f>
        <v>13.52</v>
      </c>
      <c r="I330" s="46">
        <f>TRUNC(T330*(1-LOTE_03!$K$10),2)</f>
        <v>13.11</v>
      </c>
      <c r="J330" s="100">
        <f t="shared" si="37"/>
        <v>0.22470000000000001</v>
      </c>
      <c r="K330" s="48">
        <f t="shared" si="31"/>
        <v>16.55</v>
      </c>
      <c r="L330" s="48">
        <f t="shared" si="32"/>
        <v>16.05</v>
      </c>
      <c r="M330" s="48">
        <f t="shared" si="33"/>
        <v>87715</v>
      </c>
      <c r="N330" s="48">
        <f t="shared" si="34"/>
        <v>85065</v>
      </c>
      <c r="O330" s="50">
        <f t="shared" si="35"/>
        <v>172780</v>
      </c>
      <c r="P330" s="50">
        <v>0</v>
      </c>
      <c r="Q330" s="76"/>
      <c r="R330" s="140">
        <f>300*S9+200*S10</f>
        <v>5300</v>
      </c>
      <c r="S330" s="79">
        <v>13.52</v>
      </c>
      <c r="T330" s="80">
        <v>13.11</v>
      </c>
    </row>
    <row r="331" spans="2:20" ht="70">
      <c r="B331" s="5" t="s">
        <v>800</v>
      </c>
      <c r="C331" s="45" t="s">
        <v>135</v>
      </c>
      <c r="D331" s="45">
        <v>88429</v>
      </c>
      <c r="E331" s="6" t="s">
        <v>801</v>
      </c>
      <c r="F331" s="45" t="s">
        <v>121</v>
      </c>
      <c r="G331" s="46">
        <f t="shared" si="36"/>
        <v>1000</v>
      </c>
      <c r="H331" s="46">
        <f>TRUNC(S331*(1-LOTE_03!$K$10),2)</f>
        <v>29.55</v>
      </c>
      <c r="I331" s="46">
        <f>TRUNC(T331*(1-LOTE_03!$K$10),2)</f>
        <v>15.04</v>
      </c>
      <c r="J331" s="100">
        <f t="shared" si="37"/>
        <v>0.22470000000000001</v>
      </c>
      <c r="K331" s="48">
        <f t="shared" si="31"/>
        <v>36.18</v>
      </c>
      <c r="L331" s="48">
        <f t="shared" si="32"/>
        <v>18.41</v>
      </c>
      <c r="M331" s="48">
        <f t="shared" si="33"/>
        <v>36180</v>
      </c>
      <c r="N331" s="48">
        <f t="shared" si="34"/>
        <v>18410</v>
      </c>
      <c r="O331" s="50">
        <f t="shared" si="35"/>
        <v>54590</v>
      </c>
      <c r="P331" s="50">
        <v>0</v>
      </c>
      <c r="Q331" s="76"/>
      <c r="R331" s="140">
        <f>50*(S9+S10)</f>
        <v>1000</v>
      </c>
      <c r="S331" s="79">
        <v>29.550000000000004</v>
      </c>
      <c r="T331" s="80">
        <v>15.04</v>
      </c>
    </row>
    <row r="332" spans="2:20" ht="56">
      <c r="B332" s="5" t="s">
        <v>802</v>
      </c>
      <c r="C332" s="45" t="s">
        <v>97</v>
      </c>
      <c r="D332" s="45" t="s">
        <v>803</v>
      </c>
      <c r="E332" s="6" t="s">
        <v>804</v>
      </c>
      <c r="F332" s="45" t="s">
        <v>121</v>
      </c>
      <c r="G332" s="46">
        <f t="shared" si="36"/>
        <v>1000</v>
      </c>
      <c r="H332" s="46">
        <f>TRUNC(S332*(1-LOTE_03!$K$10),2)</f>
        <v>51.17</v>
      </c>
      <c r="I332" s="46">
        <f>TRUNC(T332*(1-LOTE_03!$K$10),2)</f>
        <v>15.42</v>
      </c>
      <c r="J332" s="100">
        <f t="shared" si="37"/>
        <v>0.22470000000000001</v>
      </c>
      <c r="K332" s="48">
        <f t="shared" si="31"/>
        <v>62.66</v>
      </c>
      <c r="L332" s="48">
        <f t="shared" si="32"/>
        <v>18.88</v>
      </c>
      <c r="M332" s="48">
        <f t="shared" si="33"/>
        <v>62660</v>
      </c>
      <c r="N332" s="48">
        <f t="shared" si="34"/>
        <v>18880</v>
      </c>
      <c r="O332" s="50">
        <f t="shared" si="35"/>
        <v>81540</v>
      </c>
      <c r="P332" s="50">
        <v>0</v>
      </c>
      <c r="Q332" s="76"/>
      <c r="R332" s="140">
        <f>50*(S9+S10)</f>
        <v>1000</v>
      </c>
      <c r="S332" s="79">
        <v>51.17</v>
      </c>
      <c r="T332" s="80">
        <v>15.42</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6186843.5700000022</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50">
        <v>0</v>
      </c>
      <c r="Q334" s="76"/>
      <c r="R334" s="154"/>
      <c r="S334" s="79" t="s">
        <v>22</v>
      </c>
      <c r="T334" s="80" t="s">
        <v>22</v>
      </c>
    </row>
    <row r="335" spans="2:20" ht="56">
      <c r="B335" s="5" t="s">
        <v>807</v>
      </c>
      <c r="C335" s="45" t="s">
        <v>135</v>
      </c>
      <c r="D335" s="45">
        <v>90443</v>
      </c>
      <c r="E335" s="6" t="s">
        <v>808</v>
      </c>
      <c r="F335" s="45" t="s">
        <v>187</v>
      </c>
      <c r="G335" s="46">
        <f t="shared" si="36"/>
        <v>600</v>
      </c>
      <c r="H335" s="46">
        <f>TRUNC(S335*(1-LOTE_03!$K$10),2)</f>
        <v>1.96</v>
      </c>
      <c r="I335" s="46">
        <f>TRUNC(T335*(1-LOTE_03!$K$10),2)</f>
        <v>7.13</v>
      </c>
      <c r="J335" s="100">
        <f t="shared" si="37"/>
        <v>0.22470000000000001</v>
      </c>
      <c r="K335" s="48">
        <f t="shared" si="31"/>
        <v>2.4</v>
      </c>
      <c r="L335" s="48">
        <f t="shared" si="32"/>
        <v>8.73</v>
      </c>
      <c r="M335" s="48">
        <f t="shared" si="33"/>
        <v>1440</v>
      </c>
      <c r="N335" s="48">
        <f t="shared" si="34"/>
        <v>5238</v>
      </c>
      <c r="O335" s="50">
        <f t="shared" si="35"/>
        <v>6678</v>
      </c>
      <c r="P335" s="50">
        <v>0</v>
      </c>
      <c r="Q335" s="76"/>
      <c r="R335" s="140">
        <f>30*S9+30*S10</f>
        <v>600</v>
      </c>
      <c r="S335" s="79">
        <v>1.96</v>
      </c>
      <c r="T335" s="80">
        <v>7.13</v>
      </c>
    </row>
    <row r="336" spans="2:20" ht="70">
      <c r="B336" s="5" t="s">
        <v>809</v>
      </c>
      <c r="C336" s="45" t="s">
        <v>135</v>
      </c>
      <c r="D336" s="45">
        <v>90444</v>
      </c>
      <c r="E336" s="6" t="s">
        <v>810</v>
      </c>
      <c r="F336" s="45" t="s">
        <v>187</v>
      </c>
      <c r="G336" s="46">
        <f t="shared" si="36"/>
        <v>100</v>
      </c>
      <c r="H336" s="46">
        <f>TRUNC(S336*(1-LOTE_03!$K$10),2)</f>
        <v>3.66</v>
      </c>
      <c r="I336" s="46">
        <f>TRUNC(T336*(1-LOTE_03!$K$10),2)</f>
        <v>9.2100000000000009</v>
      </c>
      <c r="J336" s="100">
        <f t="shared" si="37"/>
        <v>0.22470000000000001</v>
      </c>
      <c r="K336" s="48">
        <f t="shared" ref="K336:K399" si="38">TRUNC(H336*(1+J336),2)</f>
        <v>4.4800000000000004</v>
      </c>
      <c r="L336" s="48">
        <f t="shared" ref="L336:L399" si="39">TRUNC(I336*(1+J336),2)</f>
        <v>11.27</v>
      </c>
      <c r="M336" s="48">
        <f t="shared" ref="M336:M399" si="40">TRUNC(K336*G336,2)</f>
        <v>448</v>
      </c>
      <c r="N336" s="48">
        <f t="shared" ref="N336:N399" si="41">TRUNC(L336*G336,2)</f>
        <v>1127</v>
      </c>
      <c r="O336" s="50">
        <f t="shared" ref="O336:O399" si="42">TRUNC(M336+N336,2)</f>
        <v>1575</v>
      </c>
      <c r="P336" s="50">
        <v>0</v>
      </c>
      <c r="Q336" s="76"/>
      <c r="R336" s="140">
        <f>IF((5*S9+30*S10)&gt;100,100,(5*S9+30*S10))</f>
        <v>100</v>
      </c>
      <c r="S336" s="79">
        <v>3.6599999999999984</v>
      </c>
      <c r="T336" s="80">
        <v>9.2100000000000009</v>
      </c>
    </row>
    <row r="337" spans="2:20" ht="42">
      <c r="B337" s="5" t="s">
        <v>811</v>
      </c>
      <c r="C337" s="45" t="s">
        <v>135</v>
      </c>
      <c r="D337" s="45">
        <v>104795</v>
      </c>
      <c r="E337" s="6" t="s">
        <v>812</v>
      </c>
      <c r="F337" s="45" t="s">
        <v>187</v>
      </c>
      <c r="G337" s="46">
        <f t="shared" si="36"/>
        <v>10000</v>
      </c>
      <c r="H337" s="46">
        <f>TRUNC(S337*(1-LOTE_03!$K$10),2)</f>
        <v>0.44</v>
      </c>
      <c r="I337" s="46">
        <f>TRUNC(T337*(1-LOTE_03!$K$10),2)</f>
        <v>1.06</v>
      </c>
      <c r="J337" s="100">
        <f t="shared" si="37"/>
        <v>0.22470000000000001</v>
      </c>
      <c r="K337" s="48">
        <f t="shared" si="38"/>
        <v>0.53</v>
      </c>
      <c r="L337" s="48">
        <f t="shared" si="39"/>
        <v>1.29</v>
      </c>
      <c r="M337" s="48">
        <f t="shared" si="40"/>
        <v>5300</v>
      </c>
      <c r="N337" s="48">
        <f t="shared" si="41"/>
        <v>12900</v>
      </c>
      <c r="O337" s="50">
        <f t="shared" si="42"/>
        <v>18200</v>
      </c>
      <c r="P337" s="50">
        <v>0</v>
      </c>
      <c r="Q337" s="76"/>
      <c r="R337" s="140">
        <f>500*S9+500*S10</f>
        <v>10000</v>
      </c>
      <c r="S337" s="79">
        <v>0.43999999999999995</v>
      </c>
      <c r="T337" s="80">
        <v>1.06</v>
      </c>
    </row>
    <row r="338" spans="2:20" ht="56">
      <c r="B338" s="5" t="s">
        <v>813</v>
      </c>
      <c r="C338" s="45" t="s">
        <v>135</v>
      </c>
      <c r="D338" s="45">
        <v>104792</v>
      </c>
      <c r="E338" s="6" t="s">
        <v>814</v>
      </c>
      <c r="F338" s="45" t="s">
        <v>187</v>
      </c>
      <c r="G338" s="46">
        <f t="shared" ref="G338:G401" si="43">TRUNC(R338,2)</f>
        <v>10000</v>
      </c>
      <c r="H338" s="46">
        <f>TRUNC(S338*(1-LOTE_03!$K$10),2)</f>
        <v>0.13</v>
      </c>
      <c r="I338" s="46">
        <f>TRUNC(T338*(1-LOTE_03!$K$10),2)</f>
        <v>0.3</v>
      </c>
      <c r="J338" s="100">
        <f t="shared" ref="J338:J401" si="44">$J$4</f>
        <v>0.22470000000000001</v>
      </c>
      <c r="K338" s="48">
        <f t="shared" si="38"/>
        <v>0.15</v>
      </c>
      <c r="L338" s="48">
        <f t="shared" si="39"/>
        <v>0.36</v>
      </c>
      <c r="M338" s="48">
        <f t="shared" si="40"/>
        <v>1500</v>
      </c>
      <c r="N338" s="48">
        <f t="shared" si="41"/>
        <v>3600</v>
      </c>
      <c r="O338" s="50">
        <f t="shared" si="42"/>
        <v>5100</v>
      </c>
      <c r="P338" s="50">
        <v>0</v>
      </c>
      <c r="Q338" s="76"/>
      <c r="R338" s="140">
        <f>500*S9+500*S10</f>
        <v>10000</v>
      </c>
      <c r="S338" s="79">
        <v>0.13</v>
      </c>
      <c r="T338" s="80">
        <v>0.3</v>
      </c>
    </row>
    <row r="339" spans="2:20" ht="42">
      <c r="B339" s="5" t="s">
        <v>815</v>
      </c>
      <c r="C339" s="45" t="s">
        <v>135</v>
      </c>
      <c r="D339" s="45">
        <v>97661</v>
      </c>
      <c r="E339" s="6" t="s">
        <v>816</v>
      </c>
      <c r="F339" s="45" t="s">
        <v>187</v>
      </c>
      <c r="G339" s="46">
        <f t="shared" si="43"/>
        <v>1000</v>
      </c>
      <c r="H339" s="46">
        <f>TRUNC(S339*(1-LOTE_03!$K$10),2)</f>
        <v>0.23</v>
      </c>
      <c r="I339" s="46">
        <f>TRUNC(T339*(1-LOTE_03!$K$10),2)</f>
        <v>0.56000000000000005</v>
      </c>
      <c r="J339" s="100">
        <f t="shared" si="44"/>
        <v>0.22470000000000001</v>
      </c>
      <c r="K339" s="48">
        <f t="shared" si="38"/>
        <v>0.28000000000000003</v>
      </c>
      <c r="L339" s="48">
        <f t="shared" si="39"/>
        <v>0.68</v>
      </c>
      <c r="M339" s="48">
        <f t="shared" si="40"/>
        <v>280</v>
      </c>
      <c r="N339" s="48">
        <f t="shared" si="41"/>
        <v>680</v>
      </c>
      <c r="O339" s="50">
        <f t="shared" si="42"/>
        <v>960</v>
      </c>
      <c r="P339" s="50">
        <v>0</v>
      </c>
      <c r="Q339" s="76"/>
      <c r="R339" s="140">
        <f>50*S9+50*S10</f>
        <v>1000</v>
      </c>
      <c r="S339" s="79">
        <v>0.22999999999999998</v>
      </c>
      <c r="T339" s="80">
        <v>0.56000000000000005</v>
      </c>
    </row>
    <row r="340" spans="2:20" ht="28">
      <c r="B340" s="5" t="s">
        <v>817</v>
      </c>
      <c r="C340" s="45" t="s">
        <v>97</v>
      </c>
      <c r="D340" s="45" t="s">
        <v>818</v>
      </c>
      <c r="E340" s="6" t="s">
        <v>819</v>
      </c>
      <c r="F340" s="45" t="s">
        <v>187</v>
      </c>
      <c r="G340" s="46">
        <f t="shared" si="43"/>
        <v>2000</v>
      </c>
      <c r="H340" s="46">
        <f>TRUNC(S340*(1-LOTE_03!$K$10),2)</f>
        <v>0.28000000000000003</v>
      </c>
      <c r="I340" s="46">
        <f>TRUNC(T340*(1-LOTE_03!$K$10),2)</f>
        <v>0.89</v>
      </c>
      <c r="J340" s="100">
        <f t="shared" si="44"/>
        <v>0.22470000000000001</v>
      </c>
      <c r="K340" s="48">
        <f t="shared" si="38"/>
        <v>0.34</v>
      </c>
      <c r="L340" s="48">
        <f t="shared" si="39"/>
        <v>1.08</v>
      </c>
      <c r="M340" s="48">
        <f t="shared" si="40"/>
        <v>680</v>
      </c>
      <c r="N340" s="48">
        <f t="shared" si="41"/>
        <v>2160</v>
      </c>
      <c r="O340" s="50">
        <f t="shared" si="42"/>
        <v>2840</v>
      </c>
      <c r="P340" s="50">
        <v>0</v>
      </c>
      <c r="Q340" s="76"/>
      <c r="R340" s="140">
        <f>100*S9+100*S10</f>
        <v>2000</v>
      </c>
      <c r="S340" s="79">
        <v>0.28000000000000003</v>
      </c>
      <c r="T340" s="80">
        <v>0.89</v>
      </c>
    </row>
    <row r="341" spans="2:20" ht="42">
      <c r="B341" s="5" t="s">
        <v>820</v>
      </c>
      <c r="C341" s="45" t="s">
        <v>97</v>
      </c>
      <c r="D341" s="45" t="s">
        <v>821</v>
      </c>
      <c r="E341" s="6" t="s">
        <v>822</v>
      </c>
      <c r="F341" s="45" t="s">
        <v>104</v>
      </c>
      <c r="G341" s="46">
        <f t="shared" si="43"/>
        <v>60</v>
      </c>
      <c r="H341" s="46">
        <f>TRUNC(S341*(1-LOTE_03!$K$10),2)</f>
        <v>34.28</v>
      </c>
      <c r="I341" s="46">
        <f>TRUNC(T341*(1-LOTE_03!$K$10),2)</f>
        <v>21.81</v>
      </c>
      <c r="J341" s="100">
        <f t="shared" si="44"/>
        <v>0.22470000000000001</v>
      </c>
      <c r="K341" s="48">
        <f t="shared" si="38"/>
        <v>41.98</v>
      </c>
      <c r="L341" s="48">
        <f t="shared" si="39"/>
        <v>26.71</v>
      </c>
      <c r="M341" s="48">
        <f t="shared" si="40"/>
        <v>2518.8000000000002</v>
      </c>
      <c r="N341" s="48">
        <f t="shared" si="41"/>
        <v>1602.6</v>
      </c>
      <c r="O341" s="50">
        <f t="shared" si="42"/>
        <v>4121.3999999999996</v>
      </c>
      <c r="P341" s="50">
        <v>0</v>
      </c>
      <c r="Q341" s="76"/>
      <c r="R341" s="140">
        <f>3*(S9+S10)</f>
        <v>60</v>
      </c>
      <c r="S341" s="79">
        <v>34.28</v>
      </c>
      <c r="T341" s="80">
        <v>21.81</v>
      </c>
    </row>
    <row r="342" spans="2:20" ht="28">
      <c r="B342" s="5" t="s">
        <v>823</v>
      </c>
      <c r="C342" s="45" t="s">
        <v>165</v>
      </c>
      <c r="D342" s="45" t="s">
        <v>824</v>
      </c>
      <c r="E342" s="6" t="s">
        <v>825</v>
      </c>
      <c r="F342" s="45" t="s">
        <v>559</v>
      </c>
      <c r="G342" s="46">
        <f t="shared" si="43"/>
        <v>270</v>
      </c>
      <c r="H342" s="46">
        <f>TRUNC(S342*(1-LOTE_03!$K$10),2)</f>
        <v>269.63</v>
      </c>
      <c r="I342" s="46">
        <f>TRUNC(T342*(1-LOTE_03!$K$10),2)</f>
        <v>150.77000000000001</v>
      </c>
      <c r="J342" s="100">
        <f t="shared" si="44"/>
        <v>0.22470000000000001</v>
      </c>
      <c r="K342" s="48">
        <f t="shared" si="38"/>
        <v>330.21</v>
      </c>
      <c r="L342" s="48">
        <f t="shared" si="39"/>
        <v>184.64</v>
      </c>
      <c r="M342" s="48">
        <f t="shared" si="40"/>
        <v>89156.7</v>
      </c>
      <c r="N342" s="48">
        <f t="shared" si="41"/>
        <v>49852.800000000003</v>
      </c>
      <c r="O342" s="50">
        <f t="shared" si="42"/>
        <v>139009.5</v>
      </c>
      <c r="P342" s="50">
        <v>0</v>
      </c>
      <c r="Q342" s="76"/>
      <c r="R342" s="140">
        <f>IF((10*S9+20*S10)&gt;500,500,(10*S9+20*S10))</f>
        <v>270</v>
      </c>
      <c r="S342" s="79">
        <v>269.63</v>
      </c>
      <c r="T342" s="80">
        <v>150.77000000000001</v>
      </c>
    </row>
    <row r="343" spans="2:20" ht="42">
      <c r="B343" s="5" t="s">
        <v>826</v>
      </c>
      <c r="C343" s="45" t="s">
        <v>165</v>
      </c>
      <c r="D343" s="45" t="s">
        <v>827</v>
      </c>
      <c r="E343" s="6" t="s">
        <v>828</v>
      </c>
      <c r="F343" s="45" t="s">
        <v>559</v>
      </c>
      <c r="G343" s="46">
        <f t="shared" si="43"/>
        <v>100</v>
      </c>
      <c r="H343" s="46">
        <f>TRUNC(S343*(1-LOTE_03!$K$10),2)</f>
        <v>163.53</v>
      </c>
      <c r="I343" s="46">
        <f>TRUNC(T343*(1-LOTE_03!$K$10),2)</f>
        <v>89.11</v>
      </c>
      <c r="J343" s="100">
        <f t="shared" si="44"/>
        <v>0.22470000000000001</v>
      </c>
      <c r="K343" s="48">
        <f t="shared" si="38"/>
        <v>200.27</v>
      </c>
      <c r="L343" s="48">
        <f t="shared" si="39"/>
        <v>109.13</v>
      </c>
      <c r="M343" s="48">
        <f t="shared" si="40"/>
        <v>20027</v>
      </c>
      <c r="N343" s="48">
        <f t="shared" si="41"/>
        <v>10913</v>
      </c>
      <c r="O343" s="50">
        <f t="shared" si="42"/>
        <v>30940</v>
      </c>
      <c r="P343" s="50">
        <v>0</v>
      </c>
      <c r="Q343" s="76"/>
      <c r="R343" s="140">
        <f>IF((5*S9+5*S10)&gt;200,200,(5*S9+5*S10))</f>
        <v>100</v>
      </c>
      <c r="S343" s="79">
        <v>163.53</v>
      </c>
      <c r="T343" s="80">
        <v>89.11</v>
      </c>
    </row>
    <row r="344" spans="2:20" ht="28">
      <c r="B344" s="5" t="s">
        <v>829</v>
      </c>
      <c r="C344" s="45" t="s">
        <v>165</v>
      </c>
      <c r="D344" s="45" t="s">
        <v>830</v>
      </c>
      <c r="E344" s="6" t="s">
        <v>831</v>
      </c>
      <c r="F344" s="45" t="s">
        <v>559</v>
      </c>
      <c r="G344" s="46">
        <f t="shared" si="43"/>
        <v>200</v>
      </c>
      <c r="H344" s="46">
        <f>TRUNC(S344*(1-LOTE_03!$K$10),2)</f>
        <v>256.22000000000003</v>
      </c>
      <c r="I344" s="46">
        <f>TRUNC(T344*(1-LOTE_03!$K$10),2)</f>
        <v>170.03</v>
      </c>
      <c r="J344" s="100">
        <f t="shared" si="44"/>
        <v>0.22470000000000001</v>
      </c>
      <c r="K344" s="48">
        <f t="shared" si="38"/>
        <v>313.79000000000002</v>
      </c>
      <c r="L344" s="48">
        <f t="shared" si="39"/>
        <v>208.23</v>
      </c>
      <c r="M344" s="48">
        <f t="shared" si="40"/>
        <v>62758</v>
      </c>
      <c r="N344" s="48">
        <f t="shared" si="41"/>
        <v>41646</v>
      </c>
      <c r="O344" s="50">
        <f t="shared" si="42"/>
        <v>104404</v>
      </c>
      <c r="P344" s="50">
        <v>0</v>
      </c>
      <c r="Q344" s="76"/>
      <c r="R344" s="140">
        <f>IF((10*S9+20*S10)&gt;200,200,(10*S9+20*S10))</f>
        <v>200</v>
      </c>
      <c r="S344" s="79">
        <v>256.22000000000003</v>
      </c>
      <c r="T344" s="80">
        <v>170.03</v>
      </c>
    </row>
    <row r="345" spans="2:20" ht="28">
      <c r="B345" s="5" t="s">
        <v>832</v>
      </c>
      <c r="C345" s="45" t="s">
        <v>97</v>
      </c>
      <c r="D345" s="45" t="s">
        <v>833</v>
      </c>
      <c r="E345" s="6" t="s">
        <v>834</v>
      </c>
      <c r="F345" s="45" t="s">
        <v>104</v>
      </c>
      <c r="G345" s="46">
        <f t="shared" si="43"/>
        <v>200</v>
      </c>
      <c r="H345" s="46">
        <f>TRUNC(S345*(1-LOTE_03!$K$10),2)</f>
        <v>47.55</v>
      </c>
      <c r="I345" s="46">
        <f>TRUNC(T345*(1-LOTE_03!$K$10),2)</f>
        <v>13.4</v>
      </c>
      <c r="J345" s="100">
        <f t="shared" si="44"/>
        <v>0.22470000000000001</v>
      </c>
      <c r="K345" s="48">
        <f t="shared" si="38"/>
        <v>58.23</v>
      </c>
      <c r="L345" s="48">
        <f t="shared" si="39"/>
        <v>16.41</v>
      </c>
      <c r="M345" s="48">
        <f t="shared" si="40"/>
        <v>11646</v>
      </c>
      <c r="N345" s="48">
        <f t="shared" si="41"/>
        <v>3282</v>
      </c>
      <c r="O345" s="50">
        <f t="shared" si="42"/>
        <v>14928</v>
      </c>
      <c r="P345" s="50">
        <v>0</v>
      </c>
      <c r="Q345" s="76"/>
      <c r="R345" s="140">
        <f>IF((10*S9+10*S10)&gt;200,200,(10*S9+10*S10))</f>
        <v>200</v>
      </c>
      <c r="S345" s="79">
        <v>47.55</v>
      </c>
      <c r="T345" s="80">
        <v>13.4</v>
      </c>
    </row>
    <row r="346" spans="2:20" ht="70">
      <c r="B346" s="5" t="s">
        <v>835</v>
      </c>
      <c r="C346" s="45" t="s">
        <v>135</v>
      </c>
      <c r="D346" s="45">
        <v>91863</v>
      </c>
      <c r="E346" s="6" t="s">
        <v>836</v>
      </c>
      <c r="F346" s="45" t="s">
        <v>187</v>
      </c>
      <c r="G346" s="46">
        <f t="shared" si="43"/>
        <v>960</v>
      </c>
      <c r="H346" s="46">
        <f>TRUNC(S346*(1-LOTE_03!$K$10),2)</f>
        <v>6.79</v>
      </c>
      <c r="I346" s="46">
        <f>TRUNC(T346*(1-LOTE_03!$K$10),2)</f>
        <v>5.18</v>
      </c>
      <c r="J346" s="100">
        <f t="shared" si="44"/>
        <v>0.22470000000000001</v>
      </c>
      <c r="K346" s="48">
        <f t="shared" si="38"/>
        <v>8.31</v>
      </c>
      <c r="L346" s="48">
        <f t="shared" si="39"/>
        <v>6.34</v>
      </c>
      <c r="M346" s="48">
        <f t="shared" si="40"/>
        <v>7977.6</v>
      </c>
      <c r="N346" s="48">
        <f t="shared" si="41"/>
        <v>6086.4</v>
      </c>
      <c r="O346" s="50">
        <f t="shared" si="42"/>
        <v>14064</v>
      </c>
      <c r="P346" s="50">
        <v>0</v>
      </c>
      <c r="Q346" s="76"/>
      <c r="R346" s="140">
        <f>IF((20*S9+100*S10)&gt;1000,1000,(20*S9+100*S10))</f>
        <v>960</v>
      </c>
      <c r="S346" s="79">
        <v>6.7900000000000009</v>
      </c>
      <c r="T346" s="80">
        <v>5.18</v>
      </c>
    </row>
    <row r="347" spans="2:20" ht="70">
      <c r="B347" s="5" t="s">
        <v>837</v>
      </c>
      <c r="C347" s="45" t="s">
        <v>135</v>
      </c>
      <c r="D347" s="45">
        <v>91864</v>
      </c>
      <c r="E347" s="6" t="s">
        <v>838</v>
      </c>
      <c r="F347" s="45" t="s">
        <v>187</v>
      </c>
      <c r="G347" s="46">
        <f t="shared" si="43"/>
        <v>500</v>
      </c>
      <c r="H347" s="46">
        <f>TRUNC(S347*(1-LOTE_03!$K$10),2)</f>
        <v>9.8800000000000008</v>
      </c>
      <c r="I347" s="46">
        <f>TRUNC(T347*(1-LOTE_03!$K$10),2)</f>
        <v>6.02</v>
      </c>
      <c r="J347" s="100">
        <f t="shared" si="44"/>
        <v>0.22470000000000001</v>
      </c>
      <c r="K347" s="48">
        <f t="shared" si="38"/>
        <v>12.1</v>
      </c>
      <c r="L347" s="48">
        <f t="shared" si="39"/>
        <v>7.37</v>
      </c>
      <c r="M347" s="48">
        <f t="shared" si="40"/>
        <v>6050</v>
      </c>
      <c r="N347" s="48">
        <f t="shared" si="41"/>
        <v>3685</v>
      </c>
      <c r="O347" s="50">
        <f t="shared" si="42"/>
        <v>9735</v>
      </c>
      <c r="P347" s="50">
        <v>0</v>
      </c>
      <c r="Q347" s="76"/>
      <c r="R347" s="140">
        <f>IF((20*S9+100*S10)&gt;500,500,(20*S9+100*S10))</f>
        <v>500</v>
      </c>
      <c r="S347" s="79">
        <v>9.8800000000000008</v>
      </c>
      <c r="T347" s="80">
        <v>6.02</v>
      </c>
    </row>
    <row r="348" spans="2:20" ht="56">
      <c r="B348" s="5" t="s">
        <v>839</v>
      </c>
      <c r="C348" s="45" t="s">
        <v>135</v>
      </c>
      <c r="D348" s="45">
        <v>91926</v>
      </c>
      <c r="E348" s="6" t="s">
        <v>840</v>
      </c>
      <c r="F348" s="45" t="s">
        <v>187</v>
      </c>
      <c r="G348" s="46">
        <f t="shared" si="43"/>
        <v>12000</v>
      </c>
      <c r="H348" s="46">
        <f>TRUNC(S348*(1-LOTE_03!$K$10),2)</f>
        <v>3.88</v>
      </c>
      <c r="I348" s="46">
        <f>TRUNC(T348*(1-LOTE_03!$K$10),2)</f>
        <v>1.34</v>
      </c>
      <c r="J348" s="100">
        <f t="shared" si="44"/>
        <v>0.22470000000000001</v>
      </c>
      <c r="K348" s="48">
        <f t="shared" si="38"/>
        <v>4.75</v>
      </c>
      <c r="L348" s="48">
        <f t="shared" si="39"/>
        <v>1.64</v>
      </c>
      <c r="M348" s="48">
        <f t="shared" si="40"/>
        <v>57000</v>
      </c>
      <c r="N348" s="48">
        <f t="shared" si="41"/>
        <v>19680</v>
      </c>
      <c r="O348" s="50">
        <f t="shared" si="42"/>
        <v>76680</v>
      </c>
      <c r="P348" s="50">
        <v>0</v>
      </c>
      <c r="Q348" s="76"/>
      <c r="R348" s="140">
        <f>600*S9+600*S10</f>
        <v>12000</v>
      </c>
      <c r="S348" s="79">
        <v>3.88</v>
      </c>
      <c r="T348" s="80">
        <v>1.34</v>
      </c>
    </row>
    <row r="349" spans="2:20" ht="56">
      <c r="B349" s="5" t="s">
        <v>841</v>
      </c>
      <c r="C349" s="45" t="s">
        <v>135</v>
      </c>
      <c r="D349" s="45">
        <v>91924</v>
      </c>
      <c r="E349" s="6" t="s">
        <v>842</v>
      </c>
      <c r="F349" s="45" t="s">
        <v>187</v>
      </c>
      <c r="G349" s="46">
        <f t="shared" si="43"/>
        <v>12000</v>
      </c>
      <c r="H349" s="46">
        <f>TRUNC(S349*(1-LOTE_03!$K$10),2)</f>
        <v>2.5299999999999998</v>
      </c>
      <c r="I349" s="46">
        <f>TRUNC(T349*(1-LOTE_03!$K$10),2)</f>
        <v>1.05</v>
      </c>
      <c r="J349" s="100">
        <f t="shared" si="44"/>
        <v>0.22470000000000001</v>
      </c>
      <c r="K349" s="48">
        <f t="shared" si="38"/>
        <v>3.09</v>
      </c>
      <c r="L349" s="48">
        <f t="shared" si="39"/>
        <v>1.28</v>
      </c>
      <c r="M349" s="48">
        <f t="shared" si="40"/>
        <v>37080</v>
      </c>
      <c r="N349" s="48">
        <f t="shared" si="41"/>
        <v>15360</v>
      </c>
      <c r="O349" s="50">
        <f t="shared" si="42"/>
        <v>52440</v>
      </c>
      <c r="P349" s="50">
        <v>0</v>
      </c>
      <c r="Q349" s="76"/>
      <c r="R349" s="140">
        <f>600*S9+600*S10</f>
        <v>12000</v>
      </c>
      <c r="S349" s="79">
        <v>2.5300000000000002</v>
      </c>
      <c r="T349" s="80">
        <v>1.05</v>
      </c>
    </row>
    <row r="350" spans="2:20" ht="56">
      <c r="B350" s="5" t="s">
        <v>843</v>
      </c>
      <c r="C350" s="45" t="s">
        <v>135</v>
      </c>
      <c r="D350" s="45">
        <v>91928</v>
      </c>
      <c r="E350" s="6" t="s">
        <v>844</v>
      </c>
      <c r="F350" s="45" t="s">
        <v>187</v>
      </c>
      <c r="G350" s="46">
        <f t="shared" si="43"/>
        <v>4000</v>
      </c>
      <c r="H350" s="46">
        <f>TRUNC(S350*(1-LOTE_03!$K$10),2)</f>
        <v>6.29</v>
      </c>
      <c r="I350" s="46">
        <f>TRUNC(T350*(1-LOTE_03!$K$10),2)</f>
        <v>1.79</v>
      </c>
      <c r="J350" s="100">
        <f t="shared" si="44"/>
        <v>0.22470000000000001</v>
      </c>
      <c r="K350" s="48">
        <f t="shared" si="38"/>
        <v>7.7</v>
      </c>
      <c r="L350" s="48">
        <f t="shared" si="39"/>
        <v>2.19</v>
      </c>
      <c r="M350" s="48">
        <f t="shared" si="40"/>
        <v>30800</v>
      </c>
      <c r="N350" s="48">
        <f t="shared" si="41"/>
        <v>8760</v>
      </c>
      <c r="O350" s="50">
        <f t="shared" si="42"/>
        <v>39560</v>
      </c>
      <c r="P350" s="50">
        <v>0</v>
      </c>
      <c r="Q350" s="76"/>
      <c r="R350" s="140">
        <f>200*S9+200*S10</f>
        <v>4000</v>
      </c>
      <c r="S350" s="79">
        <v>6.29</v>
      </c>
      <c r="T350" s="80">
        <v>1.79</v>
      </c>
    </row>
    <row r="351" spans="2:20" ht="56">
      <c r="B351" s="5" t="s">
        <v>845</v>
      </c>
      <c r="C351" s="45" t="s">
        <v>135</v>
      </c>
      <c r="D351" s="45">
        <v>91952</v>
      </c>
      <c r="E351" s="6" t="s">
        <v>846</v>
      </c>
      <c r="F351" s="45" t="s">
        <v>210</v>
      </c>
      <c r="G351" s="46">
        <f t="shared" si="43"/>
        <v>500</v>
      </c>
      <c r="H351" s="46">
        <f>TRUNC(S351*(1-LOTE_03!$K$10),2)</f>
        <v>10.119999999999999</v>
      </c>
      <c r="I351" s="46">
        <f>TRUNC(T351*(1-LOTE_03!$K$10),2)</f>
        <v>10.18</v>
      </c>
      <c r="J351" s="100">
        <f t="shared" si="44"/>
        <v>0.22470000000000001</v>
      </c>
      <c r="K351" s="48">
        <f t="shared" si="38"/>
        <v>12.39</v>
      </c>
      <c r="L351" s="48">
        <f t="shared" si="39"/>
        <v>12.46</v>
      </c>
      <c r="M351" s="48">
        <f t="shared" si="40"/>
        <v>6195</v>
      </c>
      <c r="N351" s="48">
        <f t="shared" si="41"/>
        <v>6230</v>
      </c>
      <c r="O351" s="50">
        <f t="shared" si="42"/>
        <v>12425</v>
      </c>
      <c r="P351" s="50">
        <v>0</v>
      </c>
      <c r="Q351" s="76"/>
      <c r="R351" s="140">
        <f>25*S9+25*S10</f>
        <v>500</v>
      </c>
      <c r="S351" s="79">
        <v>10.120000000000001</v>
      </c>
      <c r="T351" s="80">
        <v>10.18</v>
      </c>
    </row>
    <row r="352" spans="2:20" ht="56">
      <c r="B352" s="5" t="s">
        <v>847</v>
      </c>
      <c r="C352" s="45" t="s">
        <v>135</v>
      </c>
      <c r="D352" s="45">
        <v>91959</v>
      </c>
      <c r="E352" s="6" t="s">
        <v>848</v>
      </c>
      <c r="F352" s="45" t="s">
        <v>210</v>
      </c>
      <c r="G352" s="46">
        <f t="shared" si="43"/>
        <v>200</v>
      </c>
      <c r="H352" s="46">
        <f>TRUNC(S352*(1-LOTE_03!$K$10),2)</f>
        <v>25.49</v>
      </c>
      <c r="I352" s="46">
        <f>TRUNC(T352*(1-LOTE_03!$K$10),2)</f>
        <v>23.16</v>
      </c>
      <c r="J352" s="100">
        <f t="shared" si="44"/>
        <v>0.22470000000000001</v>
      </c>
      <c r="K352" s="48">
        <f t="shared" si="38"/>
        <v>31.21</v>
      </c>
      <c r="L352" s="48">
        <f t="shared" si="39"/>
        <v>28.36</v>
      </c>
      <c r="M352" s="48">
        <f t="shared" si="40"/>
        <v>6242</v>
      </c>
      <c r="N352" s="48">
        <f t="shared" si="41"/>
        <v>5672</v>
      </c>
      <c r="O352" s="50">
        <f t="shared" si="42"/>
        <v>11914</v>
      </c>
      <c r="P352" s="50">
        <v>0</v>
      </c>
      <c r="Q352" s="76"/>
      <c r="R352" s="140">
        <f>10*S9+10*S10</f>
        <v>200</v>
      </c>
      <c r="S352" s="79">
        <v>25.49</v>
      </c>
      <c r="T352" s="80">
        <v>23.16</v>
      </c>
    </row>
    <row r="353" spans="2:20" ht="56">
      <c r="B353" s="5" t="s">
        <v>849</v>
      </c>
      <c r="C353" s="45" t="s">
        <v>135</v>
      </c>
      <c r="D353" s="45">
        <v>91967</v>
      </c>
      <c r="E353" s="6" t="s">
        <v>850</v>
      </c>
      <c r="F353" s="45" t="s">
        <v>210</v>
      </c>
      <c r="G353" s="46">
        <f t="shared" si="43"/>
        <v>200</v>
      </c>
      <c r="H353" s="46">
        <f>TRUNC(S353*(1-LOTE_03!$K$10),2)</f>
        <v>34.659999999999997</v>
      </c>
      <c r="I353" s="46">
        <f>TRUNC(T353*(1-LOTE_03!$K$10),2)</f>
        <v>30.56</v>
      </c>
      <c r="J353" s="100">
        <f t="shared" si="44"/>
        <v>0.22470000000000001</v>
      </c>
      <c r="K353" s="48">
        <f t="shared" si="38"/>
        <v>42.44</v>
      </c>
      <c r="L353" s="48">
        <f t="shared" si="39"/>
        <v>37.42</v>
      </c>
      <c r="M353" s="48">
        <f t="shared" si="40"/>
        <v>8488</v>
      </c>
      <c r="N353" s="48">
        <f t="shared" si="41"/>
        <v>7484</v>
      </c>
      <c r="O353" s="50">
        <f t="shared" si="42"/>
        <v>15972</v>
      </c>
      <c r="P353" s="50">
        <v>0</v>
      </c>
      <c r="Q353" s="76"/>
      <c r="R353" s="140">
        <f>10*S9+10*S10</f>
        <v>200</v>
      </c>
      <c r="S353" s="79">
        <v>34.659999999999997</v>
      </c>
      <c r="T353" s="80">
        <v>30.56</v>
      </c>
    </row>
    <row r="354" spans="2:20" ht="56">
      <c r="B354" s="5" t="s">
        <v>851</v>
      </c>
      <c r="C354" s="45" t="s">
        <v>135</v>
      </c>
      <c r="D354" s="45">
        <v>92005</v>
      </c>
      <c r="E354" s="6" t="s">
        <v>852</v>
      </c>
      <c r="F354" s="45" t="s">
        <v>210</v>
      </c>
      <c r="G354" s="46">
        <f t="shared" si="43"/>
        <v>270</v>
      </c>
      <c r="H354" s="46">
        <f>TRUNC(S354*(1-LOTE_03!$K$10),2)</f>
        <v>34.090000000000003</v>
      </c>
      <c r="I354" s="46">
        <f>TRUNC(T354*(1-LOTE_03!$K$10),2)</f>
        <v>30.58</v>
      </c>
      <c r="J354" s="100">
        <f t="shared" si="44"/>
        <v>0.22470000000000001</v>
      </c>
      <c r="K354" s="48">
        <f t="shared" si="38"/>
        <v>41.75</v>
      </c>
      <c r="L354" s="48">
        <f t="shared" si="39"/>
        <v>37.450000000000003</v>
      </c>
      <c r="M354" s="48">
        <f t="shared" si="40"/>
        <v>11272.5</v>
      </c>
      <c r="N354" s="48">
        <f t="shared" si="41"/>
        <v>10111.5</v>
      </c>
      <c r="O354" s="50">
        <f t="shared" si="42"/>
        <v>21384</v>
      </c>
      <c r="P354" s="50">
        <v>0</v>
      </c>
      <c r="Q354" s="76"/>
      <c r="R354" s="140">
        <f>IF((10*S9+20*S10)&gt;500,500,(10*S9+20*S10))</f>
        <v>270</v>
      </c>
      <c r="S354" s="79">
        <v>34.090000000000003</v>
      </c>
      <c r="T354" s="80">
        <v>30.58</v>
      </c>
    </row>
    <row r="355" spans="2:20" ht="56">
      <c r="B355" s="5" t="s">
        <v>853</v>
      </c>
      <c r="C355" s="45" t="s">
        <v>135</v>
      </c>
      <c r="D355" s="45">
        <v>92008</v>
      </c>
      <c r="E355" s="6" t="s">
        <v>854</v>
      </c>
      <c r="F355" s="45" t="s">
        <v>210</v>
      </c>
      <c r="G355" s="46">
        <f t="shared" si="43"/>
        <v>270</v>
      </c>
      <c r="H355" s="46">
        <f>TRUNC(S355*(1-LOTE_03!$K$10),2)</f>
        <v>27.6</v>
      </c>
      <c r="I355" s="46">
        <f>TRUNC(T355*(1-LOTE_03!$K$10),2)</f>
        <v>23.96</v>
      </c>
      <c r="J355" s="100">
        <f t="shared" si="44"/>
        <v>0.22470000000000001</v>
      </c>
      <c r="K355" s="48">
        <f t="shared" si="38"/>
        <v>33.799999999999997</v>
      </c>
      <c r="L355" s="48">
        <f t="shared" si="39"/>
        <v>29.34</v>
      </c>
      <c r="M355" s="48">
        <f t="shared" si="40"/>
        <v>9126</v>
      </c>
      <c r="N355" s="48">
        <f t="shared" si="41"/>
        <v>7921.8</v>
      </c>
      <c r="O355" s="50">
        <f t="shared" si="42"/>
        <v>17047.8</v>
      </c>
      <c r="P355" s="50">
        <v>0</v>
      </c>
      <c r="Q355" s="76"/>
      <c r="R355" s="140">
        <f>IF((10*S9+20*S10)&gt;500,500,(10*S9+20*S10))</f>
        <v>270</v>
      </c>
      <c r="S355" s="79">
        <v>27.6</v>
      </c>
      <c r="T355" s="80">
        <v>23.96</v>
      </c>
    </row>
    <row r="356" spans="2:20" ht="56">
      <c r="B356" s="5" t="s">
        <v>855</v>
      </c>
      <c r="C356" s="45" t="s">
        <v>135</v>
      </c>
      <c r="D356" s="45">
        <v>92000</v>
      </c>
      <c r="E356" s="6" t="s">
        <v>856</v>
      </c>
      <c r="F356" s="45" t="s">
        <v>210</v>
      </c>
      <c r="G356" s="46">
        <f t="shared" si="43"/>
        <v>600</v>
      </c>
      <c r="H356" s="46">
        <f>TRUNC(S356*(1-LOTE_03!$K$10),2)</f>
        <v>17.37</v>
      </c>
      <c r="I356" s="46">
        <f>TRUNC(T356*(1-LOTE_03!$K$10),2)</f>
        <v>16.18</v>
      </c>
      <c r="J356" s="100">
        <f t="shared" si="44"/>
        <v>0.22470000000000001</v>
      </c>
      <c r="K356" s="48">
        <f t="shared" si="38"/>
        <v>21.27</v>
      </c>
      <c r="L356" s="48">
        <f t="shared" si="39"/>
        <v>19.809999999999999</v>
      </c>
      <c r="M356" s="48">
        <f t="shared" si="40"/>
        <v>12762</v>
      </c>
      <c r="N356" s="48">
        <f t="shared" si="41"/>
        <v>11886</v>
      </c>
      <c r="O356" s="50">
        <f t="shared" si="42"/>
        <v>24648</v>
      </c>
      <c r="P356" s="50">
        <v>0</v>
      </c>
      <c r="Q356" s="76"/>
      <c r="R356" s="140">
        <f>30*S9+30*S10</f>
        <v>600</v>
      </c>
      <c r="S356" s="79">
        <v>17.369999999999997</v>
      </c>
      <c r="T356" s="80">
        <v>16.18</v>
      </c>
    </row>
    <row r="357" spans="2:20" ht="42">
      <c r="B357" s="5" t="s">
        <v>857</v>
      </c>
      <c r="C357" s="45" t="s">
        <v>97</v>
      </c>
      <c r="D357" s="45" t="s">
        <v>858</v>
      </c>
      <c r="E357" s="6" t="s">
        <v>859</v>
      </c>
      <c r="F357" s="45" t="s">
        <v>104</v>
      </c>
      <c r="G357" s="46">
        <f t="shared" si="43"/>
        <v>740</v>
      </c>
      <c r="H357" s="46">
        <f>TRUNC(S357*(1-LOTE_03!$K$10),2)</f>
        <v>11.15</v>
      </c>
      <c r="I357" s="46">
        <f>TRUNC(T357*(1-LOTE_03!$K$10),2)</f>
        <v>26.86</v>
      </c>
      <c r="J357" s="100">
        <f t="shared" si="44"/>
        <v>0.22470000000000001</v>
      </c>
      <c r="K357" s="48">
        <f t="shared" si="38"/>
        <v>13.65</v>
      </c>
      <c r="L357" s="48">
        <f t="shared" si="39"/>
        <v>32.89</v>
      </c>
      <c r="M357" s="48">
        <f t="shared" si="40"/>
        <v>10101</v>
      </c>
      <c r="N357" s="48">
        <f t="shared" si="41"/>
        <v>24338.6</v>
      </c>
      <c r="O357" s="50">
        <f t="shared" si="42"/>
        <v>34439.599999999999</v>
      </c>
      <c r="P357" s="50">
        <v>0</v>
      </c>
      <c r="Q357" s="76"/>
      <c r="R357" s="140">
        <f>30*S9+50*S10</f>
        <v>740</v>
      </c>
      <c r="S357" s="79">
        <v>11.15</v>
      </c>
      <c r="T357" s="80">
        <v>26.86</v>
      </c>
    </row>
    <row r="358" spans="2:20" ht="28">
      <c r="B358" s="5" t="s">
        <v>860</v>
      </c>
      <c r="C358" s="45" t="s">
        <v>97</v>
      </c>
      <c r="D358" s="45" t="s">
        <v>861</v>
      </c>
      <c r="E358" s="6" t="s">
        <v>862</v>
      </c>
      <c r="F358" s="45" t="s">
        <v>104</v>
      </c>
      <c r="G358" s="46">
        <f t="shared" si="43"/>
        <v>50</v>
      </c>
      <c r="H358" s="46">
        <f>TRUNC(S358*(1-LOTE_03!$K$10),2)</f>
        <v>31.59</v>
      </c>
      <c r="I358" s="46">
        <f>TRUNC(T358*(1-LOTE_03!$K$10),2)</f>
        <v>20.149999999999999</v>
      </c>
      <c r="J358" s="100">
        <f t="shared" si="44"/>
        <v>0.22470000000000001</v>
      </c>
      <c r="K358" s="48">
        <f t="shared" si="38"/>
        <v>38.68</v>
      </c>
      <c r="L358" s="48">
        <f t="shared" si="39"/>
        <v>24.67</v>
      </c>
      <c r="M358" s="48">
        <f t="shared" si="40"/>
        <v>1934</v>
      </c>
      <c r="N358" s="48">
        <f t="shared" si="41"/>
        <v>1233.5</v>
      </c>
      <c r="O358" s="50">
        <f t="shared" si="42"/>
        <v>3167.5</v>
      </c>
      <c r="P358" s="50">
        <v>0</v>
      </c>
      <c r="Q358" s="76"/>
      <c r="R358" s="140">
        <f>IF((10*S9+10*S10)&gt;50,50,(10*S9+10*S10))</f>
        <v>50</v>
      </c>
      <c r="S358" s="79">
        <v>31.59</v>
      </c>
      <c r="T358" s="80">
        <v>20.149999999999999</v>
      </c>
    </row>
    <row r="359" spans="2:20" ht="84">
      <c r="B359" s="5" t="s">
        <v>863</v>
      </c>
      <c r="C359" s="45" t="s">
        <v>97</v>
      </c>
      <c r="D359" s="45" t="s">
        <v>864</v>
      </c>
      <c r="E359" s="6" t="s">
        <v>865</v>
      </c>
      <c r="F359" s="45" t="s">
        <v>104</v>
      </c>
      <c r="G359" s="46">
        <f t="shared" si="43"/>
        <v>200</v>
      </c>
      <c r="H359" s="46">
        <f>TRUNC(S359*(1-LOTE_03!$K$10),2)</f>
        <v>190.24</v>
      </c>
      <c r="I359" s="46">
        <f>TRUNC(T359*(1-LOTE_03!$K$10),2)</f>
        <v>40.299999999999997</v>
      </c>
      <c r="J359" s="100">
        <f t="shared" si="44"/>
        <v>0.22470000000000001</v>
      </c>
      <c r="K359" s="48">
        <f t="shared" si="38"/>
        <v>232.98</v>
      </c>
      <c r="L359" s="48">
        <f t="shared" si="39"/>
        <v>49.35</v>
      </c>
      <c r="M359" s="48">
        <f t="shared" si="40"/>
        <v>46596</v>
      </c>
      <c r="N359" s="48">
        <f t="shared" si="41"/>
        <v>9870</v>
      </c>
      <c r="O359" s="50">
        <f t="shared" si="42"/>
        <v>56466</v>
      </c>
      <c r="P359" s="50">
        <v>0</v>
      </c>
      <c r="Q359" s="76"/>
      <c r="R359" s="140">
        <f>IF((20*S9+20*S10)&gt;200,200,(20*S9+20*S10))</f>
        <v>200</v>
      </c>
      <c r="S359" s="79">
        <v>190.24</v>
      </c>
      <c r="T359" s="80">
        <v>40.299999999999997</v>
      </c>
    </row>
    <row r="360" spans="2:20" ht="98">
      <c r="B360" s="5" t="s">
        <v>866</v>
      </c>
      <c r="C360" s="45" t="s">
        <v>97</v>
      </c>
      <c r="D360" s="45" t="s">
        <v>867</v>
      </c>
      <c r="E360" s="6" t="s">
        <v>868</v>
      </c>
      <c r="F360" s="45" t="s">
        <v>104</v>
      </c>
      <c r="G360" s="46">
        <f t="shared" si="43"/>
        <v>40</v>
      </c>
      <c r="H360" s="46">
        <f>TRUNC(S360*(1-LOTE_03!$K$10),2)</f>
        <v>260.04000000000002</v>
      </c>
      <c r="I360" s="46">
        <f>TRUNC(T360*(1-LOTE_03!$K$10),2)</f>
        <v>90.18</v>
      </c>
      <c r="J360" s="100">
        <f t="shared" si="44"/>
        <v>0.22470000000000001</v>
      </c>
      <c r="K360" s="48">
        <f t="shared" si="38"/>
        <v>318.47000000000003</v>
      </c>
      <c r="L360" s="48">
        <f t="shared" si="39"/>
        <v>110.44</v>
      </c>
      <c r="M360" s="48">
        <f t="shared" si="40"/>
        <v>12738.8</v>
      </c>
      <c r="N360" s="48">
        <f t="shared" si="41"/>
        <v>4417.6000000000004</v>
      </c>
      <c r="O360" s="50">
        <f t="shared" si="42"/>
        <v>17156.400000000001</v>
      </c>
      <c r="P360" s="50">
        <v>0</v>
      </c>
      <c r="Q360" s="76"/>
      <c r="R360" s="140">
        <f>IF((2*S9+2*S10)&gt;50,100,(2*S9+2*S10))</f>
        <v>40</v>
      </c>
      <c r="S360" s="79">
        <v>260.04000000000002</v>
      </c>
      <c r="T360" s="80">
        <v>90.18</v>
      </c>
    </row>
    <row r="361" spans="2:20" ht="56">
      <c r="B361" s="5" t="s">
        <v>869</v>
      </c>
      <c r="C361" s="45" t="s">
        <v>135</v>
      </c>
      <c r="D361" s="45">
        <v>97607</v>
      </c>
      <c r="E361" s="6" t="s">
        <v>870</v>
      </c>
      <c r="F361" s="45" t="s">
        <v>210</v>
      </c>
      <c r="G361" s="46">
        <f t="shared" si="43"/>
        <v>50</v>
      </c>
      <c r="H361" s="46">
        <f>TRUNC(S361*(1-LOTE_03!$K$10),2)</f>
        <v>79.239999999999995</v>
      </c>
      <c r="I361" s="46">
        <f>TRUNC(T361*(1-LOTE_03!$K$10),2)</f>
        <v>15.38</v>
      </c>
      <c r="J361" s="100">
        <f t="shared" si="44"/>
        <v>0.22470000000000001</v>
      </c>
      <c r="K361" s="48">
        <f t="shared" si="38"/>
        <v>97.04</v>
      </c>
      <c r="L361" s="48">
        <f t="shared" si="39"/>
        <v>18.829999999999998</v>
      </c>
      <c r="M361" s="48">
        <f t="shared" si="40"/>
        <v>4852</v>
      </c>
      <c r="N361" s="48">
        <f t="shared" si="41"/>
        <v>941.5</v>
      </c>
      <c r="O361" s="50">
        <f t="shared" si="42"/>
        <v>5793.5</v>
      </c>
      <c r="P361" s="50">
        <v>0</v>
      </c>
      <c r="Q361" s="76"/>
      <c r="R361" s="140">
        <f>IF((5*S9+5*S10)&gt;50,50,(5*S9+5*S10))</f>
        <v>50</v>
      </c>
      <c r="S361" s="79">
        <v>79.240000000000009</v>
      </c>
      <c r="T361" s="80">
        <v>15.38</v>
      </c>
    </row>
    <row r="362" spans="2:20" ht="28">
      <c r="B362" s="5" t="s">
        <v>871</v>
      </c>
      <c r="C362" s="45" t="s">
        <v>165</v>
      </c>
      <c r="D362" s="45" t="s">
        <v>872</v>
      </c>
      <c r="E362" s="6" t="s">
        <v>873</v>
      </c>
      <c r="F362" s="45" t="s">
        <v>559</v>
      </c>
      <c r="G362" s="46">
        <f t="shared" si="43"/>
        <v>50</v>
      </c>
      <c r="H362" s="46">
        <f>TRUNC(S362*(1-LOTE_03!$K$10),2)</f>
        <v>302.61</v>
      </c>
      <c r="I362" s="46">
        <f>TRUNC(T362*(1-LOTE_03!$K$10),2)</f>
        <v>57.8</v>
      </c>
      <c r="J362" s="100">
        <f t="shared" si="44"/>
        <v>0.22470000000000001</v>
      </c>
      <c r="K362" s="48">
        <f t="shared" si="38"/>
        <v>370.6</v>
      </c>
      <c r="L362" s="48">
        <f t="shared" si="39"/>
        <v>70.78</v>
      </c>
      <c r="M362" s="48">
        <f t="shared" si="40"/>
        <v>18530</v>
      </c>
      <c r="N362" s="48">
        <f t="shared" si="41"/>
        <v>3539</v>
      </c>
      <c r="O362" s="50">
        <f t="shared" si="42"/>
        <v>22069</v>
      </c>
      <c r="P362" s="50">
        <v>0</v>
      </c>
      <c r="Q362" s="76"/>
      <c r="R362" s="140">
        <f>IF((5*S9+5*S10)&gt;50,50,(5*S9+5*S10))</f>
        <v>50</v>
      </c>
      <c r="S362" s="79">
        <v>302.61</v>
      </c>
      <c r="T362" s="80">
        <v>57.8</v>
      </c>
    </row>
    <row r="363" spans="2:20" ht="42">
      <c r="B363" s="5" t="s">
        <v>874</v>
      </c>
      <c r="C363" s="45" t="s">
        <v>135</v>
      </c>
      <c r="D363" s="45">
        <v>100903</v>
      </c>
      <c r="E363" s="6" t="s">
        <v>875</v>
      </c>
      <c r="F363" s="45" t="s">
        <v>210</v>
      </c>
      <c r="G363" s="46">
        <f t="shared" si="43"/>
        <v>500</v>
      </c>
      <c r="H363" s="46">
        <f>TRUNC(S363*(1-LOTE_03!$K$10),2)</f>
        <v>18.97</v>
      </c>
      <c r="I363" s="46">
        <f>TRUNC(T363*(1-LOTE_03!$K$10),2)</f>
        <v>12.48</v>
      </c>
      <c r="J363" s="100">
        <f t="shared" si="44"/>
        <v>0.22470000000000001</v>
      </c>
      <c r="K363" s="48">
        <f t="shared" si="38"/>
        <v>23.23</v>
      </c>
      <c r="L363" s="48">
        <f t="shared" si="39"/>
        <v>15.28</v>
      </c>
      <c r="M363" s="48">
        <f t="shared" si="40"/>
        <v>11615</v>
      </c>
      <c r="N363" s="48">
        <f t="shared" si="41"/>
        <v>7640</v>
      </c>
      <c r="O363" s="50">
        <f t="shared" si="42"/>
        <v>19255</v>
      </c>
      <c r="P363" s="50">
        <v>0</v>
      </c>
      <c r="Q363" s="76"/>
      <c r="R363" s="140">
        <f>IF((100*S9+100*S10)&gt;500,500,(100*S9+100*S10))</f>
        <v>500</v>
      </c>
      <c r="S363" s="79">
        <v>18.97</v>
      </c>
      <c r="T363" s="80">
        <v>12.48</v>
      </c>
    </row>
    <row r="364" spans="2:20" ht="56">
      <c r="B364" s="5" t="s">
        <v>876</v>
      </c>
      <c r="C364" s="45" t="s">
        <v>135</v>
      </c>
      <c r="D364" s="45">
        <v>97599</v>
      </c>
      <c r="E364" s="6" t="s">
        <v>877</v>
      </c>
      <c r="F364" s="45" t="s">
        <v>210</v>
      </c>
      <c r="G364" s="46">
        <f t="shared" si="43"/>
        <v>100</v>
      </c>
      <c r="H364" s="46">
        <f>TRUNC(S364*(1-LOTE_03!$K$10),2)</f>
        <v>13.78</v>
      </c>
      <c r="I364" s="46">
        <f>TRUNC(T364*(1-LOTE_03!$K$10),2)</f>
        <v>5.57</v>
      </c>
      <c r="J364" s="100">
        <f t="shared" si="44"/>
        <v>0.22470000000000001</v>
      </c>
      <c r="K364" s="48">
        <f t="shared" si="38"/>
        <v>16.87</v>
      </c>
      <c r="L364" s="48">
        <f t="shared" si="39"/>
        <v>6.82</v>
      </c>
      <c r="M364" s="48">
        <f t="shared" si="40"/>
        <v>1687</v>
      </c>
      <c r="N364" s="48">
        <f t="shared" si="41"/>
        <v>682</v>
      </c>
      <c r="O364" s="50">
        <f t="shared" si="42"/>
        <v>2369</v>
      </c>
      <c r="P364" s="50">
        <v>0</v>
      </c>
      <c r="Q364" s="76"/>
      <c r="R364" s="140">
        <f>IF((20*S9+20*S10)&gt;100,100,(20*S9+20*S10))</f>
        <v>100</v>
      </c>
      <c r="S364" s="79">
        <v>13.780000000000001</v>
      </c>
      <c r="T364" s="80">
        <v>5.57</v>
      </c>
    </row>
    <row r="365" spans="2:20" ht="28">
      <c r="B365" s="5" t="s">
        <v>878</v>
      </c>
      <c r="C365" s="45" t="s">
        <v>97</v>
      </c>
      <c r="D365" s="45" t="s">
        <v>879</v>
      </c>
      <c r="E365" s="6" t="s">
        <v>880</v>
      </c>
      <c r="F365" s="45" t="s">
        <v>881</v>
      </c>
      <c r="G365" s="46">
        <f t="shared" si="43"/>
        <v>1100</v>
      </c>
      <c r="H365" s="46">
        <f>TRUNC(S365*(1-LOTE_03!$K$10),2)</f>
        <v>113.53</v>
      </c>
      <c r="I365" s="46">
        <f>TRUNC(T365*(1-LOTE_03!$K$10),2)</f>
        <v>40.299999999999997</v>
      </c>
      <c r="J365" s="100">
        <f t="shared" si="44"/>
        <v>0.22470000000000001</v>
      </c>
      <c r="K365" s="48">
        <f t="shared" si="38"/>
        <v>139.04</v>
      </c>
      <c r="L365" s="48">
        <f t="shared" si="39"/>
        <v>49.35</v>
      </c>
      <c r="M365" s="48">
        <f t="shared" si="40"/>
        <v>152944</v>
      </c>
      <c r="N365" s="48">
        <f t="shared" si="41"/>
        <v>54285</v>
      </c>
      <c r="O365" s="50">
        <f t="shared" si="42"/>
        <v>207229</v>
      </c>
      <c r="P365" s="50">
        <v>0</v>
      </c>
      <c r="Q365" s="76"/>
      <c r="R365" s="141">
        <f>(6+6+3+2+2+6+4+2+2+4+6+6+6)*(S9+S10)</f>
        <v>1100</v>
      </c>
      <c r="S365" s="79">
        <v>113.53</v>
      </c>
      <c r="T365" s="80">
        <v>40.299999999999997</v>
      </c>
    </row>
    <row r="366" spans="2:20" ht="28">
      <c r="B366" s="5" t="s">
        <v>882</v>
      </c>
      <c r="C366" s="45" t="s">
        <v>97</v>
      </c>
      <c r="D366" s="45" t="s">
        <v>883</v>
      </c>
      <c r="E366" s="6" t="s">
        <v>884</v>
      </c>
      <c r="F366" s="45" t="s">
        <v>104</v>
      </c>
      <c r="G366" s="46">
        <f t="shared" si="43"/>
        <v>660</v>
      </c>
      <c r="H366" s="46">
        <f>TRUNC(S366*(1-LOTE_03!$K$10),2)</f>
        <v>112.53</v>
      </c>
      <c r="I366" s="46">
        <f>TRUNC(T366*(1-LOTE_03!$K$10),2)</f>
        <v>40.299999999999997</v>
      </c>
      <c r="J366" s="100">
        <f t="shared" si="44"/>
        <v>0.22470000000000001</v>
      </c>
      <c r="K366" s="48">
        <f t="shared" si="38"/>
        <v>137.81</v>
      </c>
      <c r="L366" s="48">
        <f t="shared" si="39"/>
        <v>49.35</v>
      </c>
      <c r="M366" s="48">
        <f t="shared" si="40"/>
        <v>90954.6</v>
      </c>
      <c r="N366" s="48">
        <f t="shared" si="41"/>
        <v>32571</v>
      </c>
      <c r="O366" s="50">
        <f t="shared" si="42"/>
        <v>123525.6</v>
      </c>
      <c r="P366" s="50">
        <v>0</v>
      </c>
      <c r="Q366" s="76"/>
      <c r="R366" s="141">
        <f>(3+9+14+7)*(S9+S10)</f>
        <v>660</v>
      </c>
      <c r="S366" s="79">
        <v>112.53</v>
      </c>
      <c r="T366" s="80">
        <v>40.299999999999997</v>
      </c>
    </row>
    <row r="367" spans="2:20" ht="42">
      <c r="B367" s="5" t="s">
        <v>885</v>
      </c>
      <c r="C367" s="45" t="s">
        <v>97</v>
      </c>
      <c r="D367" s="45" t="s">
        <v>886</v>
      </c>
      <c r="E367" s="6" t="s">
        <v>887</v>
      </c>
      <c r="F367" s="45" t="s">
        <v>104</v>
      </c>
      <c r="G367" s="46">
        <f t="shared" si="43"/>
        <v>200</v>
      </c>
      <c r="H367" s="46">
        <f>TRUNC(S367*(1-LOTE_03!$K$10),2)</f>
        <v>112.53</v>
      </c>
      <c r="I367" s="46">
        <f>TRUNC(T367*(1-LOTE_03!$K$10),2)</f>
        <v>40.299999999999997</v>
      </c>
      <c r="J367" s="100">
        <f t="shared" si="44"/>
        <v>0.22470000000000001</v>
      </c>
      <c r="K367" s="48">
        <f t="shared" si="38"/>
        <v>137.81</v>
      </c>
      <c r="L367" s="48">
        <f t="shared" si="39"/>
        <v>49.35</v>
      </c>
      <c r="M367" s="48">
        <f t="shared" si="40"/>
        <v>27562</v>
      </c>
      <c r="N367" s="48">
        <f t="shared" si="41"/>
        <v>9870</v>
      </c>
      <c r="O367" s="50">
        <f t="shared" si="42"/>
        <v>37432</v>
      </c>
      <c r="P367" s="50">
        <v>0</v>
      </c>
      <c r="Q367" s="76"/>
      <c r="R367" s="141">
        <f>10*(S9+S10)</f>
        <v>200</v>
      </c>
      <c r="S367" s="79">
        <v>112.53</v>
      </c>
      <c r="T367" s="80">
        <v>40.299999999999997</v>
      </c>
    </row>
    <row r="368" spans="2:20" ht="28">
      <c r="B368" s="5" t="s">
        <v>888</v>
      </c>
      <c r="C368" s="45" t="s">
        <v>97</v>
      </c>
      <c r="D368" s="45" t="s">
        <v>889</v>
      </c>
      <c r="E368" s="6" t="s">
        <v>890</v>
      </c>
      <c r="F368" s="45" t="s">
        <v>104</v>
      </c>
      <c r="G368" s="46">
        <f t="shared" si="43"/>
        <v>400</v>
      </c>
      <c r="H368" s="46">
        <f>TRUNC(S368*(1-LOTE_03!$K$10),2)</f>
        <v>2030.25</v>
      </c>
      <c r="I368" s="46">
        <f>TRUNC(T368*(1-LOTE_03!$K$10),2)</f>
        <v>44.78</v>
      </c>
      <c r="J368" s="100">
        <f t="shared" si="44"/>
        <v>0.22470000000000001</v>
      </c>
      <c r="K368" s="48">
        <f t="shared" si="38"/>
        <v>2486.44</v>
      </c>
      <c r="L368" s="48">
        <f t="shared" si="39"/>
        <v>54.84</v>
      </c>
      <c r="M368" s="48">
        <f t="shared" si="40"/>
        <v>994576</v>
      </c>
      <c r="N368" s="48">
        <f t="shared" si="41"/>
        <v>21936</v>
      </c>
      <c r="O368" s="50">
        <f t="shared" si="42"/>
        <v>1016512</v>
      </c>
      <c r="P368" s="50">
        <v>0</v>
      </c>
      <c r="Q368" s="76"/>
      <c r="R368" s="141">
        <f>20*(S9+S10)</f>
        <v>400</v>
      </c>
      <c r="S368" s="79">
        <v>2030.25</v>
      </c>
      <c r="T368" s="80">
        <v>44.78</v>
      </c>
    </row>
    <row r="369" spans="2:20" ht="28">
      <c r="B369" s="5" t="s">
        <v>891</v>
      </c>
      <c r="C369" s="45" t="s">
        <v>97</v>
      </c>
      <c r="D369" s="45" t="s">
        <v>892</v>
      </c>
      <c r="E369" s="6" t="s">
        <v>893</v>
      </c>
      <c r="F369" s="45" t="s">
        <v>104</v>
      </c>
      <c r="G369" s="46">
        <f t="shared" si="43"/>
        <v>240</v>
      </c>
      <c r="H369" s="46">
        <f>TRUNC(S369*(1-LOTE_03!$K$10),2)</f>
        <v>1893.57</v>
      </c>
      <c r="I369" s="46">
        <f>TRUNC(T369*(1-LOTE_03!$K$10),2)</f>
        <v>44.78</v>
      </c>
      <c r="J369" s="100">
        <f t="shared" si="44"/>
        <v>0.22470000000000001</v>
      </c>
      <c r="K369" s="48">
        <f t="shared" si="38"/>
        <v>2319.0500000000002</v>
      </c>
      <c r="L369" s="48">
        <f t="shared" si="39"/>
        <v>54.84</v>
      </c>
      <c r="M369" s="48">
        <f t="shared" si="40"/>
        <v>556572</v>
      </c>
      <c r="N369" s="48">
        <f t="shared" si="41"/>
        <v>13161.6</v>
      </c>
      <c r="O369" s="50">
        <f t="shared" si="42"/>
        <v>569733.6</v>
      </c>
      <c r="P369" s="50">
        <v>0</v>
      </c>
      <c r="Q369" s="76"/>
      <c r="R369" s="141">
        <f>12*(S9+S10)</f>
        <v>240</v>
      </c>
      <c r="S369" s="79">
        <v>1893.57</v>
      </c>
      <c r="T369" s="80">
        <v>44.78</v>
      </c>
    </row>
    <row r="370" spans="2:20" ht="28">
      <c r="B370" s="5" t="s">
        <v>894</v>
      </c>
      <c r="C370" s="45" t="s">
        <v>97</v>
      </c>
      <c r="D370" s="45" t="s">
        <v>895</v>
      </c>
      <c r="E370" s="6" t="s">
        <v>896</v>
      </c>
      <c r="F370" s="45" t="s">
        <v>104</v>
      </c>
      <c r="G370" s="46">
        <f t="shared" si="43"/>
        <v>640</v>
      </c>
      <c r="H370" s="46">
        <f>TRUNC(S370*(1-LOTE_03!$K$10),2)</f>
        <v>863.4</v>
      </c>
      <c r="I370" s="46">
        <f>TRUNC(T370*(1-LOTE_03!$K$10),2)</f>
        <v>44.78</v>
      </c>
      <c r="J370" s="100">
        <f t="shared" si="44"/>
        <v>0.22470000000000001</v>
      </c>
      <c r="K370" s="48">
        <f t="shared" si="38"/>
        <v>1057.4000000000001</v>
      </c>
      <c r="L370" s="48">
        <f t="shared" si="39"/>
        <v>54.84</v>
      </c>
      <c r="M370" s="48">
        <f t="shared" si="40"/>
        <v>676736</v>
      </c>
      <c r="N370" s="48">
        <f t="shared" si="41"/>
        <v>35097.599999999999</v>
      </c>
      <c r="O370" s="50">
        <f t="shared" si="42"/>
        <v>711833.59999999998</v>
      </c>
      <c r="P370" s="50">
        <v>0</v>
      </c>
      <c r="Q370" s="76"/>
      <c r="R370" s="141">
        <f>(19+13)*(S9+S10)</f>
        <v>640</v>
      </c>
      <c r="S370" s="79">
        <v>863.4</v>
      </c>
      <c r="T370" s="80">
        <v>44.78</v>
      </c>
    </row>
    <row r="371" spans="2:20" ht="56">
      <c r="B371" s="5" t="s">
        <v>897</v>
      </c>
      <c r="C371" s="45" t="s">
        <v>97</v>
      </c>
      <c r="D371" s="45" t="s">
        <v>898</v>
      </c>
      <c r="E371" s="6" t="s">
        <v>899</v>
      </c>
      <c r="F371" s="45" t="s">
        <v>104</v>
      </c>
      <c r="G371" s="46">
        <f t="shared" si="43"/>
        <v>287</v>
      </c>
      <c r="H371" s="46">
        <f>TRUNC(S371*(1-LOTE_03!$K$10),2)</f>
        <v>155.08000000000001</v>
      </c>
      <c r="I371" s="46">
        <f>TRUNC(T371*(1-LOTE_03!$K$10),2)</f>
        <v>49.25</v>
      </c>
      <c r="J371" s="100">
        <f t="shared" si="44"/>
        <v>0.22470000000000001</v>
      </c>
      <c r="K371" s="48">
        <f t="shared" si="38"/>
        <v>189.92</v>
      </c>
      <c r="L371" s="48">
        <f t="shared" si="39"/>
        <v>60.31</v>
      </c>
      <c r="M371" s="48">
        <f t="shared" si="40"/>
        <v>54507.040000000001</v>
      </c>
      <c r="N371" s="48">
        <f t="shared" si="41"/>
        <v>17308.97</v>
      </c>
      <c r="O371" s="50">
        <f t="shared" si="42"/>
        <v>71816.009999999995</v>
      </c>
      <c r="P371" s="50">
        <v>0</v>
      </c>
      <c r="Q371" s="76"/>
      <c r="R371" s="141">
        <f>(4+4.85+5.5)*(S9+S10)</f>
        <v>287</v>
      </c>
      <c r="S371" s="79">
        <v>155.08000000000001</v>
      </c>
      <c r="T371" s="80">
        <v>49.25</v>
      </c>
    </row>
    <row r="372" spans="2:20" ht="28">
      <c r="B372" s="5" t="s">
        <v>900</v>
      </c>
      <c r="C372" s="45" t="s">
        <v>97</v>
      </c>
      <c r="D372" s="45" t="s">
        <v>901</v>
      </c>
      <c r="E372" s="6" t="s">
        <v>902</v>
      </c>
      <c r="F372" s="45" t="s">
        <v>187</v>
      </c>
      <c r="G372" s="46">
        <f t="shared" si="43"/>
        <v>287</v>
      </c>
      <c r="H372" s="46">
        <f>TRUNC(S372*(1-LOTE_03!$K$10),2)</f>
        <v>56.19</v>
      </c>
      <c r="I372" s="46">
        <f>TRUNC(T372*(1-LOTE_03!$K$10),2)</f>
        <v>18.96</v>
      </c>
      <c r="J372" s="100">
        <f t="shared" si="44"/>
        <v>0.22470000000000001</v>
      </c>
      <c r="K372" s="48">
        <f t="shared" si="38"/>
        <v>68.81</v>
      </c>
      <c r="L372" s="48">
        <f t="shared" si="39"/>
        <v>23.22</v>
      </c>
      <c r="M372" s="48">
        <f t="shared" si="40"/>
        <v>19748.47</v>
      </c>
      <c r="N372" s="48">
        <f t="shared" si="41"/>
        <v>6664.14</v>
      </c>
      <c r="O372" s="50">
        <f t="shared" si="42"/>
        <v>26412.61</v>
      </c>
      <c r="P372" s="50">
        <v>0</v>
      </c>
      <c r="Q372" s="76"/>
      <c r="R372" s="141">
        <f>R371</f>
        <v>287</v>
      </c>
      <c r="S372" s="79">
        <v>56.19</v>
      </c>
      <c r="T372" s="80">
        <v>18.96</v>
      </c>
    </row>
    <row r="373" spans="2:20" ht="42">
      <c r="B373" s="5" t="s">
        <v>903</v>
      </c>
      <c r="C373" s="45" t="s">
        <v>97</v>
      </c>
      <c r="D373" s="45" t="s">
        <v>904</v>
      </c>
      <c r="E373" s="6" t="s">
        <v>905</v>
      </c>
      <c r="F373" s="45" t="s">
        <v>104</v>
      </c>
      <c r="G373" s="46">
        <f t="shared" si="43"/>
        <v>80</v>
      </c>
      <c r="H373" s="46">
        <f>TRUNC(S373*(1-LOTE_03!$K$10),2)</f>
        <v>261.85000000000002</v>
      </c>
      <c r="I373" s="46">
        <f>TRUNC(T373*(1-LOTE_03!$K$10),2)</f>
        <v>8.9499999999999993</v>
      </c>
      <c r="J373" s="100">
        <f t="shared" si="44"/>
        <v>0.22470000000000001</v>
      </c>
      <c r="K373" s="48">
        <f t="shared" si="38"/>
        <v>320.68</v>
      </c>
      <c r="L373" s="48">
        <f t="shared" si="39"/>
        <v>10.96</v>
      </c>
      <c r="M373" s="48">
        <f t="shared" si="40"/>
        <v>25654.400000000001</v>
      </c>
      <c r="N373" s="48">
        <f t="shared" si="41"/>
        <v>876.8</v>
      </c>
      <c r="O373" s="50">
        <f t="shared" si="42"/>
        <v>26531.200000000001</v>
      </c>
      <c r="P373" s="50">
        <v>0</v>
      </c>
      <c r="Q373" s="76"/>
      <c r="R373" s="140">
        <f>4*S9+4*S10</f>
        <v>80</v>
      </c>
      <c r="S373" s="79">
        <v>261.85000000000002</v>
      </c>
      <c r="T373" s="80">
        <v>8.9499999999999993</v>
      </c>
    </row>
    <row r="374" spans="2:20" ht="28">
      <c r="B374" s="5" t="s">
        <v>906</v>
      </c>
      <c r="C374" s="45" t="s">
        <v>97</v>
      </c>
      <c r="D374" s="45" t="s">
        <v>907</v>
      </c>
      <c r="E374" s="6" t="s">
        <v>908</v>
      </c>
      <c r="F374" s="45" t="s">
        <v>104</v>
      </c>
      <c r="G374" s="46">
        <f t="shared" si="43"/>
        <v>80</v>
      </c>
      <c r="H374" s="46">
        <f>TRUNC(S374*(1-LOTE_03!$K$10),2)</f>
        <v>234.85</v>
      </c>
      <c r="I374" s="46">
        <f>TRUNC(T374*(1-LOTE_03!$K$10),2)</f>
        <v>8.9499999999999993</v>
      </c>
      <c r="J374" s="100">
        <f t="shared" si="44"/>
        <v>0.22470000000000001</v>
      </c>
      <c r="K374" s="48">
        <f t="shared" si="38"/>
        <v>287.62</v>
      </c>
      <c r="L374" s="48">
        <f t="shared" si="39"/>
        <v>10.96</v>
      </c>
      <c r="M374" s="48">
        <f t="shared" si="40"/>
        <v>23009.599999999999</v>
      </c>
      <c r="N374" s="48">
        <f t="shared" si="41"/>
        <v>876.8</v>
      </c>
      <c r="O374" s="50">
        <f t="shared" si="42"/>
        <v>23886.400000000001</v>
      </c>
      <c r="P374" s="50">
        <v>0</v>
      </c>
      <c r="Q374" s="76"/>
      <c r="R374" s="140">
        <f>4*S9+4*S10</f>
        <v>80</v>
      </c>
      <c r="S374" s="79">
        <v>234.85</v>
      </c>
      <c r="T374" s="80">
        <v>8.9499999999999993</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50">
        <v>0</v>
      </c>
      <c r="Q375" s="76"/>
      <c r="R375" s="154"/>
      <c r="S375" s="79" t="s">
        <v>22</v>
      </c>
      <c r="T375" s="80" t="s">
        <v>22</v>
      </c>
    </row>
    <row r="376" spans="2:20" ht="56">
      <c r="B376" s="5" t="s">
        <v>911</v>
      </c>
      <c r="C376" s="45" t="s">
        <v>135</v>
      </c>
      <c r="D376" s="45">
        <v>93661</v>
      </c>
      <c r="E376" s="6" t="s">
        <v>912</v>
      </c>
      <c r="F376" s="45" t="s">
        <v>210</v>
      </c>
      <c r="G376" s="46">
        <f t="shared" si="43"/>
        <v>40</v>
      </c>
      <c r="H376" s="46">
        <f>TRUNC(S376*(1-LOTE_03!$K$10),2)</f>
        <v>52.67</v>
      </c>
      <c r="I376" s="46">
        <f>TRUNC(T376*(1-LOTE_03!$K$10),2)</f>
        <v>2.84</v>
      </c>
      <c r="J376" s="100">
        <f t="shared" si="44"/>
        <v>0.22470000000000001</v>
      </c>
      <c r="K376" s="48">
        <f t="shared" si="38"/>
        <v>64.5</v>
      </c>
      <c r="L376" s="48">
        <f t="shared" si="39"/>
        <v>3.47</v>
      </c>
      <c r="M376" s="48">
        <f t="shared" si="40"/>
        <v>2580</v>
      </c>
      <c r="N376" s="48">
        <f t="shared" si="41"/>
        <v>138.80000000000001</v>
      </c>
      <c r="O376" s="50">
        <f t="shared" si="42"/>
        <v>2718.8</v>
      </c>
      <c r="P376" s="50">
        <v>0</v>
      </c>
      <c r="Q376" s="76"/>
      <c r="R376" s="140">
        <f>2*S9+2*S10</f>
        <v>40</v>
      </c>
      <c r="S376" s="79">
        <v>52.67</v>
      </c>
      <c r="T376" s="80">
        <v>2.84</v>
      </c>
    </row>
    <row r="377" spans="2:20" ht="56">
      <c r="B377" s="5" t="s">
        <v>913</v>
      </c>
      <c r="C377" s="45" t="s">
        <v>135</v>
      </c>
      <c r="D377" s="45">
        <v>93662</v>
      </c>
      <c r="E377" s="6" t="s">
        <v>914</v>
      </c>
      <c r="F377" s="45" t="s">
        <v>210</v>
      </c>
      <c r="G377" s="46">
        <f t="shared" si="43"/>
        <v>40</v>
      </c>
      <c r="H377" s="46">
        <f>TRUNC(S377*(1-LOTE_03!$K$10),2)</f>
        <v>53.89</v>
      </c>
      <c r="I377" s="46">
        <f>TRUNC(T377*(1-LOTE_03!$K$10),2)</f>
        <v>3.77</v>
      </c>
      <c r="J377" s="100">
        <f t="shared" si="44"/>
        <v>0.22470000000000001</v>
      </c>
      <c r="K377" s="48">
        <f t="shared" si="38"/>
        <v>65.989999999999995</v>
      </c>
      <c r="L377" s="48">
        <f t="shared" si="39"/>
        <v>4.6100000000000003</v>
      </c>
      <c r="M377" s="48">
        <f t="shared" si="40"/>
        <v>2639.6</v>
      </c>
      <c r="N377" s="48">
        <f t="shared" si="41"/>
        <v>184.4</v>
      </c>
      <c r="O377" s="50">
        <f t="shared" si="42"/>
        <v>2824</v>
      </c>
      <c r="P377" s="50">
        <v>0</v>
      </c>
      <c r="Q377" s="76"/>
      <c r="R377" s="140">
        <f>2*S9+2*S10</f>
        <v>40</v>
      </c>
      <c r="S377" s="79">
        <v>53.889999999999993</v>
      </c>
      <c r="T377" s="80">
        <v>3.77</v>
      </c>
    </row>
    <row r="378" spans="2:20" ht="56">
      <c r="B378" s="5" t="s">
        <v>915</v>
      </c>
      <c r="C378" s="45" t="s">
        <v>135</v>
      </c>
      <c r="D378" s="45">
        <v>93663</v>
      </c>
      <c r="E378" s="6" t="s">
        <v>916</v>
      </c>
      <c r="F378" s="45" t="s">
        <v>210</v>
      </c>
      <c r="G378" s="46">
        <f t="shared" si="43"/>
        <v>50</v>
      </c>
      <c r="H378" s="46">
        <f>TRUNC(S378*(1-LOTE_03!$K$10),2)</f>
        <v>54.54</v>
      </c>
      <c r="I378" s="46">
        <f>TRUNC(T378*(1-LOTE_03!$K$10),2)</f>
        <v>5.18</v>
      </c>
      <c r="J378" s="100">
        <f t="shared" si="44"/>
        <v>0.22470000000000001</v>
      </c>
      <c r="K378" s="48">
        <f t="shared" si="38"/>
        <v>66.790000000000006</v>
      </c>
      <c r="L378" s="48">
        <f t="shared" si="39"/>
        <v>6.34</v>
      </c>
      <c r="M378" s="48">
        <f t="shared" si="40"/>
        <v>3339.5</v>
      </c>
      <c r="N378" s="48">
        <f t="shared" si="41"/>
        <v>317</v>
      </c>
      <c r="O378" s="50">
        <f t="shared" si="42"/>
        <v>3656.5</v>
      </c>
      <c r="P378" s="50">
        <v>0</v>
      </c>
      <c r="Q378" s="76"/>
      <c r="R378" s="140">
        <f>IF((10*S9+10*S10)&gt;50,50,(10*S9+10*S10))</f>
        <v>50</v>
      </c>
      <c r="S378" s="79">
        <v>54.54</v>
      </c>
      <c r="T378" s="80">
        <v>5.18</v>
      </c>
    </row>
    <row r="379" spans="2:20" ht="56">
      <c r="B379" s="5" t="s">
        <v>917</v>
      </c>
      <c r="C379" s="45" t="s">
        <v>135</v>
      </c>
      <c r="D379" s="45">
        <v>101896</v>
      </c>
      <c r="E379" s="6" t="s">
        <v>918</v>
      </c>
      <c r="F379" s="45" t="s">
        <v>210</v>
      </c>
      <c r="G379" s="46">
        <f t="shared" si="43"/>
        <v>5</v>
      </c>
      <c r="H379" s="46">
        <f>TRUNC(S379*(1-LOTE_03!$K$10),2)</f>
        <v>574</v>
      </c>
      <c r="I379" s="46">
        <f>TRUNC(T379*(1-LOTE_03!$K$10),2)</f>
        <v>49.5</v>
      </c>
      <c r="J379" s="100">
        <f t="shared" si="44"/>
        <v>0.22470000000000001</v>
      </c>
      <c r="K379" s="48">
        <f t="shared" si="38"/>
        <v>702.97</v>
      </c>
      <c r="L379" s="48">
        <f t="shared" si="39"/>
        <v>60.62</v>
      </c>
      <c r="M379" s="48">
        <f t="shared" si="40"/>
        <v>3514.85</v>
      </c>
      <c r="N379" s="48">
        <f t="shared" si="41"/>
        <v>303.10000000000002</v>
      </c>
      <c r="O379" s="50">
        <f t="shared" si="42"/>
        <v>3817.95</v>
      </c>
      <c r="P379" s="50">
        <v>0</v>
      </c>
      <c r="Q379" s="76"/>
      <c r="R379" s="140">
        <f>IF((1*S9+1*S10)&gt;5,5,(1*S9+1*S10))</f>
        <v>5</v>
      </c>
      <c r="S379" s="79">
        <v>574</v>
      </c>
      <c r="T379" s="80">
        <v>49.5</v>
      </c>
    </row>
    <row r="380" spans="2:20" ht="42">
      <c r="B380" s="5" t="s">
        <v>919</v>
      </c>
      <c r="C380" s="45" t="s">
        <v>165</v>
      </c>
      <c r="D380" s="45" t="s">
        <v>920</v>
      </c>
      <c r="E380" s="6" t="s">
        <v>921</v>
      </c>
      <c r="F380" s="45" t="s">
        <v>559</v>
      </c>
      <c r="G380" s="46">
        <f t="shared" si="43"/>
        <v>5</v>
      </c>
      <c r="H380" s="46">
        <f>TRUNC(S380*(1-LOTE_03!$K$10),2)</f>
        <v>1517.28</v>
      </c>
      <c r="I380" s="46">
        <f>TRUNC(T380*(1-LOTE_03!$K$10),2)</f>
        <v>77.069999999999993</v>
      </c>
      <c r="J380" s="100">
        <f t="shared" si="44"/>
        <v>0.22470000000000001</v>
      </c>
      <c r="K380" s="48">
        <f t="shared" si="38"/>
        <v>1858.21</v>
      </c>
      <c r="L380" s="48">
        <f t="shared" si="39"/>
        <v>94.38</v>
      </c>
      <c r="M380" s="48">
        <f t="shared" si="40"/>
        <v>9291.0499999999993</v>
      </c>
      <c r="N380" s="48">
        <f t="shared" si="41"/>
        <v>471.9</v>
      </c>
      <c r="O380" s="50">
        <f t="shared" si="42"/>
        <v>9762.9500000000007</v>
      </c>
      <c r="P380" s="50">
        <v>0</v>
      </c>
      <c r="Q380" s="76"/>
      <c r="R380" s="140">
        <f>IF((1*S9+1*S10)&gt;5,5,(1*S9+1*S10))</f>
        <v>5</v>
      </c>
      <c r="S380" s="79">
        <v>1517.28</v>
      </c>
      <c r="T380" s="80">
        <v>77.069999999999993</v>
      </c>
    </row>
    <row r="381" spans="2:20" ht="56">
      <c r="B381" s="5" t="s">
        <v>922</v>
      </c>
      <c r="C381" s="45" t="s">
        <v>97</v>
      </c>
      <c r="D381" s="45" t="s">
        <v>923</v>
      </c>
      <c r="E381" s="6" t="s">
        <v>924</v>
      </c>
      <c r="F381" s="45" t="s">
        <v>925</v>
      </c>
      <c r="G381" s="46">
        <f t="shared" si="43"/>
        <v>200</v>
      </c>
      <c r="H381" s="46">
        <f>TRUNC(S381*(1-LOTE_03!$K$10),2)</f>
        <v>51.3</v>
      </c>
      <c r="I381" s="46">
        <f>TRUNC(T381*(1-LOTE_03!$K$10),2)</f>
        <v>13.43</v>
      </c>
      <c r="J381" s="100">
        <f t="shared" si="44"/>
        <v>0.22470000000000001</v>
      </c>
      <c r="K381" s="48">
        <f t="shared" si="38"/>
        <v>62.82</v>
      </c>
      <c r="L381" s="48">
        <f t="shared" si="39"/>
        <v>16.440000000000001</v>
      </c>
      <c r="M381" s="48">
        <f t="shared" si="40"/>
        <v>12564</v>
      </c>
      <c r="N381" s="48">
        <f t="shared" si="41"/>
        <v>3288</v>
      </c>
      <c r="O381" s="50">
        <f t="shared" si="42"/>
        <v>15852</v>
      </c>
      <c r="P381" s="50">
        <v>0</v>
      </c>
      <c r="Q381" s="76"/>
      <c r="R381" s="140">
        <f>IF((20*S9+20*S10)&gt;200,200,(20*S9+20*S10))</f>
        <v>200</v>
      </c>
      <c r="S381" s="79">
        <v>51.3</v>
      </c>
      <c r="T381" s="80">
        <v>13.43</v>
      </c>
    </row>
    <row r="382" spans="2:20" ht="70">
      <c r="B382" s="5" t="s">
        <v>926</v>
      </c>
      <c r="C382" s="45" t="s">
        <v>135</v>
      </c>
      <c r="D382" s="45">
        <v>91867</v>
      </c>
      <c r="E382" s="6" t="s">
        <v>927</v>
      </c>
      <c r="F382" s="45" t="s">
        <v>187</v>
      </c>
      <c r="G382" s="46">
        <f t="shared" si="43"/>
        <v>500</v>
      </c>
      <c r="H382" s="46">
        <f>TRUNC(S382*(1-LOTE_03!$K$10),2)</f>
        <v>6.43</v>
      </c>
      <c r="I382" s="46">
        <f>TRUNC(T382*(1-LOTE_03!$K$10),2)</f>
        <v>4.07</v>
      </c>
      <c r="J382" s="100">
        <f t="shared" si="44"/>
        <v>0.22470000000000001</v>
      </c>
      <c r="K382" s="48">
        <f t="shared" si="38"/>
        <v>7.87</v>
      </c>
      <c r="L382" s="48">
        <f t="shared" si="39"/>
        <v>4.9800000000000004</v>
      </c>
      <c r="M382" s="48">
        <f t="shared" si="40"/>
        <v>3935</v>
      </c>
      <c r="N382" s="48">
        <f t="shared" si="41"/>
        <v>2490</v>
      </c>
      <c r="O382" s="50">
        <f t="shared" si="42"/>
        <v>6425</v>
      </c>
      <c r="P382" s="50">
        <v>0</v>
      </c>
      <c r="Q382" s="76"/>
      <c r="R382" s="140">
        <f>IF((50*S9+50*S10)&gt;500,500,(50*S9+50*S10))</f>
        <v>500</v>
      </c>
      <c r="S382" s="79">
        <v>6.43</v>
      </c>
      <c r="T382" s="80">
        <v>4.07</v>
      </c>
    </row>
    <row r="383" spans="2:20" ht="70">
      <c r="B383" s="5" t="s">
        <v>928</v>
      </c>
      <c r="C383" s="45" t="s">
        <v>135</v>
      </c>
      <c r="D383" s="45">
        <v>91864</v>
      </c>
      <c r="E383" s="6" t="s">
        <v>838</v>
      </c>
      <c r="F383" s="45" t="s">
        <v>187</v>
      </c>
      <c r="G383" s="46">
        <f t="shared" si="43"/>
        <v>100</v>
      </c>
      <c r="H383" s="46">
        <f>TRUNC(S383*(1-LOTE_03!$K$10),2)</f>
        <v>9.8800000000000008</v>
      </c>
      <c r="I383" s="46">
        <f>TRUNC(T383*(1-LOTE_03!$K$10),2)</f>
        <v>6.02</v>
      </c>
      <c r="J383" s="100">
        <f t="shared" si="44"/>
        <v>0.22470000000000001</v>
      </c>
      <c r="K383" s="48">
        <f t="shared" si="38"/>
        <v>12.1</v>
      </c>
      <c r="L383" s="48">
        <f t="shared" si="39"/>
        <v>7.37</v>
      </c>
      <c r="M383" s="48">
        <f t="shared" si="40"/>
        <v>1210</v>
      </c>
      <c r="N383" s="48">
        <f t="shared" si="41"/>
        <v>737</v>
      </c>
      <c r="O383" s="50">
        <f t="shared" si="42"/>
        <v>1947</v>
      </c>
      <c r="P383" s="50">
        <v>0</v>
      </c>
      <c r="Q383" s="76"/>
      <c r="R383" s="140">
        <f>IF((20*S9+20*S10)&gt;100,100,(20*S9+20*S10))</f>
        <v>100</v>
      </c>
      <c r="S383" s="79">
        <v>9.8800000000000008</v>
      </c>
      <c r="T383" s="80">
        <v>6.02</v>
      </c>
    </row>
    <row r="384" spans="2:20" ht="42">
      <c r="B384" s="5" t="s">
        <v>929</v>
      </c>
      <c r="C384" s="45" t="s">
        <v>165</v>
      </c>
      <c r="D384" s="45" t="s">
        <v>930</v>
      </c>
      <c r="E384" s="6" t="s">
        <v>931</v>
      </c>
      <c r="F384" s="45" t="s">
        <v>531</v>
      </c>
      <c r="G384" s="46">
        <f t="shared" si="43"/>
        <v>200</v>
      </c>
      <c r="H384" s="46">
        <f>TRUNC(S384*(1-LOTE_03!$K$10),2)</f>
        <v>47.82</v>
      </c>
      <c r="I384" s="46">
        <f>TRUNC(T384*(1-LOTE_03!$K$10),2)</f>
        <v>18.63</v>
      </c>
      <c r="J384" s="100">
        <f t="shared" si="44"/>
        <v>0.22470000000000001</v>
      </c>
      <c r="K384" s="48">
        <f t="shared" si="38"/>
        <v>58.56</v>
      </c>
      <c r="L384" s="48">
        <f t="shared" si="39"/>
        <v>22.81</v>
      </c>
      <c r="M384" s="48">
        <f t="shared" si="40"/>
        <v>11712</v>
      </c>
      <c r="N384" s="48">
        <f t="shared" si="41"/>
        <v>4562</v>
      </c>
      <c r="O384" s="50">
        <f t="shared" si="42"/>
        <v>16274</v>
      </c>
      <c r="P384" s="50">
        <v>0</v>
      </c>
      <c r="Q384" s="76"/>
      <c r="R384" s="140">
        <f>IF((20*S9+20*S10)&gt;200,200,(20*S9+20*S10))</f>
        <v>200</v>
      </c>
      <c r="S384" s="79">
        <v>47.82</v>
      </c>
      <c r="T384" s="80">
        <v>18.63</v>
      </c>
    </row>
    <row r="385" spans="2:20" ht="56">
      <c r="B385" s="5" t="s">
        <v>932</v>
      </c>
      <c r="C385" s="45" t="s">
        <v>135</v>
      </c>
      <c r="D385" s="45">
        <v>95778</v>
      </c>
      <c r="E385" s="6" t="s">
        <v>1814</v>
      </c>
      <c r="F385" s="45" t="s">
        <v>210</v>
      </c>
      <c r="G385" s="46">
        <f t="shared" si="43"/>
        <v>100</v>
      </c>
      <c r="H385" s="46">
        <f>TRUNC(S385*(1-LOTE_03!$K$10),2)</f>
        <v>18.77</v>
      </c>
      <c r="I385" s="46">
        <f>TRUNC(T385*(1-LOTE_03!$K$10),2)</f>
        <v>11.14</v>
      </c>
      <c r="J385" s="100">
        <f t="shared" si="44"/>
        <v>0.22470000000000001</v>
      </c>
      <c r="K385" s="48">
        <f t="shared" si="38"/>
        <v>22.98</v>
      </c>
      <c r="L385" s="48">
        <f t="shared" si="39"/>
        <v>13.64</v>
      </c>
      <c r="M385" s="48">
        <f t="shared" si="40"/>
        <v>2298</v>
      </c>
      <c r="N385" s="48">
        <f t="shared" si="41"/>
        <v>1364</v>
      </c>
      <c r="O385" s="50">
        <f t="shared" si="42"/>
        <v>3662</v>
      </c>
      <c r="P385" s="50">
        <v>0</v>
      </c>
      <c r="Q385" s="76"/>
      <c r="R385" s="140">
        <f>IF((10*S9+15*S10)&gt;100,100,(10*S9+15*S10))</f>
        <v>100</v>
      </c>
      <c r="S385" s="79">
        <v>18.77</v>
      </c>
      <c r="T385" s="80">
        <v>11.14</v>
      </c>
    </row>
    <row r="386" spans="2:20" ht="56">
      <c r="B386" s="5" t="s">
        <v>933</v>
      </c>
      <c r="C386" s="45" t="s">
        <v>135</v>
      </c>
      <c r="D386" s="45">
        <v>95780</v>
      </c>
      <c r="E386" s="6" t="s">
        <v>1815</v>
      </c>
      <c r="F386" s="45" t="s">
        <v>210</v>
      </c>
      <c r="G386" s="46">
        <f t="shared" si="43"/>
        <v>100</v>
      </c>
      <c r="H386" s="46">
        <f>TRUNC(S386*(1-LOTE_03!$K$10),2)</f>
        <v>20.010000000000002</v>
      </c>
      <c r="I386" s="46">
        <f>TRUNC(T386*(1-LOTE_03!$K$10),2)</f>
        <v>9.64</v>
      </c>
      <c r="J386" s="100">
        <f t="shared" si="44"/>
        <v>0.22470000000000001</v>
      </c>
      <c r="K386" s="48">
        <f t="shared" si="38"/>
        <v>24.5</v>
      </c>
      <c r="L386" s="48">
        <f t="shared" si="39"/>
        <v>11.8</v>
      </c>
      <c r="M386" s="48">
        <f t="shared" si="40"/>
        <v>2450</v>
      </c>
      <c r="N386" s="48">
        <f t="shared" si="41"/>
        <v>1180</v>
      </c>
      <c r="O386" s="50">
        <f t="shared" si="42"/>
        <v>3630</v>
      </c>
      <c r="P386" s="50">
        <v>0</v>
      </c>
      <c r="Q386" s="76"/>
      <c r="R386" s="140">
        <f>IF((10*S9+15*S10)&gt;100,100,(10*S9+15*S10))</f>
        <v>100</v>
      </c>
      <c r="S386" s="79">
        <v>20.009999999999998</v>
      </c>
      <c r="T386" s="80">
        <v>9.64</v>
      </c>
    </row>
    <row r="387" spans="2:20" ht="56">
      <c r="B387" s="5" t="s">
        <v>934</v>
      </c>
      <c r="C387" s="45" t="s">
        <v>135</v>
      </c>
      <c r="D387" s="45">
        <v>91944</v>
      </c>
      <c r="E387" s="6" t="s">
        <v>935</v>
      </c>
      <c r="F387" s="45" t="s">
        <v>210</v>
      </c>
      <c r="G387" s="46">
        <f t="shared" si="43"/>
        <v>100</v>
      </c>
      <c r="H387" s="46">
        <f>TRUNC(S387*(1-LOTE_03!$K$10),2)</f>
        <v>7.96</v>
      </c>
      <c r="I387" s="46">
        <f>TRUNC(T387*(1-LOTE_03!$K$10),2)</f>
        <v>7.47</v>
      </c>
      <c r="J387" s="100">
        <f t="shared" si="44"/>
        <v>0.22470000000000001</v>
      </c>
      <c r="K387" s="48">
        <f t="shared" si="38"/>
        <v>9.74</v>
      </c>
      <c r="L387" s="48">
        <f t="shared" si="39"/>
        <v>9.14</v>
      </c>
      <c r="M387" s="48">
        <f t="shared" si="40"/>
        <v>974</v>
      </c>
      <c r="N387" s="48">
        <f t="shared" si="41"/>
        <v>914</v>
      </c>
      <c r="O387" s="50">
        <f t="shared" si="42"/>
        <v>1888</v>
      </c>
      <c r="P387" s="50">
        <v>0</v>
      </c>
      <c r="Q387" s="76"/>
      <c r="R387" s="140">
        <f>IF((10*S9+15*S10)&gt;100,100,(10*S9+15*S10))</f>
        <v>100</v>
      </c>
      <c r="S387" s="79">
        <v>7.96</v>
      </c>
      <c r="T387" s="80">
        <v>7.47</v>
      </c>
    </row>
    <row r="388" spans="2:20" ht="56">
      <c r="B388" s="5" t="s">
        <v>936</v>
      </c>
      <c r="C388" s="45" t="s">
        <v>135</v>
      </c>
      <c r="D388" s="45">
        <v>91926</v>
      </c>
      <c r="E388" s="6" t="s">
        <v>840</v>
      </c>
      <c r="F388" s="45" t="s">
        <v>187</v>
      </c>
      <c r="G388" s="46">
        <f t="shared" si="43"/>
        <v>4100</v>
      </c>
      <c r="H388" s="46">
        <f>TRUNC(S388*(1-LOTE_03!$K$10),2)</f>
        <v>3.88</v>
      </c>
      <c r="I388" s="46">
        <f>TRUNC(T388*(1-LOTE_03!$K$10),2)</f>
        <v>1.34</v>
      </c>
      <c r="J388" s="100">
        <f t="shared" si="44"/>
        <v>0.22470000000000001</v>
      </c>
      <c r="K388" s="48">
        <f t="shared" si="38"/>
        <v>4.75</v>
      </c>
      <c r="L388" s="48">
        <f t="shared" si="39"/>
        <v>1.64</v>
      </c>
      <c r="M388" s="48">
        <f t="shared" si="40"/>
        <v>19475</v>
      </c>
      <c r="N388" s="48">
        <f t="shared" si="41"/>
        <v>6724</v>
      </c>
      <c r="O388" s="50">
        <f t="shared" si="42"/>
        <v>26199</v>
      </c>
      <c r="P388" s="50">
        <v>0</v>
      </c>
      <c r="Q388" s="76"/>
      <c r="R388" s="140">
        <f>100*S9+400*S10</f>
        <v>4100</v>
      </c>
      <c r="S388" s="79">
        <v>3.88</v>
      </c>
      <c r="T388" s="80">
        <v>1.34</v>
      </c>
    </row>
    <row r="389" spans="2:20" ht="56">
      <c r="B389" s="5" t="s">
        <v>937</v>
      </c>
      <c r="C389" s="45" t="s">
        <v>135</v>
      </c>
      <c r="D389" s="45">
        <v>91928</v>
      </c>
      <c r="E389" s="6" t="s">
        <v>844</v>
      </c>
      <c r="F389" s="45" t="s">
        <v>187</v>
      </c>
      <c r="G389" s="46">
        <f t="shared" si="43"/>
        <v>2700</v>
      </c>
      <c r="H389" s="46">
        <f>TRUNC(S389*(1-LOTE_03!$K$10),2)</f>
        <v>6.29</v>
      </c>
      <c r="I389" s="46">
        <f>TRUNC(T389*(1-LOTE_03!$K$10),2)</f>
        <v>1.79</v>
      </c>
      <c r="J389" s="100">
        <f t="shared" si="44"/>
        <v>0.22470000000000001</v>
      </c>
      <c r="K389" s="48">
        <f t="shared" si="38"/>
        <v>7.7</v>
      </c>
      <c r="L389" s="48">
        <f t="shared" si="39"/>
        <v>2.19</v>
      </c>
      <c r="M389" s="48">
        <f t="shared" si="40"/>
        <v>20790</v>
      </c>
      <c r="N389" s="48">
        <f t="shared" si="41"/>
        <v>5913</v>
      </c>
      <c r="O389" s="50">
        <f t="shared" si="42"/>
        <v>26703</v>
      </c>
      <c r="P389" s="50">
        <v>0</v>
      </c>
      <c r="Q389" s="76"/>
      <c r="R389" s="140">
        <f>100*S9+200*S10</f>
        <v>2700</v>
      </c>
      <c r="S389" s="79">
        <v>6.29</v>
      </c>
      <c r="T389" s="80">
        <v>1.79</v>
      </c>
    </row>
    <row r="390" spans="2:20" ht="56">
      <c r="B390" s="5" t="s">
        <v>938</v>
      </c>
      <c r="C390" s="45" t="s">
        <v>135</v>
      </c>
      <c r="D390" s="45">
        <v>91930</v>
      </c>
      <c r="E390" s="6" t="s">
        <v>939</v>
      </c>
      <c r="F390" s="45" t="s">
        <v>187</v>
      </c>
      <c r="G390" s="46">
        <f t="shared" si="43"/>
        <v>2050</v>
      </c>
      <c r="H390" s="46">
        <f>TRUNC(S390*(1-LOTE_03!$K$10),2)</f>
        <v>8.93</v>
      </c>
      <c r="I390" s="46">
        <f>TRUNC(T390*(1-LOTE_03!$K$10),2)</f>
        <v>2.36</v>
      </c>
      <c r="J390" s="100">
        <f t="shared" si="44"/>
        <v>0.22470000000000001</v>
      </c>
      <c r="K390" s="48">
        <f t="shared" si="38"/>
        <v>10.93</v>
      </c>
      <c r="L390" s="48">
        <f t="shared" si="39"/>
        <v>2.89</v>
      </c>
      <c r="M390" s="48">
        <f t="shared" si="40"/>
        <v>22406.5</v>
      </c>
      <c r="N390" s="48">
        <f t="shared" si="41"/>
        <v>5924.5</v>
      </c>
      <c r="O390" s="50">
        <f t="shared" si="42"/>
        <v>28331</v>
      </c>
      <c r="P390" s="50">
        <v>0</v>
      </c>
      <c r="Q390" s="76"/>
      <c r="R390" s="140">
        <f>50*S9+200*S10</f>
        <v>2050</v>
      </c>
      <c r="S390" s="79">
        <v>8.93</v>
      </c>
      <c r="T390" s="80">
        <v>2.36</v>
      </c>
    </row>
    <row r="391" spans="2:20" ht="42">
      <c r="B391" s="5" t="s">
        <v>940</v>
      </c>
      <c r="C391" s="45" t="s">
        <v>97</v>
      </c>
      <c r="D391" s="45" t="s">
        <v>904</v>
      </c>
      <c r="E391" s="6" t="s">
        <v>905</v>
      </c>
      <c r="F391" s="45" t="s">
        <v>104</v>
      </c>
      <c r="G391" s="46">
        <f t="shared" si="43"/>
        <v>80</v>
      </c>
      <c r="H391" s="46">
        <f>TRUNC(S391*(1-LOTE_03!$K$10),2)</f>
        <v>261.85000000000002</v>
      </c>
      <c r="I391" s="46">
        <f>TRUNC(T391*(1-LOTE_03!$K$10),2)</f>
        <v>8.9499999999999993</v>
      </c>
      <c r="J391" s="100">
        <f t="shared" si="44"/>
        <v>0.22470000000000001</v>
      </c>
      <c r="K391" s="48">
        <f t="shared" si="38"/>
        <v>320.68</v>
      </c>
      <c r="L391" s="48">
        <f t="shared" si="39"/>
        <v>10.96</v>
      </c>
      <c r="M391" s="48">
        <f t="shared" si="40"/>
        <v>25654.400000000001</v>
      </c>
      <c r="N391" s="48">
        <f t="shared" si="41"/>
        <v>876.8</v>
      </c>
      <c r="O391" s="50">
        <f t="shared" si="42"/>
        <v>26531.200000000001</v>
      </c>
      <c r="P391" s="50">
        <v>0</v>
      </c>
      <c r="Q391" s="76"/>
      <c r="R391" s="140">
        <f>4*S9+4*S10</f>
        <v>80</v>
      </c>
      <c r="S391" s="79">
        <v>261.85000000000002</v>
      </c>
      <c r="T391" s="80">
        <v>8.9499999999999993</v>
      </c>
    </row>
    <row r="392" spans="2:20" ht="28">
      <c r="B392" s="5" t="s">
        <v>941</v>
      </c>
      <c r="C392" s="45" t="s">
        <v>97</v>
      </c>
      <c r="D392" s="45" t="s">
        <v>907</v>
      </c>
      <c r="E392" s="6" t="s">
        <v>908</v>
      </c>
      <c r="F392" s="45" t="s">
        <v>104</v>
      </c>
      <c r="G392" s="46">
        <f t="shared" si="43"/>
        <v>40</v>
      </c>
      <c r="H392" s="46">
        <f>TRUNC(S392*(1-LOTE_03!$K$10),2)</f>
        <v>234.85</v>
      </c>
      <c r="I392" s="46">
        <f>TRUNC(T392*(1-LOTE_03!$K$10),2)</f>
        <v>8.9499999999999993</v>
      </c>
      <c r="J392" s="100">
        <f t="shared" si="44"/>
        <v>0.22470000000000001</v>
      </c>
      <c r="K392" s="48">
        <f t="shared" si="38"/>
        <v>287.62</v>
      </c>
      <c r="L392" s="48">
        <f t="shared" si="39"/>
        <v>10.96</v>
      </c>
      <c r="M392" s="48">
        <f t="shared" si="40"/>
        <v>11504.8</v>
      </c>
      <c r="N392" s="48">
        <f t="shared" si="41"/>
        <v>438.4</v>
      </c>
      <c r="O392" s="50">
        <f t="shared" si="42"/>
        <v>11943.2</v>
      </c>
      <c r="P392" s="50">
        <v>0</v>
      </c>
      <c r="Q392" s="76"/>
      <c r="R392" s="140">
        <f>2*S9+2*S10</f>
        <v>40</v>
      </c>
      <c r="S392" s="79">
        <v>234.85</v>
      </c>
      <c r="T392" s="80">
        <v>8.9499999999999993</v>
      </c>
    </row>
    <row r="393" spans="2:20" ht="42">
      <c r="B393" s="5" t="s">
        <v>942</v>
      </c>
      <c r="C393" s="45" t="s">
        <v>135</v>
      </c>
      <c r="D393" s="45">
        <v>101903</v>
      </c>
      <c r="E393" s="6" t="s">
        <v>943</v>
      </c>
      <c r="F393" s="45" t="s">
        <v>210</v>
      </c>
      <c r="G393" s="46">
        <f t="shared" si="43"/>
        <v>40</v>
      </c>
      <c r="H393" s="46">
        <f>TRUNC(S393*(1-LOTE_03!$K$10),2)</f>
        <v>356.74</v>
      </c>
      <c r="I393" s="46">
        <f>TRUNC(T393*(1-LOTE_03!$K$10),2)</f>
        <v>10.08</v>
      </c>
      <c r="J393" s="100">
        <f t="shared" si="44"/>
        <v>0.22470000000000001</v>
      </c>
      <c r="K393" s="48">
        <f t="shared" si="38"/>
        <v>436.89</v>
      </c>
      <c r="L393" s="48">
        <f t="shared" si="39"/>
        <v>12.34</v>
      </c>
      <c r="M393" s="48">
        <f t="shared" si="40"/>
        <v>17475.599999999999</v>
      </c>
      <c r="N393" s="48">
        <f t="shared" si="41"/>
        <v>493.6</v>
      </c>
      <c r="O393" s="50">
        <f t="shared" si="42"/>
        <v>17969.2</v>
      </c>
      <c r="P393" s="50">
        <v>0</v>
      </c>
      <c r="Q393" s="76"/>
      <c r="R393" s="140">
        <f>2*S9+2*S10</f>
        <v>40</v>
      </c>
      <c r="S393" s="79">
        <v>356.74</v>
      </c>
      <c r="T393" s="80">
        <v>10.08</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50">
        <v>0</v>
      </c>
      <c r="Q394" s="76"/>
      <c r="R394" s="154"/>
      <c r="S394" s="79" t="s">
        <v>22</v>
      </c>
      <c r="T394" s="80" t="s">
        <v>22</v>
      </c>
    </row>
    <row r="395" spans="2:20" ht="56">
      <c r="B395" s="5" t="s">
        <v>946</v>
      </c>
      <c r="C395" s="45" t="s">
        <v>135</v>
      </c>
      <c r="D395" s="45">
        <v>96984</v>
      </c>
      <c r="E395" s="6" t="s">
        <v>947</v>
      </c>
      <c r="F395" s="45" t="s">
        <v>210</v>
      </c>
      <c r="G395" s="46">
        <f t="shared" si="43"/>
        <v>200</v>
      </c>
      <c r="H395" s="46">
        <f>TRUNC(S395*(1-LOTE_03!$K$10),2)</f>
        <v>29.73</v>
      </c>
      <c r="I395" s="46">
        <f>TRUNC(T395*(1-LOTE_03!$K$10),2)</f>
        <v>33</v>
      </c>
      <c r="J395" s="100">
        <f t="shared" si="44"/>
        <v>0.22470000000000001</v>
      </c>
      <c r="K395" s="48">
        <f t="shared" si="38"/>
        <v>36.409999999999997</v>
      </c>
      <c r="L395" s="48">
        <f t="shared" si="39"/>
        <v>40.409999999999997</v>
      </c>
      <c r="M395" s="48">
        <f t="shared" si="40"/>
        <v>7282</v>
      </c>
      <c r="N395" s="48">
        <f t="shared" si="41"/>
        <v>8082</v>
      </c>
      <c r="O395" s="50">
        <f t="shared" si="42"/>
        <v>15364</v>
      </c>
      <c r="P395" s="50">
        <v>0</v>
      </c>
      <c r="Q395" s="76"/>
      <c r="R395" s="140">
        <f>10*S9+10*S10</f>
        <v>200</v>
      </c>
      <c r="S395" s="79">
        <v>29.729999999999997</v>
      </c>
      <c r="T395" s="80">
        <v>33</v>
      </c>
    </row>
    <row r="396" spans="2:20" ht="42">
      <c r="B396" s="5" t="s">
        <v>948</v>
      </c>
      <c r="C396" s="45" t="s">
        <v>97</v>
      </c>
      <c r="D396" s="45" t="s">
        <v>949</v>
      </c>
      <c r="E396" s="6" t="s">
        <v>950</v>
      </c>
      <c r="F396" s="45" t="s">
        <v>104</v>
      </c>
      <c r="G396" s="46">
        <f t="shared" si="43"/>
        <v>120</v>
      </c>
      <c r="H396" s="46">
        <f>TRUNC(S396*(1-LOTE_03!$K$10),2)</f>
        <v>2.88</v>
      </c>
      <c r="I396" s="46">
        <f>TRUNC(T396*(1-LOTE_03!$K$10),2)</f>
        <v>1.1100000000000001</v>
      </c>
      <c r="J396" s="100">
        <f t="shared" si="44"/>
        <v>0.22470000000000001</v>
      </c>
      <c r="K396" s="48">
        <f t="shared" si="38"/>
        <v>3.52</v>
      </c>
      <c r="L396" s="48">
        <f t="shared" si="39"/>
        <v>1.35</v>
      </c>
      <c r="M396" s="48">
        <f t="shared" si="40"/>
        <v>422.4</v>
      </c>
      <c r="N396" s="48">
        <f t="shared" si="41"/>
        <v>162</v>
      </c>
      <c r="O396" s="50">
        <f t="shared" si="42"/>
        <v>584.4</v>
      </c>
      <c r="P396" s="50">
        <v>0</v>
      </c>
      <c r="Q396" s="76"/>
      <c r="R396" s="140">
        <f>6*S9+6*S10</f>
        <v>120</v>
      </c>
      <c r="S396" s="79">
        <v>2.88</v>
      </c>
      <c r="T396" s="80">
        <v>1.1100000000000001</v>
      </c>
    </row>
    <row r="397" spans="2:20" ht="42">
      <c r="B397" s="5" t="s">
        <v>951</v>
      </c>
      <c r="C397" s="45" t="s">
        <v>135</v>
      </c>
      <c r="D397" s="45">
        <v>96985</v>
      </c>
      <c r="E397" s="6" t="s">
        <v>952</v>
      </c>
      <c r="F397" s="45" t="s">
        <v>210</v>
      </c>
      <c r="G397" s="46">
        <f t="shared" si="43"/>
        <v>200</v>
      </c>
      <c r="H397" s="46">
        <f>TRUNC(S397*(1-LOTE_03!$K$10),2)</f>
        <v>63.51</v>
      </c>
      <c r="I397" s="46">
        <f>TRUNC(T397*(1-LOTE_03!$K$10),2)</f>
        <v>10.79</v>
      </c>
      <c r="J397" s="100">
        <f t="shared" si="44"/>
        <v>0.22470000000000001</v>
      </c>
      <c r="K397" s="48">
        <f t="shared" si="38"/>
        <v>77.78</v>
      </c>
      <c r="L397" s="48">
        <f t="shared" si="39"/>
        <v>13.21</v>
      </c>
      <c r="M397" s="48">
        <f t="shared" si="40"/>
        <v>15556</v>
      </c>
      <c r="N397" s="48">
        <f t="shared" si="41"/>
        <v>2642</v>
      </c>
      <c r="O397" s="50">
        <f t="shared" si="42"/>
        <v>18198</v>
      </c>
      <c r="P397" s="50">
        <v>0</v>
      </c>
      <c r="Q397" s="76"/>
      <c r="R397" s="140">
        <f>10*S9+10*S10</f>
        <v>200</v>
      </c>
      <c r="S397" s="79">
        <v>63.51</v>
      </c>
      <c r="T397" s="80">
        <v>10.79</v>
      </c>
    </row>
    <row r="398" spans="2:20" ht="56">
      <c r="B398" s="5" t="s">
        <v>953</v>
      </c>
      <c r="C398" s="45" t="s">
        <v>135</v>
      </c>
      <c r="D398" s="45">
        <v>98111</v>
      </c>
      <c r="E398" s="6" t="s">
        <v>954</v>
      </c>
      <c r="F398" s="45" t="s">
        <v>210</v>
      </c>
      <c r="G398" s="46">
        <f t="shared" si="43"/>
        <v>60</v>
      </c>
      <c r="H398" s="46">
        <f>TRUNC(S398*(1-LOTE_03!$K$10),2)</f>
        <v>48.65</v>
      </c>
      <c r="I398" s="46">
        <f>TRUNC(T398*(1-LOTE_03!$K$10),2)</f>
        <v>6.58</v>
      </c>
      <c r="J398" s="100">
        <f t="shared" si="44"/>
        <v>0.22470000000000001</v>
      </c>
      <c r="K398" s="48">
        <f t="shared" si="38"/>
        <v>59.58</v>
      </c>
      <c r="L398" s="48">
        <f t="shared" si="39"/>
        <v>8.0500000000000007</v>
      </c>
      <c r="M398" s="48">
        <f t="shared" si="40"/>
        <v>3574.8</v>
      </c>
      <c r="N398" s="48">
        <f t="shared" si="41"/>
        <v>483</v>
      </c>
      <c r="O398" s="50">
        <f t="shared" si="42"/>
        <v>4057.8</v>
      </c>
      <c r="P398" s="50">
        <v>0</v>
      </c>
      <c r="Q398" s="76"/>
      <c r="R398" s="140">
        <f>3*S9+3*S10</f>
        <v>60</v>
      </c>
      <c r="S398" s="79">
        <v>48.65</v>
      </c>
      <c r="T398" s="80">
        <v>6.58</v>
      </c>
    </row>
    <row r="399" spans="2:20" ht="28">
      <c r="B399" s="5" t="s">
        <v>955</v>
      </c>
      <c r="C399" s="45" t="s">
        <v>97</v>
      </c>
      <c r="D399" s="45" t="s">
        <v>956</v>
      </c>
      <c r="E399" s="6" t="s">
        <v>957</v>
      </c>
      <c r="F399" s="45" t="s">
        <v>187</v>
      </c>
      <c r="G399" s="46">
        <f t="shared" si="43"/>
        <v>1000</v>
      </c>
      <c r="H399" s="46">
        <f>TRUNC(S399*(1-LOTE_03!$K$10),2)</f>
        <v>66.510000000000005</v>
      </c>
      <c r="I399" s="46">
        <f>TRUNC(T399*(1-LOTE_03!$K$10),2)</f>
        <v>4.47</v>
      </c>
      <c r="J399" s="100">
        <f t="shared" si="44"/>
        <v>0.22470000000000001</v>
      </c>
      <c r="K399" s="48">
        <f t="shared" si="38"/>
        <v>81.45</v>
      </c>
      <c r="L399" s="48">
        <f t="shared" si="39"/>
        <v>5.47</v>
      </c>
      <c r="M399" s="48">
        <f t="shared" si="40"/>
        <v>81450</v>
      </c>
      <c r="N399" s="48">
        <f t="shared" si="41"/>
        <v>5470</v>
      </c>
      <c r="O399" s="50">
        <f t="shared" si="42"/>
        <v>86920</v>
      </c>
      <c r="P399" s="50">
        <v>0</v>
      </c>
      <c r="Q399" s="76"/>
      <c r="R399" s="140">
        <f>50*S9+50*S10</f>
        <v>1000</v>
      </c>
      <c r="S399" s="79">
        <v>66.510000000000005</v>
      </c>
      <c r="T399" s="80">
        <v>4.47</v>
      </c>
    </row>
    <row r="400" spans="2:20" ht="42">
      <c r="B400" s="5" t="s">
        <v>958</v>
      </c>
      <c r="C400" s="45" t="s">
        <v>135</v>
      </c>
      <c r="D400" s="45">
        <v>96977</v>
      </c>
      <c r="E400" s="6" t="s">
        <v>959</v>
      </c>
      <c r="F400" s="45" t="s">
        <v>187</v>
      </c>
      <c r="G400" s="46">
        <f t="shared" si="43"/>
        <v>1000</v>
      </c>
      <c r="H400" s="46">
        <f>TRUNC(S400*(1-LOTE_03!$K$10),2)</f>
        <v>68.8</v>
      </c>
      <c r="I400" s="46">
        <f>TRUNC(T400*(1-LOTE_03!$K$10),2)</f>
        <v>1.52</v>
      </c>
      <c r="J400" s="100">
        <f t="shared" si="44"/>
        <v>0.22470000000000001</v>
      </c>
      <c r="K400" s="48">
        <f t="shared" ref="K400:K463" si="45">TRUNC(H400*(1+J400),2)</f>
        <v>84.25</v>
      </c>
      <c r="L400" s="48">
        <f t="shared" ref="L400:L463" si="46">TRUNC(I400*(1+J400),2)</f>
        <v>1.86</v>
      </c>
      <c r="M400" s="48">
        <f t="shared" ref="M400:M463" si="47">TRUNC(K400*G400,2)</f>
        <v>84250</v>
      </c>
      <c r="N400" s="48">
        <f t="shared" ref="N400:N463" si="48">TRUNC(L400*G400,2)</f>
        <v>1860</v>
      </c>
      <c r="O400" s="50">
        <f t="shared" ref="O400:O463" si="49">TRUNC(M400+N400,2)</f>
        <v>86110</v>
      </c>
      <c r="P400" s="50">
        <v>0</v>
      </c>
      <c r="Q400" s="76"/>
      <c r="R400" s="140">
        <f>50*S9+50*S10</f>
        <v>1000</v>
      </c>
      <c r="S400" s="79">
        <v>68.8</v>
      </c>
      <c r="T400" s="80">
        <v>1.52</v>
      </c>
    </row>
    <row r="401" spans="2:20" ht="28">
      <c r="B401" s="5" t="s">
        <v>960</v>
      </c>
      <c r="C401" s="45" t="s">
        <v>97</v>
      </c>
      <c r="D401" s="45" t="s">
        <v>961</v>
      </c>
      <c r="E401" s="6" t="s">
        <v>962</v>
      </c>
      <c r="F401" s="45" t="s">
        <v>187</v>
      </c>
      <c r="G401" s="46">
        <f t="shared" si="43"/>
        <v>3600</v>
      </c>
      <c r="H401" s="46">
        <f>TRUNC(S401*(1-LOTE_03!$K$10),2)</f>
        <v>13.58</v>
      </c>
      <c r="I401" s="46">
        <f>TRUNC(T401*(1-LOTE_03!$K$10),2)</f>
        <v>4.55</v>
      </c>
      <c r="J401" s="100">
        <f t="shared" si="44"/>
        <v>0.22470000000000001</v>
      </c>
      <c r="K401" s="48">
        <f t="shared" si="45"/>
        <v>16.63</v>
      </c>
      <c r="L401" s="48">
        <f t="shared" si="46"/>
        <v>5.57</v>
      </c>
      <c r="M401" s="48">
        <f t="shared" si="47"/>
        <v>59868</v>
      </c>
      <c r="N401" s="48">
        <f t="shared" si="48"/>
        <v>20052</v>
      </c>
      <c r="O401" s="50">
        <f t="shared" si="49"/>
        <v>79920</v>
      </c>
      <c r="P401" s="50">
        <v>0</v>
      </c>
      <c r="Q401" s="76"/>
      <c r="R401" s="140">
        <f>60*3*S9+180*S10</f>
        <v>3600</v>
      </c>
      <c r="S401" s="79">
        <v>13.58</v>
      </c>
      <c r="T401" s="80">
        <v>4.55</v>
      </c>
    </row>
    <row r="402" spans="2:20" ht="42">
      <c r="B402" s="5" t="s">
        <v>963</v>
      </c>
      <c r="C402" s="45" t="s">
        <v>97</v>
      </c>
      <c r="D402" s="45" t="s">
        <v>964</v>
      </c>
      <c r="E402" s="6" t="s">
        <v>965</v>
      </c>
      <c r="F402" s="45" t="s">
        <v>104</v>
      </c>
      <c r="G402" s="46">
        <f t="shared" ref="G402:G465" si="50">TRUNC(R402,2)</f>
        <v>100</v>
      </c>
      <c r="H402" s="46">
        <f>TRUNC(S402*(1-LOTE_03!$K$10),2)</f>
        <v>19.05</v>
      </c>
      <c r="I402" s="46">
        <f>TRUNC(T402*(1-LOTE_03!$K$10),2)</f>
        <v>2.1</v>
      </c>
      <c r="J402" s="100">
        <f t="shared" ref="J402:J465" si="51">$J$4</f>
        <v>0.22470000000000001</v>
      </c>
      <c r="K402" s="48">
        <f t="shared" si="45"/>
        <v>23.33</v>
      </c>
      <c r="L402" s="48">
        <f t="shared" si="46"/>
        <v>2.57</v>
      </c>
      <c r="M402" s="48">
        <f t="shared" si="47"/>
        <v>2333</v>
      </c>
      <c r="N402" s="48">
        <f t="shared" si="48"/>
        <v>257</v>
      </c>
      <c r="O402" s="50">
        <f t="shared" si="49"/>
        <v>2590</v>
      </c>
      <c r="P402" s="50">
        <v>0</v>
      </c>
      <c r="Q402" s="76"/>
      <c r="R402" s="140">
        <f>5*S9+5*S10</f>
        <v>100</v>
      </c>
      <c r="S402" s="79">
        <v>19.05</v>
      </c>
      <c r="T402" s="80">
        <v>2.1</v>
      </c>
    </row>
    <row r="403" spans="2:20" ht="28">
      <c r="B403" s="5" t="s">
        <v>966</v>
      </c>
      <c r="C403" s="45" t="s">
        <v>97</v>
      </c>
      <c r="D403" s="45" t="s">
        <v>967</v>
      </c>
      <c r="E403" s="6" t="s">
        <v>968</v>
      </c>
      <c r="F403" s="45" t="s">
        <v>104</v>
      </c>
      <c r="G403" s="46">
        <f t="shared" si="50"/>
        <v>200</v>
      </c>
      <c r="H403" s="46">
        <f>TRUNC(S403*(1-LOTE_03!$K$10),2)</f>
        <v>24.67</v>
      </c>
      <c r="I403" s="46">
        <f>TRUNC(T403*(1-LOTE_03!$K$10),2)</f>
        <v>35.82</v>
      </c>
      <c r="J403" s="100">
        <f t="shared" si="51"/>
        <v>0.22470000000000001</v>
      </c>
      <c r="K403" s="48">
        <f t="shared" si="45"/>
        <v>30.21</v>
      </c>
      <c r="L403" s="48">
        <f t="shared" si="46"/>
        <v>43.86</v>
      </c>
      <c r="M403" s="48">
        <f t="shared" si="47"/>
        <v>6042</v>
      </c>
      <c r="N403" s="48">
        <f t="shared" si="48"/>
        <v>8772</v>
      </c>
      <c r="O403" s="50">
        <f t="shared" si="49"/>
        <v>14814</v>
      </c>
      <c r="P403" s="50">
        <v>0</v>
      </c>
      <c r="Q403" s="76"/>
      <c r="R403" s="140">
        <f>10*S9+10*S10</f>
        <v>200</v>
      </c>
      <c r="S403" s="79">
        <v>24.67</v>
      </c>
      <c r="T403" s="80">
        <v>35.82</v>
      </c>
    </row>
    <row r="404" spans="2:20" ht="56">
      <c r="B404" s="5" t="s">
        <v>969</v>
      </c>
      <c r="C404" s="45" t="s">
        <v>97</v>
      </c>
      <c r="D404" s="45" t="s">
        <v>970</v>
      </c>
      <c r="E404" s="6" t="s">
        <v>971</v>
      </c>
      <c r="F404" s="45" t="s">
        <v>104</v>
      </c>
      <c r="G404" s="46">
        <f t="shared" si="50"/>
        <v>100</v>
      </c>
      <c r="H404" s="46">
        <f>TRUNC(S404*(1-LOTE_03!$K$10),2)</f>
        <v>102.24</v>
      </c>
      <c r="I404" s="46">
        <f>TRUNC(T404*(1-LOTE_03!$K$10),2)</f>
        <v>11.37</v>
      </c>
      <c r="J404" s="100">
        <f t="shared" si="51"/>
        <v>0.22470000000000001</v>
      </c>
      <c r="K404" s="48">
        <f t="shared" si="45"/>
        <v>125.21</v>
      </c>
      <c r="L404" s="48">
        <f t="shared" si="46"/>
        <v>13.92</v>
      </c>
      <c r="M404" s="48">
        <f t="shared" si="47"/>
        <v>12521</v>
      </c>
      <c r="N404" s="48">
        <f t="shared" si="48"/>
        <v>1392</v>
      </c>
      <c r="O404" s="50">
        <f t="shared" si="49"/>
        <v>13913</v>
      </c>
      <c r="P404" s="50">
        <v>0</v>
      </c>
      <c r="Q404" s="76"/>
      <c r="R404" s="140">
        <f>5*S9+5*S10</f>
        <v>100</v>
      </c>
      <c r="S404" s="79">
        <v>102.24</v>
      </c>
      <c r="T404" s="80">
        <v>11.37</v>
      </c>
    </row>
    <row r="405" spans="2:20" ht="56">
      <c r="B405" s="5" t="s">
        <v>972</v>
      </c>
      <c r="C405" s="45" t="s">
        <v>97</v>
      </c>
      <c r="D405" s="45" t="s">
        <v>973</v>
      </c>
      <c r="E405" s="6" t="s">
        <v>974</v>
      </c>
      <c r="F405" s="45" t="s">
        <v>104</v>
      </c>
      <c r="G405" s="46">
        <f t="shared" si="50"/>
        <v>20</v>
      </c>
      <c r="H405" s="46">
        <f>TRUNC(S405*(1-LOTE_03!$K$10),2)</f>
        <v>78.34</v>
      </c>
      <c r="I405" s="46">
        <f>TRUNC(T405*(1-LOTE_03!$K$10),2)</f>
        <v>290.52999999999997</v>
      </c>
      <c r="J405" s="100">
        <f t="shared" si="51"/>
        <v>0.22470000000000001</v>
      </c>
      <c r="K405" s="48">
        <f t="shared" si="45"/>
        <v>95.94</v>
      </c>
      <c r="L405" s="48">
        <f t="shared" si="46"/>
        <v>355.81</v>
      </c>
      <c r="M405" s="48">
        <f t="shared" si="47"/>
        <v>1918.8</v>
      </c>
      <c r="N405" s="48">
        <f t="shared" si="48"/>
        <v>7116.2</v>
      </c>
      <c r="O405" s="50">
        <f t="shared" si="49"/>
        <v>9035</v>
      </c>
      <c r="P405" s="50">
        <v>0</v>
      </c>
      <c r="Q405" s="76"/>
      <c r="R405" s="140">
        <f>1*S9+1*S10</f>
        <v>20</v>
      </c>
      <c r="S405" s="79">
        <v>78.34</v>
      </c>
      <c r="T405" s="80">
        <v>290.52999999999997</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50">
        <v>0</v>
      </c>
      <c r="Q406" s="76"/>
      <c r="R406" s="154"/>
      <c r="S406" s="79" t="s">
        <v>22</v>
      </c>
      <c r="T406" s="80" t="s">
        <v>22</v>
      </c>
    </row>
    <row r="407" spans="2:20" ht="98">
      <c r="B407" s="5" t="s">
        <v>977</v>
      </c>
      <c r="C407" s="45" t="s">
        <v>97</v>
      </c>
      <c r="D407" s="45" t="s">
        <v>978</v>
      </c>
      <c r="E407" s="6" t="s">
        <v>979</v>
      </c>
      <c r="F407" s="45" t="s">
        <v>104</v>
      </c>
      <c r="G407" s="46">
        <f t="shared" si="50"/>
        <v>5</v>
      </c>
      <c r="H407" s="46">
        <f>TRUNC(S407*(1-LOTE_03!$K$10),2)</f>
        <v>3294.4</v>
      </c>
      <c r="I407" s="46">
        <f>TRUNC(T407*(1-LOTE_03!$K$10),2)</f>
        <v>537.36</v>
      </c>
      <c r="J407" s="100">
        <f t="shared" si="51"/>
        <v>0.22470000000000001</v>
      </c>
      <c r="K407" s="48">
        <f t="shared" si="45"/>
        <v>4034.65</v>
      </c>
      <c r="L407" s="48">
        <f t="shared" si="46"/>
        <v>658.1</v>
      </c>
      <c r="M407" s="48">
        <f t="shared" si="47"/>
        <v>20173.25</v>
      </c>
      <c r="N407" s="48">
        <f t="shared" si="48"/>
        <v>3290.5</v>
      </c>
      <c r="O407" s="50">
        <f t="shared" si="49"/>
        <v>23463.75</v>
      </c>
      <c r="P407" s="50">
        <v>0</v>
      </c>
      <c r="Q407" s="76"/>
      <c r="R407" s="140">
        <f>IF((1*S9+1*S10)&gt;5,5,(1*S9+1*S10))</f>
        <v>5</v>
      </c>
      <c r="S407" s="79">
        <v>3294.4</v>
      </c>
      <c r="T407" s="80">
        <v>537.36</v>
      </c>
    </row>
    <row r="408" spans="2:20" ht="56">
      <c r="B408" s="5" t="s">
        <v>980</v>
      </c>
      <c r="C408" s="45" t="s">
        <v>97</v>
      </c>
      <c r="D408" s="45" t="s">
        <v>981</v>
      </c>
      <c r="E408" s="6" t="s">
        <v>982</v>
      </c>
      <c r="F408" s="45" t="s">
        <v>104</v>
      </c>
      <c r="G408" s="46">
        <f t="shared" si="50"/>
        <v>20</v>
      </c>
      <c r="H408" s="46">
        <f>TRUNC(S408*(1-LOTE_03!$K$10),2)</f>
        <v>114</v>
      </c>
      <c r="I408" s="46">
        <f>TRUNC(T408*(1-LOTE_03!$K$10),2)</f>
        <v>358.24</v>
      </c>
      <c r="J408" s="100">
        <f t="shared" si="51"/>
        <v>0.22470000000000001</v>
      </c>
      <c r="K408" s="48">
        <f t="shared" si="45"/>
        <v>139.61000000000001</v>
      </c>
      <c r="L408" s="48">
        <f t="shared" si="46"/>
        <v>438.73</v>
      </c>
      <c r="M408" s="48">
        <f t="shared" si="47"/>
        <v>2792.2</v>
      </c>
      <c r="N408" s="48">
        <f t="shared" si="48"/>
        <v>8774.6</v>
      </c>
      <c r="O408" s="50">
        <f t="shared" si="49"/>
        <v>11566.8</v>
      </c>
      <c r="P408" s="50">
        <v>0</v>
      </c>
      <c r="Q408" s="76"/>
      <c r="R408" s="140">
        <f>1*S9+1*S10</f>
        <v>20</v>
      </c>
      <c r="S408" s="79">
        <v>114</v>
      </c>
      <c r="T408" s="80">
        <v>358.24</v>
      </c>
    </row>
    <row r="409" spans="2:20" ht="28">
      <c r="B409" s="5" t="s">
        <v>983</v>
      </c>
      <c r="C409" s="45" t="s">
        <v>97</v>
      </c>
      <c r="D409" s="45" t="s">
        <v>984</v>
      </c>
      <c r="E409" s="6" t="s">
        <v>985</v>
      </c>
      <c r="F409" s="45" t="s">
        <v>104</v>
      </c>
      <c r="G409" s="46">
        <f t="shared" si="50"/>
        <v>10</v>
      </c>
      <c r="H409" s="46">
        <f>TRUNC(S409*(1-LOTE_03!$K$10),2)</f>
        <v>114</v>
      </c>
      <c r="I409" s="46">
        <f>TRUNC(T409*(1-LOTE_03!$K$10),2)</f>
        <v>358.24</v>
      </c>
      <c r="J409" s="100">
        <f t="shared" si="51"/>
        <v>0.22470000000000001</v>
      </c>
      <c r="K409" s="48">
        <f t="shared" si="45"/>
        <v>139.61000000000001</v>
      </c>
      <c r="L409" s="48">
        <f t="shared" si="46"/>
        <v>438.73</v>
      </c>
      <c r="M409" s="48">
        <f t="shared" si="47"/>
        <v>1396.1</v>
      </c>
      <c r="N409" s="48">
        <f t="shared" si="48"/>
        <v>4387.3</v>
      </c>
      <c r="O409" s="50">
        <f t="shared" si="49"/>
        <v>5783.4</v>
      </c>
      <c r="P409" s="50">
        <v>0</v>
      </c>
      <c r="Q409" s="76"/>
      <c r="R409" s="140">
        <f>IF((1*S9+1*S10)&gt;10,10,(1*S9+1*S10))</f>
        <v>10</v>
      </c>
      <c r="S409" s="79">
        <v>114</v>
      </c>
      <c r="T409" s="80">
        <v>358.24</v>
      </c>
    </row>
    <row r="410" spans="2:20" ht="28">
      <c r="B410" s="5" t="s">
        <v>986</v>
      </c>
      <c r="C410" s="45" t="s">
        <v>97</v>
      </c>
      <c r="D410" s="45" t="s">
        <v>987</v>
      </c>
      <c r="E410" s="6" t="s">
        <v>988</v>
      </c>
      <c r="F410" s="45" t="s">
        <v>104</v>
      </c>
      <c r="G410" s="46">
        <f t="shared" si="50"/>
        <v>100</v>
      </c>
      <c r="H410" s="46">
        <f>TRUNC(S410*(1-LOTE_03!$K$10),2)</f>
        <v>165.44</v>
      </c>
      <c r="I410" s="46">
        <f>TRUNC(T410*(1-LOTE_03!$K$10),2)</f>
        <v>4.22</v>
      </c>
      <c r="J410" s="100">
        <f t="shared" si="51"/>
        <v>0.22470000000000001</v>
      </c>
      <c r="K410" s="48">
        <f t="shared" si="45"/>
        <v>202.61</v>
      </c>
      <c r="L410" s="48">
        <f t="shared" si="46"/>
        <v>5.16</v>
      </c>
      <c r="M410" s="48">
        <f t="shared" si="47"/>
        <v>20261</v>
      </c>
      <c r="N410" s="48">
        <f t="shared" si="48"/>
        <v>516</v>
      </c>
      <c r="O410" s="50">
        <f t="shared" si="49"/>
        <v>20777</v>
      </c>
      <c r="P410" s="50">
        <v>0</v>
      </c>
      <c r="Q410" s="76"/>
      <c r="R410" s="140">
        <f>5*S9+5*S10</f>
        <v>100</v>
      </c>
      <c r="S410" s="79">
        <v>165.44</v>
      </c>
      <c r="T410" s="80">
        <v>4.22</v>
      </c>
    </row>
    <row r="411" spans="2:20" ht="28">
      <c r="B411" s="5" t="s">
        <v>989</v>
      </c>
      <c r="C411" s="45" t="s">
        <v>97</v>
      </c>
      <c r="D411" s="45" t="s">
        <v>990</v>
      </c>
      <c r="E411" s="6" t="s">
        <v>991</v>
      </c>
      <c r="F411" s="45" t="s">
        <v>104</v>
      </c>
      <c r="G411" s="46">
        <f t="shared" si="50"/>
        <v>100</v>
      </c>
      <c r="H411" s="46">
        <f>TRUNC(S411*(1-LOTE_03!$K$10),2)</f>
        <v>39.79</v>
      </c>
      <c r="I411" s="46">
        <f>TRUNC(T411*(1-LOTE_03!$K$10),2)</f>
        <v>33.79</v>
      </c>
      <c r="J411" s="100">
        <f t="shared" si="51"/>
        <v>0.22470000000000001</v>
      </c>
      <c r="K411" s="48">
        <f t="shared" si="45"/>
        <v>48.73</v>
      </c>
      <c r="L411" s="48">
        <f t="shared" si="46"/>
        <v>41.38</v>
      </c>
      <c r="M411" s="48">
        <f t="shared" si="47"/>
        <v>4873</v>
      </c>
      <c r="N411" s="48">
        <f t="shared" si="48"/>
        <v>4138</v>
      </c>
      <c r="O411" s="50">
        <f t="shared" si="49"/>
        <v>9011</v>
      </c>
      <c r="P411" s="50">
        <v>0</v>
      </c>
      <c r="Q411" s="76"/>
      <c r="R411" s="140">
        <f>5*S9+5*S10</f>
        <v>100</v>
      </c>
      <c r="S411" s="79">
        <v>39.79</v>
      </c>
      <c r="T411" s="80">
        <v>33.79</v>
      </c>
    </row>
    <row r="412" spans="2:20" ht="84">
      <c r="B412" s="5" t="s">
        <v>992</v>
      </c>
      <c r="C412" s="45" t="s">
        <v>135</v>
      </c>
      <c r="D412" s="45">
        <v>100561</v>
      </c>
      <c r="E412" s="6" t="s">
        <v>993</v>
      </c>
      <c r="F412" s="45" t="s">
        <v>210</v>
      </c>
      <c r="G412" s="46">
        <f t="shared" si="50"/>
        <v>10</v>
      </c>
      <c r="H412" s="46">
        <f>TRUNC(S412*(1-LOTE_03!$K$10),2)</f>
        <v>114.09</v>
      </c>
      <c r="I412" s="46">
        <f>TRUNC(T412*(1-LOTE_03!$K$10),2)</f>
        <v>37.130000000000003</v>
      </c>
      <c r="J412" s="100">
        <f t="shared" si="51"/>
        <v>0.22470000000000001</v>
      </c>
      <c r="K412" s="48">
        <f t="shared" si="45"/>
        <v>139.72</v>
      </c>
      <c r="L412" s="48">
        <f t="shared" si="46"/>
        <v>45.47</v>
      </c>
      <c r="M412" s="48">
        <f t="shared" si="47"/>
        <v>1397.2</v>
      </c>
      <c r="N412" s="48">
        <f t="shared" si="48"/>
        <v>454.7</v>
      </c>
      <c r="O412" s="50">
        <f t="shared" si="49"/>
        <v>1851.9</v>
      </c>
      <c r="P412" s="50">
        <v>0</v>
      </c>
      <c r="Q412" s="76"/>
      <c r="R412" s="140">
        <f>IF((1*S9+1*S10)&gt;10,10,(1*S9+1*S10))</f>
        <v>10</v>
      </c>
      <c r="S412" s="79">
        <v>114.09</v>
      </c>
      <c r="T412" s="80">
        <v>37.130000000000003</v>
      </c>
    </row>
    <row r="413" spans="2:20" ht="84">
      <c r="B413" s="5" t="s">
        <v>994</v>
      </c>
      <c r="C413" s="45" t="s">
        <v>135</v>
      </c>
      <c r="D413" s="45">
        <v>101875</v>
      </c>
      <c r="E413" s="6" t="s">
        <v>995</v>
      </c>
      <c r="F413" s="45" t="s">
        <v>210</v>
      </c>
      <c r="G413" s="46">
        <f t="shared" si="50"/>
        <v>10</v>
      </c>
      <c r="H413" s="46">
        <f>TRUNC(S413*(1-LOTE_03!$K$10),2)</f>
        <v>333.38</v>
      </c>
      <c r="I413" s="46">
        <f>TRUNC(T413*(1-LOTE_03!$K$10),2)</f>
        <v>66.06</v>
      </c>
      <c r="J413" s="100">
        <f t="shared" si="51"/>
        <v>0.22470000000000001</v>
      </c>
      <c r="K413" s="48">
        <f t="shared" si="45"/>
        <v>408.29</v>
      </c>
      <c r="L413" s="48">
        <f t="shared" si="46"/>
        <v>80.900000000000006</v>
      </c>
      <c r="M413" s="48">
        <f t="shared" si="47"/>
        <v>4082.9</v>
      </c>
      <c r="N413" s="48">
        <f t="shared" si="48"/>
        <v>809</v>
      </c>
      <c r="O413" s="50">
        <f t="shared" si="49"/>
        <v>4891.8999999999996</v>
      </c>
      <c r="P413" s="50">
        <v>0</v>
      </c>
      <c r="Q413" s="76"/>
      <c r="R413" s="140">
        <f>IF((1*S10+1*S9)&gt;10,10,(1*S10+1*S9))</f>
        <v>10</v>
      </c>
      <c r="S413" s="79">
        <v>333.38</v>
      </c>
      <c r="T413" s="80">
        <v>66.06</v>
      </c>
    </row>
    <row r="414" spans="2:20" ht="56">
      <c r="B414" s="5" t="s">
        <v>996</v>
      </c>
      <c r="C414" s="45" t="s">
        <v>97</v>
      </c>
      <c r="D414" s="45" t="s">
        <v>997</v>
      </c>
      <c r="E414" s="6" t="s">
        <v>998</v>
      </c>
      <c r="F414" s="45" t="s">
        <v>999</v>
      </c>
      <c r="G414" s="46">
        <f t="shared" si="50"/>
        <v>100</v>
      </c>
      <c r="H414" s="46">
        <f>TRUNC(S414*(1-LOTE_03!$K$10),2)</f>
        <v>363.19</v>
      </c>
      <c r="I414" s="46">
        <f>TRUNC(T414*(1-LOTE_03!$K$10),2)</f>
        <v>367.27</v>
      </c>
      <c r="J414" s="100">
        <f t="shared" si="51"/>
        <v>0.22470000000000001</v>
      </c>
      <c r="K414" s="48">
        <f t="shared" si="45"/>
        <v>444.79</v>
      </c>
      <c r="L414" s="48">
        <f t="shared" si="46"/>
        <v>449.79</v>
      </c>
      <c r="M414" s="48">
        <f t="shared" si="47"/>
        <v>44479</v>
      </c>
      <c r="N414" s="48">
        <f t="shared" si="48"/>
        <v>44979</v>
      </c>
      <c r="O414" s="50">
        <f t="shared" si="49"/>
        <v>89458</v>
      </c>
      <c r="P414" s="50">
        <v>0</v>
      </c>
      <c r="Q414" s="76"/>
      <c r="R414" s="140">
        <f>IF((5*S9+20*S10)&gt;100,100,(5*S9+20*S10))</f>
        <v>100</v>
      </c>
      <c r="S414" s="79">
        <v>363.19</v>
      </c>
      <c r="T414" s="80">
        <v>367.27</v>
      </c>
    </row>
    <row r="415" spans="2:20" ht="56">
      <c r="B415" s="5" t="s">
        <v>1000</v>
      </c>
      <c r="C415" s="45" t="s">
        <v>135</v>
      </c>
      <c r="D415" s="45">
        <v>98295</v>
      </c>
      <c r="E415" s="6" t="s">
        <v>1001</v>
      </c>
      <c r="F415" s="45" t="s">
        <v>187</v>
      </c>
      <c r="G415" s="46">
        <f t="shared" si="50"/>
        <v>13500</v>
      </c>
      <c r="H415" s="46">
        <f>TRUNC(S415*(1-LOTE_03!$K$10),2)</f>
        <v>6.77</v>
      </c>
      <c r="I415" s="46">
        <f>TRUNC(T415*(1-LOTE_03!$K$10),2)</f>
        <v>0.1</v>
      </c>
      <c r="J415" s="100">
        <f t="shared" si="51"/>
        <v>0.22470000000000001</v>
      </c>
      <c r="K415" s="48">
        <f t="shared" si="45"/>
        <v>8.2899999999999991</v>
      </c>
      <c r="L415" s="48">
        <f t="shared" si="46"/>
        <v>0.12</v>
      </c>
      <c r="M415" s="48">
        <f t="shared" si="47"/>
        <v>111915</v>
      </c>
      <c r="N415" s="48">
        <f t="shared" si="48"/>
        <v>1620</v>
      </c>
      <c r="O415" s="50">
        <f t="shared" si="49"/>
        <v>113535</v>
      </c>
      <c r="P415" s="50">
        <v>0</v>
      </c>
      <c r="Q415" s="76"/>
      <c r="R415" s="140">
        <f>IF((500*S9+1000*S10)&gt;15000,15000,(500*S9+1000*S10))</f>
        <v>13500</v>
      </c>
      <c r="S415" s="79">
        <v>6.7700000000000005</v>
      </c>
      <c r="T415" s="80">
        <v>0.1</v>
      </c>
    </row>
    <row r="416" spans="2:20" ht="42">
      <c r="B416" s="5" t="s">
        <v>1002</v>
      </c>
      <c r="C416" s="45" t="s">
        <v>135</v>
      </c>
      <c r="D416" s="45">
        <v>98301</v>
      </c>
      <c r="E416" s="6" t="s">
        <v>1003</v>
      </c>
      <c r="F416" s="45" t="s">
        <v>210</v>
      </c>
      <c r="G416" s="46">
        <f t="shared" si="50"/>
        <v>100</v>
      </c>
      <c r="H416" s="46">
        <f>TRUNC(S416*(1-LOTE_03!$K$10),2)</f>
        <v>382.74</v>
      </c>
      <c r="I416" s="46">
        <f>TRUNC(T416*(1-LOTE_03!$K$10),2)</f>
        <v>240.2</v>
      </c>
      <c r="J416" s="100">
        <f t="shared" si="51"/>
        <v>0.22470000000000001</v>
      </c>
      <c r="K416" s="48">
        <f t="shared" si="45"/>
        <v>468.74</v>
      </c>
      <c r="L416" s="48">
        <f t="shared" si="46"/>
        <v>294.17</v>
      </c>
      <c r="M416" s="48">
        <f t="shared" si="47"/>
        <v>46874</v>
      </c>
      <c r="N416" s="48">
        <f t="shared" si="48"/>
        <v>29417</v>
      </c>
      <c r="O416" s="50">
        <f t="shared" si="49"/>
        <v>76291</v>
      </c>
      <c r="P416" s="50">
        <v>0</v>
      </c>
      <c r="Q416" s="76"/>
      <c r="R416" s="140">
        <f>5*S9+5*S10</f>
        <v>100</v>
      </c>
      <c r="S416" s="79">
        <v>382.74000000000007</v>
      </c>
      <c r="T416" s="80">
        <v>240.2</v>
      </c>
    </row>
    <row r="417" spans="2:20" ht="28">
      <c r="B417" s="5" t="s">
        <v>1004</v>
      </c>
      <c r="C417" s="45" t="s">
        <v>97</v>
      </c>
      <c r="D417" s="45" t="s">
        <v>1005</v>
      </c>
      <c r="E417" s="6" t="s">
        <v>1006</v>
      </c>
      <c r="F417" s="45" t="s">
        <v>104</v>
      </c>
      <c r="G417" s="46">
        <f t="shared" si="50"/>
        <v>880</v>
      </c>
      <c r="H417" s="46">
        <f>TRUNC(S417*(1-LOTE_03!$K$10),2)</f>
        <v>28.35</v>
      </c>
      <c r="I417" s="46">
        <f>TRUNC(T417*(1-LOTE_03!$K$10),2)</f>
        <v>17.52</v>
      </c>
      <c r="J417" s="100">
        <f t="shared" si="51"/>
        <v>0.22470000000000001</v>
      </c>
      <c r="K417" s="48">
        <f t="shared" si="45"/>
        <v>34.72</v>
      </c>
      <c r="L417" s="48">
        <f t="shared" si="46"/>
        <v>21.45</v>
      </c>
      <c r="M417" s="48">
        <f t="shared" si="47"/>
        <v>30553.599999999999</v>
      </c>
      <c r="N417" s="48">
        <f t="shared" si="48"/>
        <v>18876</v>
      </c>
      <c r="O417" s="50">
        <f t="shared" si="49"/>
        <v>49429.599999999999</v>
      </c>
      <c r="P417" s="50">
        <v>0</v>
      </c>
      <c r="Q417" s="76"/>
      <c r="R417" s="140">
        <f>30*S9+70*S10</f>
        <v>880</v>
      </c>
      <c r="S417" s="79">
        <v>28.35</v>
      </c>
      <c r="T417" s="80">
        <v>17.52</v>
      </c>
    </row>
    <row r="418" spans="2:20" ht="28">
      <c r="B418" s="5" t="s">
        <v>1007</v>
      </c>
      <c r="C418" s="45" t="s">
        <v>97</v>
      </c>
      <c r="D418" s="45" t="s">
        <v>1008</v>
      </c>
      <c r="E418" s="6" t="s">
        <v>1009</v>
      </c>
      <c r="F418" s="45" t="s">
        <v>104</v>
      </c>
      <c r="G418" s="46">
        <f t="shared" si="50"/>
        <v>880</v>
      </c>
      <c r="H418" s="46">
        <f>TRUNC(S418*(1-LOTE_03!$K$10),2)</f>
        <v>51.36</v>
      </c>
      <c r="I418" s="46">
        <f>TRUNC(T418*(1-LOTE_03!$K$10),2)</f>
        <v>17.52</v>
      </c>
      <c r="J418" s="100">
        <f t="shared" si="51"/>
        <v>0.22470000000000001</v>
      </c>
      <c r="K418" s="48">
        <f t="shared" si="45"/>
        <v>62.9</v>
      </c>
      <c r="L418" s="48">
        <f t="shared" si="46"/>
        <v>21.45</v>
      </c>
      <c r="M418" s="48">
        <f t="shared" si="47"/>
        <v>55352</v>
      </c>
      <c r="N418" s="48">
        <f t="shared" si="48"/>
        <v>18876</v>
      </c>
      <c r="O418" s="50">
        <f t="shared" si="49"/>
        <v>74228</v>
      </c>
      <c r="P418" s="50">
        <v>0</v>
      </c>
      <c r="Q418" s="76"/>
      <c r="R418" s="140">
        <f>30*S9+70*S10</f>
        <v>880</v>
      </c>
      <c r="S418" s="79">
        <v>51.36</v>
      </c>
      <c r="T418" s="80">
        <v>17.52</v>
      </c>
    </row>
    <row r="419" spans="2:20" ht="28">
      <c r="B419" s="5" t="s">
        <v>1010</v>
      </c>
      <c r="C419" s="45" t="s">
        <v>97</v>
      </c>
      <c r="D419" s="45" t="s">
        <v>1011</v>
      </c>
      <c r="E419" s="6" t="s">
        <v>1012</v>
      </c>
      <c r="F419" s="45" t="s">
        <v>999</v>
      </c>
      <c r="G419" s="46">
        <f t="shared" si="50"/>
        <v>400</v>
      </c>
      <c r="H419" s="46">
        <f>TRUNC(S419*(1-LOTE_03!$K$10),2)</f>
        <v>39.61</v>
      </c>
      <c r="I419" s="46">
        <f>TRUNC(T419*(1-LOTE_03!$K$10),2)</f>
        <v>0.5</v>
      </c>
      <c r="J419" s="100">
        <f t="shared" si="51"/>
        <v>0.22470000000000001</v>
      </c>
      <c r="K419" s="48">
        <f t="shared" si="45"/>
        <v>48.51</v>
      </c>
      <c r="L419" s="48">
        <f t="shared" si="46"/>
        <v>0.61</v>
      </c>
      <c r="M419" s="48">
        <f t="shared" si="47"/>
        <v>19404</v>
      </c>
      <c r="N419" s="48">
        <f t="shared" si="48"/>
        <v>244</v>
      </c>
      <c r="O419" s="50">
        <f t="shared" si="49"/>
        <v>19648</v>
      </c>
      <c r="P419" s="50">
        <v>0</v>
      </c>
      <c r="Q419" s="76"/>
      <c r="R419" s="140">
        <f>20*S9+20*S10</f>
        <v>400</v>
      </c>
      <c r="S419" s="79">
        <v>39.61</v>
      </c>
      <c r="T419" s="80">
        <v>0.5</v>
      </c>
    </row>
    <row r="420" spans="2:20" ht="56">
      <c r="B420" s="5" t="s">
        <v>1013</v>
      </c>
      <c r="C420" s="45" t="s">
        <v>135</v>
      </c>
      <c r="D420" s="45">
        <v>98268</v>
      </c>
      <c r="E420" s="6" t="s">
        <v>1014</v>
      </c>
      <c r="F420" s="45" t="s">
        <v>187</v>
      </c>
      <c r="G420" s="46">
        <f t="shared" si="50"/>
        <v>410</v>
      </c>
      <c r="H420" s="46">
        <f>TRUNC(S420*(1-LOTE_03!$K$10),2)</f>
        <v>14.59</v>
      </c>
      <c r="I420" s="46">
        <f>TRUNC(T420*(1-LOTE_03!$K$10),2)</f>
        <v>4.05</v>
      </c>
      <c r="J420" s="100">
        <f t="shared" si="51"/>
        <v>0.22470000000000001</v>
      </c>
      <c r="K420" s="48">
        <f t="shared" si="45"/>
        <v>17.86</v>
      </c>
      <c r="L420" s="48">
        <f t="shared" si="46"/>
        <v>4.96</v>
      </c>
      <c r="M420" s="48">
        <f t="shared" si="47"/>
        <v>7322.6</v>
      </c>
      <c r="N420" s="48">
        <f t="shared" si="48"/>
        <v>2033.6</v>
      </c>
      <c r="O420" s="50">
        <f t="shared" si="49"/>
        <v>9356.2000000000007</v>
      </c>
      <c r="P420" s="50">
        <v>0</v>
      </c>
      <c r="Q420" s="76"/>
      <c r="R420" s="140">
        <f>10*S9+40*S10</f>
        <v>410</v>
      </c>
      <c r="S420" s="79">
        <v>14.59</v>
      </c>
      <c r="T420" s="80">
        <v>4.05</v>
      </c>
    </row>
    <row r="421" spans="2:20" ht="28">
      <c r="B421" s="5" t="s">
        <v>1015</v>
      </c>
      <c r="C421" s="45" t="s">
        <v>135</v>
      </c>
      <c r="D421" s="45">
        <v>98307</v>
      </c>
      <c r="E421" s="6" t="s">
        <v>1016</v>
      </c>
      <c r="F421" s="45" t="s">
        <v>210</v>
      </c>
      <c r="G421" s="46">
        <f t="shared" si="50"/>
        <v>880</v>
      </c>
      <c r="H421" s="46">
        <f>TRUNC(S421*(1-LOTE_03!$K$10),2)</f>
        <v>45.39</v>
      </c>
      <c r="I421" s="46">
        <f>TRUNC(T421*(1-LOTE_03!$K$10),2)</f>
        <v>10.64</v>
      </c>
      <c r="J421" s="100">
        <f t="shared" si="51"/>
        <v>0.22470000000000001</v>
      </c>
      <c r="K421" s="48">
        <f t="shared" si="45"/>
        <v>55.58</v>
      </c>
      <c r="L421" s="48">
        <f t="shared" si="46"/>
        <v>13.03</v>
      </c>
      <c r="M421" s="48">
        <f t="shared" si="47"/>
        <v>48910.400000000001</v>
      </c>
      <c r="N421" s="48">
        <f t="shared" si="48"/>
        <v>11466.4</v>
      </c>
      <c r="O421" s="50">
        <f t="shared" si="49"/>
        <v>60376.800000000003</v>
      </c>
      <c r="P421" s="50">
        <v>0</v>
      </c>
      <c r="Q421" s="76"/>
      <c r="R421" s="140">
        <f>30*S9+70*S10</f>
        <v>880</v>
      </c>
      <c r="S421" s="79">
        <v>45.39</v>
      </c>
      <c r="T421" s="80">
        <v>10.64</v>
      </c>
    </row>
    <row r="422" spans="2:20" ht="28">
      <c r="B422" s="5" t="s">
        <v>1017</v>
      </c>
      <c r="C422" s="45" t="s">
        <v>97</v>
      </c>
      <c r="D422" s="45" t="s">
        <v>1018</v>
      </c>
      <c r="E422" s="6" t="s">
        <v>1019</v>
      </c>
      <c r="F422" s="45" t="s">
        <v>104</v>
      </c>
      <c r="G422" s="46">
        <f t="shared" si="50"/>
        <v>100</v>
      </c>
      <c r="H422" s="46">
        <f>TRUNC(S422*(1-LOTE_03!$K$10),2)</f>
        <v>210.23</v>
      </c>
      <c r="I422" s="46">
        <f>TRUNC(T422*(1-LOTE_03!$K$10),2)</f>
        <v>8.4499999999999993</v>
      </c>
      <c r="J422" s="100">
        <f t="shared" si="51"/>
        <v>0.22470000000000001</v>
      </c>
      <c r="K422" s="48">
        <f t="shared" si="45"/>
        <v>257.45999999999998</v>
      </c>
      <c r="L422" s="48">
        <f t="shared" si="46"/>
        <v>10.34</v>
      </c>
      <c r="M422" s="48">
        <f t="shared" si="47"/>
        <v>25746</v>
      </c>
      <c r="N422" s="48">
        <f t="shared" si="48"/>
        <v>1034</v>
      </c>
      <c r="O422" s="50">
        <f t="shared" si="49"/>
        <v>26780</v>
      </c>
      <c r="P422" s="50">
        <v>0</v>
      </c>
      <c r="Q422" s="76"/>
      <c r="R422" s="140">
        <f>5*S9+5*S10</f>
        <v>100</v>
      </c>
      <c r="S422" s="79">
        <v>210.23</v>
      </c>
      <c r="T422" s="80">
        <v>8.4499999999999993</v>
      </c>
    </row>
    <row r="423" spans="2:20" ht="56">
      <c r="B423" s="5" t="s">
        <v>1020</v>
      </c>
      <c r="C423" s="45" t="s">
        <v>135</v>
      </c>
      <c r="D423" s="45">
        <v>91941</v>
      </c>
      <c r="E423" s="6" t="s">
        <v>1021</v>
      </c>
      <c r="F423" s="45" t="s">
        <v>210</v>
      </c>
      <c r="G423" s="46">
        <f t="shared" si="50"/>
        <v>200</v>
      </c>
      <c r="H423" s="46">
        <f>TRUNC(S423*(1-LOTE_03!$K$10),2)</f>
        <v>5.4</v>
      </c>
      <c r="I423" s="46">
        <f>TRUNC(T423*(1-LOTE_03!$K$10),2)</f>
        <v>7.35</v>
      </c>
      <c r="J423" s="100">
        <f t="shared" si="51"/>
        <v>0.22470000000000001</v>
      </c>
      <c r="K423" s="48">
        <f t="shared" si="45"/>
        <v>6.61</v>
      </c>
      <c r="L423" s="48">
        <f t="shared" si="46"/>
        <v>9</v>
      </c>
      <c r="M423" s="48">
        <f t="shared" si="47"/>
        <v>1322</v>
      </c>
      <c r="N423" s="48">
        <f t="shared" si="48"/>
        <v>1800</v>
      </c>
      <c r="O423" s="50">
        <f t="shared" si="49"/>
        <v>3122</v>
      </c>
      <c r="P423" s="50">
        <v>0</v>
      </c>
      <c r="Q423" s="76"/>
      <c r="R423" s="140">
        <f>IF((10*S9+50*S10)&gt;200,200,(10*S9+50*S10))</f>
        <v>200</v>
      </c>
      <c r="S423" s="79">
        <v>5.4</v>
      </c>
      <c r="T423" s="80">
        <v>7.35</v>
      </c>
    </row>
    <row r="424" spans="2:20" ht="56">
      <c r="B424" s="5" t="s">
        <v>1022</v>
      </c>
      <c r="C424" s="45" t="s">
        <v>135</v>
      </c>
      <c r="D424" s="45">
        <v>91944</v>
      </c>
      <c r="E424" s="6" t="s">
        <v>935</v>
      </c>
      <c r="F424" s="45" t="s">
        <v>210</v>
      </c>
      <c r="G424" s="46">
        <f t="shared" si="50"/>
        <v>200</v>
      </c>
      <c r="H424" s="46">
        <f>TRUNC(S424*(1-LOTE_03!$K$10),2)</f>
        <v>7.96</v>
      </c>
      <c r="I424" s="46">
        <f>TRUNC(T424*(1-LOTE_03!$K$10),2)</f>
        <v>7.47</v>
      </c>
      <c r="J424" s="100">
        <f t="shared" si="51"/>
        <v>0.22470000000000001</v>
      </c>
      <c r="K424" s="48">
        <f t="shared" si="45"/>
        <v>9.74</v>
      </c>
      <c r="L424" s="48">
        <f t="shared" si="46"/>
        <v>9.14</v>
      </c>
      <c r="M424" s="48">
        <f t="shared" si="47"/>
        <v>1948</v>
      </c>
      <c r="N424" s="48">
        <f t="shared" si="48"/>
        <v>1828</v>
      </c>
      <c r="O424" s="50">
        <f t="shared" si="49"/>
        <v>3776</v>
      </c>
      <c r="P424" s="50">
        <v>0</v>
      </c>
      <c r="Q424" s="76"/>
      <c r="R424" s="140">
        <f>IF((10*S9+50*S10)&gt;200,200,(10*S9+50*S10))</f>
        <v>200</v>
      </c>
      <c r="S424" s="79">
        <v>7.96</v>
      </c>
      <c r="T424" s="80">
        <v>7.47</v>
      </c>
    </row>
    <row r="425" spans="2:20" ht="70">
      <c r="B425" s="5" t="s">
        <v>1023</v>
      </c>
      <c r="C425" s="45" t="s">
        <v>135</v>
      </c>
      <c r="D425" s="45">
        <v>97887</v>
      </c>
      <c r="E425" s="6" t="s">
        <v>1024</v>
      </c>
      <c r="F425" s="45" t="s">
        <v>210</v>
      </c>
      <c r="G425" s="46">
        <f t="shared" si="50"/>
        <v>100</v>
      </c>
      <c r="H425" s="46">
        <f>TRUNC(S425*(1-LOTE_03!$K$10),2)</f>
        <v>170.79</v>
      </c>
      <c r="I425" s="46">
        <f>TRUNC(T425*(1-LOTE_03!$K$10),2)</f>
        <v>121.8</v>
      </c>
      <c r="J425" s="100">
        <f t="shared" si="51"/>
        <v>0.22470000000000001</v>
      </c>
      <c r="K425" s="48">
        <f t="shared" si="45"/>
        <v>209.16</v>
      </c>
      <c r="L425" s="48">
        <f t="shared" si="46"/>
        <v>149.16</v>
      </c>
      <c r="M425" s="48">
        <f t="shared" si="47"/>
        <v>20916</v>
      </c>
      <c r="N425" s="48">
        <f t="shared" si="48"/>
        <v>14916</v>
      </c>
      <c r="O425" s="50">
        <f t="shared" si="49"/>
        <v>35832</v>
      </c>
      <c r="P425" s="50">
        <v>0</v>
      </c>
      <c r="Q425" s="76"/>
      <c r="R425" s="140">
        <f>5*S9+5*S10</f>
        <v>100</v>
      </c>
      <c r="S425" s="79">
        <v>170.78999999999996</v>
      </c>
      <c r="T425" s="80">
        <v>121.8</v>
      </c>
    </row>
    <row r="426" spans="2:20" ht="70">
      <c r="B426" s="5" t="s">
        <v>1025</v>
      </c>
      <c r="C426" s="45" t="s">
        <v>135</v>
      </c>
      <c r="D426" s="45">
        <v>93009</v>
      </c>
      <c r="E426" s="6" t="s">
        <v>1026</v>
      </c>
      <c r="F426" s="45" t="s">
        <v>187</v>
      </c>
      <c r="G426" s="46">
        <f t="shared" si="50"/>
        <v>480</v>
      </c>
      <c r="H426" s="46">
        <f>TRUNC(S426*(1-LOTE_03!$K$10),2)</f>
        <v>21.83</v>
      </c>
      <c r="I426" s="46">
        <f>TRUNC(T426*(1-LOTE_03!$K$10),2)</f>
        <v>5.46</v>
      </c>
      <c r="J426" s="100">
        <f t="shared" si="51"/>
        <v>0.22470000000000001</v>
      </c>
      <c r="K426" s="48">
        <f t="shared" si="45"/>
        <v>26.73</v>
      </c>
      <c r="L426" s="48">
        <f t="shared" si="46"/>
        <v>6.68</v>
      </c>
      <c r="M426" s="48">
        <f t="shared" si="47"/>
        <v>12830.4</v>
      </c>
      <c r="N426" s="48">
        <f t="shared" si="48"/>
        <v>3206.4</v>
      </c>
      <c r="O426" s="50">
        <f t="shared" si="49"/>
        <v>16036.8</v>
      </c>
      <c r="P426" s="50">
        <v>0</v>
      </c>
      <c r="Q426" s="76"/>
      <c r="R426" s="140">
        <f>10*S9+50*S10</f>
        <v>480</v>
      </c>
      <c r="S426" s="79">
        <v>21.83</v>
      </c>
      <c r="T426" s="80">
        <v>5.46</v>
      </c>
    </row>
    <row r="427" spans="2:20" ht="42">
      <c r="B427" s="5" t="s">
        <v>1027</v>
      </c>
      <c r="C427" s="45" t="s">
        <v>165</v>
      </c>
      <c r="D427" s="45" t="s">
        <v>1028</v>
      </c>
      <c r="E427" s="6" t="s">
        <v>1029</v>
      </c>
      <c r="F427" s="45" t="s">
        <v>531</v>
      </c>
      <c r="G427" s="46">
        <f t="shared" si="50"/>
        <v>135</v>
      </c>
      <c r="H427" s="46">
        <f>TRUNC(S427*(1-LOTE_03!$K$10),2)</f>
        <v>20.63</v>
      </c>
      <c r="I427" s="46">
        <f>TRUNC(T427*(1-LOTE_03!$K$10),2)</f>
        <v>28.9</v>
      </c>
      <c r="J427" s="100">
        <f t="shared" si="51"/>
        <v>0.22470000000000001</v>
      </c>
      <c r="K427" s="48">
        <f t="shared" si="45"/>
        <v>25.26</v>
      </c>
      <c r="L427" s="48">
        <f t="shared" si="46"/>
        <v>35.39</v>
      </c>
      <c r="M427" s="48">
        <f t="shared" si="47"/>
        <v>3410.1</v>
      </c>
      <c r="N427" s="48">
        <f t="shared" si="48"/>
        <v>4777.6499999999996</v>
      </c>
      <c r="O427" s="50">
        <f t="shared" si="49"/>
        <v>8187.75</v>
      </c>
      <c r="P427" s="50">
        <v>0</v>
      </c>
      <c r="Q427" s="76"/>
      <c r="R427" s="140">
        <f>5*S9+10*S10</f>
        <v>135</v>
      </c>
      <c r="S427" s="79">
        <v>20.63</v>
      </c>
      <c r="T427" s="80">
        <v>28.9</v>
      </c>
    </row>
    <row r="428" spans="2:20" ht="70">
      <c r="B428" s="5" t="s">
        <v>1030</v>
      </c>
      <c r="C428" s="45" t="s">
        <v>135</v>
      </c>
      <c r="D428" s="45">
        <v>91864</v>
      </c>
      <c r="E428" s="6" t="s">
        <v>838</v>
      </c>
      <c r="F428" s="45" t="s">
        <v>187</v>
      </c>
      <c r="G428" s="46">
        <f t="shared" si="50"/>
        <v>540</v>
      </c>
      <c r="H428" s="46">
        <f>TRUNC(S428*(1-LOTE_03!$K$10),2)</f>
        <v>9.8800000000000008</v>
      </c>
      <c r="I428" s="46">
        <f>TRUNC(T428*(1-LOTE_03!$K$10),2)</f>
        <v>6.02</v>
      </c>
      <c r="J428" s="100">
        <f t="shared" si="51"/>
        <v>0.22470000000000001</v>
      </c>
      <c r="K428" s="48">
        <f t="shared" si="45"/>
        <v>12.1</v>
      </c>
      <c r="L428" s="48">
        <f t="shared" si="46"/>
        <v>7.37</v>
      </c>
      <c r="M428" s="48">
        <f t="shared" si="47"/>
        <v>6534</v>
      </c>
      <c r="N428" s="48">
        <f t="shared" si="48"/>
        <v>3979.8</v>
      </c>
      <c r="O428" s="50">
        <f t="shared" si="49"/>
        <v>10513.8</v>
      </c>
      <c r="P428" s="50">
        <v>0</v>
      </c>
      <c r="Q428" s="76"/>
      <c r="R428" s="140">
        <f>20*S9+40*S10</f>
        <v>540</v>
      </c>
      <c r="S428" s="79">
        <v>9.8800000000000008</v>
      </c>
      <c r="T428" s="80">
        <v>6.02</v>
      </c>
    </row>
    <row r="429" spans="2:20" ht="70">
      <c r="B429" s="5" t="s">
        <v>1031</v>
      </c>
      <c r="C429" s="45" t="s">
        <v>135</v>
      </c>
      <c r="D429" s="45">
        <v>91867</v>
      </c>
      <c r="E429" s="6" t="s">
        <v>927</v>
      </c>
      <c r="F429" s="45" t="s">
        <v>187</v>
      </c>
      <c r="G429" s="46">
        <f t="shared" si="50"/>
        <v>100</v>
      </c>
      <c r="H429" s="46">
        <f>TRUNC(S429*(1-LOTE_03!$K$10),2)</f>
        <v>6.43</v>
      </c>
      <c r="I429" s="46">
        <f>TRUNC(T429*(1-LOTE_03!$K$10),2)</f>
        <v>4.07</v>
      </c>
      <c r="J429" s="100">
        <f t="shared" si="51"/>
        <v>0.22470000000000001</v>
      </c>
      <c r="K429" s="48">
        <f t="shared" si="45"/>
        <v>7.87</v>
      </c>
      <c r="L429" s="48">
        <f t="shared" si="46"/>
        <v>4.9800000000000004</v>
      </c>
      <c r="M429" s="48">
        <f t="shared" si="47"/>
        <v>787</v>
      </c>
      <c r="N429" s="48">
        <f t="shared" si="48"/>
        <v>498</v>
      </c>
      <c r="O429" s="50">
        <f t="shared" si="49"/>
        <v>1285</v>
      </c>
      <c r="P429" s="50">
        <v>0</v>
      </c>
      <c r="Q429" s="76"/>
      <c r="R429" s="140">
        <f>5*S9+5*S10</f>
        <v>100</v>
      </c>
      <c r="S429" s="79">
        <v>6.43</v>
      </c>
      <c r="T429" s="80">
        <v>4.07</v>
      </c>
    </row>
    <row r="430" spans="2:20" ht="42">
      <c r="B430" s="5" t="s">
        <v>1032</v>
      </c>
      <c r="C430" s="45" t="s">
        <v>165</v>
      </c>
      <c r="D430" s="45" t="s">
        <v>1033</v>
      </c>
      <c r="E430" s="6" t="s">
        <v>1034</v>
      </c>
      <c r="F430" s="45" t="s">
        <v>531</v>
      </c>
      <c r="G430" s="46">
        <f>IF($S$11=0,0,TRUNC(R430,2))</f>
        <v>250</v>
      </c>
      <c r="H430" s="46">
        <f>TRUNC(S430*(1-LOTE_03!$K$10),2)</f>
        <v>24.43</v>
      </c>
      <c r="I430" s="46">
        <f>TRUNC(T430*(1-LOTE_03!$K$10),2)</f>
        <v>19.27</v>
      </c>
      <c r="J430" s="100">
        <f t="shared" si="51"/>
        <v>0.22470000000000001</v>
      </c>
      <c r="K430" s="48">
        <f t="shared" si="45"/>
        <v>29.91</v>
      </c>
      <c r="L430" s="48">
        <f t="shared" si="46"/>
        <v>23.59</v>
      </c>
      <c r="M430" s="48">
        <f t="shared" si="47"/>
        <v>7477.5</v>
      </c>
      <c r="N430" s="48">
        <f t="shared" si="48"/>
        <v>5897.5</v>
      </c>
      <c r="O430" s="50">
        <f t="shared" si="49"/>
        <v>13375</v>
      </c>
      <c r="P430" s="50">
        <v>0</v>
      </c>
      <c r="Q430" s="76"/>
      <c r="R430" s="140">
        <f>5*S9+25*S10+10</f>
        <v>250</v>
      </c>
      <c r="S430" s="79">
        <v>24.43</v>
      </c>
      <c r="T430" s="80">
        <v>19.27</v>
      </c>
    </row>
    <row r="431" spans="2:20" ht="42">
      <c r="B431" s="5" t="s">
        <v>1035</v>
      </c>
      <c r="C431" s="45" t="s">
        <v>165</v>
      </c>
      <c r="D431" s="45" t="s">
        <v>1036</v>
      </c>
      <c r="E431" s="6" t="s">
        <v>1037</v>
      </c>
      <c r="F431" s="45" t="s">
        <v>531</v>
      </c>
      <c r="G431" s="46">
        <f t="shared" si="50"/>
        <v>135</v>
      </c>
      <c r="H431" s="46">
        <f>TRUNC(S431*(1-LOTE_03!$K$10),2)</f>
        <v>18.32</v>
      </c>
      <c r="I431" s="46">
        <f>TRUNC(T431*(1-LOTE_03!$K$10),2)</f>
        <v>19.27</v>
      </c>
      <c r="J431" s="100">
        <f t="shared" si="51"/>
        <v>0.22470000000000001</v>
      </c>
      <c r="K431" s="48">
        <f t="shared" si="45"/>
        <v>22.43</v>
      </c>
      <c r="L431" s="48">
        <f t="shared" si="46"/>
        <v>23.59</v>
      </c>
      <c r="M431" s="48">
        <f t="shared" si="47"/>
        <v>3028.05</v>
      </c>
      <c r="N431" s="48">
        <f t="shared" si="48"/>
        <v>3184.65</v>
      </c>
      <c r="O431" s="50">
        <f t="shared" si="49"/>
        <v>6212.7</v>
      </c>
      <c r="P431" s="50">
        <v>0</v>
      </c>
      <c r="Q431" s="76"/>
      <c r="R431" s="140">
        <f>5*S9+10*S10</f>
        <v>135</v>
      </c>
      <c r="S431" s="79">
        <v>18.32</v>
      </c>
      <c r="T431" s="80">
        <v>19.27</v>
      </c>
    </row>
    <row r="432" spans="2:20" ht="56">
      <c r="B432" s="5" t="s">
        <v>1038</v>
      </c>
      <c r="C432" s="45" t="s">
        <v>97</v>
      </c>
      <c r="D432" s="45" t="s">
        <v>1039</v>
      </c>
      <c r="E432" s="6" t="s">
        <v>1040</v>
      </c>
      <c r="F432" s="45" t="s">
        <v>925</v>
      </c>
      <c r="G432" s="46">
        <f t="shared" si="50"/>
        <v>205</v>
      </c>
      <c r="H432" s="46">
        <f>TRUNC(S432*(1-LOTE_03!$K$10),2)</f>
        <v>33.119999999999997</v>
      </c>
      <c r="I432" s="46">
        <f>TRUNC(T432*(1-LOTE_03!$K$10),2)</f>
        <v>22.39</v>
      </c>
      <c r="J432" s="100">
        <f t="shared" si="51"/>
        <v>0.22470000000000001</v>
      </c>
      <c r="K432" s="48">
        <f t="shared" si="45"/>
        <v>40.56</v>
      </c>
      <c r="L432" s="48">
        <f t="shared" si="46"/>
        <v>27.42</v>
      </c>
      <c r="M432" s="48">
        <f t="shared" si="47"/>
        <v>8314.7999999999993</v>
      </c>
      <c r="N432" s="48">
        <f t="shared" si="48"/>
        <v>5621.1</v>
      </c>
      <c r="O432" s="50">
        <f t="shared" si="49"/>
        <v>13935.9</v>
      </c>
      <c r="P432" s="50">
        <v>0</v>
      </c>
      <c r="Q432" s="76"/>
      <c r="R432" s="140">
        <f>5*S9+20*S10</f>
        <v>205</v>
      </c>
      <c r="S432" s="79">
        <v>33.119999999999997</v>
      </c>
      <c r="T432" s="80">
        <v>22.39</v>
      </c>
    </row>
    <row r="433" spans="2:20" ht="42">
      <c r="B433" s="5" t="s">
        <v>1041</v>
      </c>
      <c r="C433" s="45" t="s">
        <v>165</v>
      </c>
      <c r="D433" s="45" t="s">
        <v>1042</v>
      </c>
      <c r="E433" s="6" t="s">
        <v>1043</v>
      </c>
      <c r="F433" s="45" t="s">
        <v>531</v>
      </c>
      <c r="G433" s="46">
        <f t="shared" si="50"/>
        <v>100</v>
      </c>
      <c r="H433" s="46">
        <f>TRUNC(S433*(1-LOTE_03!$K$10),2)</f>
        <v>48.09</v>
      </c>
      <c r="I433" s="46">
        <f>TRUNC(T433*(1-LOTE_03!$K$10),2)</f>
        <v>18.63</v>
      </c>
      <c r="J433" s="100">
        <f t="shared" si="51"/>
        <v>0.22470000000000001</v>
      </c>
      <c r="K433" s="48">
        <f t="shared" si="45"/>
        <v>58.89</v>
      </c>
      <c r="L433" s="48">
        <f t="shared" si="46"/>
        <v>22.81</v>
      </c>
      <c r="M433" s="48">
        <f t="shared" si="47"/>
        <v>5889</v>
      </c>
      <c r="N433" s="48">
        <f t="shared" si="48"/>
        <v>2281</v>
      </c>
      <c r="O433" s="50">
        <f t="shared" si="49"/>
        <v>8170</v>
      </c>
      <c r="P433" s="50">
        <v>0</v>
      </c>
      <c r="Q433" s="76"/>
      <c r="R433" s="140">
        <f>5*S9+5*S10</f>
        <v>100</v>
      </c>
      <c r="S433" s="79">
        <v>48.09</v>
      </c>
      <c r="T433" s="80">
        <v>18.63</v>
      </c>
    </row>
    <row r="434" spans="2:20" ht="28">
      <c r="B434" s="5" t="s">
        <v>1044</v>
      </c>
      <c r="C434" s="45" t="s">
        <v>97</v>
      </c>
      <c r="D434" s="45" t="s">
        <v>1045</v>
      </c>
      <c r="E434" s="6" t="s">
        <v>1046</v>
      </c>
      <c r="F434" s="45" t="s">
        <v>187</v>
      </c>
      <c r="G434" s="46">
        <f t="shared" si="50"/>
        <v>600</v>
      </c>
      <c r="H434" s="46">
        <f>TRUNC(S434*(1-LOTE_03!$K$10),2)</f>
        <v>52.53</v>
      </c>
      <c r="I434" s="46">
        <f>TRUNC(T434*(1-LOTE_03!$K$10),2)</f>
        <v>31.71</v>
      </c>
      <c r="J434" s="100">
        <f t="shared" si="51"/>
        <v>0.22470000000000001</v>
      </c>
      <c r="K434" s="48">
        <f t="shared" si="45"/>
        <v>64.33</v>
      </c>
      <c r="L434" s="48">
        <f t="shared" si="46"/>
        <v>38.83</v>
      </c>
      <c r="M434" s="48">
        <f t="shared" si="47"/>
        <v>38598</v>
      </c>
      <c r="N434" s="48">
        <f t="shared" si="48"/>
        <v>23298</v>
      </c>
      <c r="O434" s="50">
        <f t="shared" si="49"/>
        <v>61896</v>
      </c>
      <c r="P434" s="50">
        <v>0</v>
      </c>
      <c r="Q434" s="76"/>
      <c r="R434" s="140">
        <f>30*S9+30*S10</f>
        <v>600</v>
      </c>
      <c r="S434" s="79">
        <v>52.53</v>
      </c>
      <c r="T434" s="80">
        <v>31.71</v>
      </c>
    </row>
    <row r="435" spans="2:20">
      <c r="B435" s="5" t="s">
        <v>1047</v>
      </c>
      <c r="C435" s="45" t="s">
        <v>97</v>
      </c>
      <c r="D435" s="45" t="s">
        <v>1048</v>
      </c>
      <c r="E435" s="6" t="s">
        <v>1049</v>
      </c>
      <c r="F435" s="45" t="s">
        <v>104</v>
      </c>
      <c r="G435" s="46">
        <f t="shared" si="50"/>
        <v>100</v>
      </c>
      <c r="H435" s="46">
        <f>TRUNC(S435*(1-LOTE_03!$K$10),2)</f>
        <v>73.84</v>
      </c>
      <c r="I435" s="46">
        <f>TRUNC(T435*(1-LOTE_03!$K$10),2)</f>
        <v>10.7</v>
      </c>
      <c r="J435" s="100">
        <f t="shared" si="51"/>
        <v>0.22470000000000001</v>
      </c>
      <c r="K435" s="48">
        <f t="shared" si="45"/>
        <v>90.43</v>
      </c>
      <c r="L435" s="48">
        <f t="shared" si="46"/>
        <v>13.1</v>
      </c>
      <c r="M435" s="48">
        <f t="shared" si="47"/>
        <v>9043</v>
      </c>
      <c r="N435" s="48">
        <f t="shared" si="48"/>
        <v>1310</v>
      </c>
      <c r="O435" s="50">
        <f t="shared" si="49"/>
        <v>10353</v>
      </c>
      <c r="P435" s="50">
        <v>0</v>
      </c>
      <c r="Q435" s="76"/>
      <c r="R435" s="140">
        <f>5*S9+5*S10</f>
        <v>100</v>
      </c>
      <c r="S435" s="79">
        <v>73.84</v>
      </c>
      <c r="T435" s="80">
        <v>10.7</v>
      </c>
    </row>
    <row r="436" spans="2:20">
      <c r="B436" s="5" t="s">
        <v>1050</v>
      </c>
      <c r="C436" s="45" t="s">
        <v>97</v>
      </c>
      <c r="D436" s="45" t="s">
        <v>1051</v>
      </c>
      <c r="E436" s="6" t="s">
        <v>1052</v>
      </c>
      <c r="F436" s="45" t="s">
        <v>104</v>
      </c>
      <c r="G436" s="46">
        <f t="shared" si="50"/>
        <v>100</v>
      </c>
      <c r="H436" s="46">
        <f>TRUNC(S436*(1-LOTE_03!$K$10),2)</f>
        <v>17.97</v>
      </c>
      <c r="I436" s="46">
        <f>TRUNC(T436*(1-LOTE_03!$K$10),2)</f>
        <v>10.7</v>
      </c>
      <c r="J436" s="100">
        <f t="shared" si="51"/>
        <v>0.22470000000000001</v>
      </c>
      <c r="K436" s="48">
        <f t="shared" si="45"/>
        <v>22</v>
      </c>
      <c r="L436" s="48">
        <f t="shared" si="46"/>
        <v>13.1</v>
      </c>
      <c r="M436" s="48">
        <f t="shared" si="47"/>
        <v>2200</v>
      </c>
      <c r="N436" s="48">
        <f t="shared" si="48"/>
        <v>1310</v>
      </c>
      <c r="O436" s="50">
        <f t="shared" si="49"/>
        <v>3510</v>
      </c>
      <c r="P436" s="50">
        <v>0</v>
      </c>
      <c r="Q436" s="76"/>
      <c r="R436" s="140">
        <f>5*S9+5*S10</f>
        <v>100</v>
      </c>
      <c r="S436" s="79">
        <v>17.97</v>
      </c>
      <c r="T436" s="80">
        <v>10.7</v>
      </c>
    </row>
    <row r="437" spans="2:20">
      <c r="B437" s="5" t="s">
        <v>1053</v>
      </c>
      <c r="C437" s="45" t="s">
        <v>97</v>
      </c>
      <c r="D437" s="45" t="s">
        <v>1054</v>
      </c>
      <c r="E437" s="6" t="s">
        <v>1055</v>
      </c>
      <c r="F437" s="45" t="s">
        <v>104</v>
      </c>
      <c r="G437" s="46">
        <f t="shared" si="50"/>
        <v>100</v>
      </c>
      <c r="H437" s="46">
        <f>TRUNC(S437*(1-LOTE_03!$K$10),2)</f>
        <v>93.63</v>
      </c>
      <c r="I437" s="46">
        <f>TRUNC(T437*(1-LOTE_03!$K$10),2)</f>
        <v>10.7</v>
      </c>
      <c r="J437" s="100">
        <f t="shared" si="51"/>
        <v>0.22470000000000001</v>
      </c>
      <c r="K437" s="48">
        <f t="shared" si="45"/>
        <v>114.66</v>
      </c>
      <c r="L437" s="48">
        <f t="shared" si="46"/>
        <v>13.1</v>
      </c>
      <c r="M437" s="48">
        <f t="shared" si="47"/>
        <v>11466</v>
      </c>
      <c r="N437" s="48">
        <f t="shared" si="48"/>
        <v>1310</v>
      </c>
      <c r="O437" s="50">
        <f t="shared" si="49"/>
        <v>12776</v>
      </c>
      <c r="P437" s="50">
        <v>0</v>
      </c>
      <c r="Q437" s="76"/>
      <c r="R437" s="140">
        <f>5*S9+5*S10</f>
        <v>100</v>
      </c>
      <c r="S437" s="79">
        <v>93.63</v>
      </c>
      <c r="T437" s="80">
        <v>10.7</v>
      </c>
    </row>
    <row r="438" spans="2:20">
      <c r="B438" s="5" t="s">
        <v>1056</v>
      </c>
      <c r="C438" s="45" t="s">
        <v>97</v>
      </c>
      <c r="D438" s="45" t="s">
        <v>1057</v>
      </c>
      <c r="E438" s="6" t="s">
        <v>1058</v>
      </c>
      <c r="F438" s="45" t="s">
        <v>1059</v>
      </c>
      <c r="G438" s="46">
        <f t="shared" si="50"/>
        <v>61</v>
      </c>
      <c r="H438" s="46">
        <f>TRUNC(S438*(1-LOTE_03!$K$10),2)</f>
        <v>24.85</v>
      </c>
      <c r="I438" s="46">
        <f>TRUNC(T438*(1-LOTE_03!$K$10),2)</f>
        <v>8.9499999999999993</v>
      </c>
      <c r="J438" s="100">
        <f t="shared" si="51"/>
        <v>0.22470000000000001</v>
      </c>
      <c r="K438" s="48">
        <f t="shared" si="45"/>
        <v>30.43</v>
      </c>
      <c r="L438" s="48">
        <f t="shared" si="46"/>
        <v>10.96</v>
      </c>
      <c r="M438" s="48">
        <f t="shared" si="47"/>
        <v>1856.23</v>
      </c>
      <c r="N438" s="48">
        <f t="shared" si="48"/>
        <v>668.56</v>
      </c>
      <c r="O438" s="50">
        <f t="shared" si="49"/>
        <v>2524.79</v>
      </c>
      <c r="P438" s="50">
        <v>0</v>
      </c>
      <c r="Q438" s="76"/>
      <c r="R438" s="140">
        <f>2*S9+5*S10</f>
        <v>61</v>
      </c>
      <c r="S438" s="79">
        <v>24.85</v>
      </c>
      <c r="T438" s="80">
        <v>8.9499999999999993</v>
      </c>
    </row>
    <row r="439" spans="2:20" ht="28">
      <c r="B439" s="5" t="s">
        <v>1060</v>
      </c>
      <c r="C439" s="45" t="s">
        <v>97</v>
      </c>
      <c r="D439" s="45" t="s">
        <v>1061</v>
      </c>
      <c r="E439" s="6" t="s">
        <v>1062</v>
      </c>
      <c r="F439" s="45" t="s">
        <v>104</v>
      </c>
      <c r="G439" s="46">
        <f t="shared" si="50"/>
        <v>400</v>
      </c>
      <c r="H439" s="46">
        <f>TRUNC(S439*(1-LOTE_03!$K$10),2)</f>
        <v>48.13</v>
      </c>
      <c r="I439" s="46">
        <f>TRUNC(T439*(1-LOTE_03!$K$10),2)</f>
        <v>35.04</v>
      </c>
      <c r="J439" s="100">
        <f t="shared" si="51"/>
        <v>0.22470000000000001</v>
      </c>
      <c r="K439" s="48">
        <f t="shared" si="45"/>
        <v>58.94</v>
      </c>
      <c r="L439" s="48">
        <f t="shared" si="46"/>
        <v>42.91</v>
      </c>
      <c r="M439" s="48">
        <f t="shared" si="47"/>
        <v>23576</v>
      </c>
      <c r="N439" s="48">
        <f t="shared" si="48"/>
        <v>17164</v>
      </c>
      <c r="O439" s="50">
        <f t="shared" si="49"/>
        <v>40740</v>
      </c>
      <c r="P439" s="50">
        <v>0</v>
      </c>
      <c r="Q439" s="76"/>
      <c r="R439" s="140">
        <f>20*S9+20*S10</f>
        <v>400</v>
      </c>
      <c r="S439" s="79">
        <v>48.13</v>
      </c>
      <c r="T439" s="80">
        <v>35.04</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50">
        <v>0</v>
      </c>
      <c r="Q440" s="76"/>
      <c r="R440" s="154"/>
      <c r="S440" s="79" t="s">
        <v>22</v>
      </c>
      <c r="T440" s="80" t="s">
        <v>22</v>
      </c>
    </row>
    <row r="441" spans="2:20" ht="84">
      <c r="B441" s="5" t="s">
        <v>1065</v>
      </c>
      <c r="C441" s="45" t="s">
        <v>135</v>
      </c>
      <c r="D441" s="45">
        <v>101878</v>
      </c>
      <c r="E441" s="6" t="s">
        <v>1066</v>
      </c>
      <c r="F441" s="45" t="s">
        <v>210</v>
      </c>
      <c r="G441" s="46">
        <f t="shared" si="50"/>
        <v>10</v>
      </c>
      <c r="H441" s="46">
        <f>TRUNC(S441*(1-LOTE_03!$K$10),2)</f>
        <v>397.08</v>
      </c>
      <c r="I441" s="46">
        <f>TRUNC(T441*(1-LOTE_03!$K$10),2)</f>
        <v>13.89</v>
      </c>
      <c r="J441" s="100">
        <f t="shared" si="51"/>
        <v>0.22470000000000001</v>
      </c>
      <c r="K441" s="48">
        <f t="shared" si="45"/>
        <v>486.3</v>
      </c>
      <c r="L441" s="48">
        <f t="shared" si="46"/>
        <v>17.010000000000002</v>
      </c>
      <c r="M441" s="48">
        <f t="shared" si="47"/>
        <v>4863</v>
      </c>
      <c r="N441" s="48">
        <f t="shared" si="48"/>
        <v>170.1</v>
      </c>
      <c r="O441" s="50">
        <f t="shared" si="49"/>
        <v>5033.1000000000004</v>
      </c>
      <c r="P441" s="50">
        <v>0</v>
      </c>
      <c r="Q441" s="76"/>
      <c r="R441" s="140">
        <f>IF((1*S9+1*S10)&gt;10,10,(1*S9+1*S10))</f>
        <v>10</v>
      </c>
      <c r="S441" s="79">
        <v>397.08000000000004</v>
      </c>
      <c r="T441" s="80">
        <v>13.89</v>
      </c>
    </row>
    <row r="442" spans="2:20" ht="84">
      <c r="B442" s="5" t="s">
        <v>1067</v>
      </c>
      <c r="C442" s="45" t="s">
        <v>135</v>
      </c>
      <c r="D442" s="45">
        <v>101879</v>
      </c>
      <c r="E442" s="6" t="s">
        <v>1068</v>
      </c>
      <c r="F442" s="45" t="s">
        <v>210</v>
      </c>
      <c r="G442" s="46">
        <f t="shared" si="50"/>
        <v>10</v>
      </c>
      <c r="H442" s="46">
        <f>TRUNC(S442*(1-LOTE_03!$K$10),2)</f>
        <v>481.49</v>
      </c>
      <c r="I442" s="46">
        <f>TRUNC(T442*(1-LOTE_03!$K$10),2)</f>
        <v>75.459999999999994</v>
      </c>
      <c r="J442" s="100">
        <f t="shared" si="51"/>
        <v>0.22470000000000001</v>
      </c>
      <c r="K442" s="48">
        <f t="shared" si="45"/>
        <v>589.67999999999995</v>
      </c>
      <c r="L442" s="48">
        <f t="shared" si="46"/>
        <v>92.41</v>
      </c>
      <c r="M442" s="48">
        <f t="shared" si="47"/>
        <v>5896.8</v>
      </c>
      <c r="N442" s="48">
        <f t="shared" si="48"/>
        <v>924.1</v>
      </c>
      <c r="O442" s="50">
        <f t="shared" si="49"/>
        <v>6820.9</v>
      </c>
      <c r="P442" s="50">
        <v>0</v>
      </c>
      <c r="Q442" s="76"/>
      <c r="R442" s="140">
        <f>IF((1*S9+1*S10)&gt;10,10,(1*S9+1*S10))</f>
        <v>10</v>
      </c>
      <c r="S442" s="79">
        <v>481.49000000000007</v>
      </c>
      <c r="T442" s="80">
        <v>75.459999999999994</v>
      </c>
    </row>
    <row r="443" spans="2:20" ht="84">
      <c r="B443" s="5" t="s">
        <v>1069</v>
      </c>
      <c r="C443" s="45" t="s">
        <v>135</v>
      </c>
      <c r="D443" s="45">
        <v>101880</v>
      </c>
      <c r="E443" s="6" t="s">
        <v>1070</v>
      </c>
      <c r="F443" s="45" t="s">
        <v>210</v>
      </c>
      <c r="G443" s="46">
        <f t="shared" si="50"/>
        <v>10</v>
      </c>
      <c r="H443" s="46">
        <f>TRUNC(S443*(1-LOTE_03!$K$10),2)</f>
        <v>556.12</v>
      </c>
      <c r="I443" s="46">
        <f>TRUNC(T443*(1-LOTE_03!$K$10),2)</f>
        <v>93.17</v>
      </c>
      <c r="J443" s="100">
        <f t="shared" si="51"/>
        <v>0.22470000000000001</v>
      </c>
      <c r="K443" s="48">
        <f t="shared" si="45"/>
        <v>681.08</v>
      </c>
      <c r="L443" s="48">
        <f t="shared" si="46"/>
        <v>114.1</v>
      </c>
      <c r="M443" s="48">
        <f t="shared" si="47"/>
        <v>6810.8</v>
      </c>
      <c r="N443" s="48">
        <f t="shared" si="48"/>
        <v>1141</v>
      </c>
      <c r="O443" s="50">
        <f t="shared" si="49"/>
        <v>7951.8</v>
      </c>
      <c r="P443" s="50">
        <v>0</v>
      </c>
      <c r="Q443" s="76"/>
      <c r="R443" s="140">
        <f>IF((1*S9+1*S10)&gt;10,10,(1*S9+1*S10))</f>
        <v>10</v>
      </c>
      <c r="S443" s="79">
        <v>556.12</v>
      </c>
      <c r="T443" s="80">
        <v>93.17</v>
      </c>
    </row>
    <row r="444" spans="2:20" ht="84">
      <c r="B444" s="5" t="s">
        <v>1071</v>
      </c>
      <c r="C444" s="45" t="s">
        <v>135</v>
      </c>
      <c r="D444" s="45">
        <v>101882</v>
      </c>
      <c r="E444" s="6" t="s">
        <v>1072</v>
      </c>
      <c r="F444" s="45" t="s">
        <v>210</v>
      </c>
      <c r="G444" s="46">
        <f t="shared" si="50"/>
        <v>10</v>
      </c>
      <c r="H444" s="46">
        <f>TRUNC(S444*(1-LOTE_03!$K$10),2)</f>
        <v>1123.8699999999999</v>
      </c>
      <c r="I444" s="46">
        <f>TRUNC(T444*(1-LOTE_03!$K$10),2)</f>
        <v>92.83</v>
      </c>
      <c r="J444" s="100">
        <f t="shared" si="51"/>
        <v>0.22470000000000001</v>
      </c>
      <c r="K444" s="48">
        <f t="shared" si="45"/>
        <v>1376.4</v>
      </c>
      <c r="L444" s="48">
        <f t="shared" si="46"/>
        <v>113.68</v>
      </c>
      <c r="M444" s="48">
        <f t="shared" si="47"/>
        <v>13764</v>
      </c>
      <c r="N444" s="48">
        <f t="shared" si="48"/>
        <v>1136.8</v>
      </c>
      <c r="O444" s="50">
        <f t="shared" si="49"/>
        <v>14900.8</v>
      </c>
      <c r="P444" s="50">
        <v>0</v>
      </c>
      <c r="Q444" s="76"/>
      <c r="R444" s="140">
        <f>IF((1*S9+1*S10)&gt;10,10,(1*S9+1*S10))</f>
        <v>10</v>
      </c>
      <c r="S444" s="79">
        <v>1123.8700000000001</v>
      </c>
      <c r="T444" s="80">
        <v>92.83</v>
      </c>
    </row>
    <row r="445" spans="2:20" ht="84">
      <c r="B445" s="5" t="s">
        <v>1073</v>
      </c>
      <c r="C445" s="45" t="s">
        <v>135</v>
      </c>
      <c r="D445" s="45">
        <v>101881</v>
      </c>
      <c r="E445" s="6" t="s">
        <v>1074</v>
      </c>
      <c r="F445" s="45" t="s">
        <v>210</v>
      </c>
      <c r="G445" s="46">
        <f t="shared" si="50"/>
        <v>10</v>
      </c>
      <c r="H445" s="46">
        <f>TRUNC(S445*(1-LOTE_03!$K$10),2)</f>
        <v>794.96</v>
      </c>
      <c r="I445" s="46">
        <f>TRUNC(T445*(1-LOTE_03!$K$10),2)</f>
        <v>93.66</v>
      </c>
      <c r="J445" s="100">
        <f t="shared" si="51"/>
        <v>0.22470000000000001</v>
      </c>
      <c r="K445" s="48">
        <f t="shared" si="45"/>
        <v>973.58</v>
      </c>
      <c r="L445" s="48">
        <f t="shared" si="46"/>
        <v>114.7</v>
      </c>
      <c r="M445" s="48">
        <f t="shared" si="47"/>
        <v>9735.7999999999993</v>
      </c>
      <c r="N445" s="48">
        <f t="shared" si="48"/>
        <v>1147</v>
      </c>
      <c r="O445" s="50">
        <f t="shared" si="49"/>
        <v>10882.8</v>
      </c>
      <c r="P445" s="50">
        <v>0</v>
      </c>
      <c r="Q445" s="76"/>
      <c r="R445" s="140">
        <f>IF((1*S9+1*S10)&gt;10,10,(1*S9+1*S10))</f>
        <v>10</v>
      </c>
      <c r="S445" s="79">
        <v>794.96</v>
      </c>
      <c r="T445" s="80">
        <v>93.66</v>
      </c>
    </row>
    <row r="446" spans="2:20" ht="56">
      <c r="B446" s="5" t="s">
        <v>1075</v>
      </c>
      <c r="C446" s="45" t="s">
        <v>135</v>
      </c>
      <c r="D446" s="45">
        <v>93653</v>
      </c>
      <c r="E446" s="6" t="s">
        <v>1076</v>
      </c>
      <c r="F446" s="45" t="s">
        <v>210</v>
      </c>
      <c r="G446" s="46">
        <f t="shared" si="50"/>
        <v>340</v>
      </c>
      <c r="H446" s="46">
        <f>TRUNC(S446*(1-LOTE_03!$K$10),2)</f>
        <v>10.45</v>
      </c>
      <c r="I446" s="46">
        <f>TRUNC(T446*(1-LOTE_03!$K$10),2)</f>
        <v>1.45</v>
      </c>
      <c r="J446" s="100">
        <f t="shared" si="51"/>
        <v>0.22470000000000001</v>
      </c>
      <c r="K446" s="48">
        <f t="shared" si="45"/>
        <v>12.79</v>
      </c>
      <c r="L446" s="48">
        <f t="shared" si="46"/>
        <v>1.77</v>
      </c>
      <c r="M446" s="48">
        <f t="shared" si="47"/>
        <v>4348.6000000000004</v>
      </c>
      <c r="N446" s="48">
        <f t="shared" si="48"/>
        <v>601.79999999999995</v>
      </c>
      <c r="O446" s="50">
        <f t="shared" si="49"/>
        <v>4950.3999999999996</v>
      </c>
      <c r="P446" s="50">
        <v>0</v>
      </c>
      <c r="Q446" s="76"/>
      <c r="R446" s="140">
        <f>10*S9+30*S10</f>
        <v>340</v>
      </c>
      <c r="S446" s="79">
        <v>10.450000000000001</v>
      </c>
      <c r="T446" s="80">
        <v>1.45</v>
      </c>
    </row>
    <row r="447" spans="2:20" ht="56">
      <c r="B447" s="5" t="s">
        <v>1077</v>
      </c>
      <c r="C447" s="45" t="s">
        <v>135</v>
      </c>
      <c r="D447" s="45">
        <v>93654</v>
      </c>
      <c r="E447" s="6" t="s">
        <v>1078</v>
      </c>
      <c r="F447" s="45" t="s">
        <v>210</v>
      </c>
      <c r="G447" s="46">
        <f t="shared" si="50"/>
        <v>340</v>
      </c>
      <c r="H447" s="46">
        <f>TRUNC(S447*(1-LOTE_03!$K$10),2)</f>
        <v>10.45</v>
      </c>
      <c r="I447" s="46">
        <f>TRUNC(T447*(1-LOTE_03!$K$10),2)</f>
        <v>1.45</v>
      </c>
      <c r="J447" s="100">
        <f t="shared" si="51"/>
        <v>0.22470000000000001</v>
      </c>
      <c r="K447" s="48">
        <f t="shared" si="45"/>
        <v>12.79</v>
      </c>
      <c r="L447" s="48">
        <f t="shared" si="46"/>
        <v>1.77</v>
      </c>
      <c r="M447" s="48">
        <f t="shared" si="47"/>
        <v>4348.6000000000004</v>
      </c>
      <c r="N447" s="48">
        <f t="shared" si="48"/>
        <v>601.79999999999995</v>
      </c>
      <c r="O447" s="50">
        <f t="shared" si="49"/>
        <v>4950.3999999999996</v>
      </c>
      <c r="P447" s="50">
        <v>0</v>
      </c>
      <c r="Q447" s="76"/>
      <c r="R447" s="140">
        <f>10*S9+30*S10</f>
        <v>340</v>
      </c>
      <c r="S447" s="79">
        <v>10.450000000000001</v>
      </c>
      <c r="T447" s="80">
        <v>1.45</v>
      </c>
    </row>
    <row r="448" spans="2:20" ht="56">
      <c r="B448" s="5" t="s">
        <v>1079</v>
      </c>
      <c r="C448" s="45" t="s">
        <v>135</v>
      </c>
      <c r="D448" s="45">
        <v>93655</v>
      </c>
      <c r="E448" s="6" t="s">
        <v>1080</v>
      </c>
      <c r="F448" s="45" t="s">
        <v>210</v>
      </c>
      <c r="G448" s="46">
        <f t="shared" si="50"/>
        <v>100</v>
      </c>
      <c r="H448" s="46">
        <f>TRUNC(S448*(1-LOTE_03!$K$10),2)</f>
        <v>11.03</v>
      </c>
      <c r="I448" s="46">
        <f>TRUNC(T448*(1-LOTE_03!$K$10),2)</f>
        <v>1.94</v>
      </c>
      <c r="J448" s="100">
        <f t="shared" si="51"/>
        <v>0.22470000000000001</v>
      </c>
      <c r="K448" s="48">
        <f t="shared" si="45"/>
        <v>13.5</v>
      </c>
      <c r="L448" s="48">
        <f t="shared" si="46"/>
        <v>2.37</v>
      </c>
      <c r="M448" s="48">
        <f t="shared" si="47"/>
        <v>1350</v>
      </c>
      <c r="N448" s="48">
        <f t="shared" si="48"/>
        <v>237</v>
      </c>
      <c r="O448" s="50">
        <f t="shared" si="49"/>
        <v>1587</v>
      </c>
      <c r="P448" s="50">
        <v>0</v>
      </c>
      <c r="Q448" s="76"/>
      <c r="R448" s="140">
        <f>5*S9+5*S10</f>
        <v>100</v>
      </c>
      <c r="S448" s="79">
        <v>11.030000000000001</v>
      </c>
      <c r="T448" s="80">
        <v>1.94</v>
      </c>
    </row>
    <row r="449" spans="2:20" ht="56">
      <c r="B449" s="5" t="s">
        <v>1081</v>
      </c>
      <c r="C449" s="45" t="s">
        <v>135</v>
      </c>
      <c r="D449" s="45">
        <v>93661</v>
      </c>
      <c r="E449" s="6" t="s">
        <v>912</v>
      </c>
      <c r="F449" s="45" t="s">
        <v>210</v>
      </c>
      <c r="G449" s="46">
        <f t="shared" si="50"/>
        <v>20</v>
      </c>
      <c r="H449" s="46">
        <f>TRUNC(S449*(1-LOTE_03!$K$10),2)</f>
        <v>52.67</v>
      </c>
      <c r="I449" s="46">
        <f>TRUNC(T449*(1-LOTE_03!$K$10),2)</f>
        <v>2.84</v>
      </c>
      <c r="J449" s="100">
        <f t="shared" si="51"/>
        <v>0.22470000000000001</v>
      </c>
      <c r="K449" s="48">
        <f t="shared" si="45"/>
        <v>64.5</v>
      </c>
      <c r="L449" s="48">
        <f t="shared" si="46"/>
        <v>3.47</v>
      </c>
      <c r="M449" s="48">
        <f t="shared" si="47"/>
        <v>1290</v>
      </c>
      <c r="N449" s="48">
        <f t="shared" si="48"/>
        <v>69.400000000000006</v>
      </c>
      <c r="O449" s="50">
        <f t="shared" si="49"/>
        <v>1359.4</v>
      </c>
      <c r="P449" s="50">
        <v>0</v>
      </c>
      <c r="Q449" s="76"/>
      <c r="R449" s="140">
        <f>1*S9+1*S10</f>
        <v>20</v>
      </c>
      <c r="S449" s="79">
        <v>52.67</v>
      </c>
      <c r="T449" s="80">
        <v>2.84</v>
      </c>
    </row>
    <row r="450" spans="2:20" ht="56">
      <c r="B450" s="5" t="s">
        <v>1082</v>
      </c>
      <c r="C450" s="45" t="s">
        <v>135</v>
      </c>
      <c r="D450" s="45">
        <v>93666</v>
      </c>
      <c r="E450" s="6" t="s">
        <v>1083</v>
      </c>
      <c r="F450" s="45" t="s">
        <v>210</v>
      </c>
      <c r="G450" s="46">
        <f t="shared" si="50"/>
        <v>20</v>
      </c>
      <c r="H450" s="46">
        <f>TRUNC(S450*(1-LOTE_03!$K$10),2)</f>
        <v>59.62</v>
      </c>
      <c r="I450" s="46">
        <f>TRUNC(T450*(1-LOTE_03!$K$10),2)</f>
        <v>14.69</v>
      </c>
      <c r="J450" s="100">
        <f t="shared" si="51"/>
        <v>0.22470000000000001</v>
      </c>
      <c r="K450" s="48">
        <f t="shared" si="45"/>
        <v>73.010000000000005</v>
      </c>
      <c r="L450" s="48">
        <f t="shared" si="46"/>
        <v>17.989999999999998</v>
      </c>
      <c r="M450" s="48">
        <f t="shared" si="47"/>
        <v>1460.2</v>
      </c>
      <c r="N450" s="48">
        <f t="shared" si="48"/>
        <v>359.8</v>
      </c>
      <c r="O450" s="50">
        <f t="shared" si="49"/>
        <v>1820</v>
      </c>
      <c r="P450" s="50">
        <v>0</v>
      </c>
      <c r="Q450" s="76"/>
      <c r="R450" s="140">
        <f>1*S9+1*S10</f>
        <v>20</v>
      </c>
      <c r="S450" s="79">
        <v>59.620000000000005</v>
      </c>
      <c r="T450" s="80">
        <v>14.69</v>
      </c>
    </row>
    <row r="451" spans="2:20" ht="56">
      <c r="B451" s="5" t="s">
        <v>1084</v>
      </c>
      <c r="C451" s="45" t="s">
        <v>135</v>
      </c>
      <c r="D451" s="45">
        <v>93672</v>
      </c>
      <c r="E451" s="6" t="s">
        <v>1085</v>
      </c>
      <c r="F451" s="45" t="s">
        <v>210</v>
      </c>
      <c r="G451" s="46">
        <f t="shared" si="50"/>
        <v>20</v>
      </c>
      <c r="H451" s="46">
        <f>TRUNC(S451*(1-LOTE_03!$K$10),2)</f>
        <v>73.260000000000005</v>
      </c>
      <c r="I451" s="46">
        <f>TRUNC(T451*(1-LOTE_03!$K$10),2)</f>
        <v>15.8</v>
      </c>
      <c r="J451" s="100">
        <f t="shared" si="51"/>
        <v>0.22470000000000001</v>
      </c>
      <c r="K451" s="48">
        <f t="shared" si="45"/>
        <v>89.72</v>
      </c>
      <c r="L451" s="48">
        <f t="shared" si="46"/>
        <v>19.350000000000001</v>
      </c>
      <c r="M451" s="48">
        <f t="shared" si="47"/>
        <v>1794.4</v>
      </c>
      <c r="N451" s="48">
        <f t="shared" si="48"/>
        <v>387</v>
      </c>
      <c r="O451" s="50">
        <f t="shared" si="49"/>
        <v>2181.4</v>
      </c>
      <c r="P451" s="50">
        <v>0</v>
      </c>
      <c r="Q451" s="76"/>
      <c r="R451" s="140">
        <f>1*S9+1*S10</f>
        <v>20</v>
      </c>
      <c r="S451" s="79">
        <v>73.260000000000005</v>
      </c>
      <c r="T451" s="80">
        <v>15.8</v>
      </c>
    </row>
    <row r="452" spans="2:20" ht="56">
      <c r="B452" s="5" t="s">
        <v>1086</v>
      </c>
      <c r="C452" s="45" t="s">
        <v>135</v>
      </c>
      <c r="D452" s="45">
        <v>101894</v>
      </c>
      <c r="E452" s="6" t="s">
        <v>1087</v>
      </c>
      <c r="F452" s="45" t="s">
        <v>210</v>
      </c>
      <c r="G452" s="46">
        <f t="shared" si="50"/>
        <v>20</v>
      </c>
      <c r="H452" s="46">
        <f>TRUNC(S452*(1-LOTE_03!$K$10),2)</f>
        <v>128.21</v>
      </c>
      <c r="I452" s="46">
        <f>TRUNC(T452*(1-LOTE_03!$K$10),2)</f>
        <v>30.2</v>
      </c>
      <c r="J452" s="100">
        <f t="shared" si="51"/>
        <v>0.22470000000000001</v>
      </c>
      <c r="K452" s="48">
        <f t="shared" si="45"/>
        <v>157.01</v>
      </c>
      <c r="L452" s="48">
        <f t="shared" si="46"/>
        <v>36.979999999999997</v>
      </c>
      <c r="M452" s="48">
        <f t="shared" si="47"/>
        <v>3140.2</v>
      </c>
      <c r="N452" s="48">
        <f t="shared" si="48"/>
        <v>739.6</v>
      </c>
      <c r="O452" s="50">
        <f t="shared" si="49"/>
        <v>3879.8</v>
      </c>
      <c r="P452" s="50">
        <v>0</v>
      </c>
      <c r="Q452" s="76"/>
      <c r="R452" s="140">
        <f>1*S9+1*S10</f>
        <v>20</v>
      </c>
      <c r="S452" s="79">
        <v>128.21</v>
      </c>
      <c r="T452" s="80">
        <v>30.2</v>
      </c>
    </row>
    <row r="453" spans="2:20" ht="56">
      <c r="B453" s="5" t="s">
        <v>1088</v>
      </c>
      <c r="C453" s="45" t="s">
        <v>135</v>
      </c>
      <c r="D453" s="45">
        <v>91932</v>
      </c>
      <c r="E453" s="6" t="s">
        <v>1089</v>
      </c>
      <c r="F453" s="45" t="s">
        <v>187</v>
      </c>
      <c r="G453" s="46">
        <f t="shared" si="50"/>
        <v>470</v>
      </c>
      <c r="H453" s="46">
        <f>TRUNC(S453*(1-LOTE_03!$K$10),2)</f>
        <v>16.75</v>
      </c>
      <c r="I453" s="46">
        <f>TRUNC(T453*(1-LOTE_03!$K$10),2)</f>
        <v>3.5</v>
      </c>
      <c r="J453" s="100">
        <f t="shared" si="51"/>
        <v>0.22470000000000001</v>
      </c>
      <c r="K453" s="48">
        <f t="shared" si="45"/>
        <v>20.51</v>
      </c>
      <c r="L453" s="48">
        <f t="shared" si="46"/>
        <v>4.28</v>
      </c>
      <c r="M453" s="48">
        <f t="shared" si="47"/>
        <v>9639.7000000000007</v>
      </c>
      <c r="N453" s="48">
        <f t="shared" si="48"/>
        <v>2011.6</v>
      </c>
      <c r="O453" s="50">
        <f t="shared" si="49"/>
        <v>11651.3</v>
      </c>
      <c r="P453" s="50">
        <v>0</v>
      </c>
      <c r="Q453" s="76"/>
      <c r="R453" s="140">
        <f>20*S9+30*S10</f>
        <v>470</v>
      </c>
      <c r="S453" s="79">
        <v>16.75</v>
      </c>
      <c r="T453" s="80">
        <v>3.5</v>
      </c>
    </row>
    <row r="454" spans="2:20" ht="56">
      <c r="B454" s="5" t="s">
        <v>1090</v>
      </c>
      <c r="C454" s="45" t="s">
        <v>135</v>
      </c>
      <c r="D454" s="45">
        <v>91928</v>
      </c>
      <c r="E454" s="6" t="s">
        <v>844</v>
      </c>
      <c r="F454" s="45" t="s">
        <v>187</v>
      </c>
      <c r="G454" s="46">
        <f t="shared" si="50"/>
        <v>470</v>
      </c>
      <c r="H454" s="46">
        <f>TRUNC(S454*(1-LOTE_03!$K$10),2)</f>
        <v>6.29</v>
      </c>
      <c r="I454" s="46">
        <f>TRUNC(T454*(1-LOTE_03!$K$10),2)</f>
        <v>1.79</v>
      </c>
      <c r="J454" s="100">
        <f t="shared" si="51"/>
        <v>0.22470000000000001</v>
      </c>
      <c r="K454" s="48">
        <f t="shared" si="45"/>
        <v>7.7</v>
      </c>
      <c r="L454" s="48">
        <f t="shared" si="46"/>
        <v>2.19</v>
      </c>
      <c r="M454" s="48">
        <f t="shared" si="47"/>
        <v>3619</v>
      </c>
      <c r="N454" s="48">
        <f t="shared" si="48"/>
        <v>1029.3</v>
      </c>
      <c r="O454" s="50">
        <f t="shared" si="49"/>
        <v>4648.3</v>
      </c>
      <c r="P454" s="50">
        <v>0</v>
      </c>
      <c r="Q454" s="76"/>
      <c r="R454" s="140">
        <f>20*S9+30*S10</f>
        <v>470</v>
      </c>
      <c r="S454" s="79">
        <v>6.29</v>
      </c>
      <c r="T454" s="80">
        <v>1.79</v>
      </c>
    </row>
    <row r="455" spans="2:20" ht="56">
      <c r="B455" s="5" t="s">
        <v>1091</v>
      </c>
      <c r="C455" s="45" t="s">
        <v>135</v>
      </c>
      <c r="D455" s="45">
        <v>91926</v>
      </c>
      <c r="E455" s="6" t="s">
        <v>840</v>
      </c>
      <c r="F455" s="45" t="s">
        <v>187</v>
      </c>
      <c r="G455" s="46">
        <f t="shared" si="50"/>
        <v>9600</v>
      </c>
      <c r="H455" s="46">
        <f>TRUNC(S455*(1-LOTE_03!$K$10),2)</f>
        <v>3.88</v>
      </c>
      <c r="I455" s="46">
        <f>TRUNC(T455*(1-LOTE_03!$K$10),2)</f>
        <v>1.34</v>
      </c>
      <c r="J455" s="100">
        <f t="shared" si="51"/>
        <v>0.22470000000000001</v>
      </c>
      <c r="K455" s="48">
        <f t="shared" si="45"/>
        <v>4.75</v>
      </c>
      <c r="L455" s="48">
        <f t="shared" si="46"/>
        <v>1.64</v>
      </c>
      <c r="M455" s="48">
        <f t="shared" si="47"/>
        <v>45600</v>
      </c>
      <c r="N455" s="48">
        <f t="shared" si="48"/>
        <v>15744</v>
      </c>
      <c r="O455" s="50">
        <f t="shared" si="49"/>
        <v>61344</v>
      </c>
      <c r="P455" s="50">
        <v>0</v>
      </c>
      <c r="Q455" s="76"/>
      <c r="R455" s="140">
        <f>1000*S10+200*S9</f>
        <v>9600</v>
      </c>
      <c r="S455" s="79">
        <v>3.88</v>
      </c>
      <c r="T455" s="80">
        <v>1.34</v>
      </c>
    </row>
    <row r="456" spans="2:20" ht="56">
      <c r="B456" s="5" t="s">
        <v>1092</v>
      </c>
      <c r="C456" s="45" t="s">
        <v>135</v>
      </c>
      <c r="D456" s="45">
        <v>91927</v>
      </c>
      <c r="E456" s="6" t="s">
        <v>1093</v>
      </c>
      <c r="F456" s="45" t="s">
        <v>187</v>
      </c>
      <c r="G456" s="46">
        <f t="shared" si="50"/>
        <v>9600</v>
      </c>
      <c r="H456" s="46">
        <f>TRUNC(S456*(1-LOTE_03!$K$10),2)</f>
        <v>4.5199999999999996</v>
      </c>
      <c r="I456" s="46">
        <f>TRUNC(T456*(1-LOTE_03!$K$10),2)</f>
        <v>1.34</v>
      </c>
      <c r="J456" s="100">
        <f t="shared" si="51"/>
        <v>0.22470000000000001</v>
      </c>
      <c r="K456" s="48">
        <f t="shared" si="45"/>
        <v>5.53</v>
      </c>
      <c r="L456" s="48">
        <f t="shared" si="46"/>
        <v>1.64</v>
      </c>
      <c r="M456" s="48">
        <f t="shared" si="47"/>
        <v>53088</v>
      </c>
      <c r="N456" s="48">
        <f t="shared" si="48"/>
        <v>15744</v>
      </c>
      <c r="O456" s="50">
        <f t="shared" si="49"/>
        <v>68832</v>
      </c>
      <c r="P456" s="50">
        <v>0</v>
      </c>
      <c r="Q456" s="76"/>
      <c r="R456" s="140">
        <f>1000*S10+200*S9</f>
        <v>9600</v>
      </c>
      <c r="S456" s="79">
        <v>4.5200000000000005</v>
      </c>
      <c r="T456" s="80">
        <v>1.34</v>
      </c>
    </row>
    <row r="457" spans="2:20" ht="28">
      <c r="B457" s="5" t="s">
        <v>1094</v>
      </c>
      <c r="C457" s="45" t="s">
        <v>97</v>
      </c>
      <c r="D457" s="45" t="s">
        <v>1095</v>
      </c>
      <c r="E457" s="6" t="s">
        <v>1096</v>
      </c>
      <c r="F457" s="45" t="s">
        <v>104</v>
      </c>
      <c r="G457" s="46">
        <f t="shared" si="50"/>
        <v>10</v>
      </c>
      <c r="H457" s="46">
        <f>TRUNC(S457*(1-LOTE_03!$K$10),2)</f>
        <v>17.100000000000001</v>
      </c>
      <c r="I457" s="46">
        <f>TRUNC(T457*(1-LOTE_03!$K$10),2)</f>
        <v>53.73</v>
      </c>
      <c r="J457" s="100">
        <f t="shared" si="51"/>
        <v>0.22470000000000001</v>
      </c>
      <c r="K457" s="48">
        <f t="shared" si="45"/>
        <v>20.94</v>
      </c>
      <c r="L457" s="48">
        <f t="shared" si="46"/>
        <v>65.8</v>
      </c>
      <c r="M457" s="48">
        <f t="shared" si="47"/>
        <v>209.4</v>
      </c>
      <c r="N457" s="48">
        <f t="shared" si="48"/>
        <v>658</v>
      </c>
      <c r="O457" s="50">
        <f t="shared" si="49"/>
        <v>867.4</v>
      </c>
      <c r="P457" s="50">
        <v>0</v>
      </c>
      <c r="Q457" s="76"/>
      <c r="R457" s="140">
        <f>IF((1*S9+1*S10)&gt;10,10,(1*S9+1*S10))</f>
        <v>10</v>
      </c>
      <c r="S457" s="79">
        <v>17.100000000000001</v>
      </c>
      <c r="T457" s="80">
        <v>53.73</v>
      </c>
    </row>
    <row r="458" spans="2:20" ht="42">
      <c r="B458" s="5" t="s">
        <v>1097</v>
      </c>
      <c r="C458" s="45" t="s">
        <v>165</v>
      </c>
      <c r="D458" s="45" t="s">
        <v>1098</v>
      </c>
      <c r="E458" s="6" t="s">
        <v>1099</v>
      </c>
      <c r="F458" s="45" t="s">
        <v>559</v>
      </c>
      <c r="G458" s="46">
        <f t="shared" si="50"/>
        <v>10</v>
      </c>
      <c r="H458" s="46">
        <f>TRUNC(S458*(1-LOTE_03!$K$10),2)</f>
        <v>289.13</v>
      </c>
      <c r="I458" s="46">
        <f>TRUNC(T458*(1-LOTE_03!$K$10),2)</f>
        <v>119.46</v>
      </c>
      <c r="J458" s="100">
        <f t="shared" si="51"/>
        <v>0.22470000000000001</v>
      </c>
      <c r="K458" s="48">
        <f t="shared" si="45"/>
        <v>354.09</v>
      </c>
      <c r="L458" s="48">
        <f t="shared" si="46"/>
        <v>146.30000000000001</v>
      </c>
      <c r="M458" s="48">
        <f t="shared" si="47"/>
        <v>3540.9</v>
      </c>
      <c r="N458" s="48">
        <f t="shared" si="48"/>
        <v>1463</v>
      </c>
      <c r="O458" s="50">
        <f t="shared" si="49"/>
        <v>5003.8999999999996</v>
      </c>
      <c r="P458" s="50">
        <v>0</v>
      </c>
      <c r="Q458" s="76"/>
      <c r="R458" s="140">
        <f>IF((1*S9+1*S10)&gt;10,10,(1*S9+1*S10))</f>
        <v>10</v>
      </c>
      <c r="S458" s="79">
        <v>289.13</v>
      </c>
      <c r="T458" s="80">
        <v>119.46</v>
      </c>
    </row>
    <row r="459" spans="2:20" ht="42">
      <c r="B459" s="5" t="s">
        <v>1100</v>
      </c>
      <c r="C459" s="45" t="s">
        <v>165</v>
      </c>
      <c r="D459" s="45" t="s">
        <v>1101</v>
      </c>
      <c r="E459" s="6" t="s">
        <v>1102</v>
      </c>
      <c r="F459" s="45" t="s">
        <v>559</v>
      </c>
      <c r="G459" s="46">
        <f t="shared" si="50"/>
        <v>10</v>
      </c>
      <c r="H459" s="46">
        <f>TRUNC(S459*(1-LOTE_03!$K$10),2)</f>
        <v>209.24</v>
      </c>
      <c r="I459" s="46">
        <f>TRUNC(T459*(1-LOTE_03!$K$10),2)</f>
        <v>111.75</v>
      </c>
      <c r="J459" s="100">
        <f t="shared" si="51"/>
        <v>0.22470000000000001</v>
      </c>
      <c r="K459" s="48">
        <f t="shared" si="45"/>
        <v>256.25</v>
      </c>
      <c r="L459" s="48">
        <f t="shared" si="46"/>
        <v>136.86000000000001</v>
      </c>
      <c r="M459" s="48">
        <f t="shared" si="47"/>
        <v>2562.5</v>
      </c>
      <c r="N459" s="48">
        <f t="shared" si="48"/>
        <v>1368.6</v>
      </c>
      <c r="O459" s="50">
        <f t="shared" si="49"/>
        <v>3931.1</v>
      </c>
      <c r="P459" s="50">
        <v>0</v>
      </c>
      <c r="Q459" s="76"/>
      <c r="R459" s="140">
        <f>IF((1*S9+1*S10)&gt;10,10,(1*S9+1*S10))</f>
        <v>10</v>
      </c>
      <c r="S459" s="79">
        <v>209.24</v>
      </c>
      <c r="T459" s="80">
        <v>111.75</v>
      </c>
    </row>
    <row r="460" spans="2:20" ht="42">
      <c r="B460" s="5" t="s">
        <v>1103</v>
      </c>
      <c r="C460" s="45" t="s">
        <v>165</v>
      </c>
      <c r="D460" s="45" t="s">
        <v>1104</v>
      </c>
      <c r="E460" s="6" t="s">
        <v>1105</v>
      </c>
      <c r="F460" s="45" t="s">
        <v>559</v>
      </c>
      <c r="G460" s="46">
        <f t="shared" si="50"/>
        <v>10</v>
      </c>
      <c r="H460" s="46">
        <f>TRUNC(S460*(1-LOTE_03!$K$10),2)</f>
        <v>111.9</v>
      </c>
      <c r="I460" s="46">
        <f>TRUNC(T460*(1-LOTE_03!$K$10),2)</f>
        <v>100.19</v>
      </c>
      <c r="J460" s="100">
        <f t="shared" si="51"/>
        <v>0.22470000000000001</v>
      </c>
      <c r="K460" s="48">
        <f t="shared" si="45"/>
        <v>137.04</v>
      </c>
      <c r="L460" s="48">
        <f t="shared" si="46"/>
        <v>122.7</v>
      </c>
      <c r="M460" s="48">
        <f t="shared" si="47"/>
        <v>1370.4</v>
      </c>
      <c r="N460" s="48">
        <f t="shared" si="48"/>
        <v>1227</v>
      </c>
      <c r="O460" s="50">
        <f t="shared" si="49"/>
        <v>2597.4</v>
      </c>
      <c r="P460" s="50">
        <v>0</v>
      </c>
      <c r="Q460" s="76"/>
      <c r="R460" s="140">
        <f>IF((1*S9+1*S10)&gt;10,10,(1*S9+1*S10))</f>
        <v>10</v>
      </c>
      <c r="S460" s="79">
        <v>111.9</v>
      </c>
      <c r="T460" s="80">
        <v>100.19</v>
      </c>
    </row>
    <row r="461" spans="2:20" ht="28">
      <c r="B461" s="5" t="s">
        <v>1106</v>
      </c>
      <c r="C461" s="45" t="s">
        <v>97</v>
      </c>
      <c r="D461" s="45" t="s">
        <v>1107</v>
      </c>
      <c r="E461" s="6" t="s">
        <v>1108</v>
      </c>
      <c r="F461" s="45" t="s">
        <v>104</v>
      </c>
      <c r="G461" s="46">
        <f t="shared" si="50"/>
        <v>20</v>
      </c>
      <c r="H461" s="46">
        <f>TRUNC(S461*(1-LOTE_03!$K$10),2)</f>
        <v>198.95</v>
      </c>
      <c r="I461" s="46">
        <f>TRUNC(T461*(1-LOTE_03!$K$10),2)</f>
        <v>13.43</v>
      </c>
      <c r="J461" s="100">
        <f t="shared" si="51"/>
        <v>0.22470000000000001</v>
      </c>
      <c r="K461" s="48">
        <f t="shared" si="45"/>
        <v>243.65</v>
      </c>
      <c r="L461" s="48">
        <f t="shared" si="46"/>
        <v>16.440000000000001</v>
      </c>
      <c r="M461" s="48">
        <f t="shared" si="47"/>
        <v>4873</v>
      </c>
      <c r="N461" s="48">
        <f t="shared" si="48"/>
        <v>328.8</v>
      </c>
      <c r="O461" s="50">
        <f t="shared" si="49"/>
        <v>5201.8</v>
      </c>
      <c r="P461" s="50">
        <v>0</v>
      </c>
      <c r="Q461" s="76"/>
      <c r="R461" s="140">
        <f>1*S9+1*S10</f>
        <v>20</v>
      </c>
      <c r="S461" s="79">
        <v>198.95</v>
      </c>
      <c r="T461" s="80">
        <v>13.43</v>
      </c>
    </row>
    <row r="462" spans="2:20" ht="42">
      <c r="B462" s="5" t="s">
        <v>1109</v>
      </c>
      <c r="C462" s="45" t="s">
        <v>97</v>
      </c>
      <c r="D462" s="45" t="s">
        <v>1110</v>
      </c>
      <c r="E462" s="6" t="s">
        <v>1111</v>
      </c>
      <c r="F462" s="45" t="s">
        <v>104</v>
      </c>
      <c r="G462" s="46">
        <f t="shared" si="50"/>
        <v>50</v>
      </c>
      <c r="H462" s="46">
        <f>TRUNC(S462*(1-LOTE_03!$K$10),2)</f>
        <v>98.57</v>
      </c>
      <c r="I462" s="46">
        <f>TRUNC(T462*(1-LOTE_03!$K$10),2)</f>
        <v>22.39</v>
      </c>
      <c r="J462" s="100">
        <f t="shared" si="51"/>
        <v>0.22470000000000001</v>
      </c>
      <c r="K462" s="48">
        <f t="shared" si="45"/>
        <v>120.71</v>
      </c>
      <c r="L462" s="48">
        <f t="shared" si="46"/>
        <v>27.42</v>
      </c>
      <c r="M462" s="48">
        <f t="shared" si="47"/>
        <v>6035.5</v>
      </c>
      <c r="N462" s="48">
        <f t="shared" si="48"/>
        <v>1371</v>
      </c>
      <c r="O462" s="50">
        <f t="shared" si="49"/>
        <v>7406.5</v>
      </c>
      <c r="P462" s="50">
        <v>0</v>
      </c>
      <c r="Q462" s="76"/>
      <c r="R462" s="140">
        <f>IF((2*S9+4*S10)&gt;50,50,(2*S9+4*S10))</f>
        <v>50</v>
      </c>
      <c r="S462" s="79">
        <v>98.57</v>
      </c>
      <c r="T462" s="80">
        <v>22.39</v>
      </c>
    </row>
    <row r="463" spans="2:20" ht="42">
      <c r="B463" s="5" t="s">
        <v>1112</v>
      </c>
      <c r="C463" s="45" t="s">
        <v>97</v>
      </c>
      <c r="D463" s="45" t="s">
        <v>1113</v>
      </c>
      <c r="E463" s="6" t="s">
        <v>1114</v>
      </c>
      <c r="F463" s="45" t="s">
        <v>104</v>
      </c>
      <c r="G463" s="46">
        <f t="shared" si="50"/>
        <v>20</v>
      </c>
      <c r="H463" s="46">
        <f>TRUNC(S463*(1-LOTE_03!$K$10),2)</f>
        <v>272.12</v>
      </c>
      <c r="I463" s="46">
        <f>TRUNC(T463*(1-LOTE_03!$K$10),2)</f>
        <v>22.39</v>
      </c>
      <c r="J463" s="100">
        <f t="shared" si="51"/>
        <v>0.22470000000000001</v>
      </c>
      <c r="K463" s="48">
        <f t="shared" si="45"/>
        <v>333.26</v>
      </c>
      <c r="L463" s="48">
        <f t="shared" si="46"/>
        <v>27.42</v>
      </c>
      <c r="M463" s="48">
        <f t="shared" si="47"/>
        <v>6665.2</v>
      </c>
      <c r="N463" s="48">
        <f t="shared" si="48"/>
        <v>548.4</v>
      </c>
      <c r="O463" s="50">
        <f t="shared" si="49"/>
        <v>7213.6</v>
      </c>
      <c r="P463" s="50">
        <v>0</v>
      </c>
      <c r="Q463" s="76"/>
      <c r="R463" s="140">
        <f>1*S9+1*S10</f>
        <v>20</v>
      </c>
      <c r="S463" s="79">
        <v>272.12</v>
      </c>
      <c r="T463" s="80">
        <v>22.39</v>
      </c>
    </row>
    <row r="464" spans="2:20" ht="42">
      <c r="B464" s="5" t="s">
        <v>1115</v>
      </c>
      <c r="C464" s="45" t="s">
        <v>97</v>
      </c>
      <c r="D464" s="45" t="s">
        <v>1116</v>
      </c>
      <c r="E464" s="6" t="s">
        <v>1117</v>
      </c>
      <c r="F464" s="45" t="s">
        <v>104</v>
      </c>
      <c r="G464" s="46">
        <f t="shared" si="50"/>
        <v>20</v>
      </c>
      <c r="H464" s="46">
        <f>TRUNC(S464*(1-LOTE_03!$K$10),2)</f>
        <v>241.67</v>
      </c>
      <c r="I464" s="46">
        <f>TRUNC(T464*(1-LOTE_03!$K$10),2)</f>
        <v>15.67</v>
      </c>
      <c r="J464" s="100">
        <f t="shared" si="51"/>
        <v>0.22470000000000001</v>
      </c>
      <c r="K464" s="48">
        <f t="shared" ref="K464:K527" si="52">TRUNC(H464*(1+J464),2)</f>
        <v>295.97000000000003</v>
      </c>
      <c r="L464" s="48">
        <f t="shared" ref="L464:L527" si="53">TRUNC(I464*(1+J464),2)</f>
        <v>19.190000000000001</v>
      </c>
      <c r="M464" s="48">
        <f t="shared" ref="M464:M527" si="54">TRUNC(K464*G464,2)</f>
        <v>5919.4</v>
      </c>
      <c r="N464" s="48">
        <f t="shared" ref="N464:N527" si="55">TRUNC(L464*G464,2)</f>
        <v>383.8</v>
      </c>
      <c r="O464" s="50">
        <f t="shared" ref="O464:O527" si="56">TRUNC(M464+N464,2)</f>
        <v>6303.2</v>
      </c>
      <c r="P464" s="50">
        <v>0</v>
      </c>
      <c r="Q464" s="76"/>
      <c r="R464" s="140">
        <f>1*S9+1*S10</f>
        <v>20</v>
      </c>
      <c r="S464" s="79">
        <v>241.67</v>
      </c>
      <c r="T464" s="80">
        <v>15.67</v>
      </c>
    </row>
    <row r="465" spans="2:20">
      <c r="B465" s="5" t="s">
        <v>1118</v>
      </c>
      <c r="C465" s="45" t="s">
        <v>97</v>
      </c>
      <c r="D465" s="45" t="s">
        <v>1119</v>
      </c>
      <c r="E465" s="6" t="s">
        <v>1120</v>
      </c>
      <c r="F465" s="45" t="s">
        <v>104</v>
      </c>
      <c r="G465" s="46">
        <f t="shared" si="50"/>
        <v>20</v>
      </c>
      <c r="H465" s="46">
        <f>TRUNC(S465*(1-LOTE_03!$K$10),2)</f>
        <v>129.97999999999999</v>
      </c>
      <c r="I465" s="46">
        <f>TRUNC(T465*(1-LOTE_03!$K$10),2)</f>
        <v>15.67</v>
      </c>
      <c r="J465" s="100">
        <f t="shared" si="51"/>
        <v>0.22470000000000001</v>
      </c>
      <c r="K465" s="48">
        <f t="shared" si="52"/>
        <v>159.18</v>
      </c>
      <c r="L465" s="48">
        <f t="shared" si="53"/>
        <v>19.190000000000001</v>
      </c>
      <c r="M465" s="48">
        <f t="shared" si="54"/>
        <v>3183.6</v>
      </c>
      <c r="N465" s="48">
        <f t="shared" si="55"/>
        <v>383.8</v>
      </c>
      <c r="O465" s="50">
        <f t="shared" si="56"/>
        <v>3567.4</v>
      </c>
      <c r="P465" s="50">
        <v>0</v>
      </c>
      <c r="Q465" s="76"/>
      <c r="R465" s="140">
        <f>1*S9+1*S10</f>
        <v>20</v>
      </c>
      <c r="S465" s="79">
        <v>129.97999999999999</v>
      </c>
      <c r="T465" s="80">
        <v>15.67</v>
      </c>
    </row>
    <row r="466" spans="2:20">
      <c r="B466" s="5" t="s">
        <v>1121</v>
      </c>
      <c r="C466" s="45" t="s">
        <v>97</v>
      </c>
      <c r="D466" s="45" t="s">
        <v>1122</v>
      </c>
      <c r="E466" s="6" t="s">
        <v>1123</v>
      </c>
      <c r="F466" s="45" t="s">
        <v>104</v>
      </c>
      <c r="G466" s="46">
        <f t="shared" ref="G466:G529" si="57">TRUNC(R466,2)</f>
        <v>20</v>
      </c>
      <c r="H466" s="46">
        <f>TRUNC(S466*(1-LOTE_03!$K$10),2)</f>
        <v>345.11</v>
      </c>
      <c r="I466" s="46">
        <f>TRUNC(T466*(1-LOTE_03!$K$10),2)</f>
        <v>41.19</v>
      </c>
      <c r="J466" s="100">
        <f t="shared" ref="J466:J529" si="58">$J$4</f>
        <v>0.22470000000000001</v>
      </c>
      <c r="K466" s="48">
        <f t="shared" si="52"/>
        <v>422.65</v>
      </c>
      <c r="L466" s="48">
        <f t="shared" si="53"/>
        <v>50.44</v>
      </c>
      <c r="M466" s="48">
        <f t="shared" si="54"/>
        <v>8453</v>
      </c>
      <c r="N466" s="48">
        <f t="shared" si="55"/>
        <v>1008.8</v>
      </c>
      <c r="O466" s="50">
        <f t="shared" si="56"/>
        <v>9461.7999999999993</v>
      </c>
      <c r="P466" s="50">
        <v>0</v>
      </c>
      <c r="Q466" s="76"/>
      <c r="R466" s="140">
        <f>1*S9+1*S10</f>
        <v>20</v>
      </c>
      <c r="S466" s="79">
        <v>345.11</v>
      </c>
      <c r="T466" s="80">
        <v>41.19</v>
      </c>
    </row>
    <row r="467" spans="2:20" ht="56">
      <c r="B467" s="5" t="s">
        <v>1124</v>
      </c>
      <c r="C467" s="45" t="s">
        <v>97</v>
      </c>
      <c r="D467" s="45" t="s">
        <v>1039</v>
      </c>
      <c r="E467" s="6" t="s">
        <v>1040</v>
      </c>
      <c r="F467" s="45" t="s">
        <v>925</v>
      </c>
      <c r="G467" s="46">
        <f t="shared" si="57"/>
        <v>1000</v>
      </c>
      <c r="H467" s="46">
        <f>TRUNC(S467*(1-LOTE_03!$K$10),2)</f>
        <v>33.119999999999997</v>
      </c>
      <c r="I467" s="46">
        <f>TRUNC(T467*(1-LOTE_03!$K$10),2)</f>
        <v>22.39</v>
      </c>
      <c r="J467" s="100">
        <f t="shared" si="58"/>
        <v>0.22470000000000001</v>
      </c>
      <c r="K467" s="48">
        <f t="shared" si="52"/>
        <v>40.56</v>
      </c>
      <c r="L467" s="48">
        <f t="shared" si="53"/>
        <v>27.42</v>
      </c>
      <c r="M467" s="48">
        <f t="shared" si="54"/>
        <v>40560</v>
      </c>
      <c r="N467" s="48">
        <f t="shared" si="55"/>
        <v>27420</v>
      </c>
      <c r="O467" s="50">
        <f t="shared" si="56"/>
        <v>67980</v>
      </c>
      <c r="P467" s="50">
        <v>0</v>
      </c>
      <c r="Q467" s="76"/>
      <c r="R467" s="140">
        <f>50*S9+50*S10</f>
        <v>1000</v>
      </c>
      <c r="S467" s="79">
        <v>33.119999999999997</v>
      </c>
      <c r="T467" s="80">
        <v>22.39</v>
      </c>
    </row>
    <row r="468" spans="2:20" ht="70">
      <c r="B468" s="5" t="s">
        <v>1125</v>
      </c>
      <c r="C468" s="45" t="s">
        <v>135</v>
      </c>
      <c r="D468" s="45">
        <v>91867</v>
      </c>
      <c r="E468" s="6" t="s">
        <v>927</v>
      </c>
      <c r="F468" s="45" t="s">
        <v>187</v>
      </c>
      <c r="G468" s="46">
        <f t="shared" si="57"/>
        <v>1000</v>
      </c>
      <c r="H468" s="46">
        <f>TRUNC(S468*(1-LOTE_03!$K$10),2)</f>
        <v>6.43</v>
      </c>
      <c r="I468" s="46">
        <f>TRUNC(T468*(1-LOTE_03!$K$10),2)</f>
        <v>4.07</v>
      </c>
      <c r="J468" s="100">
        <f t="shared" si="58"/>
        <v>0.22470000000000001</v>
      </c>
      <c r="K468" s="48">
        <f t="shared" si="52"/>
        <v>7.87</v>
      </c>
      <c r="L468" s="48">
        <f t="shared" si="53"/>
        <v>4.9800000000000004</v>
      </c>
      <c r="M468" s="48">
        <f t="shared" si="54"/>
        <v>7870</v>
      </c>
      <c r="N468" s="48">
        <f t="shared" si="55"/>
        <v>4980</v>
      </c>
      <c r="O468" s="50">
        <f t="shared" si="56"/>
        <v>12850</v>
      </c>
      <c r="P468" s="50">
        <v>0</v>
      </c>
      <c r="Q468" s="76"/>
      <c r="R468" s="140">
        <f>50*S9+50*S10</f>
        <v>1000</v>
      </c>
      <c r="S468" s="79">
        <v>6.43</v>
      </c>
      <c r="T468" s="80">
        <v>4.07</v>
      </c>
    </row>
    <row r="469" spans="2:20" ht="70">
      <c r="B469" s="5" t="s">
        <v>1126</v>
      </c>
      <c r="C469" s="45" t="s">
        <v>135</v>
      </c>
      <c r="D469" s="45">
        <v>91864</v>
      </c>
      <c r="E469" s="6" t="s">
        <v>838</v>
      </c>
      <c r="F469" s="45" t="s">
        <v>187</v>
      </c>
      <c r="G469" s="46">
        <f t="shared" si="57"/>
        <v>100</v>
      </c>
      <c r="H469" s="46">
        <f>TRUNC(S469*(1-LOTE_03!$K$10),2)</f>
        <v>9.8800000000000008</v>
      </c>
      <c r="I469" s="46">
        <f>TRUNC(T469*(1-LOTE_03!$K$10),2)</f>
        <v>6.02</v>
      </c>
      <c r="J469" s="100">
        <f t="shared" si="58"/>
        <v>0.22470000000000001</v>
      </c>
      <c r="K469" s="48">
        <f t="shared" si="52"/>
        <v>12.1</v>
      </c>
      <c r="L469" s="48">
        <f t="shared" si="53"/>
        <v>7.37</v>
      </c>
      <c r="M469" s="48">
        <f t="shared" si="54"/>
        <v>1210</v>
      </c>
      <c r="N469" s="48">
        <f t="shared" si="55"/>
        <v>737</v>
      </c>
      <c r="O469" s="50">
        <f t="shared" si="56"/>
        <v>1947</v>
      </c>
      <c r="P469" s="50">
        <v>0</v>
      </c>
      <c r="Q469" s="76"/>
      <c r="R469" s="140">
        <f>5*S9+5*S10</f>
        <v>100</v>
      </c>
      <c r="S469" s="79">
        <v>9.8800000000000008</v>
      </c>
      <c r="T469" s="80">
        <v>6.02</v>
      </c>
    </row>
    <row r="470" spans="2:20" ht="42">
      <c r="B470" s="5" t="s">
        <v>1127</v>
      </c>
      <c r="C470" s="45" t="s">
        <v>165</v>
      </c>
      <c r="D470" s="45" t="s">
        <v>1036</v>
      </c>
      <c r="E470" s="6" t="s">
        <v>1037</v>
      </c>
      <c r="F470" s="45" t="s">
        <v>531</v>
      </c>
      <c r="G470" s="46">
        <f t="shared" si="57"/>
        <v>100</v>
      </c>
      <c r="H470" s="46">
        <f>TRUNC(S470*(1-LOTE_03!$K$10),2)</f>
        <v>18.32</v>
      </c>
      <c r="I470" s="46">
        <f>TRUNC(T470*(1-LOTE_03!$K$10),2)</f>
        <v>19.27</v>
      </c>
      <c r="J470" s="100">
        <f t="shared" si="58"/>
        <v>0.22470000000000001</v>
      </c>
      <c r="K470" s="48">
        <f t="shared" si="52"/>
        <v>22.43</v>
      </c>
      <c r="L470" s="48">
        <f t="shared" si="53"/>
        <v>23.59</v>
      </c>
      <c r="M470" s="48">
        <f t="shared" si="54"/>
        <v>2243</v>
      </c>
      <c r="N470" s="48">
        <f t="shared" si="55"/>
        <v>2359</v>
      </c>
      <c r="O470" s="50">
        <f t="shared" si="56"/>
        <v>4602</v>
      </c>
      <c r="P470" s="50">
        <v>0</v>
      </c>
      <c r="Q470" s="76"/>
      <c r="R470" s="140">
        <f>5*S9+5*S10</f>
        <v>100</v>
      </c>
      <c r="S470" s="79">
        <v>18.32</v>
      </c>
      <c r="T470" s="80">
        <v>19.27</v>
      </c>
    </row>
    <row r="471" spans="2:20" ht="28">
      <c r="B471" s="5" t="s">
        <v>1128</v>
      </c>
      <c r="C471" s="45" t="s">
        <v>165</v>
      </c>
      <c r="D471" s="45" t="s">
        <v>1129</v>
      </c>
      <c r="E471" s="6" t="s">
        <v>1130</v>
      </c>
      <c r="F471" s="45" t="s">
        <v>531</v>
      </c>
      <c r="G471" s="46">
        <f t="shared" si="57"/>
        <v>200</v>
      </c>
      <c r="H471" s="46">
        <f>TRUNC(S471*(1-LOTE_03!$K$10),2)</f>
        <v>35.909999999999997</v>
      </c>
      <c r="I471" s="46">
        <f>TRUNC(T471*(1-LOTE_03!$K$10),2)</f>
        <v>6.94</v>
      </c>
      <c r="J471" s="100">
        <f t="shared" si="58"/>
        <v>0.22470000000000001</v>
      </c>
      <c r="K471" s="48">
        <f t="shared" si="52"/>
        <v>43.97</v>
      </c>
      <c r="L471" s="48">
        <f t="shared" si="53"/>
        <v>8.49</v>
      </c>
      <c r="M471" s="48">
        <f t="shared" si="54"/>
        <v>8794</v>
      </c>
      <c r="N471" s="48">
        <f t="shared" si="55"/>
        <v>1698</v>
      </c>
      <c r="O471" s="50">
        <f t="shared" si="56"/>
        <v>10492</v>
      </c>
      <c r="P471" s="50">
        <v>0</v>
      </c>
      <c r="Q471" s="76"/>
      <c r="R471" s="140">
        <f>10*S9+10*S10</f>
        <v>200</v>
      </c>
      <c r="S471" s="79">
        <v>35.909999999999997</v>
      </c>
      <c r="T471" s="80">
        <v>6.94</v>
      </c>
    </row>
    <row r="472" spans="2:20" ht="28">
      <c r="B472" s="5" t="s">
        <v>1131</v>
      </c>
      <c r="C472" s="45" t="s">
        <v>97</v>
      </c>
      <c r="D472" s="45" t="s">
        <v>1132</v>
      </c>
      <c r="E472" s="6" t="s">
        <v>1133</v>
      </c>
      <c r="F472" s="45" t="s">
        <v>187</v>
      </c>
      <c r="G472" s="46">
        <f t="shared" si="57"/>
        <v>200</v>
      </c>
      <c r="H472" s="46">
        <f>TRUNC(S472*(1-LOTE_03!$K$10),2)</f>
        <v>7.67</v>
      </c>
      <c r="I472" s="46">
        <f>TRUNC(T472*(1-LOTE_03!$K$10),2)</f>
        <v>1.79</v>
      </c>
      <c r="J472" s="100">
        <f t="shared" si="58"/>
        <v>0.22470000000000001</v>
      </c>
      <c r="K472" s="48">
        <f t="shared" si="52"/>
        <v>9.39</v>
      </c>
      <c r="L472" s="48">
        <f t="shared" si="53"/>
        <v>2.19</v>
      </c>
      <c r="M472" s="48">
        <f t="shared" si="54"/>
        <v>1878</v>
      </c>
      <c r="N472" s="48">
        <f t="shared" si="55"/>
        <v>438</v>
      </c>
      <c r="O472" s="50">
        <f t="shared" si="56"/>
        <v>2316</v>
      </c>
      <c r="P472" s="50">
        <v>0</v>
      </c>
      <c r="Q472" s="76"/>
      <c r="R472" s="140">
        <f>10*S9+10*S10</f>
        <v>200</v>
      </c>
      <c r="S472" s="79">
        <v>7.67</v>
      </c>
      <c r="T472" s="80">
        <v>1.79</v>
      </c>
    </row>
    <row r="473" spans="2:20" ht="56">
      <c r="B473" s="5" t="s">
        <v>1134</v>
      </c>
      <c r="C473" s="45" t="s">
        <v>135</v>
      </c>
      <c r="D473" s="45">
        <v>95778</v>
      </c>
      <c r="E473" s="6" t="s">
        <v>1814</v>
      </c>
      <c r="F473" s="45" t="s">
        <v>210</v>
      </c>
      <c r="G473" s="46">
        <f t="shared" si="57"/>
        <v>100</v>
      </c>
      <c r="H473" s="46">
        <f>TRUNC(S473*(1-LOTE_03!$K$10),2)</f>
        <v>18.77</v>
      </c>
      <c r="I473" s="46">
        <f>TRUNC(T473*(1-LOTE_03!$K$10),2)</f>
        <v>11.14</v>
      </c>
      <c r="J473" s="100">
        <f t="shared" si="58"/>
        <v>0.22470000000000001</v>
      </c>
      <c r="K473" s="48">
        <f t="shared" si="52"/>
        <v>22.98</v>
      </c>
      <c r="L473" s="48">
        <f t="shared" si="53"/>
        <v>13.64</v>
      </c>
      <c r="M473" s="48">
        <f t="shared" si="54"/>
        <v>2298</v>
      </c>
      <c r="N473" s="48">
        <f t="shared" si="55"/>
        <v>1364</v>
      </c>
      <c r="O473" s="50">
        <f t="shared" si="56"/>
        <v>3662</v>
      </c>
      <c r="P473" s="50">
        <v>0</v>
      </c>
      <c r="Q473" s="76"/>
      <c r="R473" s="140">
        <f>5*S9+5*S10</f>
        <v>100</v>
      </c>
      <c r="S473" s="79">
        <v>18.77</v>
      </c>
      <c r="T473" s="80">
        <v>11.14</v>
      </c>
    </row>
    <row r="474" spans="2:20" ht="56">
      <c r="B474" s="5" t="s">
        <v>1135</v>
      </c>
      <c r="C474" s="45" t="s">
        <v>135</v>
      </c>
      <c r="D474" s="45">
        <v>91941</v>
      </c>
      <c r="E474" s="6" t="s">
        <v>1021</v>
      </c>
      <c r="F474" s="45" t="s">
        <v>210</v>
      </c>
      <c r="G474" s="46">
        <f t="shared" si="57"/>
        <v>100</v>
      </c>
      <c r="H474" s="46">
        <f>TRUNC(S474*(1-LOTE_03!$K$10),2)</f>
        <v>5.4</v>
      </c>
      <c r="I474" s="46">
        <f>TRUNC(T474*(1-LOTE_03!$K$10),2)</f>
        <v>7.35</v>
      </c>
      <c r="J474" s="100">
        <f t="shared" si="58"/>
        <v>0.22470000000000001</v>
      </c>
      <c r="K474" s="48">
        <f t="shared" si="52"/>
        <v>6.61</v>
      </c>
      <c r="L474" s="48">
        <f t="shared" si="53"/>
        <v>9</v>
      </c>
      <c r="M474" s="48">
        <f t="shared" si="54"/>
        <v>661</v>
      </c>
      <c r="N474" s="48">
        <f t="shared" si="55"/>
        <v>900</v>
      </c>
      <c r="O474" s="50">
        <f t="shared" si="56"/>
        <v>1561</v>
      </c>
      <c r="P474" s="50">
        <v>0</v>
      </c>
      <c r="Q474" s="76"/>
      <c r="R474" s="140">
        <f>5*S9+5*S10</f>
        <v>100</v>
      </c>
      <c r="S474" s="79">
        <v>5.4</v>
      </c>
      <c r="T474" s="80">
        <v>7.35</v>
      </c>
    </row>
    <row r="475" spans="2:20" ht="56">
      <c r="B475" s="5" t="s">
        <v>1136</v>
      </c>
      <c r="C475" s="45" t="s">
        <v>135</v>
      </c>
      <c r="D475" s="45">
        <v>91944</v>
      </c>
      <c r="E475" s="6" t="s">
        <v>935</v>
      </c>
      <c r="F475" s="45" t="s">
        <v>210</v>
      </c>
      <c r="G475" s="46">
        <f t="shared" si="57"/>
        <v>137</v>
      </c>
      <c r="H475" s="46">
        <f>TRUNC(S475*(1-LOTE_03!$K$10),2)</f>
        <v>7.96</v>
      </c>
      <c r="I475" s="46">
        <f>TRUNC(T475*(1-LOTE_03!$K$10),2)</f>
        <v>7.47</v>
      </c>
      <c r="J475" s="100">
        <f t="shared" si="58"/>
        <v>0.22470000000000001</v>
      </c>
      <c r="K475" s="48">
        <f t="shared" si="52"/>
        <v>9.74</v>
      </c>
      <c r="L475" s="48">
        <f t="shared" si="53"/>
        <v>9.14</v>
      </c>
      <c r="M475" s="48">
        <f t="shared" si="54"/>
        <v>1334.38</v>
      </c>
      <c r="N475" s="48">
        <f t="shared" si="55"/>
        <v>1252.18</v>
      </c>
      <c r="O475" s="50">
        <f t="shared" si="56"/>
        <v>2586.56</v>
      </c>
      <c r="P475" s="50">
        <v>0</v>
      </c>
      <c r="Q475" s="76"/>
      <c r="R475" s="140">
        <f>10*S9+1*S10</f>
        <v>137</v>
      </c>
      <c r="S475" s="79">
        <v>7.96</v>
      </c>
      <c r="T475" s="80">
        <v>7.47</v>
      </c>
    </row>
    <row r="476" spans="2:20" ht="56">
      <c r="B476" s="5" t="s">
        <v>1137</v>
      </c>
      <c r="C476" s="45" t="s">
        <v>135</v>
      </c>
      <c r="D476" s="45">
        <v>92000</v>
      </c>
      <c r="E476" s="6" t="s">
        <v>856</v>
      </c>
      <c r="F476" s="45" t="s">
        <v>210</v>
      </c>
      <c r="G476" s="46">
        <f t="shared" si="57"/>
        <v>400</v>
      </c>
      <c r="H476" s="46">
        <f>TRUNC(S476*(1-LOTE_03!$K$10),2)</f>
        <v>17.37</v>
      </c>
      <c r="I476" s="46">
        <f>TRUNC(T476*(1-LOTE_03!$K$10),2)</f>
        <v>16.18</v>
      </c>
      <c r="J476" s="100">
        <f t="shared" si="58"/>
        <v>0.22470000000000001</v>
      </c>
      <c r="K476" s="48">
        <f t="shared" si="52"/>
        <v>21.27</v>
      </c>
      <c r="L476" s="48">
        <f t="shared" si="53"/>
        <v>19.809999999999999</v>
      </c>
      <c r="M476" s="48">
        <f t="shared" si="54"/>
        <v>8508</v>
      </c>
      <c r="N476" s="48">
        <f t="shared" si="55"/>
        <v>7924</v>
      </c>
      <c r="O476" s="50">
        <f t="shared" si="56"/>
        <v>16432</v>
      </c>
      <c r="P476" s="50">
        <v>0</v>
      </c>
      <c r="Q476" s="76"/>
      <c r="R476" s="140">
        <f>20*S9+20*S10</f>
        <v>400</v>
      </c>
      <c r="S476" s="79">
        <v>17.369999999999997</v>
      </c>
      <c r="T476" s="80">
        <v>16.18</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50">
        <v>0</v>
      </c>
      <c r="Q477" s="76"/>
      <c r="R477" s="154"/>
      <c r="S477" s="79" t="s">
        <v>22</v>
      </c>
      <c r="T477" s="80" t="s">
        <v>22</v>
      </c>
    </row>
    <row r="478" spans="2:20" ht="56">
      <c r="B478" s="5" t="s">
        <v>1139</v>
      </c>
      <c r="C478" s="45" t="s">
        <v>97</v>
      </c>
      <c r="D478" s="45" t="s">
        <v>1140</v>
      </c>
      <c r="E478" s="6" t="s">
        <v>1141</v>
      </c>
      <c r="F478" s="45" t="s">
        <v>104</v>
      </c>
      <c r="G478" s="46">
        <f t="shared" si="57"/>
        <v>20</v>
      </c>
      <c r="H478" s="46">
        <f>TRUNC(S478*(1-LOTE_03!$K$10),2)</f>
        <v>149.15</v>
      </c>
      <c r="I478" s="46">
        <f>TRUNC(T478*(1-LOTE_03!$K$10),2)</f>
        <v>295.54000000000002</v>
      </c>
      <c r="J478" s="100">
        <f t="shared" si="58"/>
        <v>0.22470000000000001</v>
      </c>
      <c r="K478" s="48">
        <f t="shared" si="52"/>
        <v>182.66</v>
      </c>
      <c r="L478" s="48">
        <f t="shared" si="53"/>
        <v>361.94</v>
      </c>
      <c r="M478" s="48">
        <f t="shared" si="54"/>
        <v>3653.2</v>
      </c>
      <c r="N478" s="48">
        <f t="shared" si="55"/>
        <v>7238.8</v>
      </c>
      <c r="O478" s="50">
        <f t="shared" si="56"/>
        <v>10892</v>
      </c>
      <c r="P478" s="50">
        <v>0</v>
      </c>
      <c r="Q478" s="76"/>
      <c r="R478" s="140">
        <f>1*S9+1*S10</f>
        <v>20</v>
      </c>
      <c r="S478" s="79">
        <v>149.15</v>
      </c>
      <c r="T478" s="80">
        <v>295.54000000000002</v>
      </c>
    </row>
    <row r="479" spans="2:20" ht="28">
      <c r="B479" s="5" t="s">
        <v>1142</v>
      </c>
      <c r="C479" s="45" t="s">
        <v>97</v>
      </c>
      <c r="D479" s="45" t="s">
        <v>1143</v>
      </c>
      <c r="E479" s="6" t="s">
        <v>1144</v>
      </c>
      <c r="F479" s="45" t="s">
        <v>104</v>
      </c>
      <c r="G479" s="46">
        <f t="shared" si="57"/>
        <v>10</v>
      </c>
      <c r="H479" s="46">
        <f>TRUNC(S479*(1-LOTE_03!$K$10),2)</f>
        <v>14.25</v>
      </c>
      <c r="I479" s="46">
        <f>TRUNC(T479*(1-LOTE_03!$K$10),2)</f>
        <v>44.78</v>
      </c>
      <c r="J479" s="100">
        <f t="shared" si="58"/>
        <v>0.22470000000000001</v>
      </c>
      <c r="K479" s="48">
        <f t="shared" si="52"/>
        <v>17.45</v>
      </c>
      <c r="L479" s="48">
        <f t="shared" si="53"/>
        <v>54.84</v>
      </c>
      <c r="M479" s="48">
        <f t="shared" si="54"/>
        <v>174.5</v>
      </c>
      <c r="N479" s="48">
        <f t="shared" si="55"/>
        <v>548.4</v>
      </c>
      <c r="O479" s="50">
        <f t="shared" si="56"/>
        <v>722.9</v>
      </c>
      <c r="P479" s="50">
        <v>0</v>
      </c>
      <c r="Q479" s="76"/>
      <c r="R479" s="140">
        <f>IF((1*S9+1*S10)&gt;10,10,(1*S9+1*S10))</f>
        <v>10</v>
      </c>
      <c r="S479" s="79">
        <v>14.25</v>
      </c>
      <c r="T479" s="80">
        <v>44.78</v>
      </c>
    </row>
    <row r="480" spans="2:20">
      <c r="B480" s="5" t="s">
        <v>1145</v>
      </c>
      <c r="C480" s="45" t="s">
        <v>97</v>
      </c>
      <c r="D480" s="45" t="s">
        <v>1146</v>
      </c>
      <c r="E480" s="6" t="s">
        <v>1147</v>
      </c>
      <c r="F480" s="45" t="s">
        <v>104</v>
      </c>
      <c r="G480" s="46">
        <f t="shared" si="57"/>
        <v>10</v>
      </c>
      <c r="H480" s="46">
        <f>TRUNC(S480*(1-LOTE_03!$K$10),2)</f>
        <v>114</v>
      </c>
      <c r="I480" s="46">
        <f>TRUNC(T480*(1-LOTE_03!$K$10),2)</f>
        <v>358.24</v>
      </c>
      <c r="J480" s="100">
        <f t="shared" si="58"/>
        <v>0.22470000000000001</v>
      </c>
      <c r="K480" s="48">
        <f t="shared" si="52"/>
        <v>139.61000000000001</v>
      </c>
      <c r="L480" s="48">
        <f t="shared" si="53"/>
        <v>438.73</v>
      </c>
      <c r="M480" s="48">
        <f t="shared" si="54"/>
        <v>1396.1</v>
      </c>
      <c r="N480" s="48">
        <f t="shared" si="55"/>
        <v>4387.3</v>
      </c>
      <c r="O480" s="50">
        <f t="shared" si="56"/>
        <v>5783.4</v>
      </c>
      <c r="P480" s="50">
        <v>0</v>
      </c>
      <c r="Q480" s="76"/>
      <c r="R480" s="140">
        <f>IF((1*S9+1*S10)&gt;10,10,(1*S9+1*S10))</f>
        <v>10</v>
      </c>
      <c r="S480" s="79">
        <v>114</v>
      </c>
      <c r="T480" s="80">
        <v>358.24</v>
      </c>
    </row>
    <row r="481" spans="2:20" ht="28">
      <c r="B481" s="5" t="s">
        <v>1148</v>
      </c>
      <c r="C481" s="45" t="s">
        <v>97</v>
      </c>
      <c r="D481" s="45" t="s">
        <v>1149</v>
      </c>
      <c r="E481" s="6" t="s">
        <v>1150</v>
      </c>
      <c r="F481" s="45" t="s">
        <v>104</v>
      </c>
      <c r="G481" s="46">
        <f t="shared" si="57"/>
        <v>10</v>
      </c>
      <c r="H481" s="46">
        <f>TRUNC(S481*(1-LOTE_03!$K$10),2)</f>
        <v>172.64</v>
      </c>
      <c r="I481" s="46">
        <f>TRUNC(T481*(1-LOTE_03!$K$10),2)</f>
        <v>568</v>
      </c>
      <c r="J481" s="100">
        <f t="shared" si="58"/>
        <v>0.22470000000000001</v>
      </c>
      <c r="K481" s="48">
        <f t="shared" si="52"/>
        <v>211.43</v>
      </c>
      <c r="L481" s="48">
        <f t="shared" si="53"/>
        <v>695.62</v>
      </c>
      <c r="M481" s="48">
        <f t="shared" si="54"/>
        <v>2114.3000000000002</v>
      </c>
      <c r="N481" s="48">
        <f t="shared" si="55"/>
        <v>6956.2</v>
      </c>
      <c r="O481" s="50">
        <f t="shared" si="56"/>
        <v>9070.5</v>
      </c>
      <c r="P481" s="50">
        <v>0</v>
      </c>
      <c r="Q481" s="76"/>
      <c r="R481" s="140">
        <f>IF((1*S9+1*S10)&gt;10,10,(1*S9+1*S10))</f>
        <v>10</v>
      </c>
      <c r="S481" s="79">
        <v>172.64</v>
      </c>
      <c r="T481" s="80">
        <v>568</v>
      </c>
    </row>
    <row r="482" spans="2:20">
      <c r="B482" s="5" t="s">
        <v>1151</v>
      </c>
      <c r="C482" s="45" t="s">
        <v>97</v>
      </c>
      <c r="D482" s="45" t="s">
        <v>1152</v>
      </c>
      <c r="E482" s="6" t="s">
        <v>1153</v>
      </c>
      <c r="F482" s="45" t="s">
        <v>104</v>
      </c>
      <c r="G482" s="46">
        <f t="shared" si="57"/>
        <v>10</v>
      </c>
      <c r="H482" s="46">
        <f>TRUNC(S482*(1-LOTE_03!$K$10),2)</f>
        <v>28.5</v>
      </c>
      <c r="I482" s="46">
        <f>TRUNC(T482*(1-LOTE_03!$K$10),2)</f>
        <v>89.56</v>
      </c>
      <c r="J482" s="100">
        <f t="shared" si="58"/>
        <v>0.22470000000000001</v>
      </c>
      <c r="K482" s="48">
        <f t="shared" si="52"/>
        <v>34.9</v>
      </c>
      <c r="L482" s="48">
        <f t="shared" si="53"/>
        <v>109.68</v>
      </c>
      <c r="M482" s="48">
        <f t="shared" si="54"/>
        <v>349</v>
      </c>
      <c r="N482" s="48">
        <f t="shared" si="55"/>
        <v>1096.8</v>
      </c>
      <c r="O482" s="50">
        <f t="shared" si="56"/>
        <v>1445.8</v>
      </c>
      <c r="P482" s="50">
        <v>0</v>
      </c>
      <c r="Q482" s="76"/>
      <c r="R482" s="140">
        <f>IF((1*S9+1*S10)&gt;10,10,(1*S9+1*S10))</f>
        <v>10</v>
      </c>
      <c r="S482" s="79">
        <v>28.5</v>
      </c>
      <c r="T482" s="80">
        <v>89.56</v>
      </c>
    </row>
    <row r="483" spans="2:20" ht="56">
      <c r="B483" s="5" t="s">
        <v>1154</v>
      </c>
      <c r="C483" s="45" t="s">
        <v>97</v>
      </c>
      <c r="D483" s="45" t="s">
        <v>1155</v>
      </c>
      <c r="E483" s="6" t="s">
        <v>1156</v>
      </c>
      <c r="F483" s="45" t="s">
        <v>104</v>
      </c>
      <c r="G483" s="46">
        <f t="shared" si="57"/>
        <v>10</v>
      </c>
      <c r="H483" s="46">
        <f>TRUNC(S483*(1-LOTE_03!$K$10),2)</f>
        <v>121.12</v>
      </c>
      <c r="I483" s="46">
        <f>TRUNC(T483*(1-LOTE_03!$K$10),2)</f>
        <v>380.63</v>
      </c>
      <c r="J483" s="100">
        <f t="shared" si="58"/>
        <v>0.22470000000000001</v>
      </c>
      <c r="K483" s="48">
        <f t="shared" si="52"/>
        <v>148.33000000000001</v>
      </c>
      <c r="L483" s="48">
        <f t="shared" si="53"/>
        <v>466.15</v>
      </c>
      <c r="M483" s="48">
        <f t="shared" si="54"/>
        <v>1483.3</v>
      </c>
      <c r="N483" s="48">
        <f t="shared" si="55"/>
        <v>4661.5</v>
      </c>
      <c r="O483" s="50">
        <f t="shared" si="56"/>
        <v>6144.8</v>
      </c>
      <c r="P483" s="50">
        <v>0</v>
      </c>
      <c r="Q483" s="76"/>
      <c r="R483" s="140">
        <f>IF((1*S9+1*S10)&gt;10,10,(1*S9+1*S10))</f>
        <v>10</v>
      </c>
      <c r="S483" s="79">
        <v>121.12</v>
      </c>
      <c r="T483" s="80">
        <v>380.63</v>
      </c>
    </row>
    <row r="484" spans="2:20" ht="56">
      <c r="B484" s="5" t="s">
        <v>1157</v>
      </c>
      <c r="C484" s="45" t="s">
        <v>97</v>
      </c>
      <c r="D484" s="45" t="s">
        <v>1158</v>
      </c>
      <c r="E484" s="6" t="s">
        <v>1159</v>
      </c>
      <c r="F484" s="45" t="s">
        <v>104</v>
      </c>
      <c r="G484" s="46">
        <f t="shared" si="57"/>
        <v>10</v>
      </c>
      <c r="H484" s="46">
        <f>TRUNC(S484*(1-LOTE_03!$K$10),2)</f>
        <v>1839.14</v>
      </c>
      <c r="I484" s="46">
        <f>TRUNC(T484*(1-LOTE_03!$K$10),2)</f>
        <v>5058.8999999999996</v>
      </c>
      <c r="J484" s="100">
        <f t="shared" si="58"/>
        <v>0.22470000000000001</v>
      </c>
      <c r="K484" s="48">
        <f t="shared" si="52"/>
        <v>2252.39</v>
      </c>
      <c r="L484" s="48">
        <f t="shared" si="53"/>
        <v>6195.63</v>
      </c>
      <c r="M484" s="48">
        <f t="shared" si="54"/>
        <v>22523.9</v>
      </c>
      <c r="N484" s="48">
        <f t="shared" si="55"/>
        <v>61956.3</v>
      </c>
      <c r="O484" s="50">
        <f t="shared" si="56"/>
        <v>84480.2</v>
      </c>
      <c r="P484" s="50">
        <v>0</v>
      </c>
      <c r="Q484" s="76"/>
      <c r="R484" s="140">
        <f>IF((1*S9+1*S10)&gt;10,10,(1*S9+1*S10))</f>
        <v>10</v>
      </c>
      <c r="S484" s="79">
        <v>1839.14</v>
      </c>
      <c r="T484" s="80">
        <v>5058.8999999999996</v>
      </c>
    </row>
    <row r="485" spans="2:20" ht="70">
      <c r="B485" s="5" t="s">
        <v>1160</v>
      </c>
      <c r="C485" s="45" t="s">
        <v>97</v>
      </c>
      <c r="D485" s="45" t="s">
        <v>1161</v>
      </c>
      <c r="E485" s="6" t="s">
        <v>1162</v>
      </c>
      <c r="F485" s="45" t="s">
        <v>104</v>
      </c>
      <c r="G485" s="46">
        <f t="shared" si="57"/>
        <v>10</v>
      </c>
      <c r="H485" s="46">
        <f>TRUNC(S485*(1-LOTE_03!$K$10),2)</f>
        <v>1946.33</v>
      </c>
      <c r="I485" s="46">
        <f>TRUNC(T485*(1-LOTE_03!$K$10),2)</f>
        <v>1043.69</v>
      </c>
      <c r="J485" s="100">
        <f t="shared" si="58"/>
        <v>0.22470000000000001</v>
      </c>
      <c r="K485" s="48">
        <f t="shared" si="52"/>
        <v>2383.67</v>
      </c>
      <c r="L485" s="48">
        <f t="shared" si="53"/>
        <v>1278.2</v>
      </c>
      <c r="M485" s="48">
        <f t="shared" si="54"/>
        <v>23836.7</v>
      </c>
      <c r="N485" s="48">
        <f t="shared" si="55"/>
        <v>12782</v>
      </c>
      <c r="O485" s="50">
        <f t="shared" si="56"/>
        <v>36618.699999999997</v>
      </c>
      <c r="P485" s="50">
        <v>0</v>
      </c>
      <c r="Q485" s="76"/>
      <c r="R485" s="140">
        <f>IF((1*S9+1*S10)&gt;10,10,(1*S9+1*S10))</f>
        <v>10</v>
      </c>
      <c r="S485" s="79">
        <v>1946.33</v>
      </c>
      <c r="T485" s="80">
        <v>1043.69</v>
      </c>
    </row>
    <row r="486" spans="2:20" ht="28">
      <c r="B486" s="5" t="s">
        <v>1163</v>
      </c>
      <c r="C486" s="45" t="s">
        <v>97</v>
      </c>
      <c r="D486" s="45" t="s">
        <v>1164</v>
      </c>
      <c r="E486" s="6" t="s">
        <v>1165</v>
      </c>
      <c r="F486" s="45" t="s">
        <v>104</v>
      </c>
      <c r="G486" s="46">
        <f t="shared" si="57"/>
        <v>320</v>
      </c>
      <c r="H486" s="46">
        <f>TRUNC(S486*(1-LOTE_03!$K$10),2)</f>
        <v>163.46</v>
      </c>
      <c r="I486" s="46">
        <f>TRUNC(T486*(1-LOTE_03!$K$10),2)</f>
        <v>14.35</v>
      </c>
      <c r="J486" s="100">
        <f t="shared" si="58"/>
        <v>0.22470000000000001</v>
      </c>
      <c r="K486" s="48">
        <f t="shared" si="52"/>
        <v>200.18</v>
      </c>
      <c r="L486" s="48">
        <f t="shared" si="53"/>
        <v>17.57</v>
      </c>
      <c r="M486" s="48">
        <f t="shared" si="54"/>
        <v>64057.599999999999</v>
      </c>
      <c r="N486" s="48">
        <f t="shared" si="55"/>
        <v>5622.4</v>
      </c>
      <c r="O486" s="50">
        <f t="shared" si="56"/>
        <v>69680</v>
      </c>
      <c r="P486" s="50">
        <v>0</v>
      </c>
      <c r="Q486" s="76"/>
      <c r="R486" s="140">
        <f>16*S10+16*S9</f>
        <v>320</v>
      </c>
      <c r="S486" s="79">
        <v>163.46</v>
      </c>
      <c r="T486" s="80">
        <v>14.35</v>
      </c>
    </row>
    <row r="487" spans="2:20" ht="28">
      <c r="B487" s="5" t="s">
        <v>1166</v>
      </c>
      <c r="C487" s="45" t="s">
        <v>97</v>
      </c>
      <c r="D487" s="45" t="s">
        <v>1167</v>
      </c>
      <c r="E487" s="6" t="s">
        <v>1168</v>
      </c>
      <c r="F487" s="45" t="s">
        <v>104</v>
      </c>
      <c r="G487" s="46">
        <f t="shared" si="57"/>
        <v>320</v>
      </c>
      <c r="H487" s="46">
        <f>TRUNC(S487*(1-LOTE_03!$K$10),2)</f>
        <v>179.06</v>
      </c>
      <c r="I487" s="46">
        <f>TRUNC(T487*(1-LOTE_03!$K$10),2)</f>
        <v>14.35</v>
      </c>
      <c r="J487" s="100">
        <f t="shared" si="58"/>
        <v>0.22470000000000001</v>
      </c>
      <c r="K487" s="48">
        <f t="shared" si="52"/>
        <v>219.29</v>
      </c>
      <c r="L487" s="48">
        <f t="shared" si="53"/>
        <v>17.57</v>
      </c>
      <c r="M487" s="48">
        <f t="shared" si="54"/>
        <v>70172.800000000003</v>
      </c>
      <c r="N487" s="48">
        <f t="shared" si="55"/>
        <v>5622.4</v>
      </c>
      <c r="O487" s="50">
        <f t="shared" si="56"/>
        <v>75795.199999999997</v>
      </c>
      <c r="P487" s="50">
        <v>0</v>
      </c>
      <c r="Q487" s="76"/>
      <c r="R487" s="140">
        <f>16*S10+16*S9</f>
        <v>320</v>
      </c>
      <c r="S487" s="79">
        <v>179.06</v>
      </c>
      <c r="T487" s="80">
        <v>14.35</v>
      </c>
    </row>
    <row r="488" spans="2:20" ht="28">
      <c r="B488" s="5" t="s">
        <v>1169</v>
      </c>
      <c r="C488" s="45" t="s">
        <v>97</v>
      </c>
      <c r="D488" s="45" t="s">
        <v>1170</v>
      </c>
      <c r="E488" s="6" t="s">
        <v>1171</v>
      </c>
      <c r="F488" s="45" t="s">
        <v>104</v>
      </c>
      <c r="G488" s="46">
        <f t="shared" si="57"/>
        <v>320</v>
      </c>
      <c r="H488" s="46">
        <f>TRUNC(S488*(1-LOTE_03!$K$10),2)</f>
        <v>332.56</v>
      </c>
      <c r="I488" s="46">
        <f>TRUNC(T488*(1-LOTE_03!$K$10),2)</f>
        <v>14.35</v>
      </c>
      <c r="J488" s="100">
        <f t="shared" si="58"/>
        <v>0.22470000000000001</v>
      </c>
      <c r="K488" s="48">
        <f t="shared" si="52"/>
        <v>407.28</v>
      </c>
      <c r="L488" s="48">
        <f t="shared" si="53"/>
        <v>17.57</v>
      </c>
      <c r="M488" s="48">
        <f t="shared" si="54"/>
        <v>130329.60000000001</v>
      </c>
      <c r="N488" s="48">
        <f t="shared" si="55"/>
        <v>5622.4</v>
      </c>
      <c r="O488" s="50">
        <f t="shared" si="56"/>
        <v>135952</v>
      </c>
      <c r="P488" s="50">
        <v>0</v>
      </c>
      <c r="Q488" s="76"/>
      <c r="R488" s="140">
        <f>16*S10+16*S9</f>
        <v>320</v>
      </c>
      <c r="S488" s="79">
        <v>332.56</v>
      </c>
      <c r="T488" s="80">
        <v>14.35</v>
      </c>
    </row>
    <row r="489" spans="2:20" ht="56">
      <c r="B489" s="5" t="s">
        <v>1172</v>
      </c>
      <c r="C489" s="45" t="s">
        <v>97</v>
      </c>
      <c r="D489" s="45" t="s">
        <v>1173</v>
      </c>
      <c r="E489" s="6" t="s">
        <v>1174</v>
      </c>
      <c r="F489" s="45" t="s">
        <v>104</v>
      </c>
      <c r="G489" s="46">
        <f t="shared" si="57"/>
        <v>20</v>
      </c>
      <c r="H489" s="46">
        <f>TRUNC(S489*(1-LOTE_03!$K$10),2)</f>
        <v>749.14</v>
      </c>
      <c r="I489" s="46">
        <f>TRUNC(T489*(1-LOTE_03!$K$10),2)</f>
        <v>143.55000000000001</v>
      </c>
      <c r="J489" s="100">
        <f t="shared" si="58"/>
        <v>0.22470000000000001</v>
      </c>
      <c r="K489" s="48">
        <f t="shared" si="52"/>
        <v>917.47</v>
      </c>
      <c r="L489" s="48">
        <f t="shared" si="53"/>
        <v>175.8</v>
      </c>
      <c r="M489" s="48">
        <f t="shared" si="54"/>
        <v>18349.400000000001</v>
      </c>
      <c r="N489" s="48">
        <f t="shared" si="55"/>
        <v>3516</v>
      </c>
      <c r="O489" s="50">
        <f t="shared" si="56"/>
        <v>21865.4</v>
      </c>
      <c r="P489" s="50">
        <v>0</v>
      </c>
      <c r="Q489" s="76"/>
      <c r="R489" s="140">
        <f>S10+S9</f>
        <v>20</v>
      </c>
      <c r="S489" s="79">
        <v>749.14</v>
      </c>
      <c r="T489" s="80">
        <v>143.55000000000001</v>
      </c>
    </row>
    <row r="490" spans="2:20" ht="56">
      <c r="B490" s="5" t="s">
        <v>1175</v>
      </c>
      <c r="C490" s="45" t="s">
        <v>97</v>
      </c>
      <c r="D490" s="45" t="s">
        <v>1176</v>
      </c>
      <c r="E490" s="6" t="s">
        <v>1177</v>
      </c>
      <c r="F490" s="45" t="s">
        <v>104</v>
      </c>
      <c r="G490" s="46">
        <f t="shared" si="57"/>
        <v>20</v>
      </c>
      <c r="H490" s="46">
        <f>TRUNC(S490*(1-LOTE_03!$K$10),2)</f>
        <v>1963.92</v>
      </c>
      <c r="I490" s="46">
        <f>TRUNC(T490*(1-LOTE_03!$K$10),2)</f>
        <v>459.36</v>
      </c>
      <c r="J490" s="100">
        <f t="shared" si="58"/>
        <v>0.22470000000000001</v>
      </c>
      <c r="K490" s="48">
        <f t="shared" si="52"/>
        <v>2405.21</v>
      </c>
      <c r="L490" s="48">
        <f t="shared" si="53"/>
        <v>562.57000000000005</v>
      </c>
      <c r="M490" s="48">
        <f t="shared" si="54"/>
        <v>48104.2</v>
      </c>
      <c r="N490" s="48">
        <f t="shared" si="55"/>
        <v>11251.4</v>
      </c>
      <c r="O490" s="50">
        <f t="shared" si="56"/>
        <v>59355.6</v>
      </c>
      <c r="P490" s="50">
        <v>0</v>
      </c>
      <c r="Q490" s="76"/>
      <c r="R490" s="140">
        <f>S10+S9</f>
        <v>20</v>
      </c>
      <c r="S490" s="79">
        <v>1963.92</v>
      </c>
      <c r="T490" s="80">
        <v>459.36</v>
      </c>
    </row>
    <row r="491" spans="2:20" ht="56">
      <c r="B491" s="5" t="s">
        <v>1178</v>
      </c>
      <c r="C491" s="45" t="s">
        <v>97</v>
      </c>
      <c r="D491" s="45" t="s">
        <v>1179</v>
      </c>
      <c r="E491" s="6" t="s">
        <v>1180</v>
      </c>
      <c r="F491" s="45" t="s">
        <v>104</v>
      </c>
      <c r="G491" s="46">
        <f t="shared" si="57"/>
        <v>20</v>
      </c>
      <c r="H491" s="46">
        <f>TRUNC(S491*(1-LOTE_03!$K$10),2)</f>
        <v>2213.92</v>
      </c>
      <c r="I491" s="46">
        <f>TRUNC(T491*(1-LOTE_03!$K$10),2)</f>
        <v>459.36</v>
      </c>
      <c r="J491" s="100">
        <f t="shared" si="58"/>
        <v>0.22470000000000001</v>
      </c>
      <c r="K491" s="48">
        <f t="shared" si="52"/>
        <v>2711.38</v>
      </c>
      <c r="L491" s="48">
        <f t="shared" si="53"/>
        <v>562.57000000000005</v>
      </c>
      <c r="M491" s="48">
        <f t="shared" si="54"/>
        <v>54227.6</v>
      </c>
      <c r="N491" s="48">
        <f t="shared" si="55"/>
        <v>11251.4</v>
      </c>
      <c r="O491" s="50">
        <f t="shared" si="56"/>
        <v>65479</v>
      </c>
      <c r="P491" s="50">
        <v>0</v>
      </c>
      <c r="Q491" s="76"/>
      <c r="R491" s="140">
        <f>S10+S9</f>
        <v>20</v>
      </c>
      <c r="S491" s="79">
        <v>2213.92</v>
      </c>
      <c r="T491" s="80">
        <v>459.36</v>
      </c>
    </row>
    <row r="492" spans="2:20" ht="56">
      <c r="B492" s="5" t="s">
        <v>1181</v>
      </c>
      <c r="C492" s="45" t="s">
        <v>97</v>
      </c>
      <c r="D492" s="45" t="s">
        <v>1182</v>
      </c>
      <c r="E492" s="6" t="s">
        <v>1183</v>
      </c>
      <c r="F492" s="45" t="s">
        <v>104</v>
      </c>
      <c r="G492" s="46">
        <f t="shared" si="57"/>
        <v>20</v>
      </c>
      <c r="H492" s="46">
        <f>TRUNC(S492*(1-LOTE_03!$K$10),2)</f>
        <v>3692.4</v>
      </c>
      <c r="I492" s="46">
        <f>TRUNC(T492*(1-LOTE_03!$K$10),2)</f>
        <v>574.20000000000005</v>
      </c>
      <c r="J492" s="100">
        <f t="shared" si="58"/>
        <v>0.22470000000000001</v>
      </c>
      <c r="K492" s="48">
        <f t="shared" si="52"/>
        <v>4522.08</v>
      </c>
      <c r="L492" s="48">
        <f t="shared" si="53"/>
        <v>703.22</v>
      </c>
      <c r="M492" s="48">
        <f t="shared" si="54"/>
        <v>90441.600000000006</v>
      </c>
      <c r="N492" s="48">
        <f t="shared" si="55"/>
        <v>14064.4</v>
      </c>
      <c r="O492" s="50">
        <f t="shared" si="56"/>
        <v>104506</v>
      </c>
      <c r="P492" s="50">
        <v>0</v>
      </c>
      <c r="Q492" s="76"/>
      <c r="R492" s="140">
        <f>S10+S9</f>
        <v>20</v>
      </c>
      <c r="S492" s="79">
        <v>3692.4</v>
      </c>
      <c r="T492" s="80">
        <v>574.20000000000005</v>
      </c>
    </row>
    <row r="493" spans="2:20" ht="56">
      <c r="B493" s="5" t="s">
        <v>1184</v>
      </c>
      <c r="C493" s="45" t="s">
        <v>97</v>
      </c>
      <c r="D493" s="45" t="s">
        <v>1185</v>
      </c>
      <c r="E493" s="6" t="s">
        <v>1186</v>
      </c>
      <c r="F493" s="45" t="s">
        <v>104</v>
      </c>
      <c r="G493" s="46">
        <f t="shared" si="57"/>
        <v>20</v>
      </c>
      <c r="H493" s="46">
        <f>TRUNC(S493*(1-LOTE_03!$K$10),2)</f>
        <v>3992.4</v>
      </c>
      <c r="I493" s="46">
        <f>TRUNC(T493*(1-LOTE_03!$K$10),2)</f>
        <v>574.20000000000005</v>
      </c>
      <c r="J493" s="100">
        <f t="shared" si="58"/>
        <v>0.22470000000000001</v>
      </c>
      <c r="K493" s="48">
        <f t="shared" si="52"/>
        <v>4889.49</v>
      </c>
      <c r="L493" s="48">
        <f t="shared" si="53"/>
        <v>703.22</v>
      </c>
      <c r="M493" s="48">
        <f t="shared" si="54"/>
        <v>97789.8</v>
      </c>
      <c r="N493" s="48">
        <f t="shared" si="55"/>
        <v>14064.4</v>
      </c>
      <c r="O493" s="50">
        <f t="shared" si="56"/>
        <v>111854.2</v>
      </c>
      <c r="P493" s="50">
        <v>0</v>
      </c>
      <c r="Q493" s="76"/>
      <c r="R493" s="140">
        <f>S10+S9</f>
        <v>20</v>
      </c>
      <c r="S493" s="79">
        <v>3992.4</v>
      </c>
      <c r="T493" s="80">
        <v>574.20000000000005</v>
      </c>
    </row>
    <row r="494" spans="2:20" ht="28">
      <c r="B494" s="5" t="s">
        <v>1187</v>
      </c>
      <c r="C494" s="45" t="s">
        <v>97</v>
      </c>
      <c r="D494" s="45" t="s">
        <v>1188</v>
      </c>
      <c r="E494" s="6" t="s">
        <v>1189</v>
      </c>
      <c r="F494" s="45" t="s">
        <v>104</v>
      </c>
      <c r="G494" s="46">
        <f t="shared" si="57"/>
        <v>100</v>
      </c>
      <c r="H494" s="46">
        <f>TRUNC(S494*(1-LOTE_03!$K$10),2)</f>
        <v>28.92</v>
      </c>
      <c r="I494" s="46">
        <f>TRUNC(T494*(1-LOTE_03!$K$10),2)</f>
        <v>35.04</v>
      </c>
      <c r="J494" s="100">
        <f t="shared" si="58"/>
        <v>0.22470000000000001</v>
      </c>
      <c r="K494" s="48">
        <f t="shared" si="52"/>
        <v>35.409999999999997</v>
      </c>
      <c r="L494" s="48">
        <f t="shared" si="53"/>
        <v>42.91</v>
      </c>
      <c r="M494" s="48">
        <f t="shared" si="54"/>
        <v>3541</v>
      </c>
      <c r="N494" s="48">
        <f t="shared" si="55"/>
        <v>4291</v>
      </c>
      <c r="O494" s="50">
        <f t="shared" si="56"/>
        <v>7832</v>
      </c>
      <c r="P494" s="50">
        <v>0</v>
      </c>
      <c r="Q494" s="76"/>
      <c r="R494" s="140">
        <f>5*S9+5*S10</f>
        <v>100</v>
      </c>
      <c r="S494" s="79">
        <v>28.92</v>
      </c>
      <c r="T494" s="80">
        <v>35.04</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581285.74000000022</v>
      </c>
      <c r="Q495" s="76"/>
      <c r="R495" s="154"/>
      <c r="S495" s="79" t="s">
        <v>22</v>
      </c>
      <c r="T495" s="80" t="s">
        <v>22</v>
      </c>
    </row>
    <row r="496" spans="2:20" ht="42">
      <c r="B496" s="5" t="s">
        <v>1190</v>
      </c>
      <c r="C496" s="45" t="s">
        <v>135</v>
      </c>
      <c r="D496" s="45">
        <v>90447</v>
      </c>
      <c r="E496" s="6" t="s">
        <v>1191</v>
      </c>
      <c r="F496" s="45" t="s">
        <v>187</v>
      </c>
      <c r="G496" s="46">
        <f t="shared" si="57"/>
        <v>1000</v>
      </c>
      <c r="H496" s="46">
        <f>TRUNC(S496*(1-LOTE_03!$K$10),2)</f>
        <v>2.16</v>
      </c>
      <c r="I496" s="46">
        <f>TRUNC(T496*(1-LOTE_03!$K$10),2)</f>
        <v>7.27</v>
      </c>
      <c r="J496" s="100">
        <f t="shared" si="58"/>
        <v>0.22470000000000001</v>
      </c>
      <c r="K496" s="48">
        <f t="shared" si="52"/>
        <v>2.64</v>
      </c>
      <c r="L496" s="48">
        <f t="shared" si="53"/>
        <v>8.9</v>
      </c>
      <c r="M496" s="48">
        <f t="shared" si="54"/>
        <v>2640</v>
      </c>
      <c r="N496" s="48">
        <f t="shared" si="55"/>
        <v>8900</v>
      </c>
      <c r="O496" s="50">
        <f t="shared" si="56"/>
        <v>11540</v>
      </c>
      <c r="P496" s="50">
        <v>0</v>
      </c>
      <c r="Q496" s="76"/>
      <c r="R496" s="140">
        <f>50*S9+50*S10</f>
        <v>1000</v>
      </c>
      <c r="S496" s="79">
        <v>2.16</v>
      </c>
      <c r="T496" s="80">
        <v>7.27</v>
      </c>
    </row>
    <row r="497" spans="2:20" ht="70">
      <c r="B497" s="5" t="s">
        <v>1192</v>
      </c>
      <c r="C497" s="45" t="s">
        <v>135</v>
      </c>
      <c r="D497" s="45">
        <v>91222</v>
      </c>
      <c r="E497" s="6" t="s">
        <v>1193</v>
      </c>
      <c r="F497" s="45" t="s">
        <v>187</v>
      </c>
      <c r="G497" s="46">
        <f t="shared" si="57"/>
        <v>200</v>
      </c>
      <c r="H497" s="46">
        <f>TRUNC(S497*(1-LOTE_03!$K$10),2)</f>
        <v>2.1800000000000002</v>
      </c>
      <c r="I497" s="46">
        <f>TRUNC(T497*(1-LOTE_03!$K$10),2)</f>
        <v>7.93</v>
      </c>
      <c r="J497" s="100">
        <f t="shared" si="58"/>
        <v>0.22470000000000001</v>
      </c>
      <c r="K497" s="48">
        <f t="shared" si="52"/>
        <v>2.66</v>
      </c>
      <c r="L497" s="48">
        <f t="shared" si="53"/>
        <v>9.7100000000000009</v>
      </c>
      <c r="M497" s="48">
        <f t="shared" si="54"/>
        <v>532</v>
      </c>
      <c r="N497" s="48">
        <f t="shared" si="55"/>
        <v>1942</v>
      </c>
      <c r="O497" s="50">
        <f t="shared" si="56"/>
        <v>2474</v>
      </c>
      <c r="P497" s="50">
        <v>0</v>
      </c>
      <c r="Q497" s="76"/>
      <c r="R497" s="140">
        <f>IF((5*S9+30*S10)&gt;200,200,(5*S9+30*S10))</f>
        <v>200</v>
      </c>
      <c r="S497" s="79">
        <v>2.1799999999999997</v>
      </c>
      <c r="T497" s="80">
        <v>7.93</v>
      </c>
    </row>
    <row r="498" spans="2:20" ht="84">
      <c r="B498" s="5" t="s">
        <v>1194</v>
      </c>
      <c r="C498" s="45" t="s">
        <v>135</v>
      </c>
      <c r="D498" s="45">
        <v>90445</v>
      </c>
      <c r="E498" s="6" t="s">
        <v>1195</v>
      </c>
      <c r="F498" s="45" t="s">
        <v>187</v>
      </c>
      <c r="G498" s="46">
        <f t="shared" si="57"/>
        <v>100</v>
      </c>
      <c r="H498" s="46">
        <f>TRUNC(S498*(1-LOTE_03!$K$10),2)</f>
        <v>4.8600000000000003</v>
      </c>
      <c r="I498" s="46">
        <f>TRUNC(T498*(1-LOTE_03!$K$10),2)</f>
        <v>12.22</v>
      </c>
      <c r="J498" s="100">
        <f t="shared" si="58"/>
        <v>0.22470000000000001</v>
      </c>
      <c r="K498" s="48">
        <f t="shared" si="52"/>
        <v>5.95</v>
      </c>
      <c r="L498" s="48">
        <f t="shared" si="53"/>
        <v>14.96</v>
      </c>
      <c r="M498" s="48">
        <f t="shared" si="54"/>
        <v>595</v>
      </c>
      <c r="N498" s="48">
        <f t="shared" si="55"/>
        <v>1496</v>
      </c>
      <c r="O498" s="50">
        <f t="shared" si="56"/>
        <v>2091</v>
      </c>
      <c r="P498" s="50">
        <v>0</v>
      </c>
      <c r="Q498" s="76"/>
      <c r="R498" s="140">
        <f>IF((5*S9+30*S10)&gt;100,100,(5*S9+30*S10))</f>
        <v>100</v>
      </c>
      <c r="S498" s="79">
        <v>4.8599999999999977</v>
      </c>
      <c r="T498" s="80">
        <v>12.22</v>
      </c>
    </row>
    <row r="499" spans="2:20" ht="28">
      <c r="B499" s="5" t="s">
        <v>1196</v>
      </c>
      <c r="C499" s="45" t="s">
        <v>97</v>
      </c>
      <c r="D499" s="45" t="s">
        <v>1197</v>
      </c>
      <c r="E499" s="6" t="s">
        <v>1198</v>
      </c>
      <c r="F499" s="45" t="s">
        <v>999</v>
      </c>
      <c r="G499" s="46">
        <f t="shared" si="57"/>
        <v>50</v>
      </c>
      <c r="H499" s="46">
        <f>TRUNC(S499*(1-LOTE_03!$K$10),2)</f>
        <v>270.07</v>
      </c>
      <c r="I499" s="46">
        <f>TRUNC(T499*(1-LOTE_03!$K$10),2)</f>
        <v>411.67</v>
      </c>
      <c r="J499" s="100">
        <f t="shared" si="58"/>
        <v>0.22470000000000001</v>
      </c>
      <c r="K499" s="48">
        <f t="shared" si="52"/>
        <v>330.75</v>
      </c>
      <c r="L499" s="48">
        <f t="shared" si="53"/>
        <v>504.17</v>
      </c>
      <c r="M499" s="48">
        <f t="shared" si="54"/>
        <v>16537.5</v>
      </c>
      <c r="N499" s="48">
        <f t="shared" si="55"/>
        <v>25208.5</v>
      </c>
      <c r="O499" s="50">
        <f t="shared" si="56"/>
        <v>41746</v>
      </c>
      <c r="P499" s="50">
        <v>0</v>
      </c>
      <c r="Q499" s="76"/>
      <c r="R499" s="140">
        <f>IF((5*S9+10*S10)&gt;50,50,(5*S9+10*S10))</f>
        <v>50</v>
      </c>
      <c r="S499" s="79">
        <v>270.07</v>
      </c>
      <c r="T499" s="80">
        <v>411.67</v>
      </c>
    </row>
    <row r="500" spans="2:20" ht="28">
      <c r="B500" s="5" t="s">
        <v>1199</v>
      </c>
      <c r="C500" s="45" t="s">
        <v>97</v>
      </c>
      <c r="D500" s="45" t="s">
        <v>1200</v>
      </c>
      <c r="E500" s="6" t="s">
        <v>1201</v>
      </c>
      <c r="F500" s="45" t="s">
        <v>999</v>
      </c>
      <c r="G500" s="46">
        <f t="shared" si="57"/>
        <v>50</v>
      </c>
      <c r="H500" s="46">
        <f>TRUNC(S500*(1-LOTE_03!$K$10),2)</f>
        <v>120.75</v>
      </c>
      <c r="I500" s="46">
        <f>TRUNC(T500*(1-LOTE_03!$K$10),2)</f>
        <v>91.03</v>
      </c>
      <c r="J500" s="100">
        <f t="shared" si="58"/>
        <v>0.22470000000000001</v>
      </c>
      <c r="K500" s="48">
        <f t="shared" si="52"/>
        <v>147.88</v>
      </c>
      <c r="L500" s="48">
        <f t="shared" si="53"/>
        <v>111.48</v>
      </c>
      <c r="M500" s="48">
        <f t="shared" si="54"/>
        <v>7394</v>
      </c>
      <c r="N500" s="48">
        <f t="shared" si="55"/>
        <v>5574</v>
      </c>
      <c r="O500" s="50">
        <f t="shared" si="56"/>
        <v>12968</v>
      </c>
      <c r="P500" s="50">
        <v>0</v>
      </c>
      <c r="Q500" s="76"/>
      <c r="R500" s="140">
        <f>IF((5*S9+10*S10)&gt;50,50,(5*S9+10*S10))</f>
        <v>50</v>
      </c>
      <c r="S500" s="79">
        <v>120.75</v>
      </c>
      <c r="T500" s="80">
        <v>91.03</v>
      </c>
    </row>
    <row r="501" spans="2:20" ht="84">
      <c r="B501" s="5" t="s">
        <v>1202</v>
      </c>
      <c r="C501" s="45" t="s">
        <v>97</v>
      </c>
      <c r="D501" s="45" t="s">
        <v>1203</v>
      </c>
      <c r="E501" s="6" t="s">
        <v>1204</v>
      </c>
      <c r="F501" s="45" t="s">
        <v>104</v>
      </c>
      <c r="G501" s="46">
        <f t="shared" si="57"/>
        <v>50</v>
      </c>
      <c r="H501" s="46">
        <f>TRUNC(S501*(1-LOTE_03!$K$10),2)</f>
        <v>776.35</v>
      </c>
      <c r="I501" s="46">
        <f>TRUNC(T501*(1-LOTE_03!$K$10),2)</f>
        <v>739.14</v>
      </c>
      <c r="J501" s="100">
        <f t="shared" si="58"/>
        <v>0.22470000000000001</v>
      </c>
      <c r="K501" s="48">
        <f t="shared" si="52"/>
        <v>950.79</v>
      </c>
      <c r="L501" s="48">
        <f t="shared" si="53"/>
        <v>905.22</v>
      </c>
      <c r="M501" s="48">
        <f t="shared" si="54"/>
        <v>47539.5</v>
      </c>
      <c r="N501" s="48">
        <f t="shared" si="55"/>
        <v>45261</v>
      </c>
      <c r="O501" s="50">
        <f t="shared" si="56"/>
        <v>92800.5</v>
      </c>
      <c r="P501" s="50">
        <v>0</v>
      </c>
      <c r="Q501" s="76"/>
      <c r="R501" s="140">
        <f>IF((5*S9+10*S10)&gt;50,50,(5*S9+10*S10))</f>
        <v>50</v>
      </c>
      <c r="S501" s="79">
        <v>776.35</v>
      </c>
      <c r="T501" s="80">
        <v>739.14</v>
      </c>
    </row>
    <row r="502" spans="2:20" ht="42">
      <c r="B502" s="5" t="s">
        <v>1205</v>
      </c>
      <c r="C502" s="45" t="s">
        <v>135</v>
      </c>
      <c r="D502" s="45">
        <v>86886</v>
      </c>
      <c r="E502" s="6" t="s">
        <v>1816</v>
      </c>
      <c r="F502" s="45" t="s">
        <v>210</v>
      </c>
      <c r="G502" s="46">
        <f t="shared" si="57"/>
        <v>50</v>
      </c>
      <c r="H502" s="46">
        <f>TRUNC(S502*(1-LOTE_03!$K$10),2)</f>
        <v>41.06</v>
      </c>
      <c r="I502" s="46">
        <f>TRUNC(T502*(1-LOTE_03!$K$10),2)</f>
        <v>4.0199999999999996</v>
      </c>
      <c r="J502" s="100">
        <f t="shared" si="58"/>
        <v>0.22470000000000001</v>
      </c>
      <c r="K502" s="48">
        <f t="shared" si="52"/>
        <v>50.28</v>
      </c>
      <c r="L502" s="48">
        <f t="shared" si="53"/>
        <v>4.92</v>
      </c>
      <c r="M502" s="48">
        <f t="shared" si="54"/>
        <v>2514</v>
      </c>
      <c r="N502" s="48">
        <f t="shared" si="55"/>
        <v>246</v>
      </c>
      <c r="O502" s="50">
        <f t="shared" si="56"/>
        <v>2760</v>
      </c>
      <c r="P502" s="50">
        <v>0</v>
      </c>
      <c r="Q502" s="76"/>
      <c r="R502" s="140">
        <f>IF((5*S9+10*S10)&gt;50,50,(5*S9+10*S10))</f>
        <v>50</v>
      </c>
      <c r="S502" s="79">
        <v>41.06</v>
      </c>
      <c r="T502" s="80">
        <v>4.0199999999999996</v>
      </c>
    </row>
    <row r="503" spans="2:20" ht="28">
      <c r="B503" s="5" t="s">
        <v>1206</v>
      </c>
      <c r="C503" s="45" t="s">
        <v>165</v>
      </c>
      <c r="D503" s="45" t="s">
        <v>1207</v>
      </c>
      <c r="E503" s="6" t="s">
        <v>1208</v>
      </c>
      <c r="F503" s="45" t="s">
        <v>559</v>
      </c>
      <c r="G503" s="46">
        <f t="shared" si="57"/>
        <v>50</v>
      </c>
      <c r="H503" s="46">
        <f>TRUNC(S503*(1-LOTE_03!$K$10),2)</f>
        <v>200.74</v>
      </c>
      <c r="I503" s="46">
        <f>TRUNC(T503*(1-LOTE_03!$K$10),2)</f>
        <v>23.49</v>
      </c>
      <c r="J503" s="100">
        <f t="shared" si="58"/>
        <v>0.22470000000000001</v>
      </c>
      <c r="K503" s="48">
        <f t="shared" si="52"/>
        <v>245.84</v>
      </c>
      <c r="L503" s="48">
        <f t="shared" si="53"/>
        <v>28.76</v>
      </c>
      <c r="M503" s="48">
        <f t="shared" si="54"/>
        <v>12292</v>
      </c>
      <c r="N503" s="48">
        <f t="shared" si="55"/>
        <v>1438</v>
      </c>
      <c r="O503" s="50">
        <f t="shared" si="56"/>
        <v>13730</v>
      </c>
      <c r="P503" s="50">
        <v>0</v>
      </c>
      <c r="Q503" s="76"/>
      <c r="R503" s="140">
        <f>IF((5*S9+10*S10)&gt;50,50,(5*S9+10*S10))</f>
        <v>50</v>
      </c>
      <c r="S503" s="79">
        <v>200.74</v>
      </c>
      <c r="T503" s="80">
        <v>23.49</v>
      </c>
    </row>
    <row r="504" spans="2:20" ht="28">
      <c r="B504" s="5" t="s">
        <v>1209</v>
      </c>
      <c r="C504" s="45" t="s">
        <v>165</v>
      </c>
      <c r="D504" s="45" t="s">
        <v>1210</v>
      </c>
      <c r="E504" s="6" t="s">
        <v>1211</v>
      </c>
      <c r="F504" s="45" t="s">
        <v>559</v>
      </c>
      <c r="G504" s="46">
        <f t="shared" si="57"/>
        <v>50</v>
      </c>
      <c r="H504" s="46">
        <f>TRUNC(S504*(1-LOTE_03!$K$10),2)</f>
        <v>131.08000000000001</v>
      </c>
      <c r="I504" s="46">
        <f>TRUNC(T504*(1-LOTE_03!$K$10),2)</f>
        <v>23.49</v>
      </c>
      <c r="J504" s="100">
        <f t="shared" si="58"/>
        <v>0.22470000000000001</v>
      </c>
      <c r="K504" s="48">
        <f t="shared" si="52"/>
        <v>160.53</v>
      </c>
      <c r="L504" s="48">
        <f t="shared" si="53"/>
        <v>28.76</v>
      </c>
      <c r="M504" s="48">
        <f t="shared" si="54"/>
        <v>8026.5</v>
      </c>
      <c r="N504" s="48">
        <f t="shared" si="55"/>
        <v>1438</v>
      </c>
      <c r="O504" s="50">
        <f t="shared" si="56"/>
        <v>9464.5</v>
      </c>
      <c r="P504" s="50">
        <v>0</v>
      </c>
      <c r="Q504" s="76"/>
      <c r="R504" s="140">
        <f>IF((5*S9+10*S10)&gt;50,50,(5*S9+10*S10))</f>
        <v>50</v>
      </c>
      <c r="S504" s="79">
        <v>131.08000000000001</v>
      </c>
      <c r="T504" s="80">
        <v>23.49</v>
      </c>
    </row>
    <row r="505" spans="2:20" ht="56">
      <c r="B505" s="5" t="s">
        <v>1212</v>
      </c>
      <c r="C505" s="45" t="s">
        <v>135</v>
      </c>
      <c r="D505" s="45">
        <v>89358</v>
      </c>
      <c r="E505" s="6" t="s">
        <v>1213</v>
      </c>
      <c r="F505" s="45" t="s">
        <v>210</v>
      </c>
      <c r="G505" s="46">
        <f t="shared" si="57"/>
        <v>50</v>
      </c>
      <c r="H505" s="46">
        <f>TRUNC(S505*(1-LOTE_03!$K$10),2)</f>
        <v>3.23</v>
      </c>
      <c r="I505" s="46">
        <f>TRUNC(T505*(1-LOTE_03!$K$10),2)</f>
        <v>5.84</v>
      </c>
      <c r="J505" s="100">
        <f t="shared" si="58"/>
        <v>0.22470000000000001</v>
      </c>
      <c r="K505" s="48">
        <f t="shared" si="52"/>
        <v>3.95</v>
      </c>
      <c r="L505" s="48">
        <f t="shared" si="53"/>
        <v>7.15</v>
      </c>
      <c r="M505" s="48">
        <f t="shared" si="54"/>
        <v>197.5</v>
      </c>
      <c r="N505" s="48">
        <f t="shared" si="55"/>
        <v>357.5</v>
      </c>
      <c r="O505" s="50">
        <f t="shared" si="56"/>
        <v>555</v>
      </c>
      <c r="P505" s="50">
        <v>0</v>
      </c>
      <c r="Q505" s="76"/>
      <c r="R505" s="140">
        <f>IF((5*S9+10*S10)&gt;50,50,(5*S9+10*S10))</f>
        <v>50</v>
      </c>
      <c r="S505" s="79">
        <v>3.2300000000000004</v>
      </c>
      <c r="T505" s="80">
        <v>5.84</v>
      </c>
    </row>
    <row r="506" spans="2:20" ht="56">
      <c r="B506" s="5" t="s">
        <v>1214</v>
      </c>
      <c r="C506" s="45" t="s">
        <v>135</v>
      </c>
      <c r="D506" s="45">
        <v>89362</v>
      </c>
      <c r="E506" s="6" t="s">
        <v>1215</v>
      </c>
      <c r="F506" s="45" t="s">
        <v>210</v>
      </c>
      <c r="G506" s="46">
        <f t="shared" si="57"/>
        <v>50</v>
      </c>
      <c r="H506" s="46">
        <f>TRUNC(S506*(1-LOTE_03!$K$10),2)</f>
        <v>3.98</v>
      </c>
      <c r="I506" s="46">
        <f>TRUNC(T506*(1-LOTE_03!$K$10),2)</f>
        <v>6.75</v>
      </c>
      <c r="J506" s="100">
        <f t="shared" si="58"/>
        <v>0.22470000000000001</v>
      </c>
      <c r="K506" s="48">
        <f t="shared" si="52"/>
        <v>4.87</v>
      </c>
      <c r="L506" s="48">
        <f t="shared" si="53"/>
        <v>8.26</v>
      </c>
      <c r="M506" s="48">
        <f t="shared" si="54"/>
        <v>243.5</v>
      </c>
      <c r="N506" s="48">
        <f t="shared" si="55"/>
        <v>413</v>
      </c>
      <c r="O506" s="50">
        <f t="shared" si="56"/>
        <v>656.5</v>
      </c>
      <c r="P506" s="50">
        <v>0</v>
      </c>
      <c r="Q506" s="76"/>
      <c r="R506" s="140">
        <f>IF((5*S9+10*S10)&gt;50,50,(5*S9+10*S10))</f>
        <v>50</v>
      </c>
      <c r="S506" s="79">
        <v>3.9800000000000004</v>
      </c>
      <c r="T506" s="80">
        <v>6.75</v>
      </c>
    </row>
    <row r="507" spans="2:20" ht="70">
      <c r="B507" s="5" t="s">
        <v>1216</v>
      </c>
      <c r="C507" s="45" t="s">
        <v>135</v>
      </c>
      <c r="D507" s="45">
        <v>89366</v>
      </c>
      <c r="E507" s="6" t="s">
        <v>1217</v>
      </c>
      <c r="F507" s="45" t="s">
        <v>210</v>
      </c>
      <c r="G507" s="46">
        <f t="shared" si="57"/>
        <v>50</v>
      </c>
      <c r="H507" s="46">
        <f>TRUNC(S507*(1-LOTE_03!$K$10),2)</f>
        <v>11.97</v>
      </c>
      <c r="I507" s="46">
        <f>TRUNC(T507*(1-LOTE_03!$K$10),2)</f>
        <v>6.38</v>
      </c>
      <c r="J507" s="100">
        <f t="shared" si="58"/>
        <v>0.22470000000000001</v>
      </c>
      <c r="K507" s="48">
        <f t="shared" si="52"/>
        <v>14.65</v>
      </c>
      <c r="L507" s="48">
        <f t="shared" si="53"/>
        <v>7.81</v>
      </c>
      <c r="M507" s="48">
        <f t="shared" si="54"/>
        <v>732.5</v>
      </c>
      <c r="N507" s="48">
        <f t="shared" si="55"/>
        <v>390.5</v>
      </c>
      <c r="O507" s="50">
        <f t="shared" si="56"/>
        <v>1123</v>
      </c>
      <c r="P507" s="50">
        <v>0</v>
      </c>
      <c r="Q507" s="76"/>
      <c r="R507" s="140">
        <f>IF((5*S9+10*S10)&gt;50,50,(5*S9+10*S10))</f>
        <v>50</v>
      </c>
      <c r="S507" s="79">
        <v>11.970000000000002</v>
      </c>
      <c r="T507" s="80">
        <v>6.38</v>
      </c>
    </row>
    <row r="508" spans="2:20" ht="70">
      <c r="B508" s="5" t="s">
        <v>1218</v>
      </c>
      <c r="C508" s="45" t="s">
        <v>135</v>
      </c>
      <c r="D508" s="45">
        <v>89366</v>
      </c>
      <c r="E508" s="6" t="s">
        <v>1217</v>
      </c>
      <c r="F508" s="45" t="s">
        <v>210</v>
      </c>
      <c r="G508" s="46">
        <f t="shared" si="57"/>
        <v>50</v>
      </c>
      <c r="H508" s="46">
        <f>TRUNC(S508*(1-LOTE_03!$K$10),2)</f>
        <v>11.97</v>
      </c>
      <c r="I508" s="46">
        <f>TRUNC(T508*(1-LOTE_03!$K$10),2)</f>
        <v>6.38</v>
      </c>
      <c r="J508" s="100">
        <f t="shared" si="58"/>
        <v>0.22470000000000001</v>
      </c>
      <c r="K508" s="48">
        <f t="shared" si="52"/>
        <v>14.65</v>
      </c>
      <c r="L508" s="48">
        <f t="shared" si="53"/>
        <v>7.81</v>
      </c>
      <c r="M508" s="48">
        <f t="shared" si="54"/>
        <v>732.5</v>
      </c>
      <c r="N508" s="48">
        <f t="shared" si="55"/>
        <v>390.5</v>
      </c>
      <c r="O508" s="50">
        <f t="shared" si="56"/>
        <v>1123</v>
      </c>
      <c r="P508" s="50">
        <v>0</v>
      </c>
      <c r="Q508" s="76"/>
      <c r="R508" s="140">
        <f>IF((5*S9+10*S10)&gt;50,50,(5*S9+10*S10))</f>
        <v>50</v>
      </c>
      <c r="S508" s="79">
        <v>11.970000000000002</v>
      </c>
      <c r="T508" s="80">
        <v>6.38</v>
      </c>
    </row>
    <row r="509" spans="2:20" ht="56">
      <c r="B509" s="5" t="s">
        <v>1219</v>
      </c>
      <c r="C509" s="45" t="s">
        <v>135</v>
      </c>
      <c r="D509" s="45">
        <v>89367</v>
      </c>
      <c r="E509" s="6" t="s">
        <v>1220</v>
      </c>
      <c r="F509" s="45" t="s">
        <v>210</v>
      </c>
      <c r="G509" s="46">
        <f t="shared" si="57"/>
        <v>50</v>
      </c>
      <c r="H509" s="46">
        <f>TRUNC(S509*(1-LOTE_03!$K$10),2)</f>
        <v>6.67</v>
      </c>
      <c r="I509" s="46">
        <f>TRUNC(T509*(1-LOTE_03!$K$10),2)</f>
        <v>8.08</v>
      </c>
      <c r="J509" s="100">
        <f t="shared" si="58"/>
        <v>0.22470000000000001</v>
      </c>
      <c r="K509" s="48">
        <f t="shared" si="52"/>
        <v>8.16</v>
      </c>
      <c r="L509" s="48">
        <f t="shared" si="53"/>
        <v>9.89</v>
      </c>
      <c r="M509" s="48">
        <f t="shared" si="54"/>
        <v>408</v>
      </c>
      <c r="N509" s="48">
        <f t="shared" si="55"/>
        <v>494.5</v>
      </c>
      <c r="O509" s="50">
        <f t="shared" si="56"/>
        <v>902.5</v>
      </c>
      <c r="P509" s="50">
        <v>0</v>
      </c>
      <c r="Q509" s="76"/>
      <c r="R509" s="140">
        <f>IF((5*S9+10*S10)&gt;50,50,(5*S9+10*S10))</f>
        <v>50</v>
      </c>
      <c r="S509" s="79">
        <v>6.67</v>
      </c>
      <c r="T509" s="80">
        <v>8.08</v>
      </c>
    </row>
    <row r="510" spans="2:20" ht="56">
      <c r="B510" s="5" t="s">
        <v>1221</v>
      </c>
      <c r="C510" s="45" t="s">
        <v>135</v>
      </c>
      <c r="D510" s="45">
        <v>89497</v>
      </c>
      <c r="E510" s="6" t="s">
        <v>1222</v>
      </c>
      <c r="F510" s="45" t="s">
        <v>210</v>
      </c>
      <c r="G510" s="46">
        <f t="shared" si="57"/>
        <v>50</v>
      </c>
      <c r="H510" s="46">
        <f>TRUNC(S510*(1-LOTE_03!$K$10),2)</f>
        <v>9.93</v>
      </c>
      <c r="I510" s="46">
        <f>TRUNC(T510*(1-LOTE_03!$K$10),2)</f>
        <v>4.68</v>
      </c>
      <c r="J510" s="100">
        <f t="shared" si="58"/>
        <v>0.22470000000000001</v>
      </c>
      <c r="K510" s="48">
        <f t="shared" si="52"/>
        <v>12.16</v>
      </c>
      <c r="L510" s="48">
        <f t="shared" si="53"/>
        <v>5.73</v>
      </c>
      <c r="M510" s="48">
        <f t="shared" si="54"/>
        <v>608</v>
      </c>
      <c r="N510" s="48">
        <f t="shared" si="55"/>
        <v>286.5</v>
      </c>
      <c r="O510" s="50">
        <f t="shared" si="56"/>
        <v>894.5</v>
      </c>
      <c r="P510" s="50">
        <v>0</v>
      </c>
      <c r="Q510" s="76"/>
      <c r="R510" s="140">
        <f>IF((5*S9+10*S10)&gt;50,50,(5*S9+10*S10))</f>
        <v>50</v>
      </c>
      <c r="S510" s="79">
        <v>9.93</v>
      </c>
      <c r="T510" s="80">
        <v>4.68</v>
      </c>
    </row>
    <row r="511" spans="2:20" ht="70">
      <c r="B511" s="5" t="s">
        <v>1223</v>
      </c>
      <c r="C511" s="45" t="s">
        <v>135</v>
      </c>
      <c r="D511" s="45">
        <v>96853</v>
      </c>
      <c r="E511" s="6" t="s">
        <v>1224</v>
      </c>
      <c r="F511" s="45" t="s">
        <v>210</v>
      </c>
      <c r="G511" s="46">
        <f t="shared" si="57"/>
        <v>50</v>
      </c>
      <c r="H511" s="46">
        <f>TRUNC(S511*(1-LOTE_03!$K$10),2)</f>
        <v>16.18</v>
      </c>
      <c r="I511" s="46">
        <f>TRUNC(T511*(1-LOTE_03!$K$10),2)</f>
        <v>10.63</v>
      </c>
      <c r="J511" s="100">
        <f t="shared" si="58"/>
        <v>0.22470000000000001</v>
      </c>
      <c r="K511" s="48">
        <f t="shared" si="52"/>
        <v>19.809999999999999</v>
      </c>
      <c r="L511" s="48">
        <f t="shared" si="53"/>
        <v>13.01</v>
      </c>
      <c r="M511" s="48">
        <f t="shared" si="54"/>
        <v>990.5</v>
      </c>
      <c r="N511" s="48">
        <f t="shared" si="55"/>
        <v>650.5</v>
      </c>
      <c r="O511" s="50">
        <f t="shared" si="56"/>
        <v>1641</v>
      </c>
      <c r="P511" s="50">
        <v>0</v>
      </c>
      <c r="Q511" s="76"/>
      <c r="R511" s="140">
        <f>IF((5*S9+10*S10)&gt;50,50,(5*S9+10*S10))</f>
        <v>50</v>
      </c>
      <c r="S511" s="79">
        <v>16.18</v>
      </c>
      <c r="T511" s="80">
        <v>10.63</v>
      </c>
    </row>
    <row r="512" spans="2:20" ht="70">
      <c r="B512" s="5" t="s">
        <v>1225</v>
      </c>
      <c r="C512" s="45" t="s">
        <v>135</v>
      </c>
      <c r="D512" s="45">
        <v>90373</v>
      </c>
      <c r="E512" s="6" t="s">
        <v>1226</v>
      </c>
      <c r="F512" s="45" t="s">
        <v>210</v>
      </c>
      <c r="G512" s="46">
        <f t="shared" si="57"/>
        <v>50</v>
      </c>
      <c r="H512" s="46">
        <f>TRUNC(S512*(1-LOTE_03!$K$10),2)</f>
        <v>8.77</v>
      </c>
      <c r="I512" s="46">
        <f>TRUNC(T512*(1-LOTE_03!$K$10),2)</f>
        <v>5.89</v>
      </c>
      <c r="J512" s="100">
        <f t="shared" si="58"/>
        <v>0.22470000000000001</v>
      </c>
      <c r="K512" s="48">
        <f t="shared" si="52"/>
        <v>10.74</v>
      </c>
      <c r="L512" s="48">
        <f t="shared" si="53"/>
        <v>7.21</v>
      </c>
      <c r="M512" s="48">
        <f t="shared" si="54"/>
        <v>537</v>
      </c>
      <c r="N512" s="48">
        <f t="shared" si="55"/>
        <v>360.5</v>
      </c>
      <c r="O512" s="50">
        <f t="shared" si="56"/>
        <v>897.5</v>
      </c>
      <c r="P512" s="50">
        <v>0</v>
      </c>
      <c r="Q512" s="76"/>
      <c r="R512" s="140">
        <f>IF((5*S9+10*S10)&gt;50,50,(5*S9+10*S10))</f>
        <v>50</v>
      </c>
      <c r="S512" s="79">
        <v>8.77</v>
      </c>
      <c r="T512" s="80">
        <v>5.89</v>
      </c>
    </row>
    <row r="513" spans="2:20" ht="56">
      <c r="B513" s="5" t="s">
        <v>1227</v>
      </c>
      <c r="C513" s="45" t="s">
        <v>135</v>
      </c>
      <c r="D513" s="45">
        <v>89369</v>
      </c>
      <c r="E513" s="6" t="s">
        <v>1228</v>
      </c>
      <c r="F513" s="45" t="s">
        <v>210</v>
      </c>
      <c r="G513" s="46">
        <f t="shared" si="57"/>
        <v>50</v>
      </c>
      <c r="H513" s="46">
        <f>TRUNC(S513*(1-LOTE_03!$K$10),2)</f>
        <v>11.22</v>
      </c>
      <c r="I513" s="46">
        <f>TRUNC(T513*(1-LOTE_03!$K$10),2)</f>
        <v>8.1300000000000008</v>
      </c>
      <c r="J513" s="100">
        <f t="shared" si="58"/>
        <v>0.22470000000000001</v>
      </c>
      <c r="K513" s="48">
        <f t="shared" si="52"/>
        <v>13.74</v>
      </c>
      <c r="L513" s="48">
        <f t="shared" si="53"/>
        <v>9.9499999999999993</v>
      </c>
      <c r="M513" s="48">
        <f t="shared" si="54"/>
        <v>687</v>
      </c>
      <c r="N513" s="48">
        <f t="shared" si="55"/>
        <v>497.5</v>
      </c>
      <c r="O513" s="50">
        <f t="shared" si="56"/>
        <v>1184.5</v>
      </c>
      <c r="P513" s="50">
        <v>0</v>
      </c>
      <c r="Q513" s="76"/>
      <c r="R513" s="140">
        <f>IF((5*S9+10*S10)&gt;50,50,(5*S9+10*S10))</f>
        <v>50</v>
      </c>
      <c r="S513" s="79">
        <v>11.22</v>
      </c>
      <c r="T513" s="80">
        <v>8.1300000000000008</v>
      </c>
    </row>
    <row r="514" spans="2:20" ht="84">
      <c r="B514" s="5" t="s">
        <v>1229</v>
      </c>
      <c r="C514" s="45" t="s">
        <v>135</v>
      </c>
      <c r="D514" s="45">
        <v>89391</v>
      </c>
      <c r="E514" s="6" t="s">
        <v>1230</v>
      </c>
      <c r="F514" s="45" t="s">
        <v>210</v>
      </c>
      <c r="G514" s="46">
        <f t="shared" si="57"/>
        <v>50</v>
      </c>
      <c r="H514" s="46">
        <f>TRUNC(S514*(1-LOTE_03!$K$10),2)</f>
        <v>4.83</v>
      </c>
      <c r="I514" s="46">
        <f>TRUNC(T514*(1-LOTE_03!$K$10),2)</f>
        <v>4.9400000000000004</v>
      </c>
      <c r="J514" s="100">
        <f t="shared" si="58"/>
        <v>0.22470000000000001</v>
      </c>
      <c r="K514" s="48">
        <f t="shared" si="52"/>
        <v>5.91</v>
      </c>
      <c r="L514" s="48">
        <f t="shared" si="53"/>
        <v>6.05</v>
      </c>
      <c r="M514" s="48">
        <f t="shared" si="54"/>
        <v>295.5</v>
      </c>
      <c r="N514" s="48">
        <f t="shared" si="55"/>
        <v>302.5</v>
      </c>
      <c r="O514" s="50">
        <f t="shared" si="56"/>
        <v>598</v>
      </c>
      <c r="P514" s="50">
        <v>0</v>
      </c>
      <c r="Q514" s="76"/>
      <c r="R514" s="140">
        <f>IF((5*S9+10*S10)&gt;50,50,(5*S9+10*S10))</f>
        <v>50</v>
      </c>
      <c r="S514" s="79">
        <v>4.8299999999999992</v>
      </c>
      <c r="T514" s="80">
        <v>4.9400000000000004</v>
      </c>
    </row>
    <row r="515" spans="2:20" ht="56">
      <c r="B515" s="5" t="s">
        <v>1231</v>
      </c>
      <c r="C515" s="45" t="s">
        <v>135</v>
      </c>
      <c r="D515" s="45">
        <v>89401</v>
      </c>
      <c r="E515" s="6" t="s">
        <v>1232</v>
      </c>
      <c r="F515" s="45" t="s">
        <v>187</v>
      </c>
      <c r="G515" s="46">
        <f t="shared" si="57"/>
        <v>100</v>
      </c>
      <c r="H515" s="46">
        <f>TRUNC(S515*(1-LOTE_03!$K$10),2)</f>
        <v>6.22</v>
      </c>
      <c r="I515" s="46">
        <f>TRUNC(T515*(1-LOTE_03!$K$10),2)</f>
        <v>6.16</v>
      </c>
      <c r="J515" s="100">
        <f t="shared" si="58"/>
        <v>0.22470000000000001</v>
      </c>
      <c r="K515" s="48">
        <f t="shared" si="52"/>
        <v>7.61</v>
      </c>
      <c r="L515" s="48">
        <f t="shared" si="53"/>
        <v>7.54</v>
      </c>
      <c r="M515" s="48">
        <f t="shared" si="54"/>
        <v>761</v>
      </c>
      <c r="N515" s="48">
        <f t="shared" si="55"/>
        <v>754</v>
      </c>
      <c r="O515" s="50">
        <f t="shared" si="56"/>
        <v>1515</v>
      </c>
      <c r="P515" s="50">
        <v>0</v>
      </c>
      <c r="Q515" s="76"/>
      <c r="R515" s="140">
        <f>IF((10*S9+20*S10)&gt;100,100,(10*S9+20*S10))</f>
        <v>100</v>
      </c>
      <c r="S515" s="79">
        <v>6.2200000000000006</v>
      </c>
      <c r="T515" s="80">
        <v>6.16</v>
      </c>
    </row>
    <row r="516" spans="2:20" ht="56">
      <c r="B516" s="5" t="s">
        <v>1233</v>
      </c>
      <c r="C516" s="45" t="s">
        <v>135</v>
      </c>
      <c r="D516" s="45">
        <v>89402</v>
      </c>
      <c r="E516" s="6" t="s">
        <v>1234</v>
      </c>
      <c r="F516" s="45" t="s">
        <v>187</v>
      </c>
      <c r="G516" s="46">
        <f t="shared" si="57"/>
        <v>100</v>
      </c>
      <c r="H516" s="46">
        <f>TRUNC(S516*(1-LOTE_03!$K$10),2)</f>
        <v>7.08</v>
      </c>
      <c r="I516" s="46">
        <f>TRUNC(T516*(1-LOTE_03!$K$10),2)</f>
        <v>7.15</v>
      </c>
      <c r="J516" s="100">
        <f t="shared" si="58"/>
        <v>0.22470000000000001</v>
      </c>
      <c r="K516" s="48">
        <f t="shared" si="52"/>
        <v>8.67</v>
      </c>
      <c r="L516" s="48">
        <f t="shared" si="53"/>
        <v>8.75</v>
      </c>
      <c r="M516" s="48">
        <f t="shared" si="54"/>
        <v>867</v>
      </c>
      <c r="N516" s="48">
        <f t="shared" si="55"/>
        <v>875</v>
      </c>
      <c r="O516" s="50">
        <f t="shared" si="56"/>
        <v>1742</v>
      </c>
      <c r="P516" s="50">
        <v>0</v>
      </c>
      <c r="Q516" s="76"/>
      <c r="R516" s="140">
        <f>IF((10*S9+20*S10)&gt;100,100,(10*S9+20*S10))</f>
        <v>100</v>
      </c>
      <c r="S516" s="79">
        <v>7.08</v>
      </c>
      <c r="T516" s="80">
        <v>7.15</v>
      </c>
    </row>
    <row r="517" spans="2:20" ht="56">
      <c r="B517" s="5" t="s">
        <v>1235</v>
      </c>
      <c r="C517" s="45" t="s">
        <v>135</v>
      </c>
      <c r="D517" s="45">
        <v>89403</v>
      </c>
      <c r="E517" s="6" t="s">
        <v>1236</v>
      </c>
      <c r="F517" s="45" t="s">
        <v>187</v>
      </c>
      <c r="G517" s="46">
        <f t="shared" si="57"/>
        <v>100</v>
      </c>
      <c r="H517" s="46">
        <f>TRUNC(S517*(1-LOTE_03!$K$10),2)</f>
        <v>13.23</v>
      </c>
      <c r="I517" s="46">
        <f>TRUNC(T517*(1-LOTE_03!$K$10),2)</f>
        <v>8.5500000000000007</v>
      </c>
      <c r="J517" s="100">
        <f t="shared" si="58"/>
        <v>0.22470000000000001</v>
      </c>
      <c r="K517" s="48">
        <f t="shared" si="52"/>
        <v>16.2</v>
      </c>
      <c r="L517" s="48">
        <f t="shared" si="53"/>
        <v>10.47</v>
      </c>
      <c r="M517" s="48">
        <f t="shared" si="54"/>
        <v>1620</v>
      </c>
      <c r="N517" s="48">
        <f t="shared" si="55"/>
        <v>1047</v>
      </c>
      <c r="O517" s="50">
        <f t="shared" si="56"/>
        <v>2667</v>
      </c>
      <c r="P517" s="50">
        <v>0</v>
      </c>
      <c r="Q517" s="76"/>
      <c r="R517" s="140">
        <f>IF((10*S9+20*S10)&gt;100,100,(10*S9+20*S10))</f>
        <v>100</v>
      </c>
      <c r="S517" s="79">
        <v>13.23</v>
      </c>
      <c r="T517" s="80">
        <v>8.5500000000000007</v>
      </c>
    </row>
    <row r="518" spans="2:20" ht="56">
      <c r="B518" s="5" t="s">
        <v>1237</v>
      </c>
      <c r="C518" s="45" t="s">
        <v>135</v>
      </c>
      <c r="D518" s="45">
        <v>89448</v>
      </c>
      <c r="E518" s="6" t="s">
        <v>1238</v>
      </c>
      <c r="F518" s="45" t="s">
        <v>187</v>
      </c>
      <c r="G518" s="46">
        <f t="shared" si="57"/>
        <v>100</v>
      </c>
      <c r="H518" s="46">
        <f>TRUNC(S518*(1-LOTE_03!$K$10),2)</f>
        <v>17.22</v>
      </c>
      <c r="I518" s="46">
        <f>TRUNC(T518*(1-LOTE_03!$K$10),2)</f>
        <v>1.27</v>
      </c>
      <c r="J518" s="100">
        <f t="shared" si="58"/>
        <v>0.22470000000000001</v>
      </c>
      <c r="K518" s="48">
        <f t="shared" si="52"/>
        <v>21.08</v>
      </c>
      <c r="L518" s="48">
        <f t="shared" si="53"/>
        <v>1.55</v>
      </c>
      <c r="M518" s="48">
        <f t="shared" si="54"/>
        <v>2108</v>
      </c>
      <c r="N518" s="48">
        <f t="shared" si="55"/>
        <v>155</v>
      </c>
      <c r="O518" s="50">
        <f t="shared" si="56"/>
        <v>2263</v>
      </c>
      <c r="P518" s="50">
        <v>0</v>
      </c>
      <c r="Q518" s="76"/>
      <c r="R518" s="140">
        <f>IF((10*S9+20*S10)&gt;100,100,(10*S9+20*S10))</f>
        <v>100</v>
      </c>
      <c r="S518" s="79">
        <v>17.22</v>
      </c>
      <c r="T518" s="80">
        <v>1.27</v>
      </c>
    </row>
    <row r="519" spans="2:20" ht="70">
      <c r="B519" s="5" t="s">
        <v>1239</v>
      </c>
      <c r="C519" s="45" t="s">
        <v>135</v>
      </c>
      <c r="D519" s="45">
        <v>89711</v>
      </c>
      <c r="E519" s="6" t="s">
        <v>1240</v>
      </c>
      <c r="F519" s="45" t="s">
        <v>187</v>
      </c>
      <c r="G519" s="46">
        <f t="shared" si="57"/>
        <v>100</v>
      </c>
      <c r="H519" s="46">
        <f>TRUNC(S519*(1-LOTE_03!$K$10),2)</f>
        <v>10.83</v>
      </c>
      <c r="I519" s="46">
        <f>TRUNC(T519*(1-LOTE_03!$K$10),2)</f>
        <v>13.11</v>
      </c>
      <c r="J519" s="100">
        <f t="shared" si="58"/>
        <v>0.22470000000000001</v>
      </c>
      <c r="K519" s="48">
        <f t="shared" si="52"/>
        <v>13.26</v>
      </c>
      <c r="L519" s="48">
        <f t="shared" si="53"/>
        <v>16.05</v>
      </c>
      <c r="M519" s="48">
        <f t="shared" si="54"/>
        <v>1326</v>
      </c>
      <c r="N519" s="48">
        <f t="shared" si="55"/>
        <v>1605</v>
      </c>
      <c r="O519" s="50">
        <f t="shared" si="56"/>
        <v>2931</v>
      </c>
      <c r="P519" s="50">
        <v>0</v>
      </c>
      <c r="Q519" s="76"/>
      <c r="R519" s="140">
        <f>IF((10*S9+20*S10)&gt;100,100,(10*S9+20*S10))</f>
        <v>100</v>
      </c>
      <c r="S519" s="79">
        <v>10.830000000000002</v>
      </c>
      <c r="T519" s="80">
        <v>13.11</v>
      </c>
    </row>
    <row r="520" spans="2:20" ht="70">
      <c r="B520" s="5" t="s">
        <v>1241</v>
      </c>
      <c r="C520" s="45" t="s">
        <v>135</v>
      </c>
      <c r="D520" s="45">
        <v>89712</v>
      </c>
      <c r="E520" s="6" t="s">
        <v>1242</v>
      </c>
      <c r="F520" s="45" t="s">
        <v>187</v>
      </c>
      <c r="G520" s="46">
        <f t="shared" si="57"/>
        <v>100</v>
      </c>
      <c r="H520" s="46">
        <f>TRUNC(S520*(1-LOTE_03!$K$10),2)</f>
        <v>15.67</v>
      </c>
      <c r="I520" s="46">
        <f>TRUNC(T520*(1-LOTE_03!$K$10),2)</f>
        <v>14.25</v>
      </c>
      <c r="J520" s="100">
        <f t="shared" si="58"/>
        <v>0.22470000000000001</v>
      </c>
      <c r="K520" s="48">
        <f t="shared" si="52"/>
        <v>19.190000000000001</v>
      </c>
      <c r="L520" s="48">
        <f t="shared" si="53"/>
        <v>17.45</v>
      </c>
      <c r="M520" s="48">
        <f t="shared" si="54"/>
        <v>1919</v>
      </c>
      <c r="N520" s="48">
        <f t="shared" si="55"/>
        <v>1745</v>
      </c>
      <c r="O520" s="50">
        <f t="shared" si="56"/>
        <v>3664</v>
      </c>
      <c r="P520" s="50">
        <v>0</v>
      </c>
      <c r="Q520" s="76"/>
      <c r="R520" s="140">
        <f>IF((10*S9+20*S10)&gt;100,100,(10*S9+20*S10))</f>
        <v>100</v>
      </c>
      <c r="S520" s="79">
        <v>15.670000000000002</v>
      </c>
      <c r="T520" s="80">
        <v>14.25</v>
      </c>
    </row>
    <row r="521" spans="2:20" ht="70">
      <c r="B521" s="5" t="s">
        <v>1243</v>
      </c>
      <c r="C521" s="45" t="s">
        <v>135</v>
      </c>
      <c r="D521" s="45">
        <v>89714</v>
      </c>
      <c r="E521" s="6" t="s">
        <v>1244</v>
      </c>
      <c r="F521" s="45" t="s">
        <v>187</v>
      </c>
      <c r="G521" s="46">
        <f t="shared" si="57"/>
        <v>200</v>
      </c>
      <c r="H521" s="46">
        <f>TRUNC(S521*(1-LOTE_03!$K$10),2)</f>
        <v>21.75</v>
      </c>
      <c r="I521" s="46">
        <f>TRUNC(T521*(1-LOTE_03!$K$10),2)</f>
        <v>19.920000000000002</v>
      </c>
      <c r="J521" s="100">
        <f t="shared" si="58"/>
        <v>0.22470000000000001</v>
      </c>
      <c r="K521" s="48">
        <f t="shared" si="52"/>
        <v>26.63</v>
      </c>
      <c r="L521" s="48">
        <f t="shared" si="53"/>
        <v>24.39</v>
      </c>
      <c r="M521" s="48">
        <f t="shared" si="54"/>
        <v>5326</v>
      </c>
      <c r="N521" s="48">
        <f t="shared" si="55"/>
        <v>4878</v>
      </c>
      <c r="O521" s="50">
        <f t="shared" si="56"/>
        <v>10204</v>
      </c>
      <c r="P521" s="50">
        <v>0</v>
      </c>
      <c r="Q521" s="76"/>
      <c r="R521" s="140">
        <f>IF((10*S9+30*S10)&gt;200,200,(10*S9+30*S10))</f>
        <v>200</v>
      </c>
      <c r="S521" s="79">
        <v>21.75</v>
      </c>
      <c r="T521" s="80">
        <v>19.920000000000002</v>
      </c>
    </row>
    <row r="522" spans="2:20" ht="70">
      <c r="B522" s="5" t="s">
        <v>1245</v>
      </c>
      <c r="C522" s="45" t="s">
        <v>135</v>
      </c>
      <c r="D522" s="45">
        <v>89689</v>
      </c>
      <c r="E522" s="6" t="s">
        <v>1246</v>
      </c>
      <c r="F522" s="45" t="s">
        <v>210</v>
      </c>
      <c r="G522" s="46">
        <f t="shared" si="57"/>
        <v>50</v>
      </c>
      <c r="H522" s="46">
        <f>TRUNC(S522*(1-LOTE_03!$K$10),2)</f>
        <v>35.04</v>
      </c>
      <c r="I522" s="46">
        <f>TRUNC(T522*(1-LOTE_03!$K$10),2)</f>
        <v>4.96</v>
      </c>
      <c r="J522" s="100">
        <f t="shared" si="58"/>
        <v>0.22470000000000001</v>
      </c>
      <c r="K522" s="48">
        <f t="shared" si="52"/>
        <v>42.91</v>
      </c>
      <c r="L522" s="48">
        <f t="shared" si="53"/>
        <v>6.07</v>
      </c>
      <c r="M522" s="48">
        <f t="shared" si="54"/>
        <v>2145.5</v>
      </c>
      <c r="N522" s="48">
        <f t="shared" si="55"/>
        <v>303.5</v>
      </c>
      <c r="O522" s="50">
        <f t="shared" si="56"/>
        <v>2449</v>
      </c>
      <c r="P522" s="50">
        <v>0</v>
      </c>
      <c r="Q522" s="76"/>
      <c r="R522" s="140">
        <f>IF((5*S9+10*S10)&gt;50,50,(5*S9+10*S10))</f>
        <v>50</v>
      </c>
      <c r="S522" s="79">
        <v>35.04</v>
      </c>
      <c r="T522" s="80">
        <v>4.96</v>
      </c>
    </row>
    <row r="523" spans="2:20" ht="70">
      <c r="B523" s="5" t="s">
        <v>1247</v>
      </c>
      <c r="C523" s="45" t="s">
        <v>135</v>
      </c>
      <c r="D523" s="45">
        <v>89759</v>
      </c>
      <c r="E523" s="6" t="s">
        <v>1248</v>
      </c>
      <c r="F523" s="45" t="s">
        <v>210</v>
      </c>
      <c r="G523" s="46">
        <f t="shared" si="57"/>
        <v>50</v>
      </c>
      <c r="H523" s="46">
        <f>TRUNC(S523*(1-LOTE_03!$K$10),2)</f>
        <v>8.74</v>
      </c>
      <c r="I523" s="46">
        <f>TRUNC(T523*(1-LOTE_03!$K$10),2)</f>
        <v>3.85</v>
      </c>
      <c r="J523" s="100">
        <f t="shared" si="58"/>
        <v>0.22470000000000001</v>
      </c>
      <c r="K523" s="48">
        <f t="shared" si="52"/>
        <v>10.7</v>
      </c>
      <c r="L523" s="48">
        <f t="shared" si="53"/>
        <v>4.71</v>
      </c>
      <c r="M523" s="48">
        <f t="shared" si="54"/>
        <v>535</v>
      </c>
      <c r="N523" s="48">
        <f t="shared" si="55"/>
        <v>235.5</v>
      </c>
      <c r="O523" s="50">
        <f t="shared" si="56"/>
        <v>770.5</v>
      </c>
      <c r="P523" s="50">
        <v>0</v>
      </c>
      <c r="Q523" s="76"/>
      <c r="R523" s="140">
        <f>IF((5*S9+10*S10)&gt;50,50,(5*S9+10*S10))</f>
        <v>50</v>
      </c>
      <c r="S523" s="79">
        <v>8.74</v>
      </c>
      <c r="T523" s="80">
        <v>3.85</v>
      </c>
    </row>
    <row r="524" spans="2:20" ht="56">
      <c r="B524" s="5" t="s">
        <v>1249</v>
      </c>
      <c r="C524" s="45" t="s">
        <v>135</v>
      </c>
      <c r="D524" s="45">
        <v>103964</v>
      </c>
      <c r="E524" s="6" t="s">
        <v>1250</v>
      </c>
      <c r="F524" s="45" t="s">
        <v>210</v>
      </c>
      <c r="G524" s="46">
        <f t="shared" si="57"/>
        <v>50</v>
      </c>
      <c r="H524" s="46">
        <f>TRUNC(S524*(1-LOTE_03!$K$10),2)</f>
        <v>6.36</v>
      </c>
      <c r="I524" s="46">
        <f>TRUNC(T524*(1-LOTE_03!$K$10),2)</f>
        <v>2.6</v>
      </c>
      <c r="J524" s="100">
        <f t="shared" si="58"/>
        <v>0.22470000000000001</v>
      </c>
      <c r="K524" s="48">
        <f t="shared" si="52"/>
        <v>7.78</v>
      </c>
      <c r="L524" s="48">
        <f t="shared" si="53"/>
        <v>3.18</v>
      </c>
      <c r="M524" s="48">
        <f t="shared" si="54"/>
        <v>389</v>
      </c>
      <c r="N524" s="48">
        <f t="shared" si="55"/>
        <v>159</v>
      </c>
      <c r="O524" s="50">
        <f t="shared" si="56"/>
        <v>548</v>
      </c>
      <c r="P524" s="50">
        <v>0</v>
      </c>
      <c r="Q524" s="76"/>
      <c r="R524" s="140">
        <f>IF((5*S9+10*S10)&gt;50,50,(5*S9+10*S10))</f>
        <v>50</v>
      </c>
      <c r="S524" s="79">
        <v>6.3600000000000012</v>
      </c>
      <c r="T524" s="80">
        <v>2.6</v>
      </c>
    </row>
    <row r="525" spans="2:20" ht="70">
      <c r="B525" s="5" t="s">
        <v>1251</v>
      </c>
      <c r="C525" s="45" t="s">
        <v>135</v>
      </c>
      <c r="D525" s="45">
        <v>89709</v>
      </c>
      <c r="E525" s="6" t="s">
        <v>1252</v>
      </c>
      <c r="F525" s="45" t="s">
        <v>210</v>
      </c>
      <c r="G525" s="46">
        <f t="shared" si="57"/>
        <v>50</v>
      </c>
      <c r="H525" s="46">
        <f>TRUNC(S525*(1-LOTE_03!$K$10),2)</f>
        <v>15.13</v>
      </c>
      <c r="I525" s="46">
        <f>TRUNC(T525*(1-LOTE_03!$K$10),2)</f>
        <v>7.7</v>
      </c>
      <c r="J525" s="100">
        <f t="shared" si="58"/>
        <v>0.22470000000000001</v>
      </c>
      <c r="K525" s="48">
        <f t="shared" si="52"/>
        <v>18.52</v>
      </c>
      <c r="L525" s="48">
        <f t="shared" si="53"/>
        <v>9.43</v>
      </c>
      <c r="M525" s="48">
        <f t="shared" si="54"/>
        <v>926</v>
      </c>
      <c r="N525" s="48">
        <f t="shared" si="55"/>
        <v>471.5</v>
      </c>
      <c r="O525" s="50">
        <f t="shared" si="56"/>
        <v>1397.5</v>
      </c>
      <c r="P525" s="50">
        <v>0</v>
      </c>
      <c r="Q525" s="76"/>
      <c r="R525" s="140">
        <f>IF((2*S9+5*S10)&gt;50,50,(2*S9+5*S10))</f>
        <v>50</v>
      </c>
      <c r="S525" s="79">
        <v>15.129999999999999</v>
      </c>
      <c r="T525" s="80">
        <v>7.7</v>
      </c>
    </row>
    <row r="526" spans="2:20" ht="56">
      <c r="B526" s="5" t="s">
        <v>1253</v>
      </c>
      <c r="C526" s="45" t="s">
        <v>135</v>
      </c>
      <c r="D526" s="45">
        <v>89491</v>
      </c>
      <c r="E526" s="6" t="s">
        <v>1254</v>
      </c>
      <c r="F526" s="45" t="s">
        <v>210</v>
      </c>
      <c r="G526" s="46">
        <f t="shared" si="57"/>
        <v>50</v>
      </c>
      <c r="H526" s="46">
        <f>TRUNC(S526*(1-LOTE_03!$K$10),2)</f>
        <v>89.84</v>
      </c>
      <c r="I526" s="46">
        <f>TRUNC(T526*(1-LOTE_03!$K$10),2)</f>
        <v>15.77</v>
      </c>
      <c r="J526" s="100">
        <f t="shared" si="58"/>
        <v>0.22470000000000001</v>
      </c>
      <c r="K526" s="48">
        <f t="shared" si="52"/>
        <v>110.02</v>
      </c>
      <c r="L526" s="48">
        <f t="shared" si="53"/>
        <v>19.309999999999999</v>
      </c>
      <c r="M526" s="48">
        <f t="shared" si="54"/>
        <v>5501</v>
      </c>
      <c r="N526" s="48">
        <f t="shared" si="55"/>
        <v>965.5</v>
      </c>
      <c r="O526" s="50">
        <f t="shared" si="56"/>
        <v>6466.5</v>
      </c>
      <c r="P526" s="50">
        <v>0</v>
      </c>
      <c r="Q526" s="76"/>
      <c r="R526" s="140">
        <f>IF((2*S9+5*S10)&gt;50,50,(2*S9+5*S10))</f>
        <v>50</v>
      </c>
      <c r="S526" s="79">
        <v>89.84</v>
      </c>
      <c r="T526" s="80">
        <v>15.77</v>
      </c>
    </row>
    <row r="527" spans="2:20" ht="28">
      <c r="B527" s="5" t="s">
        <v>1255</v>
      </c>
      <c r="C527" s="45" t="s">
        <v>165</v>
      </c>
      <c r="D527" s="45" t="s">
        <v>1210</v>
      </c>
      <c r="E527" s="6" t="s">
        <v>1211</v>
      </c>
      <c r="F527" s="45" t="s">
        <v>559</v>
      </c>
      <c r="G527" s="46">
        <f t="shared" si="57"/>
        <v>50</v>
      </c>
      <c r="H527" s="46">
        <f>TRUNC(S527*(1-LOTE_03!$K$10),2)</f>
        <v>131.08000000000001</v>
      </c>
      <c r="I527" s="46">
        <f>TRUNC(T527*(1-LOTE_03!$K$10),2)</f>
        <v>23.49</v>
      </c>
      <c r="J527" s="100">
        <f t="shared" si="58"/>
        <v>0.22470000000000001</v>
      </c>
      <c r="K527" s="48">
        <f t="shared" si="52"/>
        <v>160.53</v>
      </c>
      <c r="L527" s="48">
        <f t="shared" si="53"/>
        <v>28.76</v>
      </c>
      <c r="M527" s="48">
        <f t="shared" si="54"/>
        <v>8026.5</v>
      </c>
      <c r="N527" s="48">
        <f t="shared" si="55"/>
        <v>1438</v>
      </c>
      <c r="O527" s="50">
        <f t="shared" si="56"/>
        <v>9464.5</v>
      </c>
      <c r="P527" s="50">
        <v>0</v>
      </c>
      <c r="Q527" s="76"/>
      <c r="R527" s="140">
        <f>IF((5*S9+10*S10)&gt;50,50,(5*S9+10*S10))</f>
        <v>50</v>
      </c>
      <c r="S527" s="79">
        <v>131.08000000000001</v>
      </c>
      <c r="T527" s="80">
        <v>23.49</v>
      </c>
    </row>
    <row r="528" spans="2:20" ht="56">
      <c r="B528" s="5" t="s">
        <v>1256</v>
      </c>
      <c r="C528" s="45" t="s">
        <v>135</v>
      </c>
      <c r="D528" s="45">
        <v>89986</v>
      </c>
      <c r="E528" s="6" t="s">
        <v>1257</v>
      </c>
      <c r="F528" s="45" t="s">
        <v>210</v>
      </c>
      <c r="G528" s="46">
        <f t="shared" si="57"/>
        <v>50</v>
      </c>
      <c r="H528" s="46">
        <f>TRUNC(S528*(1-LOTE_03!$K$10),2)</f>
        <v>82.71</v>
      </c>
      <c r="I528" s="46">
        <f>TRUNC(T528*(1-LOTE_03!$K$10),2)</f>
        <v>7.79</v>
      </c>
      <c r="J528" s="100">
        <f t="shared" si="58"/>
        <v>0.22470000000000001</v>
      </c>
      <c r="K528" s="48">
        <f t="shared" ref="K528:K591" si="59">TRUNC(H528*(1+J528),2)</f>
        <v>101.29</v>
      </c>
      <c r="L528" s="48">
        <f t="shared" ref="L528:L591" si="60">TRUNC(I528*(1+J528),2)</f>
        <v>9.5399999999999991</v>
      </c>
      <c r="M528" s="48">
        <f t="shared" ref="M528:M591" si="61">TRUNC(K528*G528,2)</f>
        <v>5064.5</v>
      </c>
      <c r="N528" s="48">
        <f t="shared" ref="N528:N591" si="62">TRUNC(L528*G528,2)</f>
        <v>477</v>
      </c>
      <c r="O528" s="50">
        <f t="shared" ref="O528:O591" si="63">TRUNC(M528+N528,2)</f>
        <v>5541.5</v>
      </c>
      <c r="P528" s="50">
        <v>0</v>
      </c>
      <c r="Q528" s="76"/>
      <c r="R528" s="140">
        <f>IF((5*S9+10*S10)&gt;50,50,(5*S9+10*S10))</f>
        <v>50</v>
      </c>
      <c r="S528" s="79">
        <v>82.71</v>
      </c>
      <c r="T528" s="80">
        <v>7.79</v>
      </c>
    </row>
    <row r="529" spans="2:20" ht="28">
      <c r="B529" s="5" t="s">
        <v>1258</v>
      </c>
      <c r="C529" s="45" t="s">
        <v>165</v>
      </c>
      <c r="D529" s="45" t="s">
        <v>1259</v>
      </c>
      <c r="E529" s="6" t="s">
        <v>1260</v>
      </c>
      <c r="F529" s="45" t="s">
        <v>559</v>
      </c>
      <c r="G529" s="46">
        <f t="shared" si="57"/>
        <v>50</v>
      </c>
      <c r="H529" s="46">
        <f>TRUNC(S529*(1-LOTE_03!$K$10),2)</f>
        <v>105.23</v>
      </c>
      <c r="I529" s="46">
        <f>TRUNC(T529*(1-LOTE_03!$K$10),2)</f>
        <v>23.49</v>
      </c>
      <c r="J529" s="100">
        <f t="shared" si="58"/>
        <v>0.22470000000000001</v>
      </c>
      <c r="K529" s="48">
        <f t="shared" si="59"/>
        <v>128.87</v>
      </c>
      <c r="L529" s="48">
        <f t="shared" si="60"/>
        <v>28.76</v>
      </c>
      <c r="M529" s="48">
        <f t="shared" si="61"/>
        <v>6443.5</v>
      </c>
      <c r="N529" s="48">
        <f t="shared" si="62"/>
        <v>1438</v>
      </c>
      <c r="O529" s="50">
        <f t="shared" si="63"/>
        <v>7881.5</v>
      </c>
      <c r="P529" s="50">
        <v>0</v>
      </c>
      <c r="Q529" s="76"/>
      <c r="R529" s="140">
        <f>IF((5*S9+10*S10)&gt;50,50,(5*S9+10*S10))</f>
        <v>50</v>
      </c>
      <c r="S529" s="79">
        <v>105.23</v>
      </c>
      <c r="T529" s="80">
        <v>23.49</v>
      </c>
    </row>
    <row r="530" spans="2:20" ht="42">
      <c r="B530" s="5" t="s">
        <v>1261</v>
      </c>
      <c r="C530" s="45" t="s">
        <v>135</v>
      </c>
      <c r="D530" s="45">
        <v>94496</v>
      </c>
      <c r="E530" s="6" t="s">
        <v>1262</v>
      </c>
      <c r="F530" s="45" t="s">
        <v>210</v>
      </c>
      <c r="G530" s="46">
        <f t="shared" ref="G530:G593" si="64">TRUNC(R530,2)</f>
        <v>50</v>
      </c>
      <c r="H530" s="46">
        <f>TRUNC(S530*(1-LOTE_03!$K$10),2)</f>
        <v>82.7</v>
      </c>
      <c r="I530" s="46">
        <f>TRUNC(T530*(1-LOTE_03!$K$10),2)</f>
        <v>8.6199999999999992</v>
      </c>
      <c r="J530" s="100">
        <f t="shared" ref="J530:J593" si="65">$J$4</f>
        <v>0.22470000000000001</v>
      </c>
      <c r="K530" s="48">
        <f t="shared" si="59"/>
        <v>101.28</v>
      </c>
      <c r="L530" s="48">
        <f t="shared" si="60"/>
        <v>10.55</v>
      </c>
      <c r="M530" s="48">
        <f t="shared" si="61"/>
        <v>5064</v>
      </c>
      <c r="N530" s="48">
        <f t="shared" si="62"/>
        <v>527.5</v>
      </c>
      <c r="O530" s="50">
        <f t="shared" si="63"/>
        <v>5591.5</v>
      </c>
      <c r="P530" s="50">
        <v>0</v>
      </c>
      <c r="Q530" s="76"/>
      <c r="R530" s="140">
        <f>IF((5*S9+10*S10)&gt;50,50,(5*S9+10*S10))</f>
        <v>50</v>
      </c>
      <c r="S530" s="79">
        <v>82.699999999999989</v>
      </c>
      <c r="T530" s="80">
        <v>8.6199999999999992</v>
      </c>
    </row>
    <row r="531" spans="2:20" ht="70">
      <c r="B531" s="5" t="s">
        <v>1263</v>
      </c>
      <c r="C531" s="45" t="s">
        <v>135</v>
      </c>
      <c r="D531" s="45">
        <v>94691</v>
      </c>
      <c r="E531" s="6" t="s">
        <v>1264</v>
      </c>
      <c r="F531" s="45" t="s">
        <v>210</v>
      </c>
      <c r="G531" s="46">
        <f t="shared" si="64"/>
        <v>50</v>
      </c>
      <c r="H531" s="46">
        <f>TRUNC(S531*(1-LOTE_03!$K$10),2)</f>
        <v>10.7</v>
      </c>
      <c r="I531" s="46">
        <f>TRUNC(T531*(1-LOTE_03!$K$10),2)</f>
        <v>4.1399999999999997</v>
      </c>
      <c r="J531" s="100">
        <f t="shared" si="65"/>
        <v>0.22470000000000001</v>
      </c>
      <c r="K531" s="48">
        <f t="shared" si="59"/>
        <v>13.1</v>
      </c>
      <c r="L531" s="48">
        <f t="shared" si="60"/>
        <v>5.07</v>
      </c>
      <c r="M531" s="48">
        <f t="shared" si="61"/>
        <v>655</v>
      </c>
      <c r="N531" s="48">
        <f t="shared" si="62"/>
        <v>253.5</v>
      </c>
      <c r="O531" s="50">
        <f t="shared" si="63"/>
        <v>908.5</v>
      </c>
      <c r="P531" s="50">
        <v>0</v>
      </c>
      <c r="Q531" s="76"/>
      <c r="R531" s="140">
        <f>IF((5*S9+10*S10)&gt;50,50,(5*S9+10*S10))</f>
        <v>50</v>
      </c>
      <c r="S531" s="79">
        <v>10.7</v>
      </c>
      <c r="T531" s="80">
        <v>4.1399999999999997</v>
      </c>
    </row>
    <row r="532" spans="2:20" ht="70">
      <c r="B532" s="5" t="s">
        <v>1265</v>
      </c>
      <c r="C532" s="45" t="s">
        <v>135</v>
      </c>
      <c r="D532" s="45">
        <v>94693</v>
      </c>
      <c r="E532" s="6" t="s">
        <v>1266</v>
      </c>
      <c r="F532" s="45" t="s">
        <v>210</v>
      </c>
      <c r="G532" s="46">
        <f t="shared" si="64"/>
        <v>50</v>
      </c>
      <c r="H532" s="46">
        <f>TRUNC(S532*(1-LOTE_03!$K$10),2)</f>
        <v>13.91</v>
      </c>
      <c r="I532" s="46">
        <f>TRUNC(T532*(1-LOTE_03!$K$10),2)</f>
        <v>5.52</v>
      </c>
      <c r="J532" s="100">
        <f t="shared" si="65"/>
        <v>0.22470000000000001</v>
      </c>
      <c r="K532" s="48">
        <f t="shared" si="59"/>
        <v>17.03</v>
      </c>
      <c r="L532" s="48">
        <f t="shared" si="60"/>
        <v>6.76</v>
      </c>
      <c r="M532" s="48">
        <f t="shared" si="61"/>
        <v>851.5</v>
      </c>
      <c r="N532" s="48">
        <f t="shared" si="62"/>
        <v>338</v>
      </c>
      <c r="O532" s="50">
        <f t="shared" si="63"/>
        <v>1189.5</v>
      </c>
      <c r="P532" s="50">
        <v>0</v>
      </c>
      <c r="Q532" s="76"/>
      <c r="R532" s="140">
        <f>IF((5*S9+10*S10)&gt;50,50,(5*S9+10*S10))</f>
        <v>50</v>
      </c>
      <c r="S532" s="79">
        <v>13.91</v>
      </c>
      <c r="T532" s="80">
        <v>5.52</v>
      </c>
    </row>
    <row r="533" spans="2:20" ht="28">
      <c r="B533" s="5" t="s">
        <v>1267</v>
      </c>
      <c r="C533" s="45" t="s">
        <v>165</v>
      </c>
      <c r="D533" s="45" t="s">
        <v>1268</v>
      </c>
      <c r="E533" s="6" t="s">
        <v>1269</v>
      </c>
      <c r="F533" s="45" t="s">
        <v>559</v>
      </c>
      <c r="G533" s="46">
        <f t="shared" si="64"/>
        <v>50</v>
      </c>
      <c r="H533" s="46">
        <f>TRUNC(S533*(1-LOTE_03!$K$10),2)</f>
        <v>8.93</v>
      </c>
      <c r="I533" s="46">
        <f>TRUNC(T533*(1-LOTE_03!$K$10),2)</f>
        <v>7.32</v>
      </c>
      <c r="J533" s="100">
        <f t="shared" si="65"/>
        <v>0.22470000000000001</v>
      </c>
      <c r="K533" s="48">
        <f t="shared" si="59"/>
        <v>10.93</v>
      </c>
      <c r="L533" s="48">
        <f t="shared" si="60"/>
        <v>8.9600000000000009</v>
      </c>
      <c r="M533" s="48">
        <f t="shared" si="61"/>
        <v>546.5</v>
      </c>
      <c r="N533" s="48">
        <f t="shared" si="62"/>
        <v>448</v>
      </c>
      <c r="O533" s="50">
        <f t="shared" si="63"/>
        <v>994.5</v>
      </c>
      <c r="P533" s="50">
        <v>0</v>
      </c>
      <c r="Q533" s="76"/>
      <c r="R533" s="140">
        <f>IF((5*S9+10*S10)&gt;50,50,(5*S9+10*S10))</f>
        <v>50</v>
      </c>
      <c r="S533" s="79">
        <v>8.93</v>
      </c>
      <c r="T533" s="80">
        <v>7.32</v>
      </c>
    </row>
    <row r="534" spans="2:20" ht="28">
      <c r="B534" s="5" t="s">
        <v>1270</v>
      </c>
      <c r="C534" s="45" t="s">
        <v>165</v>
      </c>
      <c r="D534" s="45" t="s">
        <v>1271</v>
      </c>
      <c r="E534" s="6" t="s">
        <v>1272</v>
      </c>
      <c r="F534" s="45" t="s">
        <v>559</v>
      </c>
      <c r="G534" s="46">
        <f t="shared" si="64"/>
        <v>50</v>
      </c>
      <c r="H534" s="46">
        <f>TRUNC(S534*(1-LOTE_03!$K$10),2)</f>
        <v>10.55</v>
      </c>
      <c r="I534" s="46">
        <f>TRUNC(T534*(1-LOTE_03!$K$10),2)</f>
        <v>7.7</v>
      </c>
      <c r="J534" s="100">
        <f t="shared" si="65"/>
        <v>0.22470000000000001</v>
      </c>
      <c r="K534" s="48">
        <f t="shared" si="59"/>
        <v>12.92</v>
      </c>
      <c r="L534" s="48">
        <f t="shared" si="60"/>
        <v>9.43</v>
      </c>
      <c r="M534" s="48">
        <f t="shared" si="61"/>
        <v>646</v>
      </c>
      <c r="N534" s="48">
        <f t="shared" si="62"/>
        <v>471.5</v>
      </c>
      <c r="O534" s="50">
        <f t="shared" si="63"/>
        <v>1117.5</v>
      </c>
      <c r="P534" s="50">
        <v>0</v>
      </c>
      <c r="Q534" s="76"/>
      <c r="R534" s="140">
        <f>IF((5*S9+10*S10)&gt;50,50,(5*S9+10*S10))</f>
        <v>50</v>
      </c>
      <c r="S534" s="79">
        <v>10.55</v>
      </c>
      <c r="T534" s="80">
        <v>7.7</v>
      </c>
    </row>
    <row r="535" spans="2:20" ht="56">
      <c r="B535" s="5" t="s">
        <v>1273</v>
      </c>
      <c r="C535" s="45" t="s">
        <v>135</v>
      </c>
      <c r="D535" s="45">
        <v>89395</v>
      </c>
      <c r="E535" s="6" t="s">
        <v>1274</v>
      </c>
      <c r="F535" s="45" t="s">
        <v>210</v>
      </c>
      <c r="G535" s="46">
        <f t="shared" si="64"/>
        <v>50</v>
      </c>
      <c r="H535" s="46">
        <f>TRUNC(S535*(1-LOTE_03!$K$10),2)</f>
        <v>5.77</v>
      </c>
      <c r="I535" s="46">
        <f>TRUNC(T535*(1-LOTE_03!$K$10),2)</f>
        <v>9</v>
      </c>
      <c r="J535" s="100">
        <f t="shared" si="65"/>
        <v>0.22470000000000001</v>
      </c>
      <c r="K535" s="48">
        <f t="shared" si="59"/>
        <v>7.06</v>
      </c>
      <c r="L535" s="48">
        <f t="shared" si="60"/>
        <v>11.02</v>
      </c>
      <c r="M535" s="48">
        <f t="shared" si="61"/>
        <v>353</v>
      </c>
      <c r="N535" s="48">
        <f t="shared" si="62"/>
        <v>551</v>
      </c>
      <c r="O535" s="50">
        <f t="shared" si="63"/>
        <v>904</v>
      </c>
      <c r="P535" s="50">
        <v>0</v>
      </c>
      <c r="Q535" s="76"/>
      <c r="R535" s="140">
        <f>IF((5*S9+10*S10)&gt;50,50,(5*S9+10*S10))</f>
        <v>50</v>
      </c>
      <c r="S535" s="79">
        <v>5.77</v>
      </c>
      <c r="T535" s="80">
        <v>9</v>
      </c>
    </row>
    <row r="536" spans="2:20" ht="70">
      <c r="B536" s="5" t="s">
        <v>1275</v>
      </c>
      <c r="C536" s="45" t="s">
        <v>135</v>
      </c>
      <c r="D536" s="45">
        <v>89546</v>
      </c>
      <c r="E536" s="6" t="s">
        <v>1276</v>
      </c>
      <c r="F536" s="45" t="s">
        <v>210</v>
      </c>
      <c r="G536" s="46">
        <f t="shared" si="64"/>
        <v>50</v>
      </c>
      <c r="H536" s="46">
        <f>TRUNC(S536*(1-LOTE_03!$K$10),2)</f>
        <v>9.7899999999999991</v>
      </c>
      <c r="I536" s="46">
        <f>TRUNC(T536*(1-LOTE_03!$K$10),2)</f>
        <v>1.57</v>
      </c>
      <c r="J536" s="100">
        <f t="shared" si="65"/>
        <v>0.22470000000000001</v>
      </c>
      <c r="K536" s="48">
        <f t="shared" si="59"/>
        <v>11.98</v>
      </c>
      <c r="L536" s="48">
        <f t="shared" si="60"/>
        <v>1.92</v>
      </c>
      <c r="M536" s="48">
        <f t="shared" si="61"/>
        <v>599</v>
      </c>
      <c r="N536" s="48">
        <f t="shared" si="62"/>
        <v>96</v>
      </c>
      <c r="O536" s="50">
        <f t="shared" si="63"/>
        <v>695</v>
      </c>
      <c r="P536" s="50">
        <v>0</v>
      </c>
      <c r="Q536" s="76"/>
      <c r="R536" s="140">
        <f>IF((5*S9+10*S10)&gt;50,50,(5*S9+10*S10))</f>
        <v>50</v>
      </c>
      <c r="S536" s="79">
        <v>9.7899999999999991</v>
      </c>
      <c r="T536" s="80">
        <v>1.57</v>
      </c>
    </row>
    <row r="537" spans="2:20" ht="28">
      <c r="B537" s="5" t="s">
        <v>1277</v>
      </c>
      <c r="C537" s="45" t="s">
        <v>97</v>
      </c>
      <c r="D537" s="45" t="s">
        <v>1278</v>
      </c>
      <c r="E537" s="6" t="s">
        <v>1279</v>
      </c>
      <c r="F537" s="45" t="s">
        <v>104</v>
      </c>
      <c r="G537" s="46">
        <f t="shared" si="64"/>
        <v>40</v>
      </c>
      <c r="H537" s="46">
        <f>TRUNC(S537*(1-LOTE_03!$K$10),2)</f>
        <v>13.11</v>
      </c>
      <c r="I537" s="46">
        <f>TRUNC(T537*(1-LOTE_03!$K$10),2)</f>
        <v>4.97</v>
      </c>
      <c r="J537" s="100">
        <f t="shared" si="65"/>
        <v>0.22470000000000001</v>
      </c>
      <c r="K537" s="48">
        <f t="shared" si="59"/>
        <v>16.05</v>
      </c>
      <c r="L537" s="48">
        <f t="shared" si="60"/>
        <v>6.08</v>
      </c>
      <c r="M537" s="48">
        <f t="shared" si="61"/>
        <v>642</v>
      </c>
      <c r="N537" s="48">
        <f t="shared" si="62"/>
        <v>243.2</v>
      </c>
      <c r="O537" s="50">
        <f t="shared" si="63"/>
        <v>885.2</v>
      </c>
      <c r="P537" s="50">
        <v>0</v>
      </c>
      <c r="Q537" s="76"/>
      <c r="R537" s="140">
        <f>2*S9+2*S10</f>
        <v>40</v>
      </c>
      <c r="S537" s="79">
        <v>13.11</v>
      </c>
      <c r="T537" s="80">
        <v>4.97</v>
      </c>
    </row>
    <row r="538" spans="2:20" ht="70">
      <c r="B538" s="5" t="s">
        <v>1280</v>
      </c>
      <c r="C538" s="45" t="s">
        <v>135</v>
      </c>
      <c r="D538" s="45">
        <v>89707</v>
      </c>
      <c r="E538" s="6" t="s">
        <v>1281</v>
      </c>
      <c r="F538" s="45" t="s">
        <v>210</v>
      </c>
      <c r="G538" s="46">
        <f t="shared" si="64"/>
        <v>50</v>
      </c>
      <c r="H538" s="46">
        <f>TRUNC(S538*(1-LOTE_03!$K$10),2)</f>
        <v>34.39</v>
      </c>
      <c r="I538" s="46">
        <f>TRUNC(T538*(1-LOTE_03!$K$10),2)</f>
        <v>18.420000000000002</v>
      </c>
      <c r="J538" s="100">
        <f t="shared" si="65"/>
        <v>0.22470000000000001</v>
      </c>
      <c r="K538" s="48">
        <f t="shared" si="59"/>
        <v>42.11</v>
      </c>
      <c r="L538" s="48">
        <f t="shared" si="60"/>
        <v>22.55</v>
      </c>
      <c r="M538" s="48">
        <f t="shared" si="61"/>
        <v>2105.5</v>
      </c>
      <c r="N538" s="48">
        <f t="shared" si="62"/>
        <v>1127.5</v>
      </c>
      <c r="O538" s="50">
        <f t="shared" si="63"/>
        <v>3233</v>
      </c>
      <c r="P538" s="50">
        <v>0</v>
      </c>
      <c r="Q538" s="76"/>
      <c r="R538" s="140">
        <f>IF((2*S9+5*S10)&gt;50,50,(2*S9+5*S10))</f>
        <v>50</v>
      </c>
      <c r="S538" s="79">
        <v>34.39</v>
      </c>
      <c r="T538" s="80">
        <v>18.420000000000002</v>
      </c>
    </row>
    <row r="539" spans="2:20" ht="28">
      <c r="B539" s="5" t="s">
        <v>1282</v>
      </c>
      <c r="C539" s="45" t="s">
        <v>97</v>
      </c>
      <c r="D539" s="45" t="s">
        <v>1283</v>
      </c>
      <c r="E539" s="6" t="s">
        <v>1284</v>
      </c>
      <c r="F539" s="45" t="s">
        <v>104</v>
      </c>
      <c r="G539" s="46">
        <f t="shared" si="64"/>
        <v>20</v>
      </c>
      <c r="H539" s="46">
        <f>TRUNC(S539*(1-LOTE_03!$K$10),2)</f>
        <v>350</v>
      </c>
      <c r="I539" s="46">
        <f>TRUNC(T539*(1-LOTE_03!$K$10),2)</f>
        <v>0</v>
      </c>
      <c r="J539" s="100">
        <f t="shared" si="65"/>
        <v>0.22470000000000001</v>
      </c>
      <c r="K539" s="48">
        <f t="shared" si="59"/>
        <v>428.64</v>
      </c>
      <c r="L539" s="48">
        <f t="shared" si="60"/>
        <v>0</v>
      </c>
      <c r="M539" s="48">
        <f t="shared" si="61"/>
        <v>8572.7999999999993</v>
      </c>
      <c r="N539" s="48">
        <f t="shared" si="62"/>
        <v>0</v>
      </c>
      <c r="O539" s="50">
        <f t="shared" si="63"/>
        <v>8572.7999999999993</v>
      </c>
      <c r="P539" s="50">
        <v>0</v>
      </c>
      <c r="Q539" s="76"/>
      <c r="R539" s="140">
        <f>1*S9+1*S10</f>
        <v>20</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50">
        <v>0</v>
      </c>
      <c r="Q540" s="76"/>
      <c r="R540" s="154"/>
      <c r="S540" s="79" t="s">
        <v>22</v>
      </c>
      <c r="T540" s="80" t="s">
        <v>22</v>
      </c>
    </row>
    <row r="541" spans="2:20" ht="42">
      <c r="B541" s="5" t="s">
        <v>1287</v>
      </c>
      <c r="C541" s="45" t="s">
        <v>97</v>
      </c>
      <c r="D541" s="45" t="s">
        <v>1288</v>
      </c>
      <c r="E541" s="6" t="s">
        <v>1289</v>
      </c>
      <c r="F541" s="45" t="s">
        <v>104</v>
      </c>
      <c r="G541" s="46">
        <f t="shared" si="64"/>
        <v>40</v>
      </c>
      <c r="H541" s="46">
        <f>TRUNC(S541*(1-LOTE_03!$K$10),2)</f>
        <v>6.6</v>
      </c>
      <c r="I541" s="46">
        <f>TRUNC(T541*(1-LOTE_03!$K$10),2)</f>
        <v>22.37</v>
      </c>
      <c r="J541" s="100">
        <f t="shared" si="65"/>
        <v>0.22470000000000001</v>
      </c>
      <c r="K541" s="48">
        <f t="shared" si="59"/>
        <v>8.08</v>
      </c>
      <c r="L541" s="48">
        <f t="shared" si="60"/>
        <v>27.39</v>
      </c>
      <c r="M541" s="48">
        <f t="shared" si="61"/>
        <v>323.2</v>
      </c>
      <c r="N541" s="48">
        <f t="shared" si="62"/>
        <v>1095.5999999999999</v>
      </c>
      <c r="O541" s="50">
        <f t="shared" si="63"/>
        <v>1418.8</v>
      </c>
      <c r="P541" s="50">
        <v>0</v>
      </c>
      <c r="Q541" s="76"/>
      <c r="R541" s="140">
        <f>2*S9+2*S10</f>
        <v>40</v>
      </c>
      <c r="S541" s="79">
        <v>6.6</v>
      </c>
      <c r="T541" s="80">
        <v>22.37</v>
      </c>
    </row>
    <row r="542" spans="2:20" ht="28">
      <c r="B542" s="5" t="s">
        <v>1290</v>
      </c>
      <c r="C542" s="45" t="s">
        <v>97</v>
      </c>
      <c r="D542" s="45" t="s">
        <v>1291</v>
      </c>
      <c r="E542" s="6" t="s">
        <v>1292</v>
      </c>
      <c r="F542" s="45" t="s">
        <v>104</v>
      </c>
      <c r="G542" s="46">
        <f t="shared" si="64"/>
        <v>40</v>
      </c>
      <c r="H542" s="46">
        <f>TRUNC(S542*(1-LOTE_03!$K$10),2)</f>
        <v>3.29</v>
      </c>
      <c r="I542" s="46">
        <f>TRUNC(T542*(1-LOTE_03!$K$10),2)</f>
        <v>4</v>
      </c>
      <c r="J542" s="100">
        <f t="shared" si="65"/>
        <v>0.22470000000000001</v>
      </c>
      <c r="K542" s="48">
        <f t="shared" si="59"/>
        <v>4.0199999999999996</v>
      </c>
      <c r="L542" s="48">
        <f t="shared" si="60"/>
        <v>4.8899999999999997</v>
      </c>
      <c r="M542" s="48">
        <f t="shared" si="61"/>
        <v>160.80000000000001</v>
      </c>
      <c r="N542" s="48">
        <f t="shared" si="62"/>
        <v>195.6</v>
      </c>
      <c r="O542" s="50">
        <f t="shared" si="63"/>
        <v>356.4</v>
      </c>
      <c r="P542" s="50">
        <v>0</v>
      </c>
      <c r="Q542" s="76"/>
      <c r="R542" s="140">
        <f>2*S9+2*S10</f>
        <v>40</v>
      </c>
      <c r="S542" s="79">
        <v>3.29</v>
      </c>
      <c r="T542" s="80">
        <v>4</v>
      </c>
    </row>
    <row r="543" spans="2:20" ht="28">
      <c r="B543" s="5" t="s">
        <v>1293</v>
      </c>
      <c r="C543" s="45" t="s">
        <v>97</v>
      </c>
      <c r="D543" s="45" t="s">
        <v>1294</v>
      </c>
      <c r="E543" s="6" t="s">
        <v>1295</v>
      </c>
      <c r="F543" s="45" t="s">
        <v>104</v>
      </c>
      <c r="G543" s="46">
        <f t="shared" si="64"/>
        <v>40</v>
      </c>
      <c r="H543" s="46">
        <f>TRUNC(S543*(1-LOTE_03!$K$10),2)</f>
        <v>3.29</v>
      </c>
      <c r="I543" s="46">
        <f>TRUNC(T543*(1-LOTE_03!$K$10),2)</f>
        <v>4</v>
      </c>
      <c r="J543" s="100">
        <f t="shared" si="65"/>
        <v>0.22470000000000001</v>
      </c>
      <c r="K543" s="48">
        <f t="shared" si="59"/>
        <v>4.0199999999999996</v>
      </c>
      <c r="L543" s="48">
        <f t="shared" si="60"/>
        <v>4.8899999999999997</v>
      </c>
      <c r="M543" s="48">
        <f t="shared" si="61"/>
        <v>160.80000000000001</v>
      </c>
      <c r="N543" s="48">
        <f t="shared" si="62"/>
        <v>195.6</v>
      </c>
      <c r="O543" s="50">
        <f t="shared" si="63"/>
        <v>356.4</v>
      </c>
      <c r="P543" s="50">
        <v>0</v>
      </c>
      <c r="Q543" s="76"/>
      <c r="R543" s="140">
        <f>2*S9+2*S10</f>
        <v>40</v>
      </c>
      <c r="S543" s="79">
        <v>3.29</v>
      </c>
      <c r="T543" s="80">
        <v>4</v>
      </c>
    </row>
    <row r="544" spans="2:20" ht="70">
      <c r="B544" s="5" t="s">
        <v>1296</v>
      </c>
      <c r="C544" s="45" t="s">
        <v>97</v>
      </c>
      <c r="D544" s="45" t="s">
        <v>1297</v>
      </c>
      <c r="E544" s="6" t="s">
        <v>1298</v>
      </c>
      <c r="F544" s="45" t="s">
        <v>104</v>
      </c>
      <c r="G544" s="46">
        <f t="shared" si="64"/>
        <v>40</v>
      </c>
      <c r="H544" s="46">
        <f>TRUNC(S544*(1-LOTE_03!$K$10),2)</f>
        <v>322.07</v>
      </c>
      <c r="I544" s="46">
        <f>TRUNC(T544*(1-LOTE_03!$K$10),2)</f>
        <v>37.97</v>
      </c>
      <c r="J544" s="100">
        <f t="shared" si="65"/>
        <v>0.22470000000000001</v>
      </c>
      <c r="K544" s="48">
        <f t="shared" si="59"/>
        <v>394.43</v>
      </c>
      <c r="L544" s="48">
        <f t="shared" si="60"/>
        <v>46.5</v>
      </c>
      <c r="M544" s="48">
        <f t="shared" si="61"/>
        <v>15777.2</v>
      </c>
      <c r="N544" s="48">
        <f t="shared" si="62"/>
        <v>1860</v>
      </c>
      <c r="O544" s="50">
        <f t="shared" si="63"/>
        <v>17637.2</v>
      </c>
      <c r="P544" s="50">
        <v>0</v>
      </c>
      <c r="Q544" s="76"/>
      <c r="R544" s="140">
        <f>2*S9+2*S10</f>
        <v>40</v>
      </c>
      <c r="S544" s="79">
        <v>322.07</v>
      </c>
      <c r="T544" s="80">
        <v>37.97</v>
      </c>
    </row>
    <row r="545" spans="2:20" ht="28">
      <c r="B545" s="5" t="s">
        <v>1299</v>
      </c>
      <c r="C545" s="45" t="s">
        <v>97</v>
      </c>
      <c r="D545" s="45" t="s">
        <v>1300</v>
      </c>
      <c r="E545" s="6" t="s">
        <v>1301</v>
      </c>
      <c r="F545" s="45" t="s">
        <v>104</v>
      </c>
      <c r="G545" s="46">
        <f t="shared" si="64"/>
        <v>40</v>
      </c>
      <c r="H545" s="46">
        <f>TRUNC(S545*(1-LOTE_03!$K$10),2)</f>
        <v>77.08</v>
      </c>
      <c r="I545" s="46">
        <f>TRUNC(T545*(1-LOTE_03!$K$10),2)</f>
        <v>28.13</v>
      </c>
      <c r="J545" s="100">
        <f t="shared" si="65"/>
        <v>0.22470000000000001</v>
      </c>
      <c r="K545" s="48">
        <f t="shared" si="59"/>
        <v>94.39</v>
      </c>
      <c r="L545" s="48">
        <f t="shared" si="60"/>
        <v>34.450000000000003</v>
      </c>
      <c r="M545" s="48">
        <f t="shared" si="61"/>
        <v>3775.6</v>
      </c>
      <c r="N545" s="48">
        <f t="shared" si="62"/>
        <v>1378</v>
      </c>
      <c r="O545" s="50">
        <f t="shared" si="63"/>
        <v>5153.6000000000004</v>
      </c>
      <c r="P545" s="50">
        <v>0</v>
      </c>
      <c r="Q545" s="76"/>
      <c r="R545" s="140">
        <f>2*S9+2*S10</f>
        <v>40</v>
      </c>
      <c r="S545" s="79">
        <v>77.08</v>
      </c>
      <c r="T545" s="80">
        <v>28.13</v>
      </c>
    </row>
    <row r="546" spans="2:20" ht="28">
      <c r="B546" s="5" t="s">
        <v>1302</v>
      </c>
      <c r="C546" s="45" t="s">
        <v>97</v>
      </c>
      <c r="D546" s="45" t="s">
        <v>1303</v>
      </c>
      <c r="E546" s="6" t="s">
        <v>1304</v>
      </c>
      <c r="F546" s="45" t="s">
        <v>104</v>
      </c>
      <c r="G546" s="46">
        <f t="shared" si="64"/>
        <v>40</v>
      </c>
      <c r="H546" s="46">
        <f>TRUNC(S546*(1-LOTE_03!$K$10),2)</f>
        <v>73.739999999999995</v>
      </c>
      <c r="I546" s="46">
        <f>TRUNC(T546*(1-LOTE_03!$K$10),2)</f>
        <v>17.940000000000001</v>
      </c>
      <c r="J546" s="100">
        <f t="shared" si="65"/>
        <v>0.22470000000000001</v>
      </c>
      <c r="K546" s="48">
        <f t="shared" si="59"/>
        <v>90.3</v>
      </c>
      <c r="L546" s="48">
        <f t="shared" si="60"/>
        <v>21.97</v>
      </c>
      <c r="M546" s="48">
        <f t="shared" si="61"/>
        <v>3612</v>
      </c>
      <c r="N546" s="48">
        <f t="shared" si="62"/>
        <v>878.8</v>
      </c>
      <c r="O546" s="50">
        <f t="shared" si="63"/>
        <v>4490.8</v>
      </c>
      <c r="P546" s="50">
        <v>0</v>
      </c>
      <c r="Q546" s="76"/>
      <c r="R546" s="140">
        <f>2*S9+2*S10</f>
        <v>40</v>
      </c>
      <c r="S546" s="79">
        <v>73.739999999999995</v>
      </c>
      <c r="T546" s="80">
        <v>17.940000000000001</v>
      </c>
    </row>
    <row r="547" spans="2:20" ht="70">
      <c r="B547" s="5" t="s">
        <v>1305</v>
      </c>
      <c r="C547" s="45" t="s">
        <v>135</v>
      </c>
      <c r="D547" s="45">
        <v>86932</v>
      </c>
      <c r="E547" s="6" t="s">
        <v>1817</v>
      </c>
      <c r="F547" s="45" t="s">
        <v>210</v>
      </c>
      <c r="G547" s="46">
        <f t="shared" si="64"/>
        <v>27</v>
      </c>
      <c r="H547" s="46">
        <f>TRUNC(S547*(1-LOTE_03!$K$10),2)</f>
        <v>530.82000000000005</v>
      </c>
      <c r="I547" s="46">
        <f>TRUNC(T547*(1-LOTE_03!$K$10),2)</f>
        <v>28.88</v>
      </c>
      <c r="J547" s="100">
        <f t="shared" si="65"/>
        <v>0.22470000000000001</v>
      </c>
      <c r="K547" s="48">
        <f t="shared" si="59"/>
        <v>650.09</v>
      </c>
      <c r="L547" s="48">
        <f t="shared" si="60"/>
        <v>35.36</v>
      </c>
      <c r="M547" s="48">
        <f t="shared" si="61"/>
        <v>17552.43</v>
      </c>
      <c r="N547" s="48">
        <f t="shared" si="62"/>
        <v>954.72</v>
      </c>
      <c r="O547" s="50">
        <f t="shared" si="63"/>
        <v>18507.150000000001</v>
      </c>
      <c r="P547" s="50">
        <v>0</v>
      </c>
      <c r="Q547" s="76"/>
      <c r="R547" s="140">
        <f>1*S9+2*S10</f>
        <v>27</v>
      </c>
      <c r="S547" s="79">
        <v>530.82000000000005</v>
      </c>
      <c r="T547" s="80">
        <v>28.88</v>
      </c>
    </row>
    <row r="548" spans="2:20" ht="28">
      <c r="B548" s="5" t="s">
        <v>1306</v>
      </c>
      <c r="C548" s="45" t="s">
        <v>97</v>
      </c>
      <c r="D548" s="45" t="s">
        <v>1307</v>
      </c>
      <c r="E548" s="6" t="s">
        <v>1308</v>
      </c>
      <c r="F548" s="45" t="s">
        <v>104</v>
      </c>
      <c r="G548" s="46">
        <f t="shared" si="64"/>
        <v>40</v>
      </c>
      <c r="H548" s="46">
        <f>TRUNC(S548*(1-LOTE_03!$K$10),2)</f>
        <v>111.52</v>
      </c>
      <c r="I548" s="46">
        <f>TRUNC(T548*(1-LOTE_03!$K$10),2)</f>
        <v>4.59</v>
      </c>
      <c r="J548" s="100">
        <f t="shared" si="65"/>
        <v>0.22470000000000001</v>
      </c>
      <c r="K548" s="48">
        <f t="shared" si="59"/>
        <v>136.57</v>
      </c>
      <c r="L548" s="48">
        <f t="shared" si="60"/>
        <v>5.62</v>
      </c>
      <c r="M548" s="48">
        <f t="shared" si="61"/>
        <v>5462.8</v>
      </c>
      <c r="N548" s="48">
        <f t="shared" si="62"/>
        <v>224.8</v>
      </c>
      <c r="O548" s="50">
        <f t="shared" si="63"/>
        <v>5687.6</v>
      </c>
      <c r="P548" s="50">
        <v>0</v>
      </c>
      <c r="Q548" s="76"/>
      <c r="R548" s="140">
        <f>2*S9+2*S10</f>
        <v>40</v>
      </c>
      <c r="S548" s="79">
        <v>111.52</v>
      </c>
      <c r="T548" s="80">
        <v>4.59</v>
      </c>
    </row>
    <row r="549" spans="2:20" ht="28">
      <c r="B549" s="5" t="s">
        <v>1309</v>
      </c>
      <c r="C549" s="45" t="s">
        <v>97</v>
      </c>
      <c r="D549" s="45" t="s">
        <v>1310</v>
      </c>
      <c r="E549" s="6" t="s">
        <v>1311</v>
      </c>
      <c r="F549" s="45" t="s">
        <v>104</v>
      </c>
      <c r="G549" s="46">
        <f t="shared" si="64"/>
        <v>40</v>
      </c>
      <c r="H549" s="46">
        <f>TRUNC(S549*(1-LOTE_03!$K$10),2)</f>
        <v>371.23</v>
      </c>
      <c r="I549" s="46">
        <f>TRUNC(T549*(1-LOTE_03!$K$10),2)</f>
        <v>4.59</v>
      </c>
      <c r="J549" s="100">
        <f t="shared" si="65"/>
        <v>0.22470000000000001</v>
      </c>
      <c r="K549" s="48">
        <f t="shared" si="59"/>
        <v>454.64</v>
      </c>
      <c r="L549" s="48">
        <f t="shared" si="60"/>
        <v>5.62</v>
      </c>
      <c r="M549" s="48">
        <f t="shared" si="61"/>
        <v>18185.599999999999</v>
      </c>
      <c r="N549" s="48">
        <f t="shared" si="62"/>
        <v>224.8</v>
      </c>
      <c r="O549" s="50">
        <f t="shared" si="63"/>
        <v>18410.400000000001</v>
      </c>
      <c r="P549" s="50">
        <v>0</v>
      </c>
      <c r="Q549" s="76"/>
      <c r="R549" s="140">
        <f>2*S9+2*S10</f>
        <v>40</v>
      </c>
      <c r="S549" s="79">
        <v>371.23</v>
      </c>
      <c r="T549" s="80">
        <v>4.59</v>
      </c>
    </row>
    <row r="550" spans="2:20" ht="56">
      <c r="B550" s="5" t="s">
        <v>1312</v>
      </c>
      <c r="C550" s="45" t="s">
        <v>135</v>
      </c>
      <c r="D550" s="45">
        <v>86903</v>
      </c>
      <c r="E550" s="6" t="s">
        <v>1818</v>
      </c>
      <c r="F550" s="45" t="s">
        <v>210</v>
      </c>
      <c r="G550" s="46">
        <f t="shared" si="64"/>
        <v>27</v>
      </c>
      <c r="H550" s="46">
        <f>TRUNC(S550*(1-LOTE_03!$K$10),2)</f>
        <v>322.13</v>
      </c>
      <c r="I550" s="46">
        <f>TRUNC(T550*(1-LOTE_03!$K$10),2)</f>
        <v>43.5</v>
      </c>
      <c r="J550" s="100">
        <f t="shared" si="65"/>
        <v>0.22470000000000001</v>
      </c>
      <c r="K550" s="48">
        <f t="shared" si="59"/>
        <v>394.51</v>
      </c>
      <c r="L550" s="48">
        <f t="shared" si="60"/>
        <v>53.27</v>
      </c>
      <c r="M550" s="48">
        <f t="shared" si="61"/>
        <v>10651.77</v>
      </c>
      <c r="N550" s="48">
        <f t="shared" si="62"/>
        <v>1438.29</v>
      </c>
      <c r="O550" s="50">
        <f t="shared" si="63"/>
        <v>12090.06</v>
      </c>
      <c r="P550" s="50">
        <v>0</v>
      </c>
      <c r="Q550" s="76"/>
      <c r="R550" s="140">
        <f>1*S9+2*S10</f>
        <v>27</v>
      </c>
      <c r="S550" s="79">
        <v>322.13</v>
      </c>
      <c r="T550" s="80">
        <v>43.5</v>
      </c>
    </row>
    <row r="551" spans="2:20" ht="98">
      <c r="B551" s="5" t="s">
        <v>1313</v>
      </c>
      <c r="C551" s="45" t="s">
        <v>97</v>
      </c>
      <c r="D551" s="45" t="s">
        <v>1314</v>
      </c>
      <c r="E551" s="6" t="s">
        <v>1315</v>
      </c>
      <c r="F551" s="45" t="s">
        <v>104</v>
      </c>
      <c r="G551" s="46">
        <f t="shared" si="64"/>
        <v>27</v>
      </c>
      <c r="H551" s="46">
        <f>TRUNC(S551*(1-LOTE_03!$K$10),2)</f>
        <v>749.98</v>
      </c>
      <c r="I551" s="46">
        <f>TRUNC(T551*(1-LOTE_03!$K$10),2)</f>
        <v>71.52</v>
      </c>
      <c r="J551" s="100">
        <f t="shared" si="65"/>
        <v>0.22470000000000001</v>
      </c>
      <c r="K551" s="48">
        <f t="shared" si="59"/>
        <v>918.5</v>
      </c>
      <c r="L551" s="48">
        <f t="shared" si="60"/>
        <v>87.59</v>
      </c>
      <c r="M551" s="48">
        <f t="shared" si="61"/>
        <v>24799.5</v>
      </c>
      <c r="N551" s="48">
        <f t="shared" si="62"/>
        <v>2364.9299999999998</v>
      </c>
      <c r="O551" s="50">
        <f t="shared" si="63"/>
        <v>27164.43</v>
      </c>
      <c r="P551" s="50">
        <v>0</v>
      </c>
      <c r="Q551" s="76"/>
      <c r="R551" s="140">
        <f>1*S9+2*S10</f>
        <v>27</v>
      </c>
      <c r="S551" s="79">
        <v>749.98</v>
      </c>
      <c r="T551" s="80">
        <v>71.52</v>
      </c>
    </row>
    <row r="552" spans="2:20" ht="56">
      <c r="B552" s="5" t="s">
        <v>1316</v>
      </c>
      <c r="C552" s="45" t="s">
        <v>135</v>
      </c>
      <c r="D552" s="45">
        <v>86904</v>
      </c>
      <c r="E552" s="6" t="s">
        <v>1819</v>
      </c>
      <c r="F552" s="45" t="s">
        <v>210</v>
      </c>
      <c r="G552" s="46">
        <f t="shared" si="64"/>
        <v>27</v>
      </c>
      <c r="H552" s="46">
        <f>TRUNC(S552*(1-LOTE_03!$K$10),2)</f>
        <v>140.66999999999999</v>
      </c>
      <c r="I552" s="46">
        <f>TRUNC(T552*(1-LOTE_03!$K$10),2)</f>
        <v>11.73</v>
      </c>
      <c r="J552" s="100">
        <f t="shared" si="65"/>
        <v>0.22470000000000001</v>
      </c>
      <c r="K552" s="48">
        <f t="shared" si="59"/>
        <v>172.27</v>
      </c>
      <c r="L552" s="48">
        <f t="shared" si="60"/>
        <v>14.36</v>
      </c>
      <c r="M552" s="48">
        <f t="shared" si="61"/>
        <v>4651.29</v>
      </c>
      <c r="N552" s="48">
        <f t="shared" si="62"/>
        <v>387.72</v>
      </c>
      <c r="O552" s="50">
        <f t="shared" si="63"/>
        <v>5039.01</v>
      </c>
      <c r="P552" s="50">
        <v>0</v>
      </c>
      <c r="Q552" s="76"/>
      <c r="R552" s="140">
        <f>1*S9+2*S10</f>
        <v>27</v>
      </c>
      <c r="S552" s="79">
        <v>140.67000000000002</v>
      </c>
      <c r="T552" s="80">
        <v>11.73</v>
      </c>
    </row>
    <row r="553" spans="2:20" ht="56">
      <c r="B553" s="5" t="s">
        <v>1317</v>
      </c>
      <c r="C553" s="45" t="s">
        <v>135</v>
      </c>
      <c r="D553" s="45">
        <v>100858</v>
      </c>
      <c r="E553" s="6" t="s">
        <v>1820</v>
      </c>
      <c r="F553" s="45" t="s">
        <v>210</v>
      </c>
      <c r="G553" s="46">
        <f t="shared" si="64"/>
        <v>27</v>
      </c>
      <c r="H553" s="46">
        <f>TRUNC(S553*(1-LOTE_03!$K$10),2)</f>
        <v>586.62</v>
      </c>
      <c r="I553" s="46">
        <f>TRUNC(T553*(1-LOTE_03!$K$10),2)</f>
        <v>28.34</v>
      </c>
      <c r="J553" s="100">
        <f t="shared" si="65"/>
        <v>0.22470000000000001</v>
      </c>
      <c r="K553" s="48">
        <f t="shared" si="59"/>
        <v>718.43</v>
      </c>
      <c r="L553" s="48">
        <f t="shared" si="60"/>
        <v>34.700000000000003</v>
      </c>
      <c r="M553" s="48">
        <f t="shared" si="61"/>
        <v>19397.61</v>
      </c>
      <c r="N553" s="48">
        <f t="shared" si="62"/>
        <v>936.9</v>
      </c>
      <c r="O553" s="50">
        <f t="shared" si="63"/>
        <v>20334.509999999998</v>
      </c>
      <c r="P553" s="50">
        <v>0</v>
      </c>
      <c r="Q553" s="76"/>
      <c r="R553" s="140">
        <f>1*S9+2*S10</f>
        <v>27</v>
      </c>
      <c r="S553" s="79">
        <v>586.62</v>
      </c>
      <c r="T553" s="80">
        <v>28.34</v>
      </c>
    </row>
    <row r="554" spans="2:20" ht="28">
      <c r="B554" s="5" t="s">
        <v>1318</v>
      </c>
      <c r="C554" s="45" t="s">
        <v>165</v>
      </c>
      <c r="D554" s="45" t="s">
        <v>1319</v>
      </c>
      <c r="E554" s="6" t="s">
        <v>1320</v>
      </c>
      <c r="F554" s="45" t="s">
        <v>168</v>
      </c>
      <c r="G554" s="46">
        <f t="shared" si="64"/>
        <v>15.84</v>
      </c>
      <c r="H554" s="46">
        <f>TRUNC(S554*(1-LOTE_03!$K$10),2)</f>
        <v>502.74</v>
      </c>
      <c r="I554" s="46">
        <f>TRUNC(T554*(1-LOTE_03!$K$10),2)</f>
        <v>81.349999999999994</v>
      </c>
      <c r="J554" s="100">
        <f t="shared" si="65"/>
        <v>0.22470000000000001</v>
      </c>
      <c r="K554" s="48">
        <f t="shared" si="59"/>
        <v>615.70000000000005</v>
      </c>
      <c r="L554" s="48">
        <f t="shared" si="60"/>
        <v>99.62</v>
      </c>
      <c r="M554" s="48">
        <f t="shared" si="61"/>
        <v>9752.68</v>
      </c>
      <c r="N554" s="48">
        <f t="shared" si="62"/>
        <v>1577.98</v>
      </c>
      <c r="O554" s="50">
        <f t="shared" si="63"/>
        <v>11330.66</v>
      </c>
      <c r="P554" s="50">
        <v>0</v>
      </c>
      <c r="Q554" s="76"/>
      <c r="R554" s="140">
        <f>0.4*0.6*4*S9+0.4*0.6*2*S10</f>
        <v>15.84</v>
      </c>
      <c r="S554" s="79">
        <v>502.74</v>
      </c>
      <c r="T554" s="80">
        <v>81.349999999999994</v>
      </c>
    </row>
    <row r="555" spans="2:20" ht="42">
      <c r="B555" s="5" t="s">
        <v>1321</v>
      </c>
      <c r="C555" s="45" t="s">
        <v>135</v>
      </c>
      <c r="D555" s="45">
        <v>95544</v>
      </c>
      <c r="E555" s="6" t="s">
        <v>1821</v>
      </c>
      <c r="F555" s="45" t="s">
        <v>210</v>
      </c>
      <c r="G555" s="46">
        <f t="shared" si="64"/>
        <v>40</v>
      </c>
      <c r="H555" s="46">
        <f>TRUNC(S555*(1-LOTE_03!$K$10),2)</f>
        <v>25.29</v>
      </c>
      <c r="I555" s="46">
        <f>TRUNC(T555*(1-LOTE_03!$K$10),2)</f>
        <v>10.6</v>
      </c>
      <c r="J555" s="100">
        <f t="shared" si="65"/>
        <v>0.22470000000000001</v>
      </c>
      <c r="K555" s="48">
        <f t="shared" si="59"/>
        <v>30.97</v>
      </c>
      <c r="L555" s="48">
        <f t="shared" si="60"/>
        <v>12.98</v>
      </c>
      <c r="M555" s="48">
        <f t="shared" si="61"/>
        <v>1238.8</v>
      </c>
      <c r="N555" s="48">
        <f t="shared" si="62"/>
        <v>519.20000000000005</v>
      </c>
      <c r="O555" s="50">
        <f t="shared" si="63"/>
        <v>1758</v>
      </c>
      <c r="P555" s="50">
        <v>0</v>
      </c>
      <c r="Q555" s="76"/>
      <c r="R555" s="140">
        <f>2*S9+2*S10</f>
        <v>40</v>
      </c>
      <c r="S555" s="79">
        <v>25.29</v>
      </c>
      <c r="T555" s="80">
        <v>10.6</v>
      </c>
    </row>
    <row r="556" spans="2:20" ht="28">
      <c r="B556" s="5" t="s">
        <v>1322</v>
      </c>
      <c r="C556" s="45" t="s">
        <v>97</v>
      </c>
      <c r="D556" s="45" t="s">
        <v>1323</v>
      </c>
      <c r="E556" s="6" t="s">
        <v>1324</v>
      </c>
      <c r="F556" s="45" t="s">
        <v>104</v>
      </c>
      <c r="G556" s="46">
        <f t="shared" si="64"/>
        <v>40</v>
      </c>
      <c r="H556" s="46">
        <f>TRUNC(S556*(1-LOTE_03!$K$10),2)</f>
        <v>55.6</v>
      </c>
      <c r="I556" s="46">
        <f>TRUNC(T556*(1-LOTE_03!$K$10),2)</f>
        <v>4</v>
      </c>
      <c r="J556" s="100">
        <f t="shared" si="65"/>
        <v>0.22470000000000001</v>
      </c>
      <c r="K556" s="48">
        <f t="shared" si="59"/>
        <v>68.09</v>
      </c>
      <c r="L556" s="48">
        <f t="shared" si="60"/>
        <v>4.8899999999999997</v>
      </c>
      <c r="M556" s="48">
        <f t="shared" si="61"/>
        <v>2723.6</v>
      </c>
      <c r="N556" s="48">
        <f t="shared" si="62"/>
        <v>195.6</v>
      </c>
      <c r="O556" s="50">
        <f t="shared" si="63"/>
        <v>2919.2</v>
      </c>
      <c r="P556" s="50">
        <v>0</v>
      </c>
      <c r="Q556" s="76"/>
      <c r="R556" s="140">
        <f>2*S9+2*S10</f>
        <v>40</v>
      </c>
      <c r="S556" s="79">
        <v>55.6</v>
      </c>
      <c r="T556" s="80">
        <v>4</v>
      </c>
    </row>
    <row r="557" spans="2:20" ht="42">
      <c r="B557" s="5" t="s">
        <v>1325</v>
      </c>
      <c r="C557" s="45" t="s">
        <v>97</v>
      </c>
      <c r="D557" s="45" t="s">
        <v>1326</v>
      </c>
      <c r="E557" s="6" t="s">
        <v>1327</v>
      </c>
      <c r="F557" s="45" t="s">
        <v>104</v>
      </c>
      <c r="G557" s="46">
        <f t="shared" si="64"/>
        <v>40</v>
      </c>
      <c r="H557" s="46">
        <f>TRUNC(S557*(1-LOTE_03!$K$10),2)</f>
        <v>55.6</v>
      </c>
      <c r="I557" s="46">
        <f>TRUNC(T557*(1-LOTE_03!$K$10),2)</f>
        <v>4</v>
      </c>
      <c r="J557" s="100">
        <f t="shared" si="65"/>
        <v>0.22470000000000001</v>
      </c>
      <c r="K557" s="48">
        <f t="shared" si="59"/>
        <v>68.09</v>
      </c>
      <c r="L557" s="48">
        <f t="shared" si="60"/>
        <v>4.8899999999999997</v>
      </c>
      <c r="M557" s="48">
        <f t="shared" si="61"/>
        <v>2723.6</v>
      </c>
      <c r="N557" s="48">
        <f t="shared" si="62"/>
        <v>195.6</v>
      </c>
      <c r="O557" s="50">
        <f t="shared" si="63"/>
        <v>2919.2</v>
      </c>
      <c r="P557" s="50">
        <v>0</v>
      </c>
      <c r="Q557" s="76"/>
      <c r="R557" s="140">
        <f>2*S9+2*S10</f>
        <v>40</v>
      </c>
      <c r="S557" s="79">
        <v>55.6</v>
      </c>
      <c r="T557" s="80">
        <v>4</v>
      </c>
    </row>
    <row r="558" spans="2:20" ht="56">
      <c r="B558" s="5" t="s">
        <v>1328</v>
      </c>
      <c r="C558" s="45" t="s">
        <v>135</v>
      </c>
      <c r="D558" s="45">
        <v>95547</v>
      </c>
      <c r="E558" s="6" t="s">
        <v>1822</v>
      </c>
      <c r="F558" s="45" t="s">
        <v>210</v>
      </c>
      <c r="G558" s="46">
        <f t="shared" si="64"/>
        <v>40</v>
      </c>
      <c r="H558" s="46">
        <f>TRUNC(S558*(1-LOTE_03!$K$10),2)</f>
        <v>54.92</v>
      </c>
      <c r="I558" s="46">
        <f>TRUNC(T558*(1-LOTE_03!$K$10),2)</f>
        <v>10.45</v>
      </c>
      <c r="J558" s="100">
        <f t="shared" si="65"/>
        <v>0.22470000000000001</v>
      </c>
      <c r="K558" s="48">
        <f t="shared" si="59"/>
        <v>67.260000000000005</v>
      </c>
      <c r="L558" s="48">
        <f t="shared" si="60"/>
        <v>12.79</v>
      </c>
      <c r="M558" s="48">
        <f t="shared" si="61"/>
        <v>2690.4</v>
      </c>
      <c r="N558" s="48">
        <f t="shared" si="62"/>
        <v>511.6</v>
      </c>
      <c r="O558" s="50">
        <f t="shared" si="63"/>
        <v>3202</v>
      </c>
      <c r="P558" s="50">
        <v>0</v>
      </c>
      <c r="Q558" s="76"/>
      <c r="R558" s="140">
        <f>2*S9+2*S10</f>
        <v>40</v>
      </c>
      <c r="S558" s="79">
        <v>54.92</v>
      </c>
      <c r="T558" s="80">
        <v>10.45</v>
      </c>
    </row>
    <row r="559" spans="2:20" ht="42">
      <c r="B559" s="5" t="s">
        <v>1329</v>
      </c>
      <c r="C559" s="45" t="s">
        <v>135</v>
      </c>
      <c r="D559" s="45">
        <v>95545</v>
      </c>
      <c r="E559" s="6" t="s">
        <v>1823</v>
      </c>
      <c r="F559" s="45" t="s">
        <v>210</v>
      </c>
      <c r="G559" s="46">
        <f t="shared" si="64"/>
        <v>40</v>
      </c>
      <c r="H559" s="46">
        <f>TRUNC(S559*(1-LOTE_03!$K$10),2)</f>
        <v>24.76</v>
      </c>
      <c r="I559" s="46">
        <f>TRUNC(T559*(1-LOTE_03!$K$10),2)</f>
        <v>10.61</v>
      </c>
      <c r="J559" s="100">
        <f t="shared" si="65"/>
        <v>0.22470000000000001</v>
      </c>
      <c r="K559" s="48">
        <f t="shared" si="59"/>
        <v>30.32</v>
      </c>
      <c r="L559" s="48">
        <f t="shared" si="60"/>
        <v>12.99</v>
      </c>
      <c r="M559" s="48">
        <f t="shared" si="61"/>
        <v>1212.8</v>
      </c>
      <c r="N559" s="48">
        <f t="shared" si="62"/>
        <v>519.6</v>
      </c>
      <c r="O559" s="50">
        <f t="shared" si="63"/>
        <v>1732.4</v>
      </c>
      <c r="P559" s="50">
        <v>0</v>
      </c>
      <c r="Q559" s="76"/>
      <c r="R559" s="140">
        <f>2*S9+2*S10</f>
        <v>40</v>
      </c>
      <c r="S559" s="79">
        <v>24.759999999999998</v>
      </c>
      <c r="T559" s="80">
        <v>10.61</v>
      </c>
    </row>
    <row r="560" spans="2:20" ht="28">
      <c r="B560" s="5" t="s">
        <v>1330</v>
      </c>
      <c r="C560" s="45" t="s">
        <v>165</v>
      </c>
      <c r="D560" s="45" t="s">
        <v>1331</v>
      </c>
      <c r="E560" s="6" t="s">
        <v>1332</v>
      </c>
      <c r="F560" s="45" t="s">
        <v>559</v>
      </c>
      <c r="G560" s="46">
        <f t="shared" si="64"/>
        <v>40</v>
      </c>
      <c r="H560" s="46">
        <f>TRUNC(S560*(1-LOTE_03!$K$10),2)</f>
        <v>453.77</v>
      </c>
      <c r="I560" s="46">
        <f>TRUNC(T560*(1-LOTE_03!$K$10),2)</f>
        <v>19.260000000000002</v>
      </c>
      <c r="J560" s="100">
        <f t="shared" si="65"/>
        <v>0.22470000000000001</v>
      </c>
      <c r="K560" s="48">
        <f t="shared" si="59"/>
        <v>555.73</v>
      </c>
      <c r="L560" s="48">
        <f t="shared" si="60"/>
        <v>23.58</v>
      </c>
      <c r="M560" s="48">
        <f t="shared" si="61"/>
        <v>22229.200000000001</v>
      </c>
      <c r="N560" s="48">
        <f t="shared" si="62"/>
        <v>943.2</v>
      </c>
      <c r="O560" s="50">
        <f t="shared" si="63"/>
        <v>23172.400000000001</v>
      </c>
      <c r="P560" s="50">
        <v>0</v>
      </c>
      <c r="Q560" s="76"/>
      <c r="R560" s="140">
        <f>2*S9+2*S10</f>
        <v>40</v>
      </c>
      <c r="S560" s="79">
        <v>453.77</v>
      </c>
      <c r="T560" s="80">
        <v>19.260000000000002</v>
      </c>
    </row>
    <row r="561" spans="2:20" ht="42">
      <c r="B561" s="5" t="s">
        <v>1333</v>
      </c>
      <c r="C561" s="45" t="s">
        <v>97</v>
      </c>
      <c r="D561" s="45" t="s">
        <v>1354</v>
      </c>
      <c r="E561" s="6" t="s">
        <v>1355</v>
      </c>
      <c r="F561" s="45" t="s">
        <v>104</v>
      </c>
      <c r="G561" s="46">
        <f t="shared" si="64"/>
        <v>40</v>
      </c>
      <c r="H561" s="46">
        <f>TRUNC(S561*(1-LOTE_03!$K$10),2)</f>
        <v>46.91</v>
      </c>
      <c r="I561" s="46">
        <f>TRUNC(T561*(1-LOTE_03!$K$10),2)</f>
        <v>12.26</v>
      </c>
      <c r="J561" s="100">
        <f t="shared" si="65"/>
        <v>0.22470000000000001</v>
      </c>
      <c r="K561" s="48">
        <f t="shared" si="59"/>
        <v>57.45</v>
      </c>
      <c r="L561" s="48">
        <f t="shared" si="60"/>
        <v>15.01</v>
      </c>
      <c r="M561" s="48">
        <f t="shared" si="61"/>
        <v>2298</v>
      </c>
      <c r="N561" s="48">
        <f t="shared" si="62"/>
        <v>600.4</v>
      </c>
      <c r="O561" s="50">
        <f t="shared" si="63"/>
        <v>2898.4</v>
      </c>
      <c r="P561" s="50">
        <v>0</v>
      </c>
      <c r="Q561" s="76"/>
      <c r="R561" s="140">
        <f>2*S9+2*S10</f>
        <v>40</v>
      </c>
      <c r="S561" s="79">
        <v>46.91</v>
      </c>
      <c r="T561" s="80">
        <v>12.26</v>
      </c>
    </row>
    <row r="562" spans="2:20" ht="42">
      <c r="B562" s="5" t="s">
        <v>1334</v>
      </c>
      <c r="C562" s="45" t="s">
        <v>135</v>
      </c>
      <c r="D562" s="45">
        <v>95546</v>
      </c>
      <c r="E562" s="6" t="s">
        <v>1824</v>
      </c>
      <c r="F562" s="45" t="s">
        <v>210</v>
      </c>
      <c r="G562" s="46">
        <f t="shared" si="64"/>
        <v>40</v>
      </c>
      <c r="H562" s="46">
        <f>TRUNC(S562*(1-LOTE_03!$K$10),2)</f>
        <v>78.22</v>
      </c>
      <c r="I562" s="46">
        <f>TRUNC(T562*(1-LOTE_03!$K$10),2)</f>
        <v>65.959999999999994</v>
      </c>
      <c r="J562" s="100">
        <f t="shared" si="65"/>
        <v>0.22470000000000001</v>
      </c>
      <c r="K562" s="48">
        <f t="shared" si="59"/>
        <v>95.79</v>
      </c>
      <c r="L562" s="48">
        <f t="shared" si="60"/>
        <v>80.78</v>
      </c>
      <c r="M562" s="48">
        <f t="shared" si="61"/>
        <v>3831.6</v>
      </c>
      <c r="N562" s="48">
        <f t="shared" si="62"/>
        <v>3231.2</v>
      </c>
      <c r="O562" s="50">
        <f t="shared" si="63"/>
        <v>7062.8</v>
      </c>
      <c r="P562" s="50">
        <v>0</v>
      </c>
      <c r="Q562" s="76"/>
      <c r="R562" s="140">
        <f>2*S9+2*S10</f>
        <v>40</v>
      </c>
      <c r="S562" s="79">
        <v>78.220000000000013</v>
      </c>
      <c r="T562" s="80">
        <v>65.959999999999994</v>
      </c>
    </row>
    <row r="563" spans="2:20" ht="42">
      <c r="B563" s="5" t="s">
        <v>1335</v>
      </c>
      <c r="C563" s="45" t="s">
        <v>97</v>
      </c>
      <c r="D563" s="45" t="s">
        <v>1336</v>
      </c>
      <c r="E563" s="6" t="s">
        <v>1337</v>
      </c>
      <c r="F563" s="45" t="s">
        <v>104</v>
      </c>
      <c r="G563" s="46">
        <f t="shared" si="64"/>
        <v>40</v>
      </c>
      <c r="H563" s="46">
        <f>TRUNC(S563*(1-LOTE_03!$K$10),2)</f>
        <v>69.19</v>
      </c>
      <c r="I563" s="46">
        <f>TRUNC(T563*(1-LOTE_03!$K$10),2)</f>
        <v>4</v>
      </c>
      <c r="J563" s="100">
        <f t="shared" si="65"/>
        <v>0.22470000000000001</v>
      </c>
      <c r="K563" s="48">
        <f t="shared" si="59"/>
        <v>84.73</v>
      </c>
      <c r="L563" s="48">
        <f t="shared" si="60"/>
        <v>4.8899999999999997</v>
      </c>
      <c r="M563" s="48">
        <f t="shared" si="61"/>
        <v>3389.2</v>
      </c>
      <c r="N563" s="48">
        <f t="shared" si="62"/>
        <v>195.6</v>
      </c>
      <c r="O563" s="50">
        <f t="shared" si="63"/>
        <v>3584.8</v>
      </c>
      <c r="P563" s="50">
        <v>0</v>
      </c>
      <c r="Q563" s="76"/>
      <c r="R563" s="140">
        <f>2*S9+2*S10</f>
        <v>40</v>
      </c>
      <c r="S563" s="79">
        <v>69.19</v>
      </c>
      <c r="T563" s="80">
        <v>4</v>
      </c>
    </row>
    <row r="564" spans="2:20" ht="28">
      <c r="B564" s="5" t="s">
        <v>1338</v>
      </c>
      <c r="C564" s="45" t="s">
        <v>97</v>
      </c>
      <c r="D564" s="45" t="s">
        <v>1339</v>
      </c>
      <c r="E564" s="6" t="s">
        <v>1340</v>
      </c>
      <c r="F564" s="45" t="s">
        <v>104</v>
      </c>
      <c r="G564" s="46">
        <f t="shared" si="64"/>
        <v>40</v>
      </c>
      <c r="H564" s="46">
        <f>TRUNC(S564*(1-LOTE_03!$K$10),2)</f>
        <v>17.04</v>
      </c>
      <c r="I564" s="46">
        <f>TRUNC(T564*(1-LOTE_03!$K$10),2)</f>
        <v>4</v>
      </c>
      <c r="J564" s="100">
        <f t="shared" si="65"/>
        <v>0.22470000000000001</v>
      </c>
      <c r="K564" s="48">
        <f t="shared" si="59"/>
        <v>20.86</v>
      </c>
      <c r="L564" s="48">
        <f t="shared" si="60"/>
        <v>4.8899999999999997</v>
      </c>
      <c r="M564" s="48">
        <f t="shared" si="61"/>
        <v>834.4</v>
      </c>
      <c r="N564" s="48">
        <f t="shared" si="62"/>
        <v>195.6</v>
      </c>
      <c r="O564" s="50">
        <f t="shared" si="63"/>
        <v>1030</v>
      </c>
      <c r="P564" s="50">
        <v>0</v>
      </c>
      <c r="Q564" s="76"/>
      <c r="R564" s="140">
        <f>2*S9+2*S10</f>
        <v>40</v>
      </c>
      <c r="S564" s="79">
        <v>17.04</v>
      </c>
      <c r="T564" s="80">
        <v>4</v>
      </c>
    </row>
    <row r="565" spans="2:20" ht="28">
      <c r="B565" s="5" t="s">
        <v>1341</v>
      </c>
      <c r="C565" s="45" t="s">
        <v>97</v>
      </c>
      <c r="D565" s="45" t="s">
        <v>1342</v>
      </c>
      <c r="E565" s="6" t="s">
        <v>1343</v>
      </c>
      <c r="F565" s="45" t="s">
        <v>104</v>
      </c>
      <c r="G565" s="46">
        <f t="shared" si="64"/>
        <v>27</v>
      </c>
      <c r="H565" s="46">
        <f>TRUNC(S565*(1-LOTE_03!$K$10),2)</f>
        <v>90.25</v>
      </c>
      <c r="I565" s="46">
        <f>TRUNC(T565*(1-LOTE_03!$K$10),2)</f>
        <v>13.35</v>
      </c>
      <c r="J565" s="100">
        <f t="shared" si="65"/>
        <v>0.22470000000000001</v>
      </c>
      <c r="K565" s="48">
        <f t="shared" si="59"/>
        <v>110.52</v>
      </c>
      <c r="L565" s="48">
        <f t="shared" si="60"/>
        <v>16.34</v>
      </c>
      <c r="M565" s="48">
        <f t="shared" si="61"/>
        <v>2984.04</v>
      </c>
      <c r="N565" s="48">
        <f t="shared" si="62"/>
        <v>441.18</v>
      </c>
      <c r="O565" s="50">
        <f t="shared" si="63"/>
        <v>3425.22</v>
      </c>
      <c r="P565" s="50">
        <v>0</v>
      </c>
      <c r="Q565" s="76"/>
      <c r="R565" s="140">
        <f>1*S9+2*S10</f>
        <v>27</v>
      </c>
      <c r="S565" s="79">
        <v>90.25</v>
      </c>
      <c r="T565" s="80">
        <v>13.35</v>
      </c>
    </row>
    <row r="566" spans="2:20" ht="70">
      <c r="B566" s="5" t="s">
        <v>1344</v>
      </c>
      <c r="C566" s="45" t="s">
        <v>135</v>
      </c>
      <c r="D566" s="45">
        <v>86909</v>
      </c>
      <c r="E566" s="6" t="s">
        <v>1825</v>
      </c>
      <c r="F566" s="45" t="s">
        <v>210</v>
      </c>
      <c r="G566" s="46">
        <f t="shared" si="64"/>
        <v>20</v>
      </c>
      <c r="H566" s="46">
        <f>TRUNC(S566*(1-LOTE_03!$K$10),2)</f>
        <v>141.4</v>
      </c>
      <c r="I566" s="46">
        <f>TRUNC(T566*(1-LOTE_03!$K$10),2)</f>
        <v>4.6500000000000004</v>
      </c>
      <c r="J566" s="100">
        <f t="shared" si="65"/>
        <v>0.22470000000000001</v>
      </c>
      <c r="K566" s="48">
        <f t="shared" si="59"/>
        <v>173.17</v>
      </c>
      <c r="L566" s="48">
        <f t="shared" si="60"/>
        <v>5.69</v>
      </c>
      <c r="M566" s="48">
        <f t="shared" si="61"/>
        <v>3463.4</v>
      </c>
      <c r="N566" s="48">
        <f t="shared" si="62"/>
        <v>113.8</v>
      </c>
      <c r="O566" s="50">
        <f t="shared" si="63"/>
        <v>3577.2</v>
      </c>
      <c r="P566" s="50">
        <v>0</v>
      </c>
      <c r="Q566" s="76"/>
      <c r="R566" s="140">
        <f>1*S9+1*S10</f>
        <v>20</v>
      </c>
      <c r="S566" s="79">
        <v>141.4</v>
      </c>
      <c r="T566" s="80">
        <v>4.6500000000000004</v>
      </c>
    </row>
    <row r="567" spans="2:20" ht="70">
      <c r="B567" s="5" t="s">
        <v>1345</v>
      </c>
      <c r="C567" s="45" t="s">
        <v>135</v>
      </c>
      <c r="D567" s="45">
        <v>86910</v>
      </c>
      <c r="E567" s="6" t="s">
        <v>1826</v>
      </c>
      <c r="F567" s="45" t="s">
        <v>210</v>
      </c>
      <c r="G567" s="46">
        <f t="shared" si="64"/>
        <v>20</v>
      </c>
      <c r="H567" s="46">
        <f>TRUNC(S567*(1-LOTE_03!$K$10),2)</f>
        <v>140.29</v>
      </c>
      <c r="I567" s="46">
        <f>TRUNC(T567*(1-LOTE_03!$K$10),2)</f>
        <v>3.25</v>
      </c>
      <c r="J567" s="100">
        <f t="shared" si="65"/>
        <v>0.22470000000000001</v>
      </c>
      <c r="K567" s="48">
        <f t="shared" si="59"/>
        <v>171.81</v>
      </c>
      <c r="L567" s="48">
        <f t="shared" si="60"/>
        <v>3.98</v>
      </c>
      <c r="M567" s="48">
        <f t="shared" si="61"/>
        <v>3436.2</v>
      </c>
      <c r="N567" s="48">
        <f t="shared" si="62"/>
        <v>79.599999999999994</v>
      </c>
      <c r="O567" s="50">
        <f t="shared" si="63"/>
        <v>3515.8</v>
      </c>
      <c r="P567" s="50">
        <v>0</v>
      </c>
      <c r="Q567" s="76"/>
      <c r="R567" s="140">
        <f>1*S9+1*S10</f>
        <v>20</v>
      </c>
      <c r="S567" s="79">
        <v>140.29</v>
      </c>
      <c r="T567" s="80">
        <v>3.25</v>
      </c>
    </row>
    <row r="568" spans="2:20" ht="42">
      <c r="B568" s="5" t="s">
        <v>1346</v>
      </c>
      <c r="C568" s="45" t="s">
        <v>135</v>
      </c>
      <c r="D568" s="45">
        <v>100853</v>
      </c>
      <c r="E568" s="6" t="s">
        <v>1827</v>
      </c>
      <c r="F568" s="45" t="s">
        <v>210</v>
      </c>
      <c r="G568" s="46">
        <f t="shared" si="64"/>
        <v>20</v>
      </c>
      <c r="H568" s="46">
        <f>TRUNC(S568*(1-LOTE_03!$K$10),2)</f>
        <v>373.48</v>
      </c>
      <c r="I568" s="46">
        <f>TRUNC(T568*(1-LOTE_03!$K$10),2)</f>
        <v>12.94</v>
      </c>
      <c r="J568" s="100">
        <f t="shared" si="65"/>
        <v>0.22470000000000001</v>
      </c>
      <c r="K568" s="48">
        <f t="shared" si="59"/>
        <v>457.4</v>
      </c>
      <c r="L568" s="48">
        <f t="shared" si="60"/>
        <v>15.84</v>
      </c>
      <c r="M568" s="48">
        <f t="shared" si="61"/>
        <v>9148</v>
      </c>
      <c r="N568" s="48">
        <f t="shared" si="62"/>
        <v>316.8</v>
      </c>
      <c r="O568" s="50">
        <f t="shared" si="63"/>
        <v>9464.7999999999993</v>
      </c>
      <c r="P568" s="50">
        <v>0</v>
      </c>
      <c r="Q568" s="76"/>
      <c r="R568" s="140">
        <f>1*S9+1*S10</f>
        <v>20</v>
      </c>
      <c r="S568" s="79">
        <v>373.48</v>
      </c>
      <c r="T568" s="80">
        <v>12.94</v>
      </c>
    </row>
    <row r="569" spans="2:20" ht="70">
      <c r="B569" s="5" t="s">
        <v>1347</v>
      </c>
      <c r="C569" s="45" t="s">
        <v>97</v>
      </c>
      <c r="D569" s="45" t="s">
        <v>1348</v>
      </c>
      <c r="E569" s="6" t="s">
        <v>1349</v>
      </c>
      <c r="F569" s="45" t="s">
        <v>104</v>
      </c>
      <c r="G569" s="46">
        <f t="shared" si="64"/>
        <v>27</v>
      </c>
      <c r="H569" s="46">
        <f>TRUNC(S569*(1-LOTE_03!$K$10),2)</f>
        <v>208.86</v>
      </c>
      <c r="I569" s="46">
        <f>TRUNC(T569*(1-LOTE_03!$K$10),2)</f>
        <v>3.08</v>
      </c>
      <c r="J569" s="100">
        <f t="shared" si="65"/>
        <v>0.22470000000000001</v>
      </c>
      <c r="K569" s="48">
        <f t="shared" si="59"/>
        <v>255.79</v>
      </c>
      <c r="L569" s="48">
        <f t="shared" si="60"/>
        <v>3.77</v>
      </c>
      <c r="M569" s="48">
        <f t="shared" si="61"/>
        <v>6906.33</v>
      </c>
      <c r="N569" s="48">
        <f t="shared" si="62"/>
        <v>101.79</v>
      </c>
      <c r="O569" s="50">
        <f t="shared" si="63"/>
        <v>7008.12</v>
      </c>
      <c r="P569" s="50">
        <v>0</v>
      </c>
      <c r="Q569" s="76"/>
      <c r="R569" s="140">
        <f>1*S9+2*S10</f>
        <v>27</v>
      </c>
      <c r="S569" s="79">
        <v>208.86</v>
      </c>
      <c r="T569" s="80">
        <v>3.08</v>
      </c>
    </row>
    <row r="570" spans="2:20" ht="42">
      <c r="B570" s="5" t="s">
        <v>1350</v>
      </c>
      <c r="C570" s="45" t="s">
        <v>165</v>
      </c>
      <c r="D570" s="45" t="s">
        <v>1351</v>
      </c>
      <c r="E570" s="6" t="s">
        <v>1352</v>
      </c>
      <c r="F570" s="45" t="s">
        <v>559</v>
      </c>
      <c r="G570" s="46">
        <f t="shared" si="64"/>
        <v>40</v>
      </c>
      <c r="H570" s="46">
        <f>TRUNC(S570*(1-LOTE_03!$K$10),2)</f>
        <v>358.04</v>
      </c>
      <c r="I570" s="46">
        <f>TRUNC(T570*(1-LOTE_03!$K$10),2)</f>
        <v>77.03</v>
      </c>
      <c r="J570" s="100">
        <f t="shared" si="65"/>
        <v>0.22470000000000001</v>
      </c>
      <c r="K570" s="48">
        <f t="shared" si="59"/>
        <v>438.49</v>
      </c>
      <c r="L570" s="48">
        <f t="shared" si="60"/>
        <v>94.33</v>
      </c>
      <c r="M570" s="48">
        <f t="shared" si="61"/>
        <v>17539.599999999999</v>
      </c>
      <c r="N570" s="48">
        <f t="shared" si="62"/>
        <v>3773.2</v>
      </c>
      <c r="O570" s="50">
        <f t="shared" si="63"/>
        <v>21312.799999999999</v>
      </c>
      <c r="P570" s="50">
        <v>0</v>
      </c>
      <c r="Q570" s="76"/>
      <c r="R570" s="140">
        <f>2*S9+2*S10</f>
        <v>40</v>
      </c>
      <c r="S570" s="79">
        <v>358.04</v>
      </c>
      <c r="T570" s="80">
        <v>77.03</v>
      </c>
    </row>
    <row r="571" spans="2:20" ht="42">
      <c r="B571" s="5" t="s">
        <v>1353</v>
      </c>
      <c r="C571" s="45" t="s">
        <v>97</v>
      </c>
      <c r="D571" s="45" t="s">
        <v>1354</v>
      </c>
      <c r="E571" s="6" t="s">
        <v>1355</v>
      </c>
      <c r="F571" s="45" t="s">
        <v>104</v>
      </c>
      <c r="G571" s="46">
        <f t="shared" si="64"/>
        <v>27</v>
      </c>
      <c r="H571" s="46">
        <f>TRUNC(S571*(1-LOTE_03!$K$10),2)</f>
        <v>46.91</v>
      </c>
      <c r="I571" s="46">
        <f>TRUNC(T571*(1-LOTE_03!$K$10),2)</f>
        <v>12.26</v>
      </c>
      <c r="J571" s="100">
        <f t="shared" si="65"/>
        <v>0.22470000000000001</v>
      </c>
      <c r="K571" s="48">
        <f t="shared" si="59"/>
        <v>57.45</v>
      </c>
      <c r="L571" s="48">
        <f t="shared" si="60"/>
        <v>15.01</v>
      </c>
      <c r="M571" s="48">
        <f t="shared" si="61"/>
        <v>1551.15</v>
      </c>
      <c r="N571" s="48">
        <f t="shared" si="62"/>
        <v>405.27</v>
      </c>
      <c r="O571" s="50">
        <f t="shared" si="63"/>
        <v>1956.42</v>
      </c>
      <c r="P571" s="50">
        <v>0</v>
      </c>
      <c r="Q571" s="76"/>
      <c r="R571" s="140">
        <f>1*S9+2*S10</f>
        <v>27</v>
      </c>
      <c r="S571" s="79">
        <v>46.91</v>
      </c>
      <c r="T571" s="80">
        <v>12.26</v>
      </c>
    </row>
    <row r="572" spans="2:20" ht="56">
      <c r="B572" s="5" t="s">
        <v>1356</v>
      </c>
      <c r="C572" s="45" t="s">
        <v>135</v>
      </c>
      <c r="D572" s="45">
        <v>86877</v>
      </c>
      <c r="E572" s="6" t="s">
        <v>1828</v>
      </c>
      <c r="F572" s="45" t="s">
        <v>210</v>
      </c>
      <c r="G572" s="46">
        <f t="shared" si="64"/>
        <v>10</v>
      </c>
      <c r="H572" s="46">
        <f>TRUNC(S572*(1-LOTE_03!$K$10),2)</f>
        <v>56.07</v>
      </c>
      <c r="I572" s="46">
        <f>TRUNC(T572*(1-LOTE_03!$K$10),2)</f>
        <v>4.58</v>
      </c>
      <c r="J572" s="100">
        <f t="shared" si="65"/>
        <v>0.22470000000000001</v>
      </c>
      <c r="K572" s="48">
        <f t="shared" si="59"/>
        <v>68.66</v>
      </c>
      <c r="L572" s="48">
        <f t="shared" si="60"/>
        <v>5.6</v>
      </c>
      <c r="M572" s="48">
        <f t="shared" si="61"/>
        <v>686.6</v>
      </c>
      <c r="N572" s="48">
        <f t="shared" si="62"/>
        <v>56</v>
      </c>
      <c r="O572" s="50">
        <f t="shared" si="63"/>
        <v>742.6</v>
      </c>
      <c r="P572" s="50">
        <v>0</v>
      </c>
      <c r="Q572" s="76"/>
      <c r="R572" s="140">
        <f>IF((1*S9+1*S10)&gt;10,10,(1*S9+1*S10))</f>
        <v>10</v>
      </c>
      <c r="S572" s="79">
        <v>56.07</v>
      </c>
      <c r="T572" s="80">
        <v>4.58</v>
      </c>
    </row>
    <row r="573" spans="2:20" ht="56">
      <c r="B573" s="5" t="s">
        <v>1357</v>
      </c>
      <c r="C573" s="45" t="s">
        <v>135</v>
      </c>
      <c r="D573" s="45">
        <v>86878</v>
      </c>
      <c r="E573" s="6" t="s">
        <v>1829</v>
      </c>
      <c r="F573" s="45" t="s">
        <v>210</v>
      </c>
      <c r="G573" s="46">
        <f t="shared" si="64"/>
        <v>10</v>
      </c>
      <c r="H573" s="46">
        <f>TRUNC(S573*(1-LOTE_03!$K$10),2)</f>
        <v>60.66</v>
      </c>
      <c r="I573" s="46">
        <f>TRUNC(T573*(1-LOTE_03!$K$10),2)</f>
        <v>4.57</v>
      </c>
      <c r="J573" s="100">
        <f t="shared" si="65"/>
        <v>0.22470000000000001</v>
      </c>
      <c r="K573" s="48">
        <f t="shared" si="59"/>
        <v>74.290000000000006</v>
      </c>
      <c r="L573" s="48">
        <f t="shared" si="60"/>
        <v>5.59</v>
      </c>
      <c r="M573" s="48">
        <f t="shared" si="61"/>
        <v>742.9</v>
      </c>
      <c r="N573" s="48">
        <f t="shared" si="62"/>
        <v>55.9</v>
      </c>
      <c r="O573" s="50">
        <f t="shared" si="63"/>
        <v>798.8</v>
      </c>
      <c r="P573" s="50">
        <v>0</v>
      </c>
      <c r="Q573" s="76"/>
      <c r="R573" s="140">
        <f>IF((1*S9+1*S10)&gt;10,10,(1*S9+1*S10))</f>
        <v>10</v>
      </c>
      <c r="S573" s="79">
        <v>60.660000000000004</v>
      </c>
      <c r="T573" s="80">
        <v>4.57</v>
      </c>
    </row>
    <row r="574" spans="2:20" ht="42">
      <c r="B574" s="5" t="s">
        <v>1358</v>
      </c>
      <c r="C574" s="45" t="s">
        <v>135</v>
      </c>
      <c r="D574" s="45">
        <v>86886</v>
      </c>
      <c r="E574" s="6" t="s">
        <v>1816</v>
      </c>
      <c r="F574" s="45" t="s">
        <v>210</v>
      </c>
      <c r="G574" s="46">
        <f t="shared" si="64"/>
        <v>40</v>
      </c>
      <c r="H574" s="46">
        <f>TRUNC(S574*(1-LOTE_03!$K$10),2)</f>
        <v>41.06</v>
      </c>
      <c r="I574" s="46">
        <f>TRUNC(T574*(1-LOTE_03!$K$10),2)</f>
        <v>4.0199999999999996</v>
      </c>
      <c r="J574" s="100">
        <f t="shared" si="65"/>
        <v>0.22470000000000001</v>
      </c>
      <c r="K574" s="48">
        <f t="shared" si="59"/>
        <v>50.28</v>
      </c>
      <c r="L574" s="48">
        <f t="shared" si="60"/>
        <v>4.92</v>
      </c>
      <c r="M574" s="48">
        <f t="shared" si="61"/>
        <v>2011.2</v>
      </c>
      <c r="N574" s="48">
        <f t="shared" si="62"/>
        <v>196.8</v>
      </c>
      <c r="O574" s="50">
        <f t="shared" si="63"/>
        <v>2208</v>
      </c>
      <c r="P574" s="50">
        <v>0</v>
      </c>
      <c r="Q574" s="76"/>
      <c r="R574" s="140">
        <f>2*S9+2*S10</f>
        <v>40</v>
      </c>
      <c r="S574" s="79">
        <v>41.06</v>
      </c>
      <c r="T574" s="80">
        <v>4.0199999999999996</v>
      </c>
    </row>
    <row r="575" spans="2:20" ht="42">
      <c r="B575" s="5" t="s">
        <v>1359</v>
      </c>
      <c r="C575" s="45" t="s">
        <v>135</v>
      </c>
      <c r="D575" s="45">
        <v>86887</v>
      </c>
      <c r="E575" s="6" t="s">
        <v>1830</v>
      </c>
      <c r="F575" s="45" t="s">
        <v>210</v>
      </c>
      <c r="G575" s="46">
        <f t="shared" si="64"/>
        <v>40</v>
      </c>
      <c r="H575" s="46">
        <f>TRUNC(S575*(1-LOTE_03!$K$10),2)</f>
        <v>44.76</v>
      </c>
      <c r="I575" s="46">
        <f>TRUNC(T575*(1-LOTE_03!$K$10),2)</f>
        <v>4.01</v>
      </c>
      <c r="J575" s="100">
        <f t="shared" si="65"/>
        <v>0.22470000000000001</v>
      </c>
      <c r="K575" s="48">
        <f t="shared" si="59"/>
        <v>54.81</v>
      </c>
      <c r="L575" s="48">
        <f t="shared" si="60"/>
        <v>4.91</v>
      </c>
      <c r="M575" s="48">
        <f t="shared" si="61"/>
        <v>2192.4</v>
      </c>
      <c r="N575" s="48">
        <f t="shared" si="62"/>
        <v>196.4</v>
      </c>
      <c r="O575" s="50">
        <f t="shared" si="63"/>
        <v>2388.8000000000002</v>
      </c>
      <c r="P575" s="50">
        <v>0</v>
      </c>
      <c r="Q575" s="76"/>
      <c r="R575" s="140">
        <f>2*S9+2*S10</f>
        <v>40</v>
      </c>
      <c r="S575" s="79">
        <v>44.760000000000005</v>
      </c>
      <c r="T575" s="80">
        <v>4.01</v>
      </c>
    </row>
    <row r="576" spans="2:20" ht="42">
      <c r="B576" s="5" t="s">
        <v>1360</v>
      </c>
      <c r="C576" s="45" t="s">
        <v>135</v>
      </c>
      <c r="D576" s="45">
        <v>86881</v>
      </c>
      <c r="E576" s="6" t="s">
        <v>1831</v>
      </c>
      <c r="F576" s="45" t="s">
        <v>210</v>
      </c>
      <c r="G576" s="46">
        <f t="shared" si="64"/>
        <v>47</v>
      </c>
      <c r="H576" s="46">
        <f>TRUNC(S576*(1-LOTE_03!$K$10),2)</f>
        <v>174.98</v>
      </c>
      <c r="I576" s="46">
        <f>TRUNC(T576*(1-LOTE_03!$K$10),2)</f>
        <v>7.17</v>
      </c>
      <c r="J576" s="100">
        <f t="shared" si="65"/>
        <v>0.22470000000000001</v>
      </c>
      <c r="K576" s="48">
        <f t="shared" si="59"/>
        <v>214.29</v>
      </c>
      <c r="L576" s="48">
        <f t="shared" si="60"/>
        <v>8.7799999999999994</v>
      </c>
      <c r="M576" s="48">
        <f t="shared" si="61"/>
        <v>10071.629999999999</v>
      </c>
      <c r="N576" s="48">
        <f t="shared" si="62"/>
        <v>412.66</v>
      </c>
      <c r="O576" s="50">
        <f t="shared" si="63"/>
        <v>10484.290000000001</v>
      </c>
      <c r="P576" s="50">
        <v>0</v>
      </c>
      <c r="Q576" s="76"/>
      <c r="R576" s="140">
        <f>2*S9+3*S10</f>
        <v>47</v>
      </c>
      <c r="S576" s="79">
        <v>174.98000000000002</v>
      </c>
      <c r="T576" s="80">
        <v>7.17</v>
      </c>
    </row>
    <row r="577" spans="2:20" ht="42">
      <c r="B577" s="5" t="s">
        <v>1361</v>
      </c>
      <c r="C577" s="45" t="s">
        <v>135</v>
      </c>
      <c r="D577" s="45">
        <v>86883</v>
      </c>
      <c r="E577" s="6" t="s">
        <v>1832</v>
      </c>
      <c r="F577" s="45" t="s">
        <v>210</v>
      </c>
      <c r="G577" s="46">
        <f t="shared" si="64"/>
        <v>47</v>
      </c>
      <c r="H577" s="46">
        <f>TRUNC(S577*(1-LOTE_03!$K$10),2)</f>
        <v>8.84</v>
      </c>
      <c r="I577" s="46">
        <f>TRUNC(T577*(1-LOTE_03!$K$10),2)</f>
        <v>2.57</v>
      </c>
      <c r="J577" s="100">
        <f t="shared" si="65"/>
        <v>0.22470000000000001</v>
      </c>
      <c r="K577" s="48">
        <f t="shared" si="59"/>
        <v>10.82</v>
      </c>
      <c r="L577" s="48">
        <f t="shared" si="60"/>
        <v>3.14</v>
      </c>
      <c r="M577" s="48">
        <f t="shared" si="61"/>
        <v>508.54</v>
      </c>
      <c r="N577" s="48">
        <f t="shared" si="62"/>
        <v>147.58000000000001</v>
      </c>
      <c r="O577" s="50">
        <f t="shared" si="63"/>
        <v>656.12</v>
      </c>
      <c r="P577" s="50">
        <v>0</v>
      </c>
      <c r="Q577" s="76"/>
      <c r="R577" s="140">
        <f>2*S9+3*S10</f>
        <v>47</v>
      </c>
      <c r="S577" s="79">
        <v>8.84</v>
      </c>
      <c r="T577" s="80">
        <v>2.57</v>
      </c>
    </row>
    <row r="578" spans="2:20" ht="56">
      <c r="B578" s="5" t="s">
        <v>1362</v>
      </c>
      <c r="C578" s="45" t="s">
        <v>135</v>
      </c>
      <c r="D578" s="45">
        <v>86889</v>
      </c>
      <c r="E578" s="6" t="s">
        <v>1833</v>
      </c>
      <c r="F578" s="45" t="s">
        <v>210</v>
      </c>
      <c r="G578" s="46">
        <f t="shared" si="64"/>
        <v>5</v>
      </c>
      <c r="H578" s="46">
        <f>TRUNC(S578*(1-LOTE_03!$K$10),2)</f>
        <v>770.34</v>
      </c>
      <c r="I578" s="46">
        <f>TRUNC(T578*(1-LOTE_03!$K$10),2)</f>
        <v>44.57</v>
      </c>
      <c r="J578" s="100">
        <f t="shared" si="65"/>
        <v>0.22470000000000001</v>
      </c>
      <c r="K578" s="48">
        <f t="shared" si="59"/>
        <v>943.43</v>
      </c>
      <c r="L578" s="48">
        <f t="shared" si="60"/>
        <v>54.58</v>
      </c>
      <c r="M578" s="48">
        <f t="shared" si="61"/>
        <v>4717.1499999999996</v>
      </c>
      <c r="N578" s="48">
        <f t="shared" si="62"/>
        <v>272.89999999999998</v>
      </c>
      <c r="O578" s="50">
        <f t="shared" si="63"/>
        <v>4990.05</v>
      </c>
      <c r="P578" s="50">
        <v>0</v>
      </c>
      <c r="Q578" s="76"/>
      <c r="R578" s="140">
        <f>IF((1*S9+1*S10)&gt;5,5,(1*S9+1*S10))</f>
        <v>5</v>
      </c>
      <c r="S578" s="79">
        <v>770.33999999999992</v>
      </c>
      <c r="T578" s="80">
        <v>44.57</v>
      </c>
    </row>
    <row r="579" spans="2:20" ht="28">
      <c r="B579" s="5" t="s">
        <v>1363</v>
      </c>
      <c r="C579" s="45" t="s">
        <v>165</v>
      </c>
      <c r="D579" s="45" t="s">
        <v>1364</v>
      </c>
      <c r="E579" s="6" t="s">
        <v>1365</v>
      </c>
      <c r="F579" s="45" t="s">
        <v>559</v>
      </c>
      <c r="G579" s="46">
        <f t="shared" si="64"/>
        <v>10</v>
      </c>
      <c r="H579" s="46">
        <f>TRUNC(S579*(1-LOTE_03!$K$10),2)</f>
        <v>1138.3900000000001</v>
      </c>
      <c r="I579" s="46">
        <f>TRUNC(T579*(1-LOTE_03!$K$10),2)</f>
        <v>115.55</v>
      </c>
      <c r="J579" s="100">
        <f t="shared" si="65"/>
        <v>0.22470000000000001</v>
      </c>
      <c r="K579" s="48">
        <f t="shared" si="59"/>
        <v>1394.18</v>
      </c>
      <c r="L579" s="48">
        <f t="shared" si="60"/>
        <v>141.51</v>
      </c>
      <c r="M579" s="48">
        <f t="shared" si="61"/>
        <v>13941.8</v>
      </c>
      <c r="N579" s="48">
        <f t="shared" si="62"/>
        <v>1415.1</v>
      </c>
      <c r="O579" s="50">
        <f t="shared" si="63"/>
        <v>15356.9</v>
      </c>
      <c r="P579" s="50">
        <v>0</v>
      </c>
      <c r="Q579" s="76"/>
      <c r="R579" s="140">
        <f>IF((1*S9+1*S10)&gt;10,10,(1*S9+1*S10))</f>
        <v>10</v>
      </c>
      <c r="S579" s="79">
        <v>1138.3900000000001</v>
      </c>
      <c r="T579" s="80">
        <v>115.55</v>
      </c>
    </row>
    <row r="580" spans="2:20" ht="28">
      <c r="B580" s="5" t="s">
        <v>1366</v>
      </c>
      <c r="C580" s="45" t="s">
        <v>165</v>
      </c>
      <c r="D580" s="45" t="s">
        <v>1367</v>
      </c>
      <c r="E580" s="6" t="s">
        <v>1368</v>
      </c>
      <c r="F580" s="45" t="s">
        <v>559</v>
      </c>
      <c r="G580" s="46">
        <f t="shared" si="64"/>
        <v>10</v>
      </c>
      <c r="H580" s="46">
        <f>TRUNC(S580*(1-LOTE_03!$K$10),2)</f>
        <v>877.51</v>
      </c>
      <c r="I580" s="46">
        <f>TRUNC(T580*(1-LOTE_03!$K$10),2)</f>
        <v>134.80000000000001</v>
      </c>
      <c r="J580" s="100">
        <f t="shared" si="65"/>
        <v>0.22470000000000001</v>
      </c>
      <c r="K580" s="48">
        <f t="shared" si="59"/>
        <v>1074.68</v>
      </c>
      <c r="L580" s="48">
        <f t="shared" si="60"/>
        <v>165.08</v>
      </c>
      <c r="M580" s="48">
        <f t="shared" si="61"/>
        <v>10746.8</v>
      </c>
      <c r="N580" s="48">
        <f t="shared" si="62"/>
        <v>1650.8</v>
      </c>
      <c r="O580" s="50">
        <f t="shared" si="63"/>
        <v>12397.6</v>
      </c>
      <c r="P580" s="50">
        <v>0</v>
      </c>
      <c r="Q580" s="76"/>
      <c r="R580" s="140">
        <f>IF((1*S9+1*S10)&gt;10,10,(1*S9+1*S10))</f>
        <v>10</v>
      </c>
      <c r="S580" s="79">
        <v>877.51</v>
      </c>
      <c r="T580" s="80">
        <v>134.80000000000001</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169177.35</v>
      </c>
      <c r="Q581" s="76"/>
      <c r="R581" s="154"/>
      <c r="S581" s="79" t="s">
        <v>22</v>
      </c>
      <c r="T581" s="80" t="s">
        <v>22</v>
      </c>
    </row>
    <row r="582" spans="2:20">
      <c r="B582" s="5" t="s">
        <v>1369</v>
      </c>
      <c r="C582" s="45" t="s">
        <v>97</v>
      </c>
      <c r="D582" s="45" t="s">
        <v>1370</v>
      </c>
      <c r="E582" s="6" t="s">
        <v>1371</v>
      </c>
      <c r="F582" s="45" t="s">
        <v>104</v>
      </c>
      <c r="G582" s="46">
        <f t="shared" si="64"/>
        <v>100</v>
      </c>
      <c r="H582" s="46">
        <f>TRUNC(S582*(1-LOTE_03!$K$10),2)</f>
        <v>1.43</v>
      </c>
      <c r="I582" s="46">
        <f>TRUNC(T582*(1-LOTE_03!$K$10),2)</f>
        <v>3.79</v>
      </c>
      <c r="J582" s="100">
        <f t="shared" si="65"/>
        <v>0.22470000000000001</v>
      </c>
      <c r="K582" s="48">
        <f t="shared" si="59"/>
        <v>1.75</v>
      </c>
      <c r="L582" s="48">
        <f t="shared" si="60"/>
        <v>4.6399999999999997</v>
      </c>
      <c r="M582" s="48">
        <f t="shared" si="61"/>
        <v>175</v>
      </c>
      <c r="N582" s="48">
        <f t="shared" si="62"/>
        <v>464</v>
      </c>
      <c r="O582" s="50">
        <f t="shared" si="63"/>
        <v>639</v>
      </c>
      <c r="P582" s="50">
        <v>0</v>
      </c>
      <c r="Q582" s="76"/>
      <c r="R582" s="140">
        <f>5*S9+5*S10</f>
        <v>100</v>
      </c>
      <c r="S582" s="79">
        <v>1.43</v>
      </c>
      <c r="T582" s="80">
        <v>3.79</v>
      </c>
    </row>
    <row r="583" spans="2:20" ht="28">
      <c r="B583" s="5" t="s">
        <v>1372</v>
      </c>
      <c r="C583" s="45" t="s">
        <v>97</v>
      </c>
      <c r="D583" s="45" t="s">
        <v>1373</v>
      </c>
      <c r="E583" s="6" t="s">
        <v>1374</v>
      </c>
      <c r="F583" s="45" t="s">
        <v>104</v>
      </c>
      <c r="G583" s="46">
        <f t="shared" si="64"/>
        <v>100</v>
      </c>
      <c r="H583" s="46">
        <f>TRUNC(S583*(1-LOTE_03!$K$10),2)</f>
        <v>7.27</v>
      </c>
      <c r="I583" s="46">
        <f>TRUNC(T583*(1-LOTE_03!$K$10),2)</f>
        <v>20.46</v>
      </c>
      <c r="J583" s="100">
        <f t="shared" si="65"/>
        <v>0.22470000000000001</v>
      </c>
      <c r="K583" s="48">
        <f t="shared" si="59"/>
        <v>8.9</v>
      </c>
      <c r="L583" s="48">
        <f t="shared" si="60"/>
        <v>25.05</v>
      </c>
      <c r="M583" s="48">
        <f t="shared" si="61"/>
        <v>890</v>
      </c>
      <c r="N583" s="48">
        <f t="shared" si="62"/>
        <v>2505</v>
      </c>
      <c r="O583" s="50">
        <f t="shared" si="63"/>
        <v>3395</v>
      </c>
      <c r="P583" s="50">
        <v>0</v>
      </c>
      <c r="Q583" s="76"/>
      <c r="R583" s="140">
        <f>5*S9+5*S10</f>
        <v>100</v>
      </c>
      <c r="S583" s="79">
        <v>7.27</v>
      </c>
      <c r="T583" s="80">
        <v>20.46</v>
      </c>
    </row>
    <row r="584" spans="2:20" ht="56">
      <c r="B584" s="5" t="s">
        <v>1375</v>
      </c>
      <c r="C584" s="45" t="s">
        <v>97</v>
      </c>
      <c r="D584" s="45" t="s">
        <v>1376</v>
      </c>
      <c r="E584" s="6" t="s">
        <v>1377</v>
      </c>
      <c r="F584" s="45" t="s">
        <v>104</v>
      </c>
      <c r="G584" s="46">
        <f t="shared" si="64"/>
        <v>100</v>
      </c>
      <c r="H584" s="46">
        <f>TRUNC(S584*(1-LOTE_03!$K$10),2)</f>
        <v>16.61</v>
      </c>
      <c r="I584" s="46">
        <f>TRUNC(T584*(1-LOTE_03!$K$10),2)</f>
        <v>10.95</v>
      </c>
      <c r="J584" s="100">
        <f t="shared" si="65"/>
        <v>0.22470000000000001</v>
      </c>
      <c r="K584" s="48">
        <f t="shared" si="59"/>
        <v>20.34</v>
      </c>
      <c r="L584" s="48">
        <f t="shared" si="60"/>
        <v>13.41</v>
      </c>
      <c r="M584" s="48">
        <f t="shared" si="61"/>
        <v>2034</v>
      </c>
      <c r="N584" s="48">
        <f t="shared" si="62"/>
        <v>1341</v>
      </c>
      <c r="O584" s="50">
        <f t="shared" si="63"/>
        <v>3375</v>
      </c>
      <c r="P584" s="50">
        <v>0</v>
      </c>
      <c r="Q584" s="76"/>
      <c r="R584" s="140">
        <f>5*S9+5*S10</f>
        <v>100</v>
      </c>
      <c r="S584" s="79">
        <v>16.61</v>
      </c>
      <c r="T584" s="80">
        <v>10.95</v>
      </c>
    </row>
    <row r="585" spans="2:20" ht="56">
      <c r="B585" s="5" t="s">
        <v>1378</v>
      </c>
      <c r="C585" s="45" t="s">
        <v>135</v>
      </c>
      <c r="D585" s="45">
        <v>101905</v>
      </c>
      <c r="E585" s="6" t="s">
        <v>1834</v>
      </c>
      <c r="F585" s="45" t="s">
        <v>210</v>
      </c>
      <c r="G585" s="46">
        <f t="shared" si="64"/>
        <v>40</v>
      </c>
      <c r="H585" s="46">
        <f>TRUNC(S585*(1-LOTE_03!$K$10),2)</f>
        <v>209.24</v>
      </c>
      <c r="I585" s="46">
        <f>TRUNC(T585*(1-LOTE_03!$K$10),2)</f>
        <v>19.53</v>
      </c>
      <c r="J585" s="100">
        <f t="shared" si="65"/>
        <v>0.22470000000000001</v>
      </c>
      <c r="K585" s="48">
        <f t="shared" si="59"/>
        <v>256.25</v>
      </c>
      <c r="L585" s="48">
        <f t="shared" si="60"/>
        <v>23.91</v>
      </c>
      <c r="M585" s="48">
        <f t="shared" si="61"/>
        <v>10250</v>
      </c>
      <c r="N585" s="48">
        <f t="shared" si="62"/>
        <v>956.4</v>
      </c>
      <c r="O585" s="50">
        <f t="shared" si="63"/>
        <v>11206.4</v>
      </c>
      <c r="P585" s="50">
        <v>0</v>
      </c>
      <c r="Q585" s="76"/>
      <c r="R585" s="140">
        <f>2*S9+2*S10</f>
        <v>40</v>
      </c>
      <c r="S585" s="79">
        <v>209.24</v>
      </c>
      <c r="T585" s="80">
        <v>19.53</v>
      </c>
    </row>
    <row r="586" spans="2:20" ht="56">
      <c r="B586" s="5" t="s">
        <v>1379</v>
      </c>
      <c r="C586" s="45" t="s">
        <v>135</v>
      </c>
      <c r="D586" s="45">
        <v>101907</v>
      </c>
      <c r="E586" s="6" t="s">
        <v>1835</v>
      </c>
      <c r="F586" s="45" t="s">
        <v>210</v>
      </c>
      <c r="G586" s="46">
        <f t="shared" si="64"/>
        <v>40</v>
      </c>
      <c r="H586" s="46">
        <f>TRUNC(S586*(1-LOTE_03!$K$10),2)</f>
        <v>701.18</v>
      </c>
      <c r="I586" s="46">
        <f>TRUNC(T586*(1-LOTE_03!$K$10),2)</f>
        <v>19.53</v>
      </c>
      <c r="J586" s="100">
        <f t="shared" si="65"/>
        <v>0.22470000000000001</v>
      </c>
      <c r="K586" s="48">
        <f t="shared" si="59"/>
        <v>858.73</v>
      </c>
      <c r="L586" s="48">
        <f t="shared" si="60"/>
        <v>23.91</v>
      </c>
      <c r="M586" s="48">
        <f t="shared" si="61"/>
        <v>34349.199999999997</v>
      </c>
      <c r="N586" s="48">
        <f t="shared" si="62"/>
        <v>956.4</v>
      </c>
      <c r="O586" s="50">
        <f t="shared" si="63"/>
        <v>35305.599999999999</v>
      </c>
      <c r="P586" s="50">
        <v>0</v>
      </c>
      <c r="Q586" s="76"/>
      <c r="R586" s="140">
        <f>2*S9+2*S10</f>
        <v>40</v>
      </c>
      <c r="S586" s="79">
        <v>701.18000000000006</v>
      </c>
      <c r="T586" s="80">
        <v>19.53</v>
      </c>
    </row>
    <row r="587" spans="2:20" ht="56">
      <c r="B587" s="5" t="s">
        <v>1380</v>
      </c>
      <c r="C587" s="45" t="s">
        <v>135</v>
      </c>
      <c r="D587" s="45">
        <v>101909</v>
      </c>
      <c r="E587" s="6" t="s">
        <v>1836</v>
      </c>
      <c r="F587" s="45" t="s">
        <v>210</v>
      </c>
      <c r="G587" s="46">
        <f t="shared" si="64"/>
        <v>40</v>
      </c>
      <c r="H587" s="46">
        <f>TRUNC(S587*(1-LOTE_03!$K$10),2)</f>
        <v>238.18</v>
      </c>
      <c r="I587" s="46">
        <f>TRUNC(T587*(1-LOTE_03!$K$10),2)</f>
        <v>19.53</v>
      </c>
      <c r="J587" s="100">
        <f t="shared" si="65"/>
        <v>0.22470000000000001</v>
      </c>
      <c r="K587" s="48">
        <f t="shared" si="59"/>
        <v>291.69</v>
      </c>
      <c r="L587" s="48">
        <f t="shared" si="60"/>
        <v>23.91</v>
      </c>
      <c r="M587" s="48">
        <f t="shared" si="61"/>
        <v>11667.6</v>
      </c>
      <c r="N587" s="48">
        <f t="shared" si="62"/>
        <v>956.4</v>
      </c>
      <c r="O587" s="50">
        <f t="shared" si="63"/>
        <v>12624</v>
      </c>
      <c r="P587" s="50">
        <v>0</v>
      </c>
      <c r="Q587" s="76"/>
      <c r="R587" s="140">
        <f>2*S9+2*S10</f>
        <v>40</v>
      </c>
      <c r="S587" s="79">
        <v>238.17999999999998</v>
      </c>
      <c r="T587" s="80">
        <v>19.53</v>
      </c>
    </row>
    <row r="588" spans="2:20" ht="42">
      <c r="B588" s="5" t="s">
        <v>1381</v>
      </c>
      <c r="C588" s="45" t="s">
        <v>135</v>
      </c>
      <c r="D588" s="45">
        <v>101914</v>
      </c>
      <c r="E588" s="6" t="s">
        <v>1837</v>
      </c>
      <c r="F588" s="45" t="s">
        <v>210</v>
      </c>
      <c r="G588" s="46">
        <f t="shared" si="64"/>
        <v>20</v>
      </c>
      <c r="H588" s="46">
        <f>TRUNC(S588*(1-LOTE_03!$K$10),2)</f>
        <v>565.55999999999995</v>
      </c>
      <c r="I588" s="46">
        <f>TRUNC(T588*(1-LOTE_03!$K$10),2)</f>
        <v>57.57</v>
      </c>
      <c r="J588" s="100">
        <f t="shared" si="65"/>
        <v>0.22470000000000001</v>
      </c>
      <c r="K588" s="48">
        <f t="shared" si="59"/>
        <v>692.64</v>
      </c>
      <c r="L588" s="48">
        <f t="shared" si="60"/>
        <v>70.5</v>
      </c>
      <c r="M588" s="48">
        <f t="shared" si="61"/>
        <v>13852.8</v>
      </c>
      <c r="N588" s="48">
        <f t="shared" si="62"/>
        <v>1410</v>
      </c>
      <c r="O588" s="50">
        <f t="shared" si="63"/>
        <v>15262.8</v>
      </c>
      <c r="P588" s="50">
        <v>0</v>
      </c>
      <c r="Q588" s="76"/>
      <c r="R588" s="140">
        <f>1*S9+1*S10</f>
        <v>20</v>
      </c>
      <c r="S588" s="79">
        <v>565.55999999999995</v>
      </c>
      <c r="T588" s="80">
        <v>57.57</v>
      </c>
    </row>
    <row r="589" spans="2:20" ht="84">
      <c r="B589" s="5" t="s">
        <v>1382</v>
      </c>
      <c r="C589" s="45" t="s">
        <v>135</v>
      </c>
      <c r="D589" s="45">
        <v>101915</v>
      </c>
      <c r="E589" s="6" t="s">
        <v>1838</v>
      </c>
      <c r="F589" s="45" t="s">
        <v>210</v>
      </c>
      <c r="G589" s="46">
        <f t="shared" si="64"/>
        <v>20</v>
      </c>
      <c r="H589" s="46">
        <f>TRUNC(S589*(1-LOTE_03!$K$10),2)</f>
        <v>532.91999999999996</v>
      </c>
      <c r="I589" s="46">
        <f>TRUNC(T589*(1-LOTE_03!$K$10),2)</f>
        <v>6.09</v>
      </c>
      <c r="J589" s="100">
        <f t="shared" si="65"/>
        <v>0.22470000000000001</v>
      </c>
      <c r="K589" s="48">
        <f t="shared" si="59"/>
        <v>652.66</v>
      </c>
      <c r="L589" s="48">
        <f t="shared" si="60"/>
        <v>7.45</v>
      </c>
      <c r="M589" s="48">
        <f t="shared" si="61"/>
        <v>13053.2</v>
      </c>
      <c r="N589" s="48">
        <f t="shared" si="62"/>
        <v>149</v>
      </c>
      <c r="O589" s="50">
        <f t="shared" si="63"/>
        <v>13202.2</v>
      </c>
      <c r="P589" s="50">
        <v>0</v>
      </c>
      <c r="Q589" s="76"/>
      <c r="R589" s="140">
        <f>1*S9+1*S10</f>
        <v>20</v>
      </c>
      <c r="S589" s="79">
        <v>532.91999999999996</v>
      </c>
      <c r="T589" s="80">
        <v>6.09</v>
      </c>
    </row>
    <row r="590" spans="2:20" ht="56">
      <c r="B590" s="5" t="s">
        <v>1383</v>
      </c>
      <c r="C590" s="45" t="s">
        <v>97</v>
      </c>
      <c r="D590" s="45" t="s">
        <v>1384</v>
      </c>
      <c r="E590" s="6" t="s">
        <v>1385</v>
      </c>
      <c r="F590" s="45" t="s">
        <v>104</v>
      </c>
      <c r="G590" s="46">
        <f t="shared" si="64"/>
        <v>40</v>
      </c>
      <c r="H590" s="46">
        <f>TRUNC(S590*(1-LOTE_03!$K$10),2)</f>
        <v>16.46</v>
      </c>
      <c r="I590" s="46">
        <f>TRUNC(T590*(1-LOTE_03!$K$10),2)</f>
        <v>3.2</v>
      </c>
      <c r="J590" s="100">
        <f t="shared" si="65"/>
        <v>0.22470000000000001</v>
      </c>
      <c r="K590" s="48">
        <f t="shared" si="59"/>
        <v>20.149999999999999</v>
      </c>
      <c r="L590" s="48">
        <f t="shared" si="60"/>
        <v>3.91</v>
      </c>
      <c r="M590" s="48">
        <f t="shared" si="61"/>
        <v>806</v>
      </c>
      <c r="N590" s="48">
        <f t="shared" si="62"/>
        <v>156.4</v>
      </c>
      <c r="O590" s="50">
        <f t="shared" si="63"/>
        <v>962.4</v>
      </c>
      <c r="P590" s="50">
        <v>0</v>
      </c>
      <c r="Q590" s="76"/>
      <c r="R590" s="140">
        <f>2*S9+2*S10</f>
        <v>40</v>
      </c>
      <c r="S590" s="79">
        <v>16.46</v>
      </c>
      <c r="T590" s="80">
        <v>3.2</v>
      </c>
    </row>
    <row r="591" spans="2:20" ht="70">
      <c r="B591" s="5" t="s">
        <v>1386</v>
      </c>
      <c r="C591" s="45" t="s">
        <v>97</v>
      </c>
      <c r="D591" s="45" t="s">
        <v>1387</v>
      </c>
      <c r="E591" s="6" t="s">
        <v>1388</v>
      </c>
      <c r="F591" s="45" t="s">
        <v>104</v>
      </c>
      <c r="G591" s="46">
        <f t="shared" si="64"/>
        <v>100</v>
      </c>
      <c r="H591" s="46">
        <f>TRUNC(S591*(1-LOTE_03!$K$10),2)</f>
        <v>30.94</v>
      </c>
      <c r="I591" s="46">
        <f>TRUNC(T591*(1-LOTE_03!$K$10),2)</f>
        <v>4.38</v>
      </c>
      <c r="J591" s="100">
        <f t="shared" si="65"/>
        <v>0.22470000000000001</v>
      </c>
      <c r="K591" s="48">
        <f t="shared" si="59"/>
        <v>37.89</v>
      </c>
      <c r="L591" s="48">
        <f t="shared" si="60"/>
        <v>5.36</v>
      </c>
      <c r="M591" s="48">
        <f t="shared" si="61"/>
        <v>3789</v>
      </c>
      <c r="N591" s="48">
        <f t="shared" si="62"/>
        <v>536</v>
      </c>
      <c r="O591" s="50">
        <f t="shared" si="63"/>
        <v>4325</v>
      </c>
      <c r="P591" s="50">
        <v>0</v>
      </c>
      <c r="Q591" s="76"/>
      <c r="R591" s="140">
        <f>5*S9+5*S10</f>
        <v>100</v>
      </c>
      <c r="S591" s="79">
        <v>30.94</v>
      </c>
      <c r="T591" s="80">
        <v>4.38</v>
      </c>
    </row>
    <row r="592" spans="2:20" ht="84">
      <c r="B592" s="5" t="s">
        <v>1389</v>
      </c>
      <c r="C592" s="45" t="s">
        <v>97</v>
      </c>
      <c r="D592" s="45" t="s">
        <v>1390</v>
      </c>
      <c r="E592" s="6" t="s">
        <v>1391</v>
      </c>
      <c r="F592" s="45" t="s">
        <v>104</v>
      </c>
      <c r="G592" s="46">
        <f t="shared" si="64"/>
        <v>100</v>
      </c>
      <c r="H592" s="46">
        <f>TRUNC(S592*(1-LOTE_03!$K$10),2)</f>
        <v>10.37</v>
      </c>
      <c r="I592" s="46">
        <f>TRUNC(T592*(1-LOTE_03!$K$10),2)</f>
        <v>4.38</v>
      </c>
      <c r="J592" s="100">
        <f t="shared" si="65"/>
        <v>0.22470000000000001</v>
      </c>
      <c r="K592" s="48">
        <f t="shared" ref="K592:K655" si="66">TRUNC(H592*(1+J592),2)</f>
        <v>12.7</v>
      </c>
      <c r="L592" s="48">
        <f t="shared" ref="L592:L655" si="67">TRUNC(I592*(1+J592),2)</f>
        <v>5.36</v>
      </c>
      <c r="M592" s="48">
        <f t="shared" ref="M592:M655" si="68">TRUNC(K592*G592,2)</f>
        <v>1270</v>
      </c>
      <c r="N592" s="48">
        <f t="shared" ref="N592:N655" si="69">TRUNC(L592*G592,2)</f>
        <v>536</v>
      </c>
      <c r="O592" s="50">
        <f t="shared" ref="O592:O655" si="70">TRUNC(M592+N592,2)</f>
        <v>1806</v>
      </c>
      <c r="P592" s="50">
        <v>0</v>
      </c>
      <c r="Q592" s="76"/>
      <c r="R592" s="140">
        <f>5*S9+5*S10</f>
        <v>100</v>
      </c>
      <c r="S592" s="79">
        <v>10.37</v>
      </c>
      <c r="T592" s="80">
        <v>4.38</v>
      </c>
    </row>
    <row r="593" spans="2:20" ht="84">
      <c r="B593" s="5" t="s">
        <v>1392</v>
      </c>
      <c r="C593" s="45" t="s">
        <v>97</v>
      </c>
      <c r="D593" s="45" t="s">
        <v>1393</v>
      </c>
      <c r="E593" s="6" t="s">
        <v>1394</v>
      </c>
      <c r="F593" s="45" t="s">
        <v>104</v>
      </c>
      <c r="G593" s="46">
        <f t="shared" si="64"/>
        <v>100</v>
      </c>
      <c r="H593" s="46">
        <f>TRUNC(S593*(1-LOTE_03!$K$10),2)</f>
        <v>18.760000000000002</v>
      </c>
      <c r="I593" s="46">
        <f>TRUNC(T593*(1-LOTE_03!$K$10),2)</f>
        <v>4.38</v>
      </c>
      <c r="J593" s="100">
        <f t="shared" si="65"/>
        <v>0.22470000000000001</v>
      </c>
      <c r="K593" s="48">
        <f t="shared" si="66"/>
        <v>22.97</v>
      </c>
      <c r="L593" s="48">
        <f t="shared" si="67"/>
        <v>5.36</v>
      </c>
      <c r="M593" s="48">
        <f t="shared" si="68"/>
        <v>2297</v>
      </c>
      <c r="N593" s="48">
        <f t="shared" si="69"/>
        <v>536</v>
      </c>
      <c r="O593" s="50">
        <f t="shared" si="70"/>
        <v>2833</v>
      </c>
      <c r="P593" s="50">
        <v>0</v>
      </c>
      <c r="Q593" s="76"/>
      <c r="R593" s="140">
        <f>5*S9+5*S10</f>
        <v>100</v>
      </c>
      <c r="S593" s="79">
        <v>18.760000000000002</v>
      </c>
      <c r="T593" s="80">
        <v>4.38</v>
      </c>
    </row>
    <row r="594" spans="2:20" ht="84">
      <c r="B594" s="5" t="s">
        <v>1395</v>
      </c>
      <c r="C594" s="45" t="s">
        <v>97</v>
      </c>
      <c r="D594" s="45" t="s">
        <v>1396</v>
      </c>
      <c r="E594" s="6" t="s">
        <v>1397</v>
      </c>
      <c r="F594" s="45" t="s">
        <v>104</v>
      </c>
      <c r="G594" s="46">
        <f t="shared" ref="G594:G657" si="71">TRUNC(R594,2)</f>
        <v>100</v>
      </c>
      <c r="H594" s="46">
        <f>TRUNC(S594*(1-LOTE_03!$K$10),2)</f>
        <v>22.69</v>
      </c>
      <c r="I594" s="46">
        <f>TRUNC(T594*(1-LOTE_03!$K$10),2)</f>
        <v>4.38</v>
      </c>
      <c r="J594" s="100">
        <f t="shared" ref="J594:J657" si="72">$J$4</f>
        <v>0.22470000000000001</v>
      </c>
      <c r="K594" s="48">
        <f t="shared" si="66"/>
        <v>27.78</v>
      </c>
      <c r="L594" s="48">
        <f t="shared" si="67"/>
        <v>5.36</v>
      </c>
      <c r="M594" s="48">
        <f t="shared" si="68"/>
        <v>2778</v>
      </c>
      <c r="N594" s="48">
        <f t="shared" si="69"/>
        <v>536</v>
      </c>
      <c r="O594" s="50">
        <f t="shared" si="70"/>
        <v>3314</v>
      </c>
      <c r="P594" s="50">
        <v>0</v>
      </c>
      <c r="Q594" s="76"/>
      <c r="R594" s="140">
        <f>5*S9+5*S10</f>
        <v>100</v>
      </c>
      <c r="S594" s="79">
        <v>22.69</v>
      </c>
      <c r="T594" s="80">
        <v>4.38</v>
      </c>
    </row>
    <row r="595" spans="2:20" ht="84">
      <c r="B595" s="5" t="s">
        <v>1398</v>
      </c>
      <c r="C595" s="45" t="s">
        <v>97</v>
      </c>
      <c r="D595" s="45" t="s">
        <v>1399</v>
      </c>
      <c r="E595" s="6" t="s">
        <v>1400</v>
      </c>
      <c r="F595" s="45" t="s">
        <v>104</v>
      </c>
      <c r="G595" s="46">
        <f t="shared" si="71"/>
        <v>100</v>
      </c>
      <c r="H595" s="46">
        <f>TRUNC(S595*(1-LOTE_03!$K$10),2)</f>
        <v>16.41</v>
      </c>
      <c r="I595" s="46">
        <f>TRUNC(T595*(1-LOTE_03!$K$10),2)</f>
        <v>4.38</v>
      </c>
      <c r="J595" s="100">
        <f t="shared" si="72"/>
        <v>0.22470000000000001</v>
      </c>
      <c r="K595" s="48">
        <f t="shared" si="66"/>
        <v>20.09</v>
      </c>
      <c r="L595" s="48">
        <f t="shared" si="67"/>
        <v>5.36</v>
      </c>
      <c r="M595" s="48">
        <f t="shared" si="68"/>
        <v>2009</v>
      </c>
      <c r="N595" s="48">
        <f t="shared" si="69"/>
        <v>536</v>
      </c>
      <c r="O595" s="50">
        <f t="shared" si="70"/>
        <v>2545</v>
      </c>
      <c r="P595" s="50">
        <v>0</v>
      </c>
      <c r="Q595" s="76"/>
      <c r="R595" s="140">
        <f>5*S9+5*S10</f>
        <v>100</v>
      </c>
      <c r="S595" s="79">
        <v>16.41</v>
      </c>
      <c r="T595" s="80">
        <v>4.38</v>
      </c>
    </row>
    <row r="596" spans="2:20" ht="84">
      <c r="B596" s="5" t="s">
        <v>1401</v>
      </c>
      <c r="C596" s="45" t="s">
        <v>97</v>
      </c>
      <c r="D596" s="45" t="s">
        <v>1402</v>
      </c>
      <c r="E596" s="6" t="s">
        <v>1403</v>
      </c>
      <c r="F596" s="45" t="s">
        <v>104</v>
      </c>
      <c r="G596" s="46">
        <f t="shared" si="71"/>
        <v>100</v>
      </c>
      <c r="H596" s="46">
        <f>TRUNC(S596*(1-LOTE_03!$K$10),2)</f>
        <v>29.37</v>
      </c>
      <c r="I596" s="46">
        <f>TRUNC(T596*(1-LOTE_03!$K$10),2)</f>
        <v>4.38</v>
      </c>
      <c r="J596" s="100">
        <f t="shared" si="72"/>
        <v>0.22470000000000001</v>
      </c>
      <c r="K596" s="48">
        <f t="shared" si="66"/>
        <v>35.96</v>
      </c>
      <c r="L596" s="48">
        <f t="shared" si="67"/>
        <v>5.36</v>
      </c>
      <c r="M596" s="48">
        <f t="shared" si="68"/>
        <v>3596</v>
      </c>
      <c r="N596" s="48">
        <f t="shared" si="69"/>
        <v>536</v>
      </c>
      <c r="O596" s="50">
        <f t="shared" si="70"/>
        <v>4132</v>
      </c>
      <c r="P596" s="50">
        <v>0</v>
      </c>
      <c r="Q596" s="76"/>
      <c r="R596" s="140">
        <f>5*S9+5*S10</f>
        <v>100</v>
      </c>
      <c r="S596" s="79">
        <v>29.37</v>
      </c>
      <c r="T596" s="80">
        <v>4.38</v>
      </c>
    </row>
    <row r="597" spans="2:20" ht="56">
      <c r="B597" s="5" t="s">
        <v>1404</v>
      </c>
      <c r="C597" s="45" t="s">
        <v>97</v>
      </c>
      <c r="D597" s="45" t="s">
        <v>1405</v>
      </c>
      <c r="E597" s="6" t="s">
        <v>1406</v>
      </c>
      <c r="F597" s="45" t="s">
        <v>104</v>
      </c>
      <c r="G597" s="46">
        <f t="shared" si="71"/>
        <v>40</v>
      </c>
      <c r="H597" s="46">
        <f>TRUNC(S597*(1-LOTE_03!$K$10),2)</f>
        <v>18.809999999999999</v>
      </c>
      <c r="I597" s="46">
        <f>TRUNC(T597*(1-LOTE_03!$K$10),2)</f>
        <v>3.2</v>
      </c>
      <c r="J597" s="100">
        <f t="shared" si="72"/>
        <v>0.22470000000000001</v>
      </c>
      <c r="K597" s="48">
        <f t="shared" si="66"/>
        <v>23.03</v>
      </c>
      <c r="L597" s="48">
        <f t="shared" si="67"/>
        <v>3.91</v>
      </c>
      <c r="M597" s="48">
        <f t="shared" si="68"/>
        <v>921.2</v>
      </c>
      <c r="N597" s="48">
        <f t="shared" si="69"/>
        <v>156.4</v>
      </c>
      <c r="O597" s="50">
        <f t="shared" si="70"/>
        <v>1077.5999999999999</v>
      </c>
      <c r="P597" s="50">
        <v>0</v>
      </c>
      <c r="Q597" s="76"/>
      <c r="R597" s="140">
        <f>2*S9+2*S10</f>
        <v>40</v>
      </c>
      <c r="S597" s="79">
        <v>18.809999999999999</v>
      </c>
      <c r="T597" s="80">
        <v>3.2</v>
      </c>
    </row>
    <row r="598" spans="2:20" ht="28">
      <c r="B598" s="5" t="s">
        <v>1407</v>
      </c>
      <c r="C598" s="45" t="s">
        <v>165</v>
      </c>
      <c r="D598" s="45" t="s">
        <v>1408</v>
      </c>
      <c r="E598" s="6" t="s">
        <v>1409</v>
      </c>
      <c r="F598" s="45" t="s">
        <v>559</v>
      </c>
      <c r="G598" s="46">
        <f t="shared" si="71"/>
        <v>5</v>
      </c>
      <c r="H598" s="46">
        <f>TRUNC(S598*(1-LOTE_03!$K$10),2)</f>
        <v>1193.56</v>
      </c>
      <c r="I598" s="46">
        <f>TRUNC(T598*(1-LOTE_03!$K$10),2)</f>
        <v>77.069999999999993</v>
      </c>
      <c r="J598" s="100">
        <f t="shared" si="72"/>
        <v>0.22470000000000001</v>
      </c>
      <c r="K598" s="48">
        <f t="shared" si="66"/>
        <v>1461.75</v>
      </c>
      <c r="L598" s="48">
        <f t="shared" si="67"/>
        <v>94.38</v>
      </c>
      <c r="M598" s="48">
        <f t="shared" si="68"/>
        <v>7308.75</v>
      </c>
      <c r="N598" s="48">
        <f t="shared" si="69"/>
        <v>471.9</v>
      </c>
      <c r="O598" s="50">
        <f t="shared" si="70"/>
        <v>7780.65</v>
      </c>
      <c r="P598" s="50">
        <v>0</v>
      </c>
      <c r="Q598" s="76"/>
      <c r="R598" s="140">
        <f>IF((1*S9+1*S10)&gt;5,5,(1*S9+1*S10))</f>
        <v>5</v>
      </c>
      <c r="S598" s="79">
        <v>1193.56</v>
      </c>
      <c r="T598" s="80">
        <v>77.069999999999993</v>
      </c>
    </row>
    <row r="599" spans="2:20" ht="28">
      <c r="B599" s="5" t="s">
        <v>1410</v>
      </c>
      <c r="C599" s="45" t="s">
        <v>165</v>
      </c>
      <c r="D599" s="45" t="s">
        <v>1411</v>
      </c>
      <c r="E599" s="6" t="s">
        <v>1412</v>
      </c>
      <c r="F599" s="45" t="s">
        <v>559</v>
      </c>
      <c r="G599" s="46">
        <f t="shared" si="71"/>
        <v>5</v>
      </c>
      <c r="H599" s="46">
        <f>TRUNC(S599*(1-LOTE_03!$K$10),2)</f>
        <v>110.8</v>
      </c>
      <c r="I599" s="46">
        <f>TRUNC(T599*(1-LOTE_03!$K$10),2)</f>
        <v>11.18</v>
      </c>
      <c r="J599" s="100">
        <f t="shared" si="72"/>
        <v>0.22470000000000001</v>
      </c>
      <c r="K599" s="48">
        <f t="shared" si="66"/>
        <v>135.69</v>
      </c>
      <c r="L599" s="48">
        <f t="shared" si="67"/>
        <v>13.69</v>
      </c>
      <c r="M599" s="48">
        <f t="shared" si="68"/>
        <v>678.45</v>
      </c>
      <c r="N599" s="48">
        <f t="shared" si="69"/>
        <v>68.45</v>
      </c>
      <c r="O599" s="50">
        <f t="shared" si="70"/>
        <v>746.9</v>
      </c>
      <c r="P599" s="50">
        <v>0</v>
      </c>
      <c r="Q599" s="76"/>
      <c r="R599" s="140">
        <f>IF((1*S9+1*S10)&gt;5,5,(1*S9+1*S10))</f>
        <v>5</v>
      </c>
      <c r="S599" s="79">
        <v>110.8</v>
      </c>
      <c r="T599" s="80">
        <v>11.18</v>
      </c>
    </row>
    <row r="600" spans="2:20" ht="28">
      <c r="B600" s="5" t="s">
        <v>1413</v>
      </c>
      <c r="C600" s="45" t="s">
        <v>97</v>
      </c>
      <c r="D600" s="45" t="s">
        <v>1414</v>
      </c>
      <c r="E600" s="6" t="s">
        <v>1415</v>
      </c>
      <c r="F600" s="45" t="s">
        <v>1416</v>
      </c>
      <c r="G600" s="46">
        <f t="shared" si="71"/>
        <v>500</v>
      </c>
      <c r="H600" s="46">
        <f>TRUNC(S600*(1-LOTE_03!$K$10),2)</f>
        <v>22.31</v>
      </c>
      <c r="I600" s="46">
        <f>TRUNC(T600*(1-LOTE_03!$K$10),2)</f>
        <v>6.71</v>
      </c>
      <c r="J600" s="100">
        <f t="shared" si="72"/>
        <v>0.22470000000000001</v>
      </c>
      <c r="K600" s="48">
        <f t="shared" si="66"/>
        <v>27.32</v>
      </c>
      <c r="L600" s="48">
        <f t="shared" si="67"/>
        <v>8.2100000000000009</v>
      </c>
      <c r="M600" s="48">
        <f t="shared" si="68"/>
        <v>13660</v>
      </c>
      <c r="N600" s="48">
        <f t="shared" si="69"/>
        <v>4105</v>
      </c>
      <c r="O600" s="50">
        <f t="shared" si="70"/>
        <v>17765</v>
      </c>
      <c r="P600" s="50">
        <v>0</v>
      </c>
      <c r="Q600" s="76"/>
      <c r="R600" s="141">
        <f>IF(100*(S9+S10)&gt;500,500,100*(S9+S10))</f>
        <v>500</v>
      </c>
      <c r="S600" s="79">
        <v>22.31</v>
      </c>
      <c r="T600" s="80">
        <v>6.71</v>
      </c>
    </row>
    <row r="601" spans="2:20" ht="28">
      <c r="B601" s="5" t="s">
        <v>1417</v>
      </c>
      <c r="C601" s="45" t="s">
        <v>97</v>
      </c>
      <c r="D601" s="45" t="s">
        <v>1418</v>
      </c>
      <c r="E601" s="6" t="s">
        <v>1419</v>
      </c>
      <c r="F601" s="45" t="s">
        <v>187</v>
      </c>
      <c r="G601" s="46">
        <f t="shared" si="71"/>
        <v>500</v>
      </c>
      <c r="H601" s="46">
        <f>TRUNC(S601*(1-LOTE_03!$K$10),2)</f>
        <v>27.24</v>
      </c>
      <c r="I601" s="46">
        <f>TRUNC(T601*(1-LOTE_03!$K$10),2)</f>
        <v>6.71</v>
      </c>
      <c r="J601" s="100">
        <f t="shared" si="72"/>
        <v>0.22470000000000001</v>
      </c>
      <c r="K601" s="48">
        <f t="shared" si="66"/>
        <v>33.36</v>
      </c>
      <c r="L601" s="48">
        <f t="shared" si="67"/>
        <v>8.2100000000000009</v>
      </c>
      <c r="M601" s="48">
        <f t="shared" si="68"/>
        <v>16680</v>
      </c>
      <c r="N601" s="48">
        <f t="shared" si="69"/>
        <v>4105</v>
      </c>
      <c r="O601" s="50">
        <f t="shared" si="70"/>
        <v>20785</v>
      </c>
      <c r="P601" s="50">
        <v>0</v>
      </c>
      <c r="Q601" s="76"/>
      <c r="R601" s="141">
        <f>IF(100*(S9+S10)&gt;500,500,100*(S9+S10))</f>
        <v>500</v>
      </c>
      <c r="S601" s="79">
        <v>27.24</v>
      </c>
      <c r="T601" s="80">
        <v>6.71</v>
      </c>
    </row>
    <row r="602" spans="2:20" ht="28">
      <c r="B602" s="5" t="s">
        <v>1420</v>
      </c>
      <c r="C602" s="45" t="s">
        <v>97</v>
      </c>
      <c r="D602" s="45" t="s">
        <v>1421</v>
      </c>
      <c r="E602" s="6" t="s">
        <v>1422</v>
      </c>
      <c r="F602" s="45" t="s">
        <v>104</v>
      </c>
      <c r="G602" s="46">
        <f t="shared" si="71"/>
        <v>10</v>
      </c>
      <c r="H602" s="46">
        <f>TRUNC(S602*(1-LOTE_03!$K$10),2)</f>
        <v>217.49</v>
      </c>
      <c r="I602" s="46">
        <f>TRUNC(T602*(1-LOTE_03!$K$10),2)</f>
        <v>31.34</v>
      </c>
      <c r="J602" s="100">
        <f t="shared" si="72"/>
        <v>0.22470000000000001</v>
      </c>
      <c r="K602" s="48">
        <f t="shared" si="66"/>
        <v>266.36</v>
      </c>
      <c r="L602" s="48">
        <f t="shared" si="67"/>
        <v>38.380000000000003</v>
      </c>
      <c r="M602" s="48">
        <f t="shared" si="68"/>
        <v>2663.6</v>
      </c>
      <c r="N602" s="48">
        <f t="shared" si="69"/>
        <v>383.8</v>
      </c>
      <c r="O602" s="50">
        <f t="shared" si="70"/>
        <v>3047.4</v>
      </c>
      <c r="P602" s="50">
        <v>0</v>
      </c>
      <c r="Q602" s="76"/>
      <c r="R602" s="141">
        <f>IF(2*(S9+S10)&gt;10,10,2*(S9+S10))</f>
        <v>10</v>
      </c>
      <c r="S602" s="79">
        <v>217.49</v>
      </c>
      <c r="T602" s="80">
        <v>31.34</v>
      </c>
    </row>
    <row r="603" spans="2:20" ht="28">
      <c r="B603" s="5" t="s">
        <v>1423</v>
      </c>
      <c r="C603" s="45" t="s">
        <v>97</v>
      </c>
      <c r="D603" s="45" t="s">
        <v>1421</v>
      </c>
      <c r="E603" s="6" t="s">
        <v>1422</v>
      </c>
      <c r="F603" s="45" t="s">
        <v>104</v>
      </c>
      <c r="G603" s="46">
        <f t="shared" si="71"/>
        <v>5</v>
      </c>
      <c r="H603" s="46">
        <f>TRUNC(S603*(1-LOTE_03!$K$10),2)</f>
        <v>217.49</v>
      </c>
      <c r="I603" s="46">
        <f>TRUNC(T603*(1-LOTE_03!$K$10),2)</f>
        <v>31.34</v>
      </c>
      <c r="J603" s="100">
        <f t="shared" si="72"/>
        <v>0.22470000000000001</v>
      </c>
      <c r="K603" s="48">
        <f t="shared" si="66"/>
        <v>266.36</v>
      </c>
      <c r="L603" s="48">
        <f t="shared" si="67"/>
        <v>38.380000000000003</v>
      </c>
      <c r="M603" s="48">
        <f t="shared" si="68"/>
        <v>1331.8</v>
      </c>
      <c r="N603" s="48">
        <f t="shared" si="69"/>
        <v>191.9</v>
      </c>
      <c r="O603" s="50">
        <f t="shared" si="70"/>
        <v>1523.7</v>
      </c>
      <c r="P603" s="50">
        <v>0</v>
      </c>
      <c r="Q603" s="76"/>
      <c r="R603" s="141">
        <f>IF(1*(S9+S10)&gt;5,5,1*(S9+S10))</f>
        <v>5</v>
      </c>
      <c r="S603" s="79">
        <v>217.49</v>
      </c>
      <c r="T603" s="80">
        <v>31.34</v>
      </c>
    </row>
    <row r="604" spans="2:20" ht="28">
      <c r="B604" s="5" t="s">
        <v>1424</v>
      </c>
      <c r="C604" s="45" t="s">
        <v>97</v>
      </c>
      <c r="D604" s="45" t="s">
        <v>1421</v>
      </c>
      <c r="E604" s="6" t="s">
        <v>1422</v>
      </c>
      <c r="F604" s="45" t="s">
        <v>104</v>
      </c>
      <c r="G604" s="46">
        <f t="shared" si="71"/>
        <v>5</v>
      </c>
      <c r="H604" s="46">
        <f>TRUNC(S604*(1-LOTE_03!$K$10),2)</f>
        <v>217.49</v>
      </c>
      <c r="I604" s="46">
        <f>TRUNC(T604*(1-LOTE_03!$K$10),2)</f>
        <v>31.34</v>
      </c>
      <c r="J604" s="100">
        <f t="shared" si="72"/>
        <v>0.22470000000000001</v>
      </c>
      <c r="K604" s="48">
        <f t="shared" si="66"/>
        <v>266.36</v>
      </c>
      <c r="L604" s="48">
        <f t="shared" si="67"/>
        <v>38.380000000000003</v>
      </c>
      <c r="M604" s="48">
        <f t="shared" si="68"/>
        <v>1331.8</v>
      </c>
      <c r="N604" s="48">
        <f t="shared" si="69"/>
        <v>191.9</v>
      </c>
      <c r="O604" s="50">
        <f t="shared" si="70"/>
        <v>1523.7</v>
      </c>
      <c r="P604" s="50">
        <v>0</v>
      </c>
      <c r="Q604" s="76"/>
      <c r="R604" s="141">
        <f>IF(1*(S10+1*S9)&gt;5,5,(2*S10+1*S9))</f>
        <v>5</v>
      </c>
      <c r="S604" s="79">
        <v>217.49</v>
      </c>
      <c r="T604" s="80">
        <v>31.34</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943831.2</v>
      </c>
      <c r="Q605" s="76"/>
      <c r="R605" s="154"/>
      <c r="S605" s="79" t="s">
        <v>22</v>
      </c>
      <c r="T605" s="80" t="s">
        <v>22</v>
      </c>
    </row>
    <row r="606" spans="2:20" ht="56">
      <c r="B606" s="5" t="s">
        <v>1425</v>
      </c>
      <c r="C606" s="45" t="s">
        <v>97</v>
      </c>
      <c r="D606" s="45" t="s">
        <v>1426</v>
      </c>
      <c r="E606" s="6" t="s">
        <v>1427</v>
      </c>
      <c r="F606" s="45" t="s">
        <v>104</v>
      </c>
      <c r="G606" s="46">
        <f t="shared" si="71"/>
        <v>60</v>
      </c>
      <c r="H606" s="46">
        <f>TRUNC(S606*(1-LOTE_03!$K$10),2)</f>
        <v>7.22</v>
      </c>
      <c r="I606" s="46">
        <f>TRUNC(T606*(1-LOTE_03!$K$10),2)</f>
        <v>20.66</v>
      </c>
      <c r="J606" s="100">
        <f t="shared" si="72"/>
        <v>0.22470000000000001</v>
      </c>
      <c r="K606" s="48">
        <f t="shared" si="66"/>
        <v>8.84</v>
      </c>
      <c r="L606" s="48">
        <f t="shared" si="67"/>
        <v>25.3</v>
      </c>
      <c r="M606" s="48">
        <f t="shared" si="68"/>
        <v>530.4</v>
      </c>
      <c r="N606" s="48">
        <f t="shared" si="69"/>
        <v>1518</v>
      </c>
      <c r="O606" s="50">
        <f t="shared" si="70"/>
        <v>2048.4</v>
      </c>
      <c r="P606" s="50">
        <v>0</v>
      </c>
      <c r="Q606" s="76"/>
      <c r="R606" s="139">
        <f>3*S9+3*S10</f>
        <v>60</v>
      </c>
      <c r="S606" s="79">
        <v>7.22</v>
      </c>
      <c r="T606" s="80">
        <v>20.66</v>
      </c>
    </row>
    <row r="607" spans="2:20" ht="42">
      <c r="B607" s="5" t="s">
        <v>1428</v>
      </c>
      <c r="C607" s="45" t="s">
        <v>135</v>
      </c>
      <c r="D607" s="45">
        <v>103288</v>
      </c>
      <c r="E607" s="6" t="s">
        <v>1429</v>
      </c>
      <c r="F607" s="45" t="s">
        <v>210</v>
      </c>
      <c r="G607" s="46">
        <f t="shared" si="71"/>
        <v>40</v>
      </c>
      <c r="H607" s="46">
        <f>TRUNC(S607*(1-LOTE_03!$K$10),2)</f>
        <v>5.37</v>
      </c>
      <c r="I607" s="46">
        <f>TRUNC(T607*(1-LOTE_03!$K$10),2)</f>
        <v>12.1</v>
      </c>
      <c r="J607" s="100">
        <f t="shared" si="72"/>
        <v>0.22470000000000001</v>
      </c>
      <c r="K607" s="48">
        <f t="shared" si="66"/>
        <v>6.57</v>
      </c>
      <c r="L607" s="48">
        <f t="shared" si="67"/>
        <v>14.81</v>
      </c>
      <c r="M607" s="48">
        <f t="shared" si="68"/>
        <v>262.8</v>
      </c>
      <c r="N607" s="48">
        <f t="shared" si="69"/>
        <v>592.4</v>
      </c>
      <c r="O607" s="50">
        <f t="shared" si="70"/>
        <v>855.2</v>
      </c>
      <c r="P607" s="50">
        <v>0</v>
      </c>
      <c r="Q607" s="76"/>
      <c r="R607" s="139">
        <f>2*S9+2*S10</f>
        <v>40</v>
      </c>
      <c r="S607" s="79">
        <v>5.3699999999999992</v>
      </c>
      <c r="T607" s="80">
        <v>12.1</v>
      </c>
    </row>
    <row r="608" spans="2:20" ht="28">
      <c r="B608" s="5" t="s">
        <v>1430</v>
      </c>
      <c r="C608" s="45" t="s">
        <v>165</v>
      </c>
      <c r="D608" s="45" t="s">
        <v>1431</v>
      </c>
      <c r="E608" s="6" t="s">
        <v>1432</v>
      </c>
      <c r="F608" s="45" t="s">
        <v>168</v>
      </c>
      <c r="G608" s="46">
        <f t="shared" si="71"/>
        <v>680</v>
      </c>
      <c r="H608" s="46">
        <f>TRUNC(S608*(1-LOTE_03!$K$10),2)</f>
        <v>149</v>
      </c>
      <c r="I608" s="46">
        <f>TRUNC(T608*(1-LOTE_03!$K$10),2)</f>
        <v>110.63</v>
      </c>
      <c r="J608" s="100">
        <f t="shared" si="72"/>
        <v>0.22470000000000001</v>
      </c>
      <c r="K608" s="48">
        <f t="shared" si="66"/>
        <v>182.48</v>
      </c>
      <c r="L608" s="48">
        <f t="shared" si="67"/>
        <v>135.47999999999999</v>
      </c>
      <c r="M608" s="48">
        <f t="shared" si="68"/>
        <v>124086.39999999999</v>
      </c>
      <c r="N608" s="48">
        <f t="shared" si="69"/>
        <v>92126.399999999994</v>
      </c>
      <c r="O608" s="50">
        <f t="shared" si="70"/>
        <v>216212.8</v>
      </c>
      <c r="P608" s="50">
        <v>0</v>
      </c>
      <c r="Q608" s="76"/>
      <c r="R608" s="139">
        <f>(21+10+3)*(S9+S10)</f>
        <v>680</v>
      </c>
      <c r="S608" s="79">
        <v>149</v>
      </c>
      <c r="T608" s="80">
        <v>110.63</v>
      </c>
    </row>
    <row r="609" spans="2:20" ht="28">
      <c r="B609" s="5" t="s">
        <v>1433</v>
      </c>
      <c r="C609" s="45" t="s">
        <v>165</v>
      </c>
      <c r="D609" s="45" t="s">
        <v>1434</v>
      </c>
      <c r="E609" s="6" t="s">
        <v>1435</v>
      </c>
      <c r="F609" s="45" t="s">
        <v>559</v>
      </c>
      <c r="G609" s="46">
        <f t="shared" si="71"/>
        <v>80</v>
      </c>
      <c r="H609" s="46">
        <f>TRUNC(S609*(1-LOTE_03!$K$10),2)</f>
        <v>107.22</v>
      </c>
      <c r="I609" s="46">
        <f>TRUNC(T609*(1-LOTE_03!$K$10),2)</f>
        <v>88.74</v>
      </c>
      <c r="J609" s="100">
        <f t="shared" si="72"/>
        <v>0.22470000000000001</v>
      </c>
      <c r="K609" s="48">
        <f t="shared" si="66"/>
        <v>131.31</v>
      </c>
      <c r="L609" s="48">
        <f t="shared" si="67"/>
        <v>108.67</v>
      </c>
      <c r="M609" s="48">
        <f t="shared" si="68"/>
        <v>10504.8</v>
      </c>
      <c r="N609" s="48">
        <f t="shared" si="69"/>
        <v>8693.6</v>
      </c>
      <c r="O609" s="50">
        <f t="shared" si="70"/>
        <v>19198.400000000001</v>
      </c>
      <c r="P609" s="50">
        <v>0</v>
      </c>
      <c r="Q609" s="76"/>
      <c r="R609" s="139">
        <f>4*(S9+S10)</f>
        <v>80</v>
      </c>
      <c r="S609" s="79">
        <v>107.22</v>
      </c>
      <c r="T609" s="80">
        <v>88.74</v>
      </c>
    </row>
    <row r="610" spans="2:20" ht="42">
      <c r="B610" s="5" t="s">
        <v>1436</v>
      </c>
      <c r="C610" s="45" t="s">
        <v>165</v>
      </c>
      <c r="D610" s="45" t="s">
        <v>1437</v>
      </c>
      <c r="E610" s="6" t="s">
        <v>1438</v>
      </c>
      <c r="F610" s="45" t="s">
        <v>559</v>
      </c>
      <c r="G610" s="46">
        <f t="shared" si="71"/>
        <v>80</v>
      </c>
      <c r="H610" s="46">
        <f>TRUNC(S610*(1-LOTE_03!$K$10),2)</f>
        <v>108.6</v>
      </c>
      <c r="I610" s="46">
        <f>TRUNC(T610*(1-LOTE_03!$K$10),2)</f>
        <v>113.94</v>
      </c>
      <c r="J610" s="100">
        <f t="shared" si="72"/>
        <v>0.22470000000000001</v>
      </c>
      <c r="K610" s="48">
        <f t="shared" si="66"/>
        <v>133</v>
      </c>
      <c r="L610" s="48">
        <f t="shared" si="67"/>
        <v>139.54</v>
      </c>
      <c r="M610" s="48">
        <f t="shared" si="68"/>
        <v>10640</v>
      </c>
      <c r="N610" s="48">
        <f t="shared" si="69"/>
        <v>11163.2</v>
      </c>
      <c r="O610" s="50">
        <f t="shared" si="70"/>
        <v>21803.200000000001</v>
      </c>
      <c r="P610" s="50">
        <v>0</v>
      </c>
      <c r="Q610" s="76"/>
      <c r="R610" s="139">
        <f>4*(S9+S10)</f>
        <v>80</v>
      </c>
      <c r="S610" s="79">
        <v>108.6</v>
      </c>
      <c r="T610" s="80">
        <v>113.94</v>
      </c>
    </row>
    <row r="611" spans="2:20" ht="28">
      <c r="B611" s="5" t="s">
        <v>1439</v>
      </c>
      <c r="C611" s="45" t="s">
        <v>165</v>
      </c>
      <c r="D611" s="45" t="s">
        <v>1440</v>
      </c>
      <c r="E611" s="6" t="s">
        <v>1441</v>
      </c>
      <c r="F611" s="45" t="s">
        <v>559</v>
      </c>
      <c r="G611" s="46">
        <f t="shared" si="71"/>
        <v>100</v>
      </c>
      <c r="H611" s="46">
        <f>TRUNC(S611*(1-LOTE_03!$K$10),2)</f>
        <v>134.87</v>
      </c>
      <c r="I611" s="46">
        <f>TRUNC(T611*(1-LOTE_03!$K$10),2)</f>
        <v>124.24</v>
      </c>
      <c r="J611" s="100">
        <f t="shared" si="72"/>
        <v>0.22470000000000001</v>
      </c>
      <c r="K611" s="48">
        <f t="shared" si="66"/>
        <v>165.17</v>
      </c>
      <c r="L611" s="48">
        <f t="shared" si="67"/>
        <v>152.15</v>
      </c>
      <c r="M611" s="48">
        <f t="shared" si="68"/>
        <v>16517</v>
      </c>
      <c r="N611" s="48">
        <f t="shared" si="69"/>
        <v>15215</v>
      </c>
      <c r="O611" s="50">
        <f t="shared" si="70"/>
        <v>31732</v>
      </c>
      <c r="P611" s="50">
        <v>0</v>
      </c>
      <c r="Q611" s="76"/>
      <c r="R611" s="139">
        <f>5*(S9+S10)</f>
        <v>100</v>
      </c>
      <c r="S611" s="79">
        <v>134.87</v>
      </c>
      <c r="T611" s="80">
        <v>124.24</v>
      </c>
    </row>
    <row r="612" spans="2:20" ht="28">
      <c r="B612" s="5" t="s">
        <v>1442</v>
      </c>
      <c r="C612" s="45" t="s">
        <v>165</v>
      </c>
      <c r="D612" s="45" t="s">
        <v>1443</v>
      </c>
      <c r="E612" s="6" t="s">
        <v>1444</v>
      </c>
      <c r="F612" s="45" t="s">
        <v>559</v>
      </c>
      <c r="G612" s="46">
        <f t="shared" si="71"/>
        <v>100</v>
      </c>
      <c r="H612" s="46">
        <f>TRUNC(S612*(1-LOTE_03!$K$10),2)</f>
        <v>144.43</v>
      </c>
      <c r="I612" s="46">
        <f>TRUNC(T612*(1-LOTE_03!$K$10),2)</f>
        <v>124.24</v>
      </c>
      <c r="J612" s="100">
        <f t="shared" si="72"/>
        <v>0.22470000000000001</v>
      </c>
      <c r="K612" s="48">
        <f t="shared" si="66"/>
        <v>176.88</v>
      </c>
      <c r="L612" s="48">
        <f t="shared" si="67"/>
        <v>152.15</v>
      </c>
      <c r="M612" s="48">
        <f t="shared" si="68"/>
        <v>17688</v>
      </c>
      <c r="N612" s="48">
        <f t="shared" si="69"/>
        <v>15215</v>
      </c>
      <c r="O612" s="50">
        <f t="shared" si="70"/>
        <v>32903</v>
      </c>
      <c r="P612" s="50">
        <v>0</v>
      </c>
      <c r="Q612" s="76"/>
      <c r="R612" s="139">
        <f>5*(S9+S10)</f>
        <v>100</v>
      </c>
      <c r="S612" s="79">
        <v>144.43</v>
      </c>
      <c r="T612" s="80">
        <v>124.24</v>
      </c>
    </row>
    <row r="613" spans="2:20" ht="28">
      <c r="B613" s="5" t="s">
        <v>1445</v>
      </c>
      <c r="C613" s="45" t="s">
        <v>165</v>
      </c>
      <c r="D613" s="45" t="s">
        <v>1446</v>
      </c>
      <c r="E613" s="6" t="s">
        <v>1447</v>
      </c>
      <c r="F613" s="45" t="s">
        <v>559</v>
      </c>
      <c r="G613" s="46">
        <f t="shared" si="71"/>
        <v>100</v>
      </c>
      <c r="H613" s="46">
        <f>TRUNC(S613*(1-LOTE_03!$K$10),2)</f>
        <v>166.07</v>
      </c>
      <c r="I613" s="46">
        <f>TRUNC(T613*(1-LOTE_03!$K$10),2)</f>
        <v>124.24</v>
      </c>
      <c r="J613" s="100">
        <f t="shared" si="72"/>
        <v>0.22470000000000001</v>
      </c>
      <c r="K613" s="48">
        <f t="shared" si="66"/>
        <v>203.38</v>
      </c>
      <c r="L613" s="48">
        <f t="shared" si="67"/>
        <v>152.15</v>
      </c>
      <c r="M613" s="48">
        <f t="shared" si="68"/>
        <v>20338</v>
      </c>
      <c r="N613" s="48">
        <f t="shared" si="69"/>
        <v>15215</v>
      </c>
      <c r="O613" s="50">
        <f t="shared" si="70"/>
        <v>35553</v>
      </c>
      <c r="P613" s="50">
        <v>0</v>
      </c>
      <c r="Q613" s="76"/>
      <c r="R613" s="139">
        <f>5*(S9+S10)</f>
        <v>100</v>
      </c>
      <c r="S613" s="79">
        <v>166.07</v>
      </c>
      <c r="T613" s="80">
        <v>124.24</v>
      </c>
    </row>
    <row r="614" spans="2:20" ht="28">
      <c r="B614" s="5" t="s">
        <v>1448</v>
      </c>
      <c r="C614" s="45" t="s">
        <v>97</v>
      </c>
      <c r="D614" s="45" t="s">
        <v>1449</v>
      </c>
      <c r="E614" s="6" t="s">
        <v>1450</v>
      </c>
      <c r="F614" s="45" t="s">
        <v>104</v>
      </c>
      <c r="G614" s="46">
        <f t="shared" si="71"/>
        <v>60</v>
      </c>
      <c r="H614" s="46">
        <f>TRUNC(S614*(1-LOTE_03!$K$10),2)</f>
        <v>474.88</v>
      </c>
      <c r="I614" s="46">
        <f>TRUNC(T614*(1-LOTE_03!$K$10),2)</f>
        <v>417.55</v>
      </c>
      <c r="J614" s="100">
        <f t="shared" si="72"/>
        <v>0.22470000000000001</v>
      </c>
      <c r="K614" s="48">
        <f t="shared" si="66"/>
        <v>581.58000000000004</v>
      </c>
      <c r="L614" s="48">
        <f t="shared" si="67"/>
        <v>511.37</v>
      </c>
      <c r="M614" s="48">
        <f t="shared" si="68"/>
        <v>34894.800000000003</v>
      </c>
      <c r="N614" s="48">
        <f t="shared" si="69"/>
        <v>30682.2</v>
      </c>
      <c r="O614" s="50">
        <f t="shared" si="70"/>
        <v>65577</v>
      </c>
      <c r="P614" s="50">
        <v>0</v>
      </c>
      <c r="Q614" s="76"/>
      <c r="R614" s="139">
        <f>3*S9+3*S10</f>
        <v>60</v>
      </c>
      <c r="S614" s="79">
        <v>474.88</v>
      </c>
      <c r="T614" s="80">
        <v>417.55</v>
      </c>
    </row>
    <row r="615" spans="2:20" ht="42">
      <c r="B615" s="5" t="s">
        <v>1451</v>
      </c>
      <c r="C615" s="45" t="s">
        <v>97</v>
      </c>
      <c r="D615" s="45" t="s">
        <v>1452</v>
      </c>
      <c r="E615" s="6" t="s">
        <v>1453</v>
      </c>
      <c r="F615" s="45" t="s">
        <v>104</v>
      </c>
      <c r="G615" s="46">
        <f t="shared" si="71"/>
        <v>60</v>
      </c>
      <c r="H615" s="46">
        <f>TRUNC(S615*(1-LOTE_03!$K$10),2)</f>
        <v>168.4</v>
      </c>
      <c r="I615" s="46">
        <f>TRUNC(T615*(1-LOTE_03!$K$10),2)</f>
        <v>215.97</v>
      </c>
      <c r="J615" s="100">
        <f t="shared" si="72"/>
        <v>0.22470000000000001</v>
      </c>
      <c r="K615" s="48">
        <f t="shared" si="66"/>
        <v>206.23</v>
      </c>
      <c r="L615" s="48">
        <f t="shared" si="67"/>
        <v>264.49</v>
      </c>
      <c r="M615" s="48">
        <f t="shared" si="68"/>
        <v>12373.8</v>
      </c>
      <c r="N615" s="48">
        <f t="shared" si="69"/>
        <v>15869.4</v>
      </c>
      <c r="O615" s="50">
        <f t="shared" si="70"/>
        <v>28243.200000000001</v>
      </c>
      <c r="P615" s="50">
        <v>0</v>
      </c>
      <c r="Q615" s="76"/>
      <c r="R615" s="139">
        <f>3*S9+3*S10</f>
        <v>60</v>
      </c>
      <c r="S615" s="79">
        <v>168.4</v>
      </c>
      <c r="T615" s="80">
        <v>215.97</v>
      </c>
    </row>
    <row r="616" spans="2:20" ht="28">
      <c r="B616" s="5" t="s">
        <v>1454</v>
      </c>
      <c r="C616" s="45" t="s">
        <v>97</v>
      </c>
      <c r="D616" s="45" t="s">
        <v>1455</v>
      </c>
      <c r="E616" s="6" t="s">
        <v>1456</v>
      </c>
      <c r="F616" s="45" t="s">
        <v>104</v>
      </c>
      <c r="G616" s="46">
        <f t="shared" si="71"/>
        <v>60</v>
      </c>
      <c r="H616" s="46">
        <f>TRUNC(S616*(1-LOTE_03!$K$10),2)</f>
        <v>2256.98</v>
      </c>
      <c r="I616" s="46">
        <f>TRUNC(T616*(1-LOTE_03!$K$10),2)</f>
        <v>607.48</v>
      </c>
      <c r="J616" s="100">
        <f t="shared" si="72"/>
        <v>0.22470000000000001</v>
      </c>
      <c r="K616" s="48">
        <f t="shared" si="66"/>
        <v>2764.12</v>
      </c>
      <c r="L616" s="48">
        <f t="shared" si="67"/>
        <v>743.98</v>
      </c>
      <c r="M616" s="48">
        <f t="shared" si="68"/>
        <v>165847.20000000001</v>
      </c>
      <c r="N616" s="48">
        <f t="shared" si="69"/>
        <v>44638.8</v>
      </c>
      <c r="O616" s="50">
        <f t="shared" si="70"/>
        <v>210486</v>
      </c>
      <c r="P616" s="50">
        <v>0</v>
      </c>
      <c r="Q616" s="76"/>
      <c r="R616" s="139">
        <f>3*S9+3*S10</f>
        <v>60</v>
      </c>
      <c r="S616" s="79">
        <v>2256.98</v>
      </c>
      <c r="T616" s="80">
        <v>607.48</v>
      </c>
    </row>
    <row r="617" spans="2:20" ht="70">
      <c r="B617" s="5" t="s">
        <v>1457</v>
      </c>
      <c r="C617" s="45" t="s">
        <v>97</v>
      </c>
      <c r="D617" s="45" t="s">
        <v>1458</v>
      </c>
      <c r="E617" s="6" t="s">
        <v>1459</v>
      </c>
      <c r="F617" s="45" t="s">
        <v>104</v>
      </c>
      <c r="G617" s="46">
        <f t="shared" si="71"/>
        <v>40</v>
      </c>
      <c r="H617" s="46">
        <f>TRUNC(S617*(1-LOTE_03!$K$10),2)</f>
        <v>458.53</v>
      </c>
      <c r="I617" s="46">
        <f>TRUNC(T617*(1-LOTE_03!$K$10),2)</f>
        <v>52.72</v>
      </c>
      <c r="J617" s="100">
        <f t="shared" si="72"/>
        <v>0.22470000000000001</v>
      </c>
      <c r="K617" s="48">
        <f t="shared" si="66"/>
        <v>561.55999999999995</v>
      </c>
      <c r="L617" s="48">
        <f t="shared" si="67"/>
        <v>64.56</v>
      </c>
      <c r="M617" s="48">
        <f t="shared" si="68"/>
        <v>22462.400000000001</v>
      </c>
      <c r="N617" s="48">
        <f t="shared" si="69"/>
        <v>2582.4</v>
      </c>
      <c r="O617" s="50">
        <f t="shared" si="70"/>
        <v>25044.799999999999</v>
      </c>
      <c r="P617" s="50">
        <v>0</v>
      </c>
      <c r="Q617" s="76"/>
      <c r="R617" s="139">
        <f>2*S9+2*S10</f>
        <v>40</v>
      </c>
      <c r="S617" s="79">
        <v>458.53</v>
      </c>
      <c r="T617" s="80">
        <v>52.72</v>
      </c>
    </row>
    <row r="618" spans="2:20" ht="70">
      <c r="B618" s="5" t="s">
        <v>1460</v>
      </c>
      <c r="C618" s="45" t="s">
        <v>97</v>
      </c>
      <c r="D618" s="45" t="s">
        <v>1461</v>
      </c>
      <c r="E618" s="6" t="s">
        <v>1462</v>
      </c>
      <c r="F618" s="45" t="s">
        <v>104</v>
      </c>
      <c r="G618" s="46">
        <f t="shared" si="71"/>
        <v>40</v>
      </c>
      <c r="H618" s="46">
        <f>TRUNC(S618*(1-LOTE_03!$K$10),2)</f>
        <v>2012.58</v>
      </c>
      <c r="I618" s="46">
        <f>TRUNC(T618*(1-LOTE_03!$K$10),2)</f>
        <v>327.33</v>
      </c>
      <c r="J618" s="100">
        <f t="shared" si="72"/>
        <v>0.22470000000000001</v>
      </c>
      <c r="K618" s="48">
        <f t="shared" si="66"/>
        <v>2464.8000000000002</v>
      </c>
      <c r="L618" s="48">
        <f t="shared" si="67"/>
        <v>400.88</v>
      </c>
      <c r="M618" s="48">
        <f t="shared" si="68"/>
        <v>98592</v>
      </c>
      <c r="N618" s="48">
        <f t="shared" si="69"/>
        <v>16035.2</v>
      </c>
      <c r="O618" s="50">
        <f t="shared" si="70"/>
        <v>114627.2</v>
      </c>
      <c r="P618" s="50">
        <v>0</v>
      </c>
      <c r="Q618" s="76"/>
      <c r="R618" s="139">
        <f>2*S9+2*S10</f>
        <v>40</v>
      </c>
      <c r="S618" s="79">
        <v>2012.58</v>
      </c>
      <c r="T618" s="80">
        <v>327.33</v>
      </c>
    </row>
    <row r="619" spans="2:20" ht="70">
      <c r="B619" s="5" t="s">
        <v>1463</v>
      </c>
      <c r="C619" s="45" t="s">
        <v>135</v>
      </c>
      <c r="D619" s="45">
        <v>103289</v>
      </c>
      <c r="E619" s="6" t="s">
        <v>1464</v>
      </c>
      <c r="F619" s="45" t="s">
        <v>187</v>
      </c>
      <c r="G619" s="46">
        <f t="shared" si="71"/>
        <v>200</v>
      </c>
      <c r="H619" s="46">
        <f>TRUNC(S619*(1-LOTE_03!$K$10),2)</f>
        <v>30.81</v>
      </c>
      <c r="I619" s="46">
        <f>TRUNC(T619*(1-LOTE_03!$K$10),2)</f>
        <v>3.32</v>
      </c>
      <c r="J619" s="100">
        <f t="shared" si="72"/>
        <v>0.22470000000000001</v>
      </c>
      <c r="K619" s="48">
        <f t="shared" si="66"/>
        <v>37.729999999999997</v>
      </c>
      <c r="L619" s="48">
        <f t="shared" si="67"/>
        <v>4.0599999999999996</v>
      </c>
      <c r="M619" s="48">
        <f t="shared" si="68"/>
        <v>7546</v>
      </c>
      <c r="N619" s="48">
        <f t="shared" si="69"/>
        <v>812</v>
      </c>
      <c r="O619" s="50">
        <f t="shared" si="70"/>
        <v>8358</v>
      </c>
      <c r="P619" s="50">
        <v>0</v>
      </c>
      <c r="Q619" s="76"/>
      <c r="R619" s="139">
        <f>10*S9+10*S10</f>
        <v>200</v>
      </c>
      <c r="S619" s="79">
        <v>30.810000000000002</v>
      </c>
      <c r="T619" s="80">
        <v>3.32</v>
      </c>
    </row>
    <row r="620" spans="2:20" ht="70">
      <c r="B620" s="5" t="s">
        <v>1465</v>
      </c>
      <c r="C620" s="45" t="s">
        <v>135</v>
      </c>
      <c r="D620" s="45">
        <v>103290</v>
      </c>
      <c r="E620" s="6" t="s">
        <v>1466</v>
      </c>
      <c r="F620" s="45" t="s">
        <v>187</v>
      </c>
      <c r="G620" s="46">
        <f t="shared" si="71"/>
        <v>200</v>
      </c>
      <c r="H620" s="46">
        <f>TRUNC(S620*(1-LOTE_03!$K$10),2)</f>
        <v>51.82</v>
      </c>
      <c r="I620" s="46">
        <f>TRUNC(T620*(1-LOTE_03!$K$10),2)</f>
        <v>3.65</v>
      </c>
      <c r="J620" s="100">
        <f t="shared" si="72"/>
        <v>0.22470000000000001</v>
      </c>
      <c r="K620" s="48">
        <f t="shared" si="66"/>
        <v>63.46</v>
      </c>
      <c r="L620" s="48">
        <f t="shared" si="67"/>
        <v>4.47</v>
      </c>
      <c r="M620" s="48">
        <f t="shared" si="68"/>
        <v>12692</v>
      </c>
      <c r="N620" s="48">
        <f t="shared" si="69"/>
        <v>894</v>
      </c>
      <c r="O620" s="50">
        <f t="shared" si="70"/>
        <v>13586</v>
      </c>
      <c r="P620" s="50">
        <v>0</v>
      </c>
      <c r="Q620" s="76"/>
      <c r="R620" s="139">
        <f>10*S9+10*S10</f>
        <v>200</v>
      </c>
      <c r="S620" s="79">
        <v>51.82</v>
      </c>
      <c r="T620" s="80">
        <v>3.65</v>
      </c>
    </row>
    <row r="621" spans="2:20" ht="70">
      <c r="B621" s="5" t="s">
        <v>1467</v>
      </c>
      <c r="C621" s="45" t="s">
        <v>135</v>
      </c>
      <c r="D621" s="45">
        <v>103291</v>
      </c>
      <c r="E621" s="6" t="s">
        <v>1468</v>
      </c>
      <c r="F621" s="45" t="s">
        <v>187</v>
      </c>
      <c r="G621" s="46">
        <f t="shared" si="71"/>
        <v>200</v>
      </c>
      <c r="H621" s="46">
        <f>TRUNC(S621*(1-LOTE_03!$K$10),2)</f>
        <v>65.11</v>
      </c>
      <c r="I621" s="46">
        <f>TRUNC(T621*(1-LOTE_03!$K$10),2)</f>
        <v>4.01</v>
      </c>
      <c r="J621" s="100">
        <f t="shared" si="72"/>
        <v>0.22470000000000001</v>
      </c>
      <c r="K621" s="48">
        <f t="shared" si="66"/>
        <v>79.739999999999995</v>
      </c>
      <c r="L621" s="48">
        <f t="shared" si="67"/>
        <v>4.91</v>
      </c>
      <c r="M621" s="48">
        <f t="shared" si="68"/>
        <v>15948</v>
      </c>
      <c r="N621" s="48">
        <f t="shared" si="69"/>
        <v>982</v>
      </c>
      <c r="O621" s="50">
        <f t="shared" si="70"/>
        <v>16930</v>
      </c>
      <c r="P621" s="50">
        <v>0</v>
      </c>
      <c r="Q621" s="76"/>
      <c r="R621" s="139">
        <f>10*S9+10*S10</f>
        <v>200</v>
      </c>
      <c r="S621" s="79">
        <v>65.11</v>
      </c>
      <c r="T621" s="80">
        <v>4.01</v>
      </c>
    </row>
    <row r="622" spans="2:20" ht="70">
      <c r="B622" s="5" t="s">
        <v>1469</v>
      </c>
      <c r="C622" s="45" t="s">
        <v>135</v>
      </c>
      <c r="D622" s="45">
        <v>103292</v>
      </c>
      <c r="E622" s="6" t="s">
        <v>1470</v>
      </c>
      <c r="F622" s="45" t="s">
        <v>187</v>
      </c>
      <c r="G622" s="46">
        <f t="shared" si="71"/>
        <v>200</v>
      </c>
      <c r="H622" s="46">
        <f>TRUNC(S622*(1-LOTE_03!$K$10),2)</f>
        <v>79.37</v>
      </c>
      <c r="I622" s="46">
        <f>TRUNC(T622*(1-LOTE_03!$K$10),2)</f>
        <v>4.37</v>
      </c>
      <c r="J622" s="100">
        <f t="shared" si="72"/>
        <v>0.22470000000000001</v>
      </c>
      <c r="K622" s="48">
        <f t="shared" si="66"/>
        <v>97.2</v>
      </c>
      <c r="L622" s="48">
        <f t="shared" si="67"/>
        <v>5.35</v>
      </c>
      <c r="M622" s="48">
        <f t="shared" si="68"/>
        <v>19440</v>
      </c>
      <c r="N622" s="48">
        <f t="shared" si="69"/>
        <v>1070</v>
      </c>
      <c r="O622" s="50">
        <f t="shared" si="70"/>
        <v>20510</v>
      </c>
      <c r="P622" s="50">
        <v>0</v>
      </c>
      <c r="Q622" s="76"/>
      <c r="R622" s="139">
        <f>10*S9+10*S10</f>
        <v>200</v>
      </c>
      <c r="S622" s="79">
        <v>79.36999999999999</v>
      </c>
      <c r="T622" s="80">
        <v>4.37</v>
      </c>
    </row>
    <row r="623" spans="2:20" ht="28">
      <c r="B623" s="5" t="s">
        <v>1471</v>
      </c>
      <c r="C623" s="45" t="s">
        <v>97</v>
      </c>
      <c r="D623" s="45" t="s">
        <v>1472</v>
      </c>
      <c r="E623" s="6" t="s">
        <v>1473</v>
      </c>
      <c r="F623" s="45" t="s">
        <v>104</v>
      </c>
      <c r="G623" s="46">
        <f t="shared" si="71"/>
        <v>100</v>
      </c>
      <c r="H623" s="46">
        <f>TRUNC(S623*(1-LOTE_03!$K$10),2)</f>
        <v>251.54</v>
      </c>
      <c r="I623" s="46">
        <f>TRUNC(T623*(1-LOTE_03!$K$10),2)</f>
        <v>403.02</v>
      </c>
      <c r="J623" s="100">
        <f t="shared" si="72"/>
        <v>0.22470000000000001</v>
      </c>
      <c r="K623" s="48">
        <f t="shared" si="66"/>
        <v>308.06</v>
      </c>
      <c r="L623" s="48">
        <f t="shared" si="67"/>
        <v>493.57</v>
      </c>
      <c r="M623" s="48">
        <f t="shared" si="68"/>
        <v>30806</v>
      </c>
      <c r="N623" s="48">
        <f t="shared" si="69"/>
        <v>49357</v>
      </c>
      <c r="O623" s="50">
        <f t="shared" si="70"/>
        <v>80163</v>
      </c>
      <c r="P623" s="50">
        <v>0</v>
      </c>
      <c r="Q623" s="76"/>
      <c r="R623" s="139">
        <f>5*S9+5*S10</f>
        <v>100</v>
      </c>
      <c r="S623" s="79">
        <v>251.54</v>
      </c>
      <c r="T623" s="80">
        <v>403.02</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13494509.600000005</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50">
        <v>0</v>
      </c>
      <c r="Q625" s="76"/>
      <c r="R625" s="154"/>
      <c r="S625" s="79" t="s">
        <v>22</v>
      </c>
      <c r="T625" s="80" t="s">
        <v>22</v>
      </c>
    </row>
    <row r="626" spans="2:20" ht="84">
      <c r="B626" s="5" t="s">
        <v>1476</v>
      </c>
      <c r="C626" s="45" t="s">
        <v>97</v>
      </c>
      <c r="D626" s="45" t="s">
        <v>1477</v>
      </c>
      <c r="E626" s="6" t="s">
        <v>1478</v>
      </c>
      <c r="F626" s="45" t="s">
        <v>121</v>
      </c>
      <c r="G626" s="46">
        <f t="shared" si="71"/>
        <v>600</v>
      </c>
      <c r="H626" s="46">
        <f>TRUNC(S626*(1-LOTE_03!$K$10),2)</f>
        <v>315.77999999999997</v>
      </c>
      <c r="I626" s="46">
        <f>TRUNC(T626*(1-LOTE_03!$K$10),2)</f>
        <v>30.3</v>
      </c>
      <c r="J626" s="100">
        <f t="shared" si="72"/>
        <v>0.22470000000000001</v>
      </c>
      <c r="K626" s="48">
        <f t="shared" si="66"/>
        <v>386.73</v>
      </c>
      <c r="L626" s="48">
        <f t="shared" si="67"/>
        <v>37.1</v>
      </c>
      <c r="M626" s="48">
        <f t="shared" si="68"/>
        <v>232038</v>
      </c>
      <c r="N626" s="48">
        <f t="shared" si="69"/>
        <v>22260</v>
      </c>
      <c r="O626" s="50">
        <f t="shared" si="70"/>
        <v>254298</v>
      </c>
      <c r="P626" s="50">
        <v>0</v>
      </c>
      <c r="Q626" s="76"/>
      <c r="R626" s="139">
        <f>30*(S9+S10)</f>
        <v>600</v>
      </c>
      <c r="S626" s="79">
        <v>315.77999999999997</v>
      </c>
      <c r="T626" s="80">
        <v>30.3</v>
      </c>
    </row>
    <row r="627" spans="2:20" ht="70">
      <c r="B627" s="5" t="s">
        <v>1479</v>
      </c>
      <c r="C627" s="45" t="s">
        <v>97</v>
      </c>
      <c r="D627" s="45" t="s">
        <v>1480</v>
      </c>
      <c r="E627" s="6" t="s">
        <v>1481</v>
      </c>
      <c r="F627" s="45" t="s">
        <v>104</v>
      </c>
      <c r="G627" s="46">
        <f t="shared" si="71"/>
        <v>10</v>
      </c>
      <c r="H627" s="46">
        <f>TRUNC(S627*(1-LOTE_03!$K$10),2)</f>
        <v>1650.64</v>
      </c>
      <c r="I627" s="46">
        <f>TRUNC(T627*(1-LOTE_03!$K$10),2)</f>
        <v>136.44999999999999</v>
      </c>
      <c r="J627" s="100">
        <f t="shared" si="72"/>
        <v>0.22470000000000001</v>
      </c>
      <c r="K627" s="48">
        <f t="shared" si="66"/>
        <v>2021.53</v>
      </c>
      <c r="L627" s="48">
        <f t="shared" si="67"/>
        <v>167.11</v>
      </c>
      <c r="M627" s="48">
        <f t="shared" si="68"/>
        <v>20215.3</v>
      </c>
      <c r="N627" s="48">
        <f t="shared" si="69"/>
        <v>1671.1</v>
      </c>
      <c r="O627" s="50">
        <f t="shared" si="70"/>
        <v>21886.400000000001</v>
      </c>
      <c r="P627" s="50">
        <v>0</v>
      </c>
      <c r="Q627" s="76"/>
      <c r="R627" s="140">
        <f>IF((S9+S10)&gt;10,10,(S9+S10))</f>
        <v>10</v>
      </c>
      <c r="S627" s="79">
        <v>1650.64</v>
      </c>
      <c r="T627" s="80">
        <v>136.44999999999999</v>
      </c>
    </row>
    <row r="628" spans="2:20" ht="56">
      <c r="B628" s="5" t="s">
        <v>1482</v>
      </c>
      <c r="C628" s="45" t="s">
        <v>97</v>
      </c>
      <c r="D628" s="45" t="s">
        <v>467</v>
      </c>
      <c r="E628" s="6" t="s">
        <v>468</v>
      </c>
      <c r="F628" s="45" t="s">
        <v>121</v>
      </c>
      <c r="G628" s="46">
        <f t="shared" si="71"/>
        <v>1342</v>
      </c>
      <c r="H628" s="46">
        <f>TRUNC(S628*(1-LOTE_03!$K$10),2)</f>
        <v>379.76</v>
      </c>
      <c r="I628" s="46">
        <f>TRUNC(T628*(1-LOTE_03!$K$10),2)</f>
        <v>147.68</v>
      </c>
      <c r="J628" s="100">
        <f t="shared" si="72"/>
        <v>0.22470000000000001</v>
      </c>
      <c r="K628" s="48">
        <f t="shared" si="66"/>
        <v>465.09</v>
      </c>
      <c r="L628" s="48">
        <f t="shared" si="67"/>
        <v>180.86</v>
      </c>
      <c r="M628" s="48">
        <f t="shared" si="68"/>
        <v>624150.78</v>
      </c>
      <c r="N628" s="48">
        <f t="shared" si="69"/>
        <v>242714.12</v>
      </c>
      <c r="O628" s="50">
        <f t="shared" si="70"/>
        <v>866864.9</v>
      </c>
      <c r="P628" s="50">
        <v>0</v>
      </c>
      <c r="Q628" s="76"/>
      <c r="R628" s="139">
        <f>(13.5+12.5+5.5+22.6+13)*(S9+S10)</f>
        <v>1342</v>
      </c>
      <c r="S628" s="79">
        <v>379.76</v>
      </c>
      <c r="T628" s="80">
        <v>147.68</v>
      </c>
    </row>
    <row r="629" spans="2:20" ht="28">
      <c r="B629" s="5" t="s">
        <v>1483</v>
      </c>
      <c r="C629" s="45" t="s">
        <v>97</v>
      </c>
      <c r="D629" s="45" t="s">
        <v>1484</v>
      </c>
      <c r="E629" s="6" t="s">
        <v>1485</v>
      </c>
      <c r="F629" s="45" t="s">
        <v>121</v>
      </c>
      <c r="G629" s="46">
        <f t="shared" si="71"/>
        <v>160</v>
      </c>
      <c r="H629" s="46">
        <f>TRUNC(S629*(1-LOTE_03!$K$10),2)</f>
        <v>444.3</v>
      </c>
      <c r="I629" s="46">
        <f>TRUNC(T629*(1-LOTE_03!$K$10),2)</f>
        <v>4.38</v>
      </c>
      <c r="J629" s="100">
        <f t="shared" si="72"/>
        <v>0.22470000000000001</v>
      </c>
      <c r="K629" s="48">
        <f t="shared" si="66"/>
        <v>544.13</v>
      </c>
      <c r="L629" s="48">
        <f t="shared" si="67"/>
        <v>5.36</v>
      </c>
      <c r="M629" s="48">
        <f t="shared" si="68"/>
        <v>87060.800000000003</v>
      </c>
      <c r="N629" s="48">
        <f t="shared" si="69"/>
        <v>857.6</v>
      </c>
      <c r="O629" s="50">
        <f t="shared" si="70"/>
        <v>87918.399999999994</v>
      </c>
      <c r="P629" s="50">
        <v>0</v>
      </c>
      <c r="Q629" s="76"/>
      <c r="R629" s="139">
        <f>8*(S9+S10)</f>
        <v>160</v>
      </c>
      <c r="S629" s="79">
        <v>444.3</v>
      </c>
      <c r="T629" s="80">
        <v>4.38</v>
      </c>
    </row>
    <row r="630" spans="2:20" ht="126">
      <c r="B630" s="5" t="s">
        <v>1486</v>
      </c>
      <c r="C630" s="45" t="s">
        <v>97</v>
      </c>
      <c r="D630" s="45" t="s">
        <v>1487</v>
      </c>
      <c r="E630" s="6" t="s">
        <v>1488</v>
      </c>
      <c r="F630" s="45" t="s">
        <v>104</v>
      </c>
      <c r="G630" s="46">
        <f t="shared" si="71"/>
        <v>20</v>
      </c>
      <c r="H630" s="46">
        <f>TRUNC(S630*(1-LOTE_03!$K$10),2)</f>
        <v>11773.12</v>
      </c>
      <c r="I630" s="46">
        <f>TRUNC(T630*(1-LOTE_03!$K$10),2)</f>
        <v>1417.08</v>
      </c>
      <c r="J630" s="100">
        <f t="shared" si="72"/>
        <v>0.22470000000000001</v>
      </c>
      <c r="K630" s="48">
        <f t="shared" si="66"/>
        <v>14418.54</v>
      </c>
      <c r="L630" s="48">
        <f t="shared" si="67"/>
        <v>1735.49</v>
      </c>
      <c r="M630" s="48">
        <f t="shared" si="68"/>
        <v>288370.8</v>
      </c>
      <c r="N630" s="48">
        <f t="shared" si="69"/>
        <v>34709.800000000003</v>
      </c>
      <c r="O630" s="50">
        <f t="shared" si="70"/>
        <v>323080.59999999998</v>
      </c>
      <c r="P630" s="50">
        <v>0</v>
      </c>
      <c r="Q630" s="76"/>
      <c r="R630" s="139">
        <f>1*(S9+S10)</f>
        <v>20</v>
      </c>
      <c r="S630" s="79">
        <v>11773.12</v>
      </c>
      <c r="T630" s="80">
        <v>1417.08</v>
      </c>
    </row>
    <row r="631" spans="2:20" ht="42">
      <c r="B631" s="5" t="s">
        <v>1489</v>
      </c>
      <c r="C631" s="45" t="s">
        <v>97</v>
      </c>
      <c r="D631" s="45" t="s">
        <v>1490</v>
      </c>
      <c r="E631" s="6" t="s">
        <v>1491</v>
      </c>
      <c r="F631" s="45" t="s">
        <v>104</v>
      </c>
      <c r="G631" s="46">
        <f t="shared" si="71"/>
        <v>20</v>
      </c>
      <c r="H631" s="46">
        <f>TRUNC(S631*(1-LOTE_03!$K$10),2)</f>
        <v>3034.24</v>
      </c>
      <c r="I631" s="46">
        <f>TRUNC(T631*(1-LOTE_03!$K$10),2)</f>
        <v>409.78</v>
      </c>
      <c r="J631" s="100">
        <f t="shared" si="72"/>
        <v>0.22470000000000001</v>
      </c>
      <c r="K631" s="48">
        <f t="shared" si="66"/>
        <v>3716.03</v>
      </c>
      <c r="L631" s="48">
        <f t="shared" si="67"/>
        <v>501.85</v>
      </c>
      <c r="M631" s="48">
        <f t="shared" si="68"/>
        <v>74320.600000000006</v>
      </c>
      <c r="N631" s="48">
        <f t="shared" si="69"/>
        <v>10037</v>
      </c>
      <c r="O631" s="50">
        <f t="shared" si="70"/>
        <v>84357.6</v>
      </c>
      <c r="P631" s="50">
        <v>0</v>
      </c>
      <c r="Q631" s="76"/>
      <c r="R631" s="139">
        <f>1*(S9+S10)</f>
        <v>20</v>
      </c>
      <c r="S631" s="79">
        <v>3034.24</v>
      </c>
      <c r="T631" s="80">
        <v>409.78</v>
      </c>
    </row>
    <row r="632" spans="2:20" ht="84">
      <c r="B632" s="5" t="s">
        <v>1492</v>
      </c>
      <c r="C632" s="45" t="s">
        <v>97</v>
      </c>
      <c r="D632" s="45" t="s">
        <v>1493</v>
      </c>
      <c r="E632" s="6" t="s">
        <v>1494</v>
      </c>
      <c r="F632" s="45" t="s">
        <v>104</v>
      </c>
      <c r="G632" s="46">
        <f t="shared" si="71"/>
        <v>20</v>
      </c>
      <c r="H632" s="46">
        <f>TRUNC(S632*(1-LOTE_03!$K$10),2)</f>
        <v>9013.17</v>
      </c>
      <c r="I632" s="46">
        <f>TRUNC(T632*(1-LOTE_03!$K$10),2)</f>
        <v>113.76</v>
      </c>
      <c r="J632" s="100">
        <f t="shared" si="72"/>
        <v>0.22470000000000001</v>
      </c>
      <c r="K632" s="48">
        <f t="shared" si="66"/>
        <v>11038.42</v>
      </c>
      <c r="L632" s="48">
        <f t="shared" si="67"/>
        <v>139.32</v>
      </c>
      <c r="M632" s="48">
        <f t="shared" si="68"/>
        <v>220768.4</v>
      </c>
      <c r="N632" s="48">
        <f t="shared" si="69"/>
        <v>2786.4</v>
      </c>
      <c r="O632" s="50">
        <f t="shared" si="70"/>
        <v>223554.8</v>
      </c>
      <c r="P632" s="50">
        <v>0</v>
      </c>
      <c r="Q632" s="76"/>
      <c r="R632" s="139">
        <f>1*(S9+S10)</f>
        <v>20</v>
      </c>
      <c r="S632" s="79">
        <v>9013.17</v>
      </c>
      <c r="T632" s="80">
        <v>113.76</v>
      </c>
    </row>
    <row r="633" spans="2:20" ht="84">
      <c r="B633" s="5" t="s">
        <v>1495</v>
      </c>
      <c r="C633" s="45" t="s">
        <v>97</v>
      </c>
      <c r="D633" s="45" t="s">
        <v>1496</v>
      </c>
      <c r="E633" s="6" t="s">
        <v>1497</v>
      </c>
      <c r="F633" s="45" t="s">
        <v>104</v>
      </c>
      <c r="G633" s="46">
        <f t="shared" si="71"/>
        <v>20</v>
      </c>
      <c r="H633" s="46">
        <f>TRUNC(S633*(1-LOTE_03!$K$10),2)</f>
        <v>6800.92</v>
      </c>
      <c r="I633" s="46">
        <f>TRUNC(T633*(1-LOTE_03!$K$10),2)</f>
        <v>113.76</v>
      </c>
      <c r="J633" s="100">
        <f t="shared" si="72"/>
        <v>0.22470000000000001</v>
      </c>
      <c r="K633" s="48">
        <f t="shared" si="66"/>
        <v>8329.08</v>
      </c>
      <c r="L633" s="48">
        <f t="shared" si="67"/>
        <v>139.32</v>
      </c>
      <c r="M633" s="48">
        <f t="shared" si="68"/>
        <v>166581.6</v>
      </c>
      <c r="N633" s="48">
        <f t="shared" si="69"/>
        <v>2786.4</v>
      </c>
      <c r="O633" s="50">
        <f t="shared" si="70"/>
        <v>169368</v>
      </c>
      <c r="P633" s="50">
        <v>0</v>
      </c>
      <c r="Q633" s="76"/>
      <c r="R633" s="139">
        <f>1*(S9+S10)</f>
        <v>20</v>
      </c>
      <c r="S633" s="79">
        <v>6800.92</v>
      </c>
      <c r="T633" s="80">
        <v>113.76</v>
      </c>
    </row>
    <row r="634" spans="2:20" ht="56">
      <c r="B634" s="5" t="s">
        <v>1498</v>
      </c>
      <c r="C634" s="45" t="s">
        <v>97</v>
      </c>
      <c r="D634" s="45" t="s">
        <v>1499</v>
      </c>
      <c r="E634" s="6" t="s">
        <v>1500</v>
      </c>
      <c r="F634" s="45" t="s">
        <v>121</v>
      </c>
      <c r="G634" s="46">
        <f t="shared" si="71"/>
        <v>300</v>
      </c>
      <c r="H634" s="46">
        <f>TRUNC(S634*(1-LOTE_03!$K$10),2)</f>
        <v>445.76</v>
      </c>
      <c r="I634" s="46">
        <f>TRUNC(T634*(1-LOTE_03!$K$10),2)</f>
        <v>7.58</v>
      </c>
      <c r="J634" s="100">
        <f t="shared" si="72"/>
        <v>0.22470000000000001</v>
      </c>
      <c r="K634" s="48">
        <f t="shared" si="66"/>
        <v>545.91999999999996</v>
      </c>
      <c r="L634" s="48">
        <f t="shared" si="67"/>
        <v>9.2799999999999994</v>
      </c>
      <c r="M634" s="48">
        <f t="shared" si="68"/>
        <v>163776</v>
      </c>
      <c r="N634" s="48">
        <f t="shared" si="69"/>
        <v>2784</v>
      </c>
      <c r="O634" s="50">
        <f t="shared" si="70"/>
        <v>166560</v>
      </c>
      <c r="P634" s="50">
        <v>0</v>
      </c>
      <c r="Q634" s="76"/>
      <c r="R634" s="139">
        <f>15*(S9+S10)</f>
        <v>300</v>
      </c>
      <c r="S634" s="79">
        <v>445.76</v>
      </c>
      <c r="T634" s="80">
        <v>7.58</v>
      </c>
    </row>
    <row r="635" spans="2:20" ht="28">
      <c r="B635" s="5" t="s">
        <v>1501</v>
      </c>
      <c r="C635" s="45" t="s">
        <v>97</v>
      </c>
      <c r="D635" s="45" t="s">
        <v>1502</v>
      </c>
      <c r="E635" s="6" t="s">
        <v>1503</v>
      </c>
      <c r="F635" s="45" t="s">
        <v>104</v>
      </c>
      <c r="G635" s="46">
        <f t="shared" si="71"/>
        <v>40</v>
      </c>
      <c r="H635" s="46">
        <f>TRUNC(S635*(1-LOTE_03!$K$10),2)</f>
        <v>311.43</v>
      </c>
      <c r="I635" s="46">
        <f>TRUNC(T635*(1-LOTE_03!$K$10),2)</f>
        <v>23.6</v>
      </c>
      <c r="J635" s="100">
        <f t="shared" si="72"/>
        <v>0.22470000000000001</v>
      </c>
      <c r="K635" s="48">
        <f t="shared" si="66"/>
        <v>381.4</v>
      </c>
      <c r="L635" s="48">
        <f t="shared" si="67"/>
        <v>28.9</v>
      </c>
      <c r="M635" s="48">
        <f t="shared" si="68"/>
        <v>15256</v>
      </c>
      <c r="N635" s="48">
        <f t="shared" si="69"/>
        <v>1156</v>
      </c>
      <c r="O635" s="50">
        <f t="shared" si="70"/>
        <v>16412</v>
      </c>
      <c r="P635" s="50">
        <v>0</v>
      </c>
      <c r="Q635" s="76"/>
      <c r="R635" s="139">
        <f>2*(S9+S10)</f>
        <v>40</v>
      </c>
      <c r="S635" s="79">
        <v>311.43</v>
      </c>
      <c r="T635" s="80">
        <v>23.6</v>
      </c>
    </row>
    <row r="636" spans="2:20" ht="56">
      <c r="B636" s="5" t="s">
        <v>1504</v>
      </c>
      <c r="C636" s="45" t="s">
        <v>97</v>
      </c>
      <c r="D636" s="45" t="s">
        <v>1505</v>
      </c>
      <c r="E636" s="6" t="s">
        <v>1506</v>
      </c>
      <c r="F636" s="45" t="s">
        <v>104</v>
      </c>
      <c r="G636" s="46">
        <f t="shared" si="71"/>
        <v>20</v>
      </c>
      <c r="H636" s="46">
        <f>TRUNC(S636*(1-LOTE_03!$K$10),2)</f>
        <v>217.21</v>
      </c>
      <c r="I636" s="46">
        <f>TRUNC(T636*(1-LOTE_03!$K$10),2)</f>
        <v>3.2</v>
      </c>
      <c r="J636" s="100">
        <f t="shared" si="72"/>
        <v>0.22470000000000001</v>
      </c>
      <c r="K636" s="48">
        <f t="shared" si="66"/>
        <v>266.01</v>
      </c>
      <c r="L636" s="48">
        <f t="shared" si="67"/>
        <v>3.91</v>
      </c>
      <c r="M636" s="48">
        <f t="shared" si="68"/>
        <v>5320.2</v>
      </c>
      <c r="N636" s="48">
        <f t="shared" si="69"/>
        <v>78.2</v>
      </c>
      <c r="O636" s="50">
        <f t="shared" si="70"/>
        <v>5398.4</v>
      </c>
      <c r="P636" s="50">
        <v>0</v>
      </c>
      <c r="Q636" s="76"/>
      <c r="R636" s="139">
        <f>1*(S9+S10)</f>
        <v>20</v>
      </c>
      <c r="S636" s="79">
        <v>217.21</v>
      </c>
      <c r="T636" s="80">
        <v>3.2</v>
      </c>
    </row>
    <row r="637" spans="2:20" ht="42">
      <c r="B637" s="5" t="s">
        <v>1507</v>
      </c>
      <c r="C637" s="45" t="s">
        <v>97</v>
      </c>
      <c r="D637" s="45" t="s">
        <v>1508</v>
      </c>
      <c r="E637" s="6" t="s">
        <v>1509</v>
      </c>
      <c r="F637" s="45" t="s">
        <v>121</v>
      </c>
      <c r="G637" s="46">
        <f t="shared" si="71"/>
        <v>100</v>
      </c>
      <c r="H637" s="46">
        <f>TRUNC(S637*(1-LOTE_03!$K$10),2)</f>
        <v>3502.93</v>
      </c>
      <c r="I637" s="46">
        <f>TRUNC(T637*(1-LOTE_03!$K$10),2)</f>
        <v>37.92</v>
      </c>
      <c r="J637" s="100">
        <f t="shared" si="72"/>
        <v>0.22470000000000001</v>
      </c>
      <c r="K637" s="48">
        <f t="shared" si="66"/>
        <v>4290.03</v>
      </c>
      <c r="L637" s="48">
        <f t="shared" si="67"/>
        <v>46.44</v>
      </c>
      <c r="M637" s="48">
        <f t="shared" si="68"/>
        <v>429003</v>
      </c>
      <c r="N637" s="48">
        <f t="shared" si="69"/>
        <v>4644</v>
      </c>
      <c r="O637" s="50">
        <f t="shared" si="70"/>
        <v>433647</v>
      </c>
      <c r="P637" s="50">
        <v>0</v>
      </c>
      <c r="Q637" s="76"/>
      <c r="R637" s="139">
        <f>2.5*2*(S9+S10)</f>
        <v>100</v>
      </c>
      <c r="S637" s="79">
        <v>3502.93</v>
      </c>
      <c r="T637" s="80">
        <v>37.92</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50">
        <v>0</v>
      </c>
      <c r="Q638" s="76"/>
      <c r="R638" s="154"/>
      <c r="S638" s="79" t="s">
        <v>22</v>
      </c>
      <c r="T638" s="80" t="s">
        <v>22</v>
      </c>
    </row>
    <row r="639" spans="2:20" ht="98">
      <c r="B639" s="5" t="s">
        <v>1512</v>
      </c>
      <c r="C639" s="45" t="s">
        <v>135</v>
      </c>
      <c r="D639" s="45">
        <v>96369</v>
      </c>
      <c r="E639" s="6" t="s">
        <v>1513</v>
      </c>
      <c r="F639" s="45" t="s">
        <v>121</v>
      </c>
      <c r="G639" s="46">
        <f t="shared" si="71"/>
        <v>360</v>
      </c>
      <c r="H639" s="46">
        <f>TRUNC(S639*(1-LOTE_03!$K$10),2)</f>
        <v>162.44</v>
      </c>
      <c r="I639" s="46">
        <f>TRUNC(T639*(1-LOTE_03!$K$10),2)</f>
        <v>21.73</v>
      </c>
      <c r="J639" s="100">
        <f t="shared" si="72"/>
        <v>0.22470000000000001</v>
      </c>
      <c r="K639" s="48">
        <f t="shared" si="66"/>
        <v>198.94</v>
      </c>
      <c r="L639" s="48">
        <f t="shared" si="67"/>
        <v>26.61</v>
      </c>
      <c r="M639" s="48">
        <f t="shared" si="68"/>
        <v>71618.399999999994</v>
      </c>
      <c r="N639" s="48">
        <f t="shared" si="69"/>
        <v>9579.6</v>
      </c>
      <c r="O639" s="50">
        <f t="shared" si="70"/>
        <v>81198</v>
      </c>
      <c r="P639" s="50">
        <v>0</v>
      </c>
      <c r="Q639" s="76"/>
      <c r="R639" s="139">
        <f>4.5*4*(S9+S10)</f>
        <v>360</v>
      </c>
      <c r="S639" s="79">
        <v>162.44</v>
      </c>
      <c r="T639" s="80">
        <v>21.73</v>
      </c>
    </row>
    <row r="640" spans="2:20" ht="98">
      <c r="B640" s="5" t="s">
        <v>1514</v>
      </c>
      <c r="C640" s="45" t="s">
        <v>97</v>
      </c>
      <c r="D640" s="45" t="s">
        <v>1515</v>
      </c>
      <c r="E640" s="6" t="s">
        <v>1516</v>
      </c>
      <c r="F640" s="45" t="s">
        <v>121</v>
      </c>
      <c r="G640" s="46">
        <f t="shared" si="71"/>
        <v>180</v>
      </c>
      <c r="H640" s="46">
        <f>TRUNC(S640*(1-LOTE_03!$K$10),2)</f>
        <v>1300.03</v>
      </c>
      <c r="I640" s="46">
        <f>TRUNC(T640*(1-LOTE_03!$K$10),2)</f>
        <v>18.96</v>
      </c>
      <c r="J640" s="100">
        <f t="shared" si="72"/>
        <v>0.22470000000000001</v>
      </c>
      <c r="K640" s="48">
        <f t="shared" si="66"/>
        <v>1592.14</v>
      </c>
      <c r="L640" s="48">
        <f t="shared" si="67"/>
        <v>23.22</v>
      </c>
      <c r="M640" s="48">
        <f t="shared" si="68"/>
        <v>286585.2</v>
      </c>
      <c r="N640" s="48">
        <f t="shared" si="69"/>
        <v>4179.6000000000004</v>
      </c>
      <c r="O640" s="50">
        <f t="shared" si="70"/>
        <v>290764.79999999999</v>
      </c>
      <c r="P640" s="50">
        <v>0</v>
      </c>
      <c r="Q640" s="76"/>
      <c r="R640" s="139">
        <f>1.2*3*2.5*(S9+S10)</f>
        <v>180</v>
      </c>
      <c r="S640" s="79">
        <v>1300.03</v>
      </c>
      <c r="T640" s="80">
        <v>18.96</v>
      </c>
    </row>
    <row r="641" spans="2:20" ht="42">
      <c r="B641" s="5" t="s">
        <v>1517</v>
      </c>
      <c r="C641" s="45" t="s">
        <v>97</v>
      </c>
      <c r="D641" s="45" t="s">
        <v>1518</v>
      </c>
      <c r="E641" s="6" t="s">
        <v>1519</v>
      </c>
      <c r="F641" s="45" t="s">
        <v>121</v>
      </c>
      <c r="G641" s="46">
        <f t="shared" si="71"/>
        <v>180</v>
      </c>
      <c r="H641" s="46">
        <f>TRUNC(S641*(1-LOTE_03!$K$10),2)</f>
        <v>613.75</v>
      </c>
      <c r="I641" s="46">
        <f>TRUNC(T641*(1-LOTE_03!$K$10),2)</f>
        <v>16.010000000000002</v>
      </c>
      <c r="J641" s="100">
        <f t="shared" si="72"/>
        <v>0.22470000000000001</v>
      </c>
      <c r="K641" s="48">
        <f t="shared" si="66"/>
        <v>751.65</v>
      </c>
      <c r="L641" s="48">
        <f t="shared" si="67"/>
        <v>19.600000000000001</v>
      </c>
      <c r="M641" s="48">
        <f t="shared" si="68"/>
        <v>135297</v>
      </c>
      <c r="N641" s="48">
        <f t="shared" si="69"/>
        <v>3528</v>
      </c>
      <c r="O641" s="50">
        <f t="shared" si="70"/>
        <v>138825</v>
      </c>
      <c r="P641" s="50">
        <v>0</v>
      </c>
      <c r="Q641" s="76"/>
      <c r="R641" s="139">
        <f>(R639-R640)</f>
        <v>180</v>
      </c>
      <c r="S641" s="79">
        <v>613.75</v>
      </c>
      <c r="T641" s="80">
        <v>16.010000000000002</v>
      </c>
    </row>
    <row r="642" spans="2:20" ht="70">
      <c r="B642" s="5" t="s">
        <v>1520</v>
      </c>
      <c r="C642" s="45" t="s">
        <v>97</v>
      </c>
      <c r="D642" s="45" t="s">
        <v>1521</v>
      </c>
      <c r="E642" s="6" t="s">
        <v>1522</v>
      </c>
      <c r="F642" s="45" t="s">
        <v>104</v>
      </c>
      <c r="G642" s="46">
        <f t="shared" si="71"/>
        <v>60</v>
      </c>
      <c r="H642" s="46">
        <f>TRUNC(S642*(1-LOTE_03!$K$10),2)</f>
        <v>1134.68</v>
      </c>
      <c r="I642" s="46">
        <f>TRUNC(T642*(1-LOTE_03!$K$10),2)</f>
        <v>7.58</v>
      </c>
      <c r="J642" s="100">
        <f t="shared" si="72"/>
        <v>0.22470000000000001</v>
      </c>
      <c r="K642" s="48">
        <f t="shared" si="66"/>
        <v>1389.64</v>
      </c>
      <c r="L642" s="48">
        <f t="shared" si="67"/>
        <v>9.2799999999999994</v>
      </c>
      <c r="M642" s="48">
        <f t="shared" si="68"/>
        <v>83378.399999999994</v>
      </c>
      <c r="N642" s="48">
        <f t="shared" si="69"/>
        <v>556.79999999999995</v>
      </c>
      <c r="O642" s="50">
        <f t="shared" si="70"/>
        <v>83935.2</v>
      </c>
      <c r="P642" s="50">
        <v>0</v>
      </c>
      <c r="Q642" s="76"/>
      <c r="R642" s="139">
        <f>3*(S9+S10)</f>
        <v>60</v>
      </c>
      <c r="S642" s="79">
        <v>1134.68</v>
      </c>
      <c r="T642" s="80">
        <v>7.58</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50">
        <v>0</v>
      </c>
      <c r="Q643" s="76"/>
      <c r="R643" s="154"/>
      <c r="S643" s="79" t="s">
        <v>22</v>
      </c>
      <c r="T643" s="80" t="s">
        <v>22</v>
      </c>
    </row>
    <row r="644" spans="2:20" ht="28">
      <c r="B644" s="5" t="s">
        <v>1525</v>
      </c>
      <c r="C644" s="45" t="s">
        <v>97</v>
      </c>
      <c r="D644" s="45" t="s">
        <v>1526</v>
      </c>
      <c r="E644" s="6" t="s">
        <v>1527</v>
      </c>
      <c r="F644" s="45" t="s">
        <v>121</v>
      </c>
      <c r="G644" s="46">
        <f t="shared" si="71"/>
        <v>4080</v>
      </c>
      <c r="H644" s="46">
        <f>TRUNC(S644*(1-LOTE_03!$K$10),2)</f>
        <v>580.36</v>
      </c>
      <c r="I644" s="46">
        <f>TRUNC(T644*(1-LOTE_03!$K$10),2)</f>
        <v>79.52</v>
      </c>
      <c r="J644" s="100">
        <f t="shared" si="72"/>
        <v>0.22470000000000001</v>
      </c>
      <c r="K644" s="48">
        <f t="shared" si="66"/>
        <v>710.76</v>
      </c>
      <c r="L644" s="48">
        <f t="shared" si="67"/>
        <v>97.38</v>
      </c>
      <c r="M644" s="48">
        <f t="shared" si="68"/>
        <v>2899900.8</v>
      </c>
      <c r="N644" s="48">
        <f t="shared" si="69"/>
        <v>397310.4</v>
      </c>
      <c r="O644" s="50">
        <f t="shared" si="70"/>
        <v>3297211.2</v>
      </c>
      <c r="P644" s="50">
        <v>0</v>
      </c>
      <c r="Q644" s="76"/>
      <c r="R644" s="139">
        <f>(25*(4+2*2)+2*2)*(S9+S10)</f>
        <v>4080</v>
      </c>
      <c r="S644" s="79">
        <v>580.36</v>
      </c>
      <c r="T644" s="80">
        <v>79.52</v>
      </c>
    </row>
    <row r="645" spans="2:20" ht="42">
      <c r="B645" s="5" t="s">
        <v>1528</v>
      </c>
      <c r="C645" s="45" t="s">
        <v>165</v>
      </c>
      <c r="D645" s="45" t="s">
        <v>1529</v>
      </c>
      <c r="E645" s="6" t="s">
        <v>1530</v>
      </c>
      <c r="F645" s="45" t="s">
        <v>168</v>
      </c>
      <c r="G645" s="46">
        <f t="shared" si="71"/>
        <v>4220</v>
      </c>
      <c r="H645" s="46">
        <f>TRUNC(S645*(1-LOTE_03!$K$10),2)</f>
        <v>365.62</v>
      </c>
      <c r="I645" s="46">
        <f>TRUNC(T645*(1-LOTE_03!$K$10),2)</f>
        <v>17.75</v>
      </c>
      <c r="J645" s="100">
        <f t="shared" si="72"/>
        <v>0.22470000000000001</v>
      </c>
      <c r="K645" s="48">
        <f t="shared" si="66"/>
        <v>447.77</v>
      </c>
      <c r="L645" s="48">
        <f t="shared" si="67"/>
        <v>21.73</v>
      </c>
      <c r="M645" s="48">
        <f t="shared" si="68"/>
        <v>1889589.4</v>
      </c>
      <c r="N645" s="48">
        <f t="shared" si="69"/>
        <v>91700.6</v>
      </c>
      <c r="O645" s="50">
        <f t="shared" si="70"/>
        <v>1981290</v>
      </c>
      <c r="P645" s="50">
        <v>0</v>
      </c>
      <c r="Q645" s="76"/>
      <c r="R645" s="139">
        <f>211*(S9+S10)</f>
        <v>4220</v>
      </c>
      <c r="S645" s="79">
        <v>365.62</v>
      </c>
      <c r="T645" s="80">
        <v>17.75</v>
      </c>
    </row>
    <row r="646" spans="2:20" ht="28">
      <c r="B646" s="5" t="s">
        <v>1531</v>
      </c>
      <c r="C646" s="45" t="s">
        <v>97</v>
      </c>
      <c r="D646" s="45" t="s">
        <v>1532</v>
      </c>
      <c r="E646" s="6" t="s">
        <v>1533</v>
      </c>
      <c r="F646" s="45" t="s">
        <v>121</v>
      </c>
      <c r="G646" s="46">
        <f t="shared" si="71"/>
        <v>210</v>
      </c>
      <c r="H646" s="46">
        <f>TRUNC(S646*(1-LOTE_03!$K$10),2)</f>
        <v>2140.39</v>
      </c>
      <c r="I646" s="46">
        <f>TRUNC(T646*(1-LOTE_03!$K$10),2)</f>
        <v>23.85</v>
      </c>
      <c r="J646" s="100">
        <f t="shared" si="72"/>
        <v>0.22470000000000001</v>
      </c>
      <c r="K646" s="48">
        <f t="shared" si="66"/>
        <v>2621.33</v>
      </c>
      <c r="L646" s="48">
        <f t="shared" si="67"/>
        <v>29.2</v>
      </c>
      <c r="M646" s="48">
        <f t="shared" si="68"/>
        <v>550479.30000000005</v>
      </c>
      <c r="N646" s="48">
        <f t="shared" si="69"/>
        <v>6132</v>
      </c>
      <c r="O646" s="50">
        <f t="shared" si="70"/>
        <v>556611.30000000005</v>
      </c>
      <c r="P646" s="50">
        <v>0</v>
      </c>
      <c r="Q646" s="76"/>
      <c r="R646" s="139">
        <f>3*3.5*(S9+S10)</f>
        <v>210</v>
      </c>
      <c r="S646" s="79">
        <v>2140.39</v>
      </c>
      <c r="T646" s="80">
        <v>23.85</v>
      </c>
    </row>
    <row r="647" spans="2:20" ht="56">
      <c r="B647" s="5" t="s">
        <v>1534</v>
      </c>
      <c r="C647" s="45" t="s">
        <v>97</v>
      </c>
      <c r="D647" s="45" t="s">
        <v>1535</v>
      </c>
      <c r="E647" s="6" t="s">
        <v>1536</v>
      </c>
      <c r="F647" s="45" t="s">
        <v>104</v>
      </c>
      <c r="G647" s="46">
        <f t="shared" si="71"/>
        <v>20</v>
      </c>
      <c r="H647" s="46">
        <f>TRUNC(S647*(1-LOTE_03!$K$10),2)</f>
        <v>3328.72</v>
      </c>
      <c r="I647" s="46">
        <f>TRUNC(T647*(1-LOTE_03!$K$10),2)</f>
        <v>37.92</v>
      </c>
      <c r="J647" s="100">
        <f t="shared" si="72"/>
        <v>0.22470000000000001</v>
      </c>
      <c r="K647" s="48">
        <f t="shared" si="66"/>
        <v>4076.68</v>
      </c>
      <c r="L647" s="48">
        <f t="shared" si="67"/>
        <v>46.44</v>
      </c>
      <c r="M647" s="48">
        <f t="shared" si="68"/>
        <v>81533.600000000006</v>
      </c>
      <c r="N647" s="48">
        <f t="shared" si="69"/>
        <v>928.8</v>
      </c>
      <c r="O647" s="50">
        <f t="shared" si="70"/>
        <v>82462.399999999994</v>
      </c>
      <c r="P647" s="50">
        <v>0</v>
      </c>
      <c r="Q647" s="76"/>
      <c r="R647" s="139">
        <f>1*(S9+S10)</f>
        <v>20</v>
      </c>
      <c r="S647" s="79">
        <v>3328.72</v>
      </c>
      <c r="T647" s="80">
        <v>37.92</v>
      </c>
    </row>
    <row r="648" spans="2:20" ht="84">
      <c r="B648" s="5" t="s">
        <v>1537</v>
      </c>
      <c r="C648" s="45" t="s">
        <v>97</v>
      </c>
      <c r="D648" s="45" t="s">
        <v>1477</v>
      </c>
      <c r="E648" s="6" t="s">
        <v>1478</v>
      </c>
      <c r="F648" s="45" t="s">
        <v>121</v>
      </c>
      <c r="G648" s="46">
        <f t="shared" si="71"/>
        <v>300</v>
      </c>
      <c r="H648" s="46">
        <f>TRUNC(S648*(1-LOTE_03!$K$10),2)</f>
        <v>315.77999999999997</v>
      </c>
      <c r="I648" s="46">
        <f>TRUNC(T648*(1-LOTE_03!$K$10),2)</f>
        <v>30.3</v>
      </c>
      <c r="J648" s="100">
        <f t="shared" si="72"/>
        <v>0.22470000000000001</v>
      </c>
      <c r="K648" s="48">
        <f t="shared" si="66"/>
        <v>386.73</v>
      </c>
      <c r="L648" s="48">
        <f t="shared" si="67"/>
        <v>37.1</v>
      </c>
      <c r="M648" s="48">
        <f t="shared" si="68"/>
        <v>116019</v>
      </c>
      <c r="N648" s="48">
        <f t="shared" si="69"/>
        <v>11130</v>
      </c>
      <c r="O648" s="50">
        <f t="shared" si="70"/>
        <v>127149</v>
      </c>
      <c r="P648" s="50">
        <v>0</v>
      </c>
      <c r="Q648" s="76"/>
      <c r="R648" s="139">
        <f>5*3*(S9+S10)</f>
        <v>300</v>
      </c>
      <c r="S648" s="79">
        <v>315.77999999999997</v>
      </c>
      <c r="T648" s="80">
        <v>30.3</v>
      </c>
    </row>
    <row r="649" spans="2:20" ht="56">
      <c r="B649" s="5" t="s">
        <v>1538</v>
      </c>
      <c r="C649" s="45" t="s">
        <v>97</v>
      </c>
      <c r="D649" s="45" t="s">
        <v>1539</v>
      </c>
      <c r="E649" s="6" t="s">
        <v>1540</v>
      </c>
      <c r="F649" s="45" t="s">
        <v>104</v>
      </c>
      <c r="G649" s="46">
        <f t="shared" si="71"/>
        <v>20</v>
      </c>
      <c r="H649" s="46">
        <f>TRUNC(S649*(1-LOTE_03!$K$10),2)</f>
        <v>5058.2</v>
      </c>
      <c r="I649" s="46">
        <f>TRUNC(T649*(1-LOTE_03!$K$10),2)</f>
        <v>75.84</v>
      </c>
      <c r="J649" s="100">
        <f t="shared" si="72"/>
        <v>0.22470000000000001</v>
      </c>
      <c r="K649" s="48">
        <f t="shared" si="66"/>
        <v>6194.77</v>
      </c>
      <c r="L649" s="48">
        <f t="shared" si="67"/>
        <v>92.88</v>
      </c>
      <c r="M649" s="48">
        <f t="shared" si="68"/>
        <v>123895.4</v>
      </c>
      <c r="N649" s="48">
        <f t="shared" si="69"/>
        <v>1857.6</v>
      </c>
      <c r="O649" s="50">
        <f t="shared" si="70"/>
        <v>125753</v>
      </c>
      <c r="P649" s="50">
        <v>0</v>
      </c>
      <c r="Q649" s="76"/>
      <c r="R649" s="139">
        <f>1*(S9+S10)</f>
        <v>20</v>
      </c>
      <c r="S649" s="79">
        <v>5058.2</v>
      </c>
      <c r="T649" s="80">
        <v>75.84</v>
      </c>
    </row>
    <row r="650" spans="2:20" ht="42">
      <c r="B650" s="5" t="s">
        <v>1541</v>
      </c>
      <c r="C650" s="45" t="s">
        <v>97</v>
      </c>
      <c r="D650" s="45" t="s">
        <v>1542</v>
      </c>
      <c r="E650" s="6" t="s">
        <v>1543</v>
      </c>
      <c r="F650" s="45" t="s">
        <v>121</v>
      </c>
      <c r="G650" s="46">
        <f t="shared" si="71"/>
        <v>80</v>
      </c>
      <c r="H650" s="46">
        <f>TRUNC(S650*(1-LOTE_03!$K$10),2)</f>
        <v>1643.41</v>
      </c>
      <c r="I650" s="46">
        <f>TRUNC(T650*(1-LOTE_03!$K$10),2)</f>
        <v>10.95</v>
      </c>
      <c r="J650" s="100">
        <f t="shared" si="72"/>
        <v>0.22470000000000001</v>
      </c>
      <c r="K650" s="48">
        <f t="shared" si="66"/>
        <v>2012.68</v>
      </c>
      <c r="L650" s="48">
        <f t="shared" si="67"/>
        <v>13.41</v>
      </c>
      <c r="M650" s="48">
        <f t="shared" si="68"/>
        <v>161014.39999999999</v>
      </c>
      <c r="N650" s="48">
        <f t="shared" si="69"/>
        <v>1072.8</v>
      </c>
      <c r="O650" s="50">
        <f t="shared" si="70"/>
        <v>162087.20000000001</v>
      </c>
      <c r="P650" s="50">
        <v>0</v>
      </c>
      <c r="Q650" s="76"/>
      <c r="R650" s="139">
        <f>(2+2)*(S9+S10)</f>
        <v>80</v>
      </c>
      <c r="S650" s="79">
        <v>1643.41</v>
      </c>
      <c r="T650" s="80">
        <v>10.95</v>
      </c>
    </row>
    <row r="651" spans="2:20" ht="70">
      <c r="B651" s="5" t="s">
        <v>1544</v>
      </c>
      <c r="C651" s="45" t="s">
        <v>97</v>
      </c>
      <c r="D651" s="45" t="s">
        <v>1545</v>
      </c>
      <c r="E651" s="6" t="s">
        <v>1546</v>
      </c>
      <c r="F651" s="45" t="s">
        <v>104</v>
      </c>
      <c r="G651" s="46">
        <f t="shared" si="71"/>
        <v>140</v>
      </c>
      <c r="H651" s="46">
        <f>TRUNC(S651*(1-LOTE_03!$K$10),2)</f>
        <v>792.83</v>
      </c>
      <c r="I651" s="46">
        <f>TRUNC(T651*(1-LOTE_03!$K$10),2)</f>
        <v>4.38</v>
      </c>
      <c r="J651" s="100">
        <f t="shared" si="72"/>
        <v>0.22470000000000001</v>
      </c>
      <c r="K651" s="48">
        <f t="shared" si="66"/>
        <v>970.97</v>
      </c>
      <c r="L651" s="48">
        <f t="shared" si="67"/>
        <v>5.36</v>
      </c>
      <c r="M651" s="48">
        <f t="shared" si="68"/>
        <v>135935.79999999999</v>
      </c>
      <c r="N651" s="48">
        <f t="shared" si="69"/>
        <v>750.4</v>
      </c>
      <c r="O651" s="50">
        <f t="shared" si="70"/>
        <v>136686.20000000001</v>
      </c>
      <c r="P651" s="50">
        <v>0</v>
      </c>
      <c r="Q651" s="76"/>
      <c r="R651" s="139">
        <f>7*(S9+S10)</f>
        <v>140</v>
      </c>
      <c r="S651" s="79">
        <v>792.83</v>
      </c>
      <c r="T651" s="80">
        <v>4.38</v>
      </c>
    </row>
    <row r="652" spans="2:20" ht="70">
      <c r="B652" s="5" t="s">
        <v>1547</v>
      </c>
      <c r="C652" s="45" t="s">
        <v>97</v>
      </c>
      <c r="D652" s="45" t="s">
        <v>1548</v>
      </c>
      <c r="E652" s="6" t="s">
        <v>1549</v>
      </c>
      <c r="F652" s="45" t="s">
        <v>104</v>
      </c>
      <c r="G652" s="46">
        <f t="shared" si="71"/>
        <v>20</v>
      </c>
      <c r="H652" s="46">
        <f>TRUNC(S652*(1-LOTE_03!$K$10),2)</f>
        <v>1864.74</v>
      </c>
      <c r="I652" s="46">
        <f>TRUNC(T652*(1-LOTE_03!$K$10),2)</f>
        <v>4.38</v>
      </c>
      <c r="J652" s="100">
        <f t="shared" si="72"/>
        <v>0.22470000000000001</v>
      </c>
      <c r="K652" s="48">
        <f t="shared" si="66"/>
        <v>2283.7399999999998</v>
      </c>
      <c r="L652" s="48">
        <f t="shared" si="67"/>
        <v>5.36</v>
      </c>
      <c r="M652" s="48">
        <f t="shared" si="68"/>
        <v>45674.8</v>
      </c>
      <c r="N652" s="48">
        <f t="shared" si="69"/>
        <v>107.2</v>
      </c>
      <c r="O652" s="50">
        <f t="shared" si="70"/>
        <v>45782</v>
      </c>
      <c r="P652" s="50">
        <v>0</v>
      </c>
      <c r="Q652" s="76"/>
      <c r="R652" s="139">
        <f>1*(S9+S10)</f>
        <v>20</v>
      </c>
      <c r="S652" s="79">
        <v>1864.74</v>
      </c>
      <c r="T652" s="80">
        <v>4.38</v>
      </c>
    </row>
    <row r="653" spans="2:20" ht="70">
      <c r="B653" s="5" t="s">
        <v>1550</v>
      </c>
      <c r="C653" s="45" t="s">
        <v>97</v>
      </c>
      <c r="D653" s="45" t="s">
        <v>1551</v>
      </c>
      <c r="E653" s="6" t="s">
        <v>1552</v>
      </c>
      <c r="F653" s="45" t="s">
        <v>104</v>
      </c>
      <c r="G653" s="46">
        <f t="shared" si="71"/>
        <v>80</v>
      </c>
      <c r="H653" s="46">
        <f>TRUNC(S653*(1-LOTE_03!$K$10),2)</f>
        <v>782.43</v>
      </c>
      <c r="I653" s="46">
        <f>TRUNC(T653*(1-LOTE_03!$K$10),2)</f>
        <v>4.05</v>
      </c>
      <c r="J653" s="100">
        <f t="shared" si="72"/>
        <v>0.22470000000000001</v>
      </c>
      <c r="K653" s="48">
        <f t="shared" si="66"/>
        <v>958.24</v>
      </c>
      <c r="L653" s="48">
        <f t="shared" si="67"/>
        <v>4.96</v>
      </c>
      <c r="M653" s="48">
        <f t="shared" si="68"/>
        <v>76659.199999999997</v>
      </c>
      <c r="N653" s="48">
        <f t="shared" si="69"/>
        <v>396.8</v>
      </c>
      <c r="O653" s="50">
        <f t="shared" si="70"/>
        <v>77056</v>
      </c>
      <c r="P653" s="50">
        <v>0</v>
      </c>
      <c r="Q653" s="76"/>
      <c r="R653" s="139">
        <f>4*(S9+S10)</f>
        <v>80</v>
      </c>
      <c r="S653" s="79">
        <v>782.43</v>
      </c>
      <c r="T653" s="80">
        <v>4.05</v>
      </c>
    </row>
    <row r="654" spans="2:20" ht="56">
      <c r="B654" s="5" t="s">
        <v>1553</v>
      </c>
      <c r="C654" s="45" t="s">
        <v>97</v>
      </c>
      <c r="D654" s="45" t="s">
        <v>1554</v>
      </c>
      <c r="E654" s="6" t="s">
        <v>1555</v>
      </c>
      <c r="F654" s="45" t="s">
        <v>104</v>
      </c>
      <c r="G654" s="46">
        <f t="shared" si="71"/>
        <v>100</v>
      </c>
      <c r="H654" s="46">
        <f>TRUNC(S654*(1-LOTE_03!$K$10),2)</f>
        <v>562.91</v>
      </c>
      <c r="I654" s="46">
        <f>TRUNC(T654*(1-LOTE_03!$K$10),2)</f>
        <v>4.38</v>
      </c>
      <c r="J654" s="100">
        <f t="shared" si="72"/>
        <v>0.22470000000000001</v>
      </c>
      <c r="K654" s="48">
        <f t="shared" si="66"/>
        <v>689.39</v>
      </c>
      <c r="L654" s="48">
        <f t="shared" si="67"/>
        <v>5.36</v>
      </c>
      <c r="M654" s="48">
        <f t="shared" si="68"/>
        <v>68939</v>
      </c>
      <c r="N654" s="48">
        <f t="shared" si="69"/>
        <v>536</v>
      </c>
      <c r="O654" s="50">
        <f t="shared" si="70"/>
        <v>69475</v>
      </c>
      <c r="P654" s="50">
        <v>0</v>
      </c>
      <c r="Q654" s="76"/>
      <c r="R654" s="139">
        <f>5*(S9+S10)</f>
        <v>100</v>
      </c>
      <c r="S654" s="79">
        <v>562.91</v>
      </c>
      <c r="T654" s="80">
        <v>4.38</v>
      </c>
    </row>
    <row r="655" spans="2:20" ht="70">
      <c r="B655" s="5" t="s">
        <v>1556</v>
      </c>
      <c r="C655" s="45" t="s">
        <v>97</v>
      </c>
      <c r="D655" s="45" t="s">
        <v>1557</v>
      </c>
      <c r="E655" s="6" t="s">
        <v>1558</v>
      </c>
      <c r="F655" s="45" t="s">
        <v>104</v>
      </c>
      <c r="G655" s="46">
        <f t="shared" si="71"/>
        <v>20</v>
      </c>
      <c r="H655" s="46">
        <f>TRUNC(S655*(1-LOTE_03!$K$10),2)</f>
        <v>2926.41</v>
      </c>
      <c r="I655" s="46">
        <f>TRUNC(T655*(1-LOTE_03!$K$10),2)</f>
        <v>4.38</v>
      </c>
      <c r="J655" s="100">
        <f t="shared" si="72"/>
        <v>0.22470000000000001</v>
      </c>
      <c r="K655" s="48">
        <f t="shared" si="66"/>
        <v>3583.97</v>
      </c>
      <c r="L655" s="48">
        <f t="shared" si="67"/>
        <v>5.36</v>
      </c>
      <c r="M655" s="48">
        <f t="shared" si="68"/>
        <v>71679.399999999994</v>
      </c>
      <c r="N655" s="48">
        <f t="shared" si="69"/>
        <v>107.2</v>
      </c>
      <c r="O655" s="50">
        <f t="shared" si="70"/>
        <v>71786.600000000006</v>
      </c>
      <c r="P655" s="50">
        <v>0</v>
      </c>
      <c r="Q655" s="76"/>
      <c r="R655" s="139">
        <f>1*(S9+S10)</f>
        <v>20</v>
      </c>
      <c r="S655" s="79">
        <v>2926.41</v>
      </c>
      <c r="T655" s="80">
        <v>4.38</v>
      </c>
    </row>
    <row r="656" spans="2:20" ht="56">
      <c r="B656" s="5" t="s">
        <v>1559</v>
      </c>
      <c r="C656" s="45" t="s">
        <v>97</v>
      </c>
      <c r="D656" s="45" t="s">
        <v>1560</v>
      </c>
      <c r="E656" s="6" t="s">
        <v>1561</v>
      </c>
      <c r="F656" s="45" t="s">
        <v>104</v>
      </c>
      <c r="G656" s="46">
        <f t="shared" si="71"/>
        <v>20</v>
      </c>
      <c r="H656" s="46">
        <f>TRUNC(S656*(1-LOTE_03!$K$10),2)</f>
        <v>1032.6600000000001</v>
      </c>
      <c r="I656" s="46">
        <f>TRUNC(T656*(1-LOTE_03!$K$10),2)</f>
        <v>4.38</v>
      </c>
      <c r="J656" s="100">
        <f t="shared" si="72"/>
        <v>0.22470000000000001</v>
      </c>
      <c r="K656" s="48">
        <f t="shared" ref="K656:K719" si="73">TRUNC(H656*(1+J656),2)</f>
        <v>1264.69</v>
      </c>
      <c r="L656" s="48">
        <f t="shared" ref="L656:L719" si="74">TRUNC(I656*(1+J656),2)</f>
        <v>5.36</v>
      </c>
      <c r="M656" s="48">
        <f t="shared" ref="M656:M719" si="75">TRUNC(K656*G656,2)</f>
        <v>25293.8</v>
      </c>
      <c r="N656" s="48">
        <f t="shared" ref="N656:N719" si="76">TRUNC(L656*G656,2)</f>
        <v>107.2</v>
      </c>
      <c r="O656" s="50">
        <f t="shared" ref="O656:O719" si="77">TRUNC(M656+N656,2)</f>
        <v>25401</v>
      </c>
      <c r="P656" s="50">
        <v>0</v>
      </c>
      <c r="Q656" s="76"/>
      <c r="R656" s="139">
        <f>1*(S9+S10)</f>
        <v>20</v>
      </c>
      <c r="S656" s="79">
        <v>1032.6600000000001</v>
      </c>
      <c r="T656" s="80">
        <v>4.38</v>
      </c>
    </row>
    <row r="657" spans="2:20" ht="56">
      <c r="B657" s="5" t="s">
        <v>1562</v>
      </c>
      <c r="C657" s="45" t="s">
        <v>97</v>
      </c>
      <c r="D657" s="45" t="s">
        <v>1563</v>
      </c>
      <c r="E657" s="6" t="s">
        <v>1564</v>
      </c>
      <c r="F657" s="45" t="s">
        <v>104</v>
      </c>
      <c r="G657" s="46">
        <f t="shared" si="71"/>
        <v>20</v>
      </c>
      <c r="H657" s="46">
        <f>TRUNC(S657*(1-LOTE_03!$K$10),2)</f>
        <v>691.03</v>
      </c>
      <c r="I657" s="46">
        <f>TRUNC(T657*(1-LOTE_03!$K$10),2)</f>
        <v>4.38</v>
      </c>
      <c r="J657" s="100">
        <f t="shared" si="72"/>
        <v>0.22470000000000001</v>
      </c>
      <c r="K657" s="48">
        <f t="shared" si="73"/>
        <v>846.3</v>
      </c>
      <c r="L657" s="48">
        <f t="shared" si="74"/>
        <v>5.36</v>
      </c>
      <c r="M657" s="48">
        <f t="shared" si="75"/>
        <v>16926</v>
      </c>
      <c r="N657" s="48">
        <f t="shared" si="76"/>
        <v>107.2</v>
      </c>
      <c r="O657" s="50">
        <f t="shared" si="77"/>
        <v>17033.2</v>
      </c>
      <c r="P657" s="50">
        <v>0</v>
      </c>
      <c r="Q657" s="76"/>
      <c r="R657" s="139">
        <f>1*(S9+S10)</f>
        <v>20</v>
      </c>
      <c r="S657" s="79">
        <v>691.03</v>
      </c>
      <c r="T657" s="80">
        <v>4.38</v>
      </c>
    </row>
    <row r="658" spans="2:20" ht="56">
      <c r="B658" s="5" t="s">
        <v>1565</v>
      </c>
      <c r="C658" s="45" t="s">
        <v>97</v>
      </c>
      <c r="D658" s="45" t="s">
        <v>1566</v>
      </c>
      <c r="E658" s="6" t="s">
        <v>1567</v>
      </c>
      <c r="F658" s="45" t="s">
        <v>104</v>
      </c>
      <c r="G658" s="46">
        <f t="shared" ref="G658:G721" si="78">TRUNC(R658,2)</f>
        <v>60</v>
      </c>
      <c r="H658" s="46">
        <f>TRUNC(S658*(1-LOTE_03!$K$10),2)</f>
        <v>975.47</v>
      </c>
      <c r="I658" s="46">
        <f>TRUNC(T658*(1-LOTE_03!$K$10),2)</f>
        <v>6.08</v>
      </c>
      <c r="J658" s="100">
        <f t="shared" ref="J658:J721" si="79">$J$4</f>
        <v>0.22470000000000001</v>
      </c>
      <c r="K658" s="48">
        <f t="shared" si="73"/>
        <v>1194.6500000000001</v>
      </c>
      <c r="L658" s="48">
        <f t="shared" si="74"/>
        <v>7.44</v>
      </c>
      <c r="M658" s="48">
        <f t="shared" si="75"/>
        <v>71679</v>
      </c>
      <c r="N658" s="48">
        <f t="shared" si="76"/>
        <v>446.4</v>
      </c>
      <c r="O658" s="50">
        <f t="shared" si="77"/>
        <v>72125.399999999994</v>
      </c>
      <c r="P658" s="50">
        <v>0</v>
      </c>
      <c r="Q658" s="76"/>
      <c r="R658" s="139">
        <f>3*(S9+S10)</f>
        <v>60</v>
      </c>
      <c r="S658" s="79">
        <v>975.47</v>
      </c>
      <c r="T658" s="80">
        <v>6.08</v>
      </c>
    </row>
    <row r="659" spans="2:20" ht="56">
      <c r="B659" s="5" t="s">
        <v>1568</v>
      </c>
      <c r="C659" s="45" t="s">
        <v>97</v>
      </c>
      <c r="D659" s="45" t="s">
        <v>1569</v>
      </c>
      <c r="E659" s="6" t="s">
        <v>1570</v>
      </c>
      <c r="F659" s="45" t="s">
        <v>104</v>
      </c>
      <c r="G659" s="46">
        <f t="shared" si="78"/>
        <v>20</v>
      </c>
      <c r="H659" s="46">
        <f>TRUNC(S659*(1-LOTE_03!$K$10),2)</f>
        <v>153.75</v>
      </c>
      <c r="I659" s="46">
        <f>TRUNC(T659*(1-LOTE_03!$K$10),2)</f>
        <v>4.38</v>
      </c>
      <c r="J659" s="100">
        <f t="shared" si="79"/>
        <v>0.22470000000000001</v>
      </c>
      <c r="K659" s="48">
        <f t="shared" si="73"/>
        <v>188.29</v>
      </c>
      <c r="L659" s="48">
        <f t="shared" si="74"/>
        <v>5.36</v>
      </c>
      <c r="M659" s="48">
        <f t="shared" si="75"/>
        <v>3765.8</v>
      </c>
      <c r="N659" s="48">
        <f t="shared" si="76"/>
        <v>107.2</v>
      </c>
      <c r="O659" s="50">
        <f t="shared" si="77"/>
        <v>3873</v>
      </c>
      <c r="P659" s="50">
        <v>0</v>
      </c>
      <c r="Q659" s="76"/>
      <c r="R659" s="139">
        <f>1*(S9+S10)</f>
        <v>20</v>
      </c>
      <c r="S659" s="79">
        <v>153.75</v>
      </c>
      <c r="T659" s="80">
        <v>4.38</v>
      </c>
    </row>
    <row r="660" spans="2:20" ht="56">
      <c r="B660" s="5" t="s">
        <v>1571</v>
      </c>
      <c r="C660" s="45" t="s">
        <v>97</v>
      </c>
      <c r="D660" s="45" t="s">
        <v>1572</v>
      </c>
      <c r="E660" s="6" t="s">
        <v>1573</v>
      </c>
      <c r="F660" s="45" t="s">
        <v>104</v>
      </c>
      <c r="G660" s="46">
        <f t="shared" si="78"/>
        <v>80</v>
      </c>
      <c r="H660" s="46">
        <f>TRUNC(S660*(1-LOTE_03!$K$10),2)</f>
        <v>59.91</v>
      </c>
      <c r="I660" s="46">
        <f>TRUNC(T660*(1-LOTE_03!$K$10),2)</f>
        <v>4.38</v>
      </c>
      <c r="J660" s="100">
        <f t="shared" si="79"/>
        <v>0.22470000000000001</v>
      </c>
      <c r="K660" s="48">
        <f t="shared" si="73"/>
        <v>73.37</v>
      </c>
      <c r="L660" s="48">
        <f t="shared" si="74"/>
        <v>5.36</v>
      </c>
      <c r="M660" s="48">
        <f t="shared" si="75"/>
        <v>5869.6</v>
      </c>
      <c r="N660" s="48">
        <f t="shared" si="76"/>
        <v>428.8</v>
      </c>
      <c r="O660" s="50">
        <f t="shared" si="77"/>
        <v>6298.4</v>
      </c>
      <c r="P660" s="50">
        <v>0</v>
      </c>
      <c r="Q660" s="76"/>
      <c r="R660" s="139">
        <f>4*(S9+S10)</f>
        <v>80</v>
      </c>
      <c r="S660" s="79">
        <v>59.91</v>
      </c>
      <c r="T660" s="80">
        <v>4.38</v>
      </c>
    </row>
    <row r="661" spans="2:20" ht="42">
      <c r="B661" s="5" t="s">
        <v>1574</v>
      </c>
      <c r="C661" s="45" t="s">
        <v>97</v>
      </c>
      <c r="D661" s="45" t="s">
        <v>1575</v>
      </c>
      <c r="E661" s="6" t="s">
        <v>1576</v>
      </c>
      <c r="F661" s="45" t="s">
        <v>121</v>
      </c>
      <c r="G661" s="46">
        <f t="shared" si="78"/>
        <v>20</v>
      </c>
      <c r="H661" s="46">
        <f>TRUNC(S661*(1-LOTE_03!$K$10),2)</f>
        <v>2681.3</v>
      </c>
      <c r="I661" s="46">
        <f>TRUNC(T661*(1-LOTE_03!$K$10),2)</f>
        <v>18.96</v>
      </c>
      <c r="J661" s="100">
        <f t="shared" si="79"/>
        <v>0.22470000000000001</v>
      </c>
      <c r="K661" s="48">
        <f t="shared" si="73"/>
        <v>3283.78</v>
      </c>
      <c r="L661" s="48">
        <f t="shared" si="74"/>
        <v>23.22</v>
      </c>
      <c r="M661" s="48">
        <f t="shared" si="75"/>
        <v>65675.600000000006</v>
      </c>
      <c r="N661" s="48">
        <f t="shared" si="76"/>
        <v>464.4</v>
      </c>
      <c r="O661" s="50">
        <f t="shared" si="77"/>
        <v>66140</v>
      </c>
      <c r="P661" s="50">
        <v>0</v>
      </c>
      <c r="Q661" s="76"/>
      <c r="R661" s="139">
        <f>1*(S9+S10)</f>
        <v>20</v>
      </c>
      <c r="S661" s="79">
        <v>2681.3</v>
      </c>
      <c r="T661" s="80">
        <v>18.96</v>
      </c>
    </row>
    <row r="662" spans="2:20" ht="56">
      <c r="B662" s="5" t="s">
        <v>1577</v>
      </c>
      <c r="C662" s="45" t="s">
        <v>97</v>
      </c>
      <c r="D662" s="45" t="s">
        <v>1578</v>
      </c>
      <c r="E662" s="6" t="s">
        <v>1579</v>
      </c>
      <c r="F662" s="45" t="s">
        <v>121</v>
      </c>
      <c r="G662" s="46">
        <f t="shared" si="78"/>
        <v>20</v>
      </c>
      <c r="H662" s="46">
        <f>TRUNC(S662*(1-LOTE_03!$K$10),2)</f>
        <v>1220.75</v>
      </c>
      <c r="I662" s="46">
        <f>TRUNC(T662*(1-LOTE_03!$K$10),2)</f>
        <v>37.92</v>
      </c>
      <c r="J662" s="100">
        <f t="shared" si="79"/>
        <v>0.22470000000000001</v>
      </c>
      <c r="K662" s="48">
        <f t="shared" si="73"/>
        <v>1495.05</v>
      </c>
      <c r="L662" s="48">
        <f t="shared" si="74"/>
        <v>46.44</v>
      </c>
      <c r="M662" s="48">
        <f t="shared" si="75"/>
        <v>29901</v>
      </c>
      <c r="N662" s="48">
        <f t="shared" si="76"/>
        <v>928.8</v>
      </c>
      <c r="O662" s="50">
        <f t="shared" si="77"/>
        <v>30829.8</v>
      </c>
      <c r="P662" s="50">
        <v>0</v>
      </c>
      <c r="Q662" s="76"/>
      <c r="R662" s="139">
        <f>1*(S9+S10)</f>
        <v>20</v>
      </c>
      <c r="S662" s="79">
        <v>1220.75</v>
      </c>
      <c r="T662" s="80">
        <v>37.92</v>
      </c>
    </row>
    <row r="663" spans="2:20" ht="56">
      <c r="B663" s="5" t="s">
        <v>1580</v>
      </c>
      <c r="C663" s="45" t="s">
        <v>97</v>
      </c>
      <c r="D663" s="45" t="s">
        <v>1581</v>
      </c>
      <c r="E663" s="6" t="s">
        <v>1582</v>
      </c>
      <c r="F663" s="45" t="s">
        <v>104</v>
      </c>
      <c r="G663" s="46">
        <f t="shared" si="78"/>
        <v>20</v>
      </c>
      <c r="H663" s="46">
        <f>TRUNC(S663*(1-LOTE_03!$K$10),2)</f>
        <v>3500.19</v>
      </c>
      <c r="I663" s="46">
        <f>TRUNC(T663*(1-LOTE_03!$K$10),2)</f>
        <v>18.96</v>
      </c>
      <c r="J663" s="100">
        <f t="shared" si="79"/>
        <v>0.22470000000000001</v>
      </c>
      <c r="K663" s="48">
        <f t="shared" si="73"/>
        <v>4286.68</v>
      </c>
      <c r="L663" s="48">
        <f t="shared" si="74"/>
        <v>23.22</v>
      </c>
      <c r="M663" s="48">
        <f t="shared" si="75"/>
        <v>85733.6</v>
      </c>
      <c r="N663" s="48">
        <f t="shared" si="76"/>
        <v>464.4</v>
      </c>
      <c r="O663" s="50">
        <f t="shared" si="77"/>
        <v>86198</v>
      </c>
      <c r="P663" s="50">
        <v>0</v>
      </c>
      <c r="Q663" s="76"/>
      <c r="R663" s="139">
        <f>S9+S10</f>
        <v>20</v>
      </c>
      <c r="S663" s="79">
        <v>3500.19</v>
      </c>
      <c r="T663" s="80">
        <v>18.96</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50">
        <v>0</v>
      </c>
      <c r="Q664" s="76"/>
      <c r="R664" s="154"/>
      <c r="S664" s="79" t="s">
        <v>22</v>
      </c>
      <c r="T664" s="80" t="s">
        <v>22</v>
      </c>
    </row>
    <row r="665" spans="2:20" ht="42">
      <c r="B665" s="5" t="s">
        <v>1585</v>
      </c>
      <c r="C665" s="45" t="s">
        <v>135</v>
      </c>
      <c r="D665" s="45">
        <v>102181</v>
      </c>
      <c r="E665" s="6" t="s">
        <v>1773</v>
      </c>
      <c r="F665" s="45" t="s">
        <v>121</v>
      </c>
      <c r="G665" s="46">
        <f t="shared" si="78"/>
        <v>300</v>
      </c>
      <c r="H665" s="46">
        <f>TRUNC(S665*(1-LOTE_03!$K$10),2)</f>
        <v>554.91999999999996</v>
      </c>
      <c r="I665" s="46">
        <f>TRUNC(T665*(1-LOTE_03!$K$10),2)</f>
        <v>46.03</v>
      </c>
      <c r="J665" s="100">
        <f t="shared" si="79"/>
        <v>0.22470000000000001</v>
      </c>
      <c r="K665" s="48">
        <f t="shared" si="73"/>
        <v>679.61</v>
      </c>
      <c r="L665" s="48">
        <f t="shared" si="74"/>
        <v>56.37</v>
      </c>
      <c r="M665" s="48">
        <f t="shared" si="75"/>
        <v>203883</v>
      </c>
      <c r="N665" s="48">
        <f t="shared" si="76"/>
        <v>16911</v>
      </c>
      <c r="O665" s="50">
        <f t="shared" si="77"/>
        <v>220794</v>
      </c>
      <c r="P665" s="50">
        <v>0</v>
      </c>
      <c r="Q665" s="76"/>
      <c r="R665" s="139">
        <f>5*3*(S9+S10)</f>
        <v>300</v>
      </c>
      <c r="S665" s="79">
        <v>554.92000000000007</v>
      </c>
      <c r="T665" s="80">
        <v>46.03</v>
      </c>
    </row>
    <row r="666" spans="2:20" ht="56">
      <c r="B666" s="5" t="s">
        <v>1586</v>
      </c>
      <c r="C666" s="45" t="s">
        <v>135</v>
      </c>
      <c r="D666" s="45">
        <v>102184</v>
      </c>
      <c r="E666" s="6" t="s">
        <v>1787</v>
      </c>
      <c r="F666" s="45" t="s">
        <v>210</v>
      </c>
      <c r="G666" s="46">
        <f t="shared" si="78"/>
        <v>20</v>
      </c>
      <c r="H666" s="46">
        <f>TRUNC(S666*(1-LOTE_03!$K$10),2)</f>
        <v>2223.77</v>
      </c>
      <c r="I666" s="46">
        <f>TRUNC(T666*(1-LOTE_03!$K$10),2)</f>
        <v>119.01</v>
      </c>
      <c r="J666" s="100">
        <f t="shared" si="79"/>
        <v>0.22470000000000001</v>
      </c>
      <c r="K666" s="48">
        <f t="shared" si="73"/>
        <v>2723.45</v>
      </c>
      <c r="L666" s="48">
        <f t="shared" si="74"/>
        <v>145.75</v>
      </c>
      <c r="M666" s="48">
        <f t="shared" si="75"/>
        <v>54469</v>
      </c>
      <c r="N666" s="48">
        <f t="shared" si="76"/>
        <v>2915</v>
      </c>
      <c r="O666" s="50">
        <f t="shared" si="77"/>
        <v>57384</v>
      </c>
      <c r="P666" s="50">
        <v>0</v>
      </c>
      <c r="Q666" s="76"/>
      <c r="R666" s="139">
        <f>1*(S9+S10)</f>
        <v>20</v>
      </c>
      <c r="S666" s="79">
        <v>2223.77</v>
      </c>
      <c r="T666" s="80">
        <v>119.01</v>
      </c>
    </row>
    <row r="667" spans="2:20" ht="70">
      <c r="B667" s="5" t="s">
        <v>1587</v>
      </c>
      <c r="C667" s="45" t="s">
        <v>135</v>
      </c>
      <c r="D667" s="45">
        <v>96366</v>
      </c>
      <c r="E667" s="6" t="s">
        <v>1588</v>
      </c>
      <c r="F667" s="45" t="s">
        <v>121</v>
      </c>
      <c r="G667" s="46">
        <f t="shared" si="78"/>
        <v>300</v>
      </c>
      <c r="H667" s="46">
        <f>TRUNC(S667*(1-LOTE_03!$K$10),2)</f>
        <v>127.31</v>
      </c>
      <c r="I667" s="46">
        <f>TRUNC(T667*(1-LOTE_03!$K$10),2)</f>
        <v>15.92</v>
      </c>
      <c r="J667" s="100">
        <f t="shared" si="79"/>
        <v>0.22470000000000001</v>
      </c>
      <c r="K667" s="48">
        <f t="shared" si="73"/>
        <v>155.91</v>
      </c>
      <c r="L667" s="48">
        <f t="shared" si="74"/>
        <v>19.489999999999998</v>
      </c>
      <c r="M667" s="48">
        <f t="shared" si="75"/>
        <v>46773</v>
      </c>
      <c r="N667" s="48">
        <f t="shared" si="76"/>
        <v>5847</v>
      </c>
      <c r="O667" s="50">
        <f t="shared" si="77"/>
        <v>52620</v>
      </c>
      <c r="P667" s="50">
        <v>0</v>
      </c>
      <c r="Q667" s="76"/>
      <c r="R667" s="139">
        <f>5*3*(S9+S10)</f>
        <v>300</v>
      </c>
      <c r="S667" s="79">
        <v>127.30999999999999</v>
      </c>
      <c r="T667" s="80">
        <v>15.92</v>
      </c>
    </row>
    <row r="668" spans="2:20" ht="84">
      <c r="B668" s="5" t="s">
        <v>1589</v>
      </c>
      <c r="C668" s="45" t="s">
        <v>97</v>
      </c>
      <c r="D668" s="45" t="s">
        <v>1477</v>
      </c>
      <c r="E668" s="6" t="s">
        <v>1478</v>
      </c>
      <c r="F668" s="45" t="s">
        <v>121</v>
      </c>
      <c r="G668" s="46">
        <f t="shared" si="78"/>
        <v>350</v>
      </c>
      <c r="H668" s="46">
        <f>TRUNC(S668*(1-LOTE_03!$K$10),2)</f>
        <v>315.77999999999997</v>
      </c>
      <c r="I668" s="46">
        <f>TRUNC(T668*(1-LOTE_03!$K$10),2)</f>
        <v>30.3</v>
      </c>
      <c r="J668" s="100">
        <f t="shared" si="79"/>
        <v>0.22470000000000001</v>
      </c>
      <c r="K668" s="48">
        <f t="shared" si="73"/>
        <v>386.73</v>
      </c>
      <c r="L668" s="48">
        <f t="shared" si="74"/>
        <v>37.1</v>
      </c>
      <c r="M668" s="48">
        <f t="shared" si="75"/>
        <v>135355.5</v>
      </c>
      <c r="N668" s="48">
        <f t="shared" si="76"/>
        <v>12985</v>
      </c>
      <c r="O668" s="50">
        <f t="shared" si="77"/>
        <v>148340.5</v>
      </c>
      <c r="P668" s="50">
        <v>0</v>
      </c>
      <c r="Q668" s="76"/>
      <c r="R668" s="139">
        <f>5*3.5*(S9+S10)</f>
        <v>350</v>
      </c>
      <c r="S668" s="79">
        <v>315.77999999999997</v>
      </c>
      <c r="T668" s="80">
        <v>30.3</v>
      </c>
    </row>
    <row r="669" spans="2:20" ht="84">
      <c r="B669" s="5" t="s">
        <v>1590</v>
      </c>
      <c r="C669" s="45" t="s">
        <v>97</v>
      </c>
      <c r="D669" s="45" t="s">
        <v>1591</v>
      </c>
      <c r="E669" s="6" t="s">
        <v>1592</v>
      </c>
      <c r="F669" s="45" t="s">
        <v>104</v>
      </c>
      <c r="G669" s="46">
        <f t="shared" si="78"/>
        <v>20</v>
      </c>
      <c r="H669" s="46">
        <f>TRUNC(S669*(1-LOTE_03!$K$10),2)</f>
        <v>462.18</v>
      </c>
      <c r="I669" s="46">
        <f>TRUNC(T669*(1-LOTE_03!$K$10),2)</f>
        <v>4.05</v>
      </c>
      <c r="J669" s="100">
        <f t="shared" si="79"/>
        <v>0.22470000000000001</v>
      </c>
      <c r="K669" s="48">
        <f t="shared" si="73"/>
        <v>566.03</v>
      </c>
      <c r="L669" s="48">
        <f t="shared" si="74"/>
        <v>4.96</v>
      </c>
      <c r="M669" s="48">
        <f t="shared" si="75"/>
        <v>11320.6</v>
      </c>
      <c r="N669" s="48">
        <f t="shared" si="76"/>
        <v>99.2</v>
      </c>
      <c r="O669" s="50">
        <f t="shared" si="77"/>
        <v>11419.8</v>
      </c>
      <c r="P669" s="50">
        <v>0</v>
      </c>
      <c r="Q669" s="76"/>
      <c r="R669" s="139">
        <f>1*(S9+S10)</f>
        <v>20</v>
      </c>
      <c r="S669" s="79">
        <v>462.18</v>
      </c>
      <c r="T669" s="80">
        <v>4.05</v>
      </c>
    </row>
    <row r="670" spans="2:20" ht="56">
      <c r="B670" s="5" t="s">
        <v>1593</v>
      </c>
      <c r="C670" s="45" t="s">
        <v>97</v>
      </c>
      <c r="D670" s="45" t="s">
        <v>1594</v>
      </c>
      <c r="E670" s="6" t="s">
        <v>1595</v>
      </c>
      <c r="F670" s="45" t="s">
        <v>104</v>
      </c>
      <c r="G670" s="46">
        <f t="shared" si="78"/>
        <v>20</v>
      </c>
      <c r="H670" s="46">
        <f>TRUNC(S670*(1-LOTE_03!$K$10),2)</f>
        <v>4499.2700000000004</v>
      </c>
      <c r="I670" s="46">
        <f>TRUNC(T670*(1-LOTE_03!$K$10),2)</f>
        <v>18.96</v>
      </c>
      <c r="J670" s="100">
        <f t="shared" si="79"/>
        <v>0.22470000000000001</v>
      </c>
      <c r="K670" s="48">
        <f t="shared" si="73"/>
        <v>5510.25</v>
      </c>
      <c r="L670" s="48">
        <f t="shared" si="74"/>
        <v>23.22</v>
      </c>
      <c r="M670" s="48">
        <f t="shared" si="75"/>
        <v>110205</v>
      </c>
      <c r="N670" s="48">
        <f t="shared" si="76"/>
        <v>464.4</v>
      </c>
      <c r="O670" s="50">
        <f t="shared" si="77"/>
        <v>110669.4</v>
      </c>
      <c r="P670" s="50">
        <v>0</v>
      </c>
      <c r="Q670" s="76"/>
      <c r="R670" s="139">
        <f>1*(S9+S10)</f>
        <v>20</v>
      </c>
      <c r="S670" s="79">
        <v>4499.2700000000004</v>
      </c>
      <c r="T670" s="80">
        <v>18.96</v>
      </c>
    </row>
    <row r="671" spans="2:20">
      <c r="B671" s="5" t="s">
        <v>1596</v>
      </c>
      <c r="C671" s="45" t="s">
        <v>97</v>
      </c>
      <c r="D671" s="45" t="s">
        <v>1597</v>
      </c>
      <c r="E671" s="6" t="s">
        <v>1598</v>
      </c>
      <c r="F671" s="45" t="s">
        <v>121</v>
      </c>
      <c r="G671" s="46">
        <f t="shared" si="78"/>
        <v>300</v>
      </c>
      <c r="H671" s="46">
        <f>TRUNC(S671*(1-LOTE_03!$K$10),2)</f>
        <v>2093.83</v>
      </c>
      <c r="I671" s="46">
        <f>TRUNC(T671*(1-LOTE_03!$K$10),2)</f>
        <v>7.58</v>
      </c>
      <c r="J671" s="100">
        <f t="shared" si="79"/>
        <v>0.22470000000000001</v>
      </c>
      <c r="K671" s="48">
        <f t="shared" si="73"/>
        <v>2564.31</v>
      </c>
      <c r="L671" s="48">
        <f t="shared" si="74"/>
        <v>9.2799999999999994</v>
      </c>
      <c r="M671" s="48">
        <f t="shared" si="75"/>
        <v>769293</v>
      </c>
      <c r="N671" s="48">
        <f t="shared" si="76"/>
        <v>2784</v>
      </c>
      <c r="O671" s="50">
        <f t="shared" si="77"/>
        <v>772077</v>
      </c>
      <c r="P671" s="50">
        <v>0</v>
      </c>
      <c r="Q671" s="76"/>
      <c r="R671" s="139">
        <f>5*3*(S9+S10)</f>
        <v>300</v>
      </c>
      <c r="S671" s="79">
        <v>2093.83</v>
      </c>
      <c r="T671" s="80">
        <v>7.58</v>
      </c>
    </row>
    <row r="672" spans="2:20" ht="42">
      <c r="B672" s="5" t="s">
        <v>1599</v>
      </c>
      <c r="C672" s="45" t="s">
        <v>97</v>
      </c>
      <c r="D672" s="45" t="s">
        <v>1600</v>
      </c>
      <c r="E672" s="6" t="s">
        <v>1601</v>
      </c>
      <c r="F672" s="45" t="s">
        <v>121</v>
      </c>
      <c r="G672" s="46">
        <f t="shared" si="78"/>
        <v>300</v>
      </c>
      <c r="H672" s="46">
        <f>TRUNC(S672*(1-LOTE_03!$K$10),2)</f>
        <v>289.23</v>
      </c>
      <c r="I672" s="46">
        <f>TRUNC(T672*(1-LOTE_03!$K$10),2)</f>
        <v>10.89</v>
      </c>
      <c r="J672" s="100">
        <f t="shared" si="79"/>
        <v>0.22470000000000001</v>
      </c>
      <c r="K672" s="48">
        <f t="shared" si="73"/>
        <v>354.21</v>
      </c>
      <c r="L672" s="48">
        <f t="shared" si="74"/>
        <v>13.33</v>
      </c>
      <c r="M672" s="48">
        <f t="shared" si="75"/>
        <v>106263</v>
      </c>
      <c r="N672" s="48">
        <f t="shared" si="76"/>
        <v>3999</v>
      </c>
      <c r="O672" s="50">
        <f t="shared" si="77"/>
        <v>110262</v>
      </c>
      <c r="P672" s="50">
        <v>0</v>
      </c>
      <c r="Q672" s="76"/>
      <c r="R672" s="139">
        <f>5*3*(S9+S10)</f>
        <v>300</v>
      </c>
      <c r="S672" s="79">
        <v>289.23</v>
      </c>
      <c r="T672" s="80">
        <v>10.89</v>
      </c>
    </row>
    <row r="673" spans="2:20" ht="28">
      <c r="B673" s="5" t="s">
        <v>1602</v>
      </c>
      <c r="C673" s="45" t="s">
        <v>97</v>
      </c>
      <c r="D673" s="45" t="s">
        <v>1484</v>
      </c>
      <c r="E673" s="6" t="s">
        <v>1485</v>
      </c>
      <c r="F673" s="45" t="s">
        <v>121</v>
      </c>
      <c r="G673" s="46">
        <f t="shared" si="78"/>
        <v>100</v>
      </c>
      <c r="H673" s="46">
        <f>TRUNC(S673*(1-LOTE_03!$K$10),2)</f>
        <v>444.3</v>
      </c>
      <c r="I673" s="46">
        <f>TRUNC(T673*(1-LOTE_03!$K$10),2)</f>
        <v>4.38</v>
      </c>
      <c r="J673" s="100">
        <f t="shared" si="79"/>
        <v>0.22470000000000001</v>
      </c>
      <c r="K673" s="48">
        <f t="shared" si="73"/>
        <v>544.13</v>
      </c>
      <c r="L673" s="48">
        <f t="shared" si="74"/>
        <v>5.36</v>
      </c>
      <c r="M673" s="48">
        <f t="shared" si="75"/>
        <v>54413</v>
      </c>
      <c r="N673" s="48">
        <f t="shared" si="76"/>
        <v>536</v>
      </c>
      <c r="O673" s="50">
        <f t="shared" si="77"/>
        <v>54949</v>
      </c>
      <c r="P673" s="50">
        <v>0</v>
      </c>
      <c r="Q673" s="76"/>
      <c r="R673" s="139">
        <f>1*5*(S9+S10)</f>
        <v>100</v>
      </c>
      <c r="S673" s="79">
        <v>444.3</v>
      </c>
      <c r="T673" s="80">
        <v>4.38</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50">
        <v>0</v>
      </c>
      <c r="Q674" s="76"/>
      <c r="R674" s="154"/>
      <c r="S674" s="79" t="s">
        <v>22</v>
      </c>
      <c r="T674" s="80" t="s">
        <v>22</v>
      </c>
    </row>
    <row r="675" spans="2:20" ht="42">
      <c r="B675" s="5" t="s">
        <v>1605</v>
      </c>
      <c r="C675" s="45" t="s">
        <v>135</v>
      </c>
      <c r="D675" s="45">
        <v>102181</v>
      </c>
      <c r="E675" s="6" t="s">
        <v>1773</v>
      </c>
      <c r="F675" s="45" t="s">
        <v>121</v>
      </c>
      <c r="G675" s="46">
        <f t="shared" si="78"/>
        <v>360</v>
      </c>
      <c r="H675" s="46">
        <f>TRUNC(S675*(1-LOTE_03!$K$10),2)</f>
        <v>554.91999999999996</v>
      </c>
      <c r="I675" s="46">
        <f>TRUNC(T675*(1-LOTE_03!$K$10),2)</f>
        <v>46.03</v>
      </c>
      <c r="J675" s="100">
        <f t="shared" si="79"/>
        <v>0.22470000000000001</v>
      </c>
      <c r="K675" s="48">
        <f t="shared" si="73"/>
        <v>679.61</v>
      </c>
      <c r="L675" s="48">
        <f t="shared" si="74"/>
        <v>56.37</v>
      </c>
      <c r="M675" s="48">
        <f t="shared" si="75"/>
        <v>244659.6</v>
      </c>
      <c r="N675" s="48">
        <f t="shared" si="76"/>
        <v>20293.2</v>
      </c>
      <c r="O675" s="50">
        <f t="shared" si="77"/>
        <v>264952.8</v>
      </c>
      <c r="P675" s="50">
        <v>0</v>
      </c>
      <c r="Q675" s="76"/>
      <c r="R675" s="139">
        <f>6*3*(S9+S10)</f>
        <v>360</v>
      </c>
      <c r="S675" s="79">
        <v>554.92000000000007</v>
      </c>
      <c r="T675" s="80">
        <v>46.03</v>
      </c>
    </row>
    <row r="676" spans="2:20" ht="56">
      <c r="B676" s="5" t="s">
        <v>1606</v>
      </c>
      <c r="C676" s="45" t="s">
        <v>135</v>
      </c>
      <c r="D676" s="45">
        <v>102184</v>
      </c>
      <c r="E676" s="6" t="s">
        <v>1787</v>
      </c>
      <c r="F676" s="45" t="s">
        <v>210</v>
      </c>
      <c r="G676" s="46">
        <f t="shared" si="78"/>
        <v>20</v>
      </c>
      <c r="H676" s="46">
        <f>TRUNC(S676*(1-LOTE_03!$K$10),2)</f>
        <v>2223.77</v>
      </c>
      <c r="I676" s="46">
        <f>TRUNC(T676*(1-LOTE_03!$K$10),2)</f>
        <v>119.01</v>
      </c>
      <c r="J676" s="100">
        <f t="shared" si="79"/>
        <v>0.22470000000000001</v>
      </c>
      <c r="K676" s="48">
        <f t="shared" si="73"/>
        <v>2723.45</v>
      </c>
      <c r="L676" s="48">
        <f t="shared" si="74"/>
        <v>145.75</v>
      </c>
      <c r="M676" s="48">
        <f t="shared" si="75"/>
        <v>54469</v>
      </c>
      <c r="N676" s="48">
        <f t="shared" si="76"/>
        <v>2915</v>
      </c>
      <c r="O676" s="50">
        <f t="shared" si="77"/>
        <v>57384</v>
      </c>
      <c r="P676" s="50">
        <v>0</v>
      </c>
      <c r="Q676" s="76"/>
      <c r="R676" s="139">
        <f>1*(S9+S10)</f>
        <v>20</v>
      </c>
      <c r="S676" s="79">
        <v>2223.77</v>
      </c>
      <c r="T676" s="80">
        <v>119.01</v>
      </c>
    </row>
    <row r="677" spans="2:20" ht="84">
      <c r="B677" s="5" t="s">
        <v>1607</v>
      </c>
      <c r="C677" s="45" t="s">
        <v>97</v>
      </c>
      <c r="D677" s="45" t="s">
        <v>1477</v>
      </c>
      <c r="E677" s="6" t="s">
        <v>1478</v>
      </c>
      <c r="F677" s="45" t="s">
        <v>121</v>
      </c>
      <c r="G677" s="46">
        <f t="shared" si="78"/>
        <v>360</v>
      </c>
      <c r="H677" s="46">
        <f>TRUNC(S677*(1-LOTE_03!$K$10),2)</f>
        <v>315.77999999999997</v>
      </c>
      <c r="I677" s="46">
        <f>TRUNC(T677*(1-LOTE_03!$K$10),2)</f>
        <v>30.3</v>
      </c>
      <c r="J677" s="100">
        <f t="shared" si="79"/>
        <v>0.22470000000000001</v>
      </c>
      <c r="K677" s="48">
        <f t="shared" si="73"/>
        <v>386.73</v>
      </c>
      <c r="L677" s="48">
        <f t="shared" si="74"/>
        <v>37.1</v>
      </c>
      <c r="M677" s="48">
        <f t="shared" si="75"/>
        <v>139222.79999999999</v>
      </c>
      <c r="N677" s="48">
        <f t="shared" si="76"/>
        <v>13356</v>
      </c>
      <c r="O677" s="50">
        <f t="shared" si="77"/>
        <v>152578.79999999999</v>
      </c>
      <c r="P677" s="50">
        <v>0</v>
      </c>
      <c r="Q677" s="76"/>
      <c r="R677" s="139">
        <f>6*3*(S9+S10)</f>
        <v>360</v>
      </c>
      <c r="S677" s="79">
        <v>315.77999999999997</v>
      </c>
      <c r="T677" s="80">
        <v>30.3</v>
      </c>
    </row>
    <row r="678" spans="2:20" ht="84">
      <c r="B678" s="5" t="s">
        <v>1608</v>
      </c>
      <c r="C678" s="45" t="s">
        <v>97</v>
      </c>
      <c r="D678" s="45" t="s">
        <v>1591</v>
      </c>
      <c r="E678" s="6" t="s">
        <v>1592</v>
      </c>
      <c r="F678" s="45" t="s">
        <v>104</v>
      </c>
      <c r="G678" s="46">
        <f t="shared" si="78"/>
        <v>20</v>
      </c>
      <c r="H678" s="46">
        <f>TRUNC(S678*(1-LOTE_03!$K$10),2)</f>
        <v>462.18</v>
      </c>
      <c r="I678" s="46">
        <f>TRUNC(T678*(1-LOTE_03!$K$10),2)</f>
        <v>4.05</v>
      </c>
      <c r="J678" s="100">
        <f t="shared" si="79"/>
        <v>0.22470000000000001</v>
      </c>
      <c r="K678" s="48">
        <f t="shared" si="73"/>
        <v>566.03</v>
      </c>
      <c r="L678" s="48">
        <f t="shared" si="74"/>
        <v>4.96</v>
      </c>
      <c r="M678" s="48">
        <f t="shared" si="75"/>
        <v>11320.6</v>
      </c>
      <c r="N678" s="48">
        <f t="shared" si="76"/>
        <v>99.2</v>
      </c>
      <c r="O678" s="50">
        <f t="shared" si="77"/>
        <v>11419.8</v>
      </c>
      <c r="P678" s="50">
        <v>0</v>
      </c>
      <c r="Q678" s="76"/>
      <c r="R678" s="139">
        <f>1*(S9+S10)</f>
        <v>20</v>
      </c>
      <c r="S678" s="79">
        <v>462.18</v>
      </c>
      <c r="T678" s="80">
        <v>4.05</v>
      </c>
    </row>
    <row r="679" spans="2:20" ht="42">
      <c r="B679" s="5" t="s">
        <v>1609</v>
      </c>
      <c r="C679" s="45" t="s">
        <v>97</v>
      </c>
      <c r="D679" s="45" t="s">
        <v>1610</v>
      </c>
      <c r="E679" s="6" t="s">
        <v>1611</v>
      </c>
      <c r="F679" s="45" t="s">
        <v>104</v>
      </c>
      <c r="G679" s="46">
        <f t="shared" si="78"/>
        <v>20</v>
      </c>
      <c r="H679" s="46">
        <f>TRUNC(S679*(1-LOTE_03!$K$10),2)</f>
        <v>64.39</v>
      </c>
      <c r="I679" s="46">
        <f>TRUNC(T679*(1-LOTE_03!$K$10),2)</f>
        <v>0</v>
      </c>
      <c r="J679" s="100">
        <f t="shared" si="79"/>
        <v>0.22470000000000001</v>
      </c>
      <c r="K679" s="48">
        <f t="shared" si="73"/>
        <v>78.849999999999994</v>
      </c>
      <c r="L679" s="48">
        <f t="shared" si="74"/>
        <v>0</v>
      </c>
      <c r="M679" s="48">
        <f t="shared" si="75"/>
        <v>1577</v>
      </c>
      <c r="N679" s="48">
        <f t="shared" si="76"/>
        <v>0</v>
      </c>
      <c r="O679" s="50">
        <f t="shared" si="77"/>
        <v>1577</v>
      </c>
      <c r="P679" s="50">
        <v>0</v>
      </c>
      <c r="Q679" s="76"/>
      <c r="R679" s="140">
        <f>1*(S10+S9)</f>
        <v>20</v>
      </c>
      <c r="S679" s="79">
        <v>64.39</v>
      </c>
      <c r="T679" s="80">
        <v>0</v>
      </c>
    </row>
    <row r="680" spans="2:20">
      <c r="B680" s="5" t="s">
        <v>1612</v>
      </c>
      <c r="C680" s="45" t="s">
        <v>97</v>
      </c>
      <c r="D680" s="45" t="s">
        <v>1597</v>
      </c>
      <c r="E680" s="6" t="s">
        <v>1598</v>
      </c>
      <c r="F680" s="45" t="s">
        <v>121</v>
      </c>
      <c r="G680" s="46">
        <f t="shared" si="78"/>
        <v>360</v>
      </c>
      <c r="H680" s="46">
        <f>TRUNC(S680*(1-LOTE_03!$K$10),2)</f>
        <v>2093.83</v>
      </c>
      <c r="I680" s="46">
        <f>TRUNC(T680*(1-LOTE_03!$K$10),2)</f>
        <v>7.58</v>
      </c>
      <c r="J680" s="100">
        <f t="shared" si="79"/>
        <v>0.22470000000000001</v>
      </c>
      <c r="K680" s="48">
        <f t="shared" si="73"/>
        <v>2564.31</v>
      </c>
      <c r="L680" s="48">
        <f t="shared" si="74"/>
        <v>9.2799999999999994</v>
      </c>
      <c r="M680" s="48">
        <f t="shared" si="75"/>
        <v>923151.6</v>
      </c>
      <c r="N680" s="48">
        <f t="shared" si="76"/>
        <v>3340.8</v>
      </c>
      <c r="O680" s="50">
        <f t="shared" si="77"/>
        <v>926492.4</v>
      </c>
      <c r="P680" s="50">
        <v>0</v>
      </c>
      <c r="Q680" s="76"/>
      <c r="R680" s="139">
        <f>6*3*(S9+S10)</f>
        <v>360</v>
      </c>
      <c r="S680" s="79">
        <v>2093.83</v>
      </c>
      <c r="T680" s="80">
        <v>7.58</v>
      </c>
    </row>
    <row r="681" spans="2:20" ht="42">
      <c r="B681" s="5" t="s">
        <v>1613</v>
      </c>
      <c r="C681" s="45" t="s">
        <v>97</v>
      </c>
      <c r="D681" s="45" t="s">
        <v>1600</v>
      </c>
      <c r="E681" s="6" t="s">
        <v>1601</v>
      </c>
      <c r="F681" s="45" t="s">
        <v>121</v>
      </c>
      <c r="G681" s="46">
        <f t="shared" si="78"/>
        <v>300</v>
      </c>
      <c r="H681" s="46">
        <f>TRUNC(S681*(1-LOTE_03!$K$10),2)</f>
        <v>289.23</v>
      </c>
      <c r="I681" s="46">
        <f>TRUNC(T681*(1-LOTE_03!$K$10),2)</f>
        <v>10.89</v>
      </c>
      <c r="J681" s="100">
        <f t="shared" si="79"/>
        <v>0.22470000000000001</v>
      </c>
      <c r="K681" s="48">
        <f t="shared" si="73"/>
        <v>354.21</v>
      </c>
      <c r="L681" s="48">
        <f t="shared" si="74"/>
        <v>13.33</v>
      </c>
      <c r="M681" s="48">
        <f t="shared" si="75"/>
        <v>106263</v>
      </c>
      <c r="N681" s="48">
        <f t="shared" si="76"/>
        <v>3999</v>
      </c>
      <c r="O681" s="50">
        <f t="shared" si="77"/>
        <v>110262</v>
      </c>
      <c r="P681" s="50">
        <v>0</v>
      </c>
      <c r="Q681" s="76"/>
      <c r="R681" s="139">
        <f>5*3*(S9+S10)</f>
        <v>300</v>
      </c>
      <c r="S681" s="79">
        <v>289.23</v>
      </c>
      <c r="T681" s="80">
        <v>10.89</v>
      </c>
    </row>
    <row r="682" spans="2:20" ht="56">
      <c r="B682" s="5" t="s">
        <v>1614</v>
      </c>
      <c r="C682" s="45" t="s">
        <v>97</v>
      </c>
      <c r="D682" s="45" t="s">
        <v>1615</v>
      </c>
      <c r="E682" s="6" t="s">
        <v>1616</v>
      </c>
      <c r="F682" s="45" t="s">
        <v>104</v>
      </c>
      <c r="G682" s="46">
        <f t="shared" si="78"/>
        <v>20</v>
      </c>
      <c r="H682" s="46">
        <f>TRUNC(S682*(1-LOTE_03!$K$10),2)</f>
        <v>3318.65</v>
      </c>
      <c r="I682" s="46">
        <f>TRUNC(T682*(1-LOTE_03!$K$10),2)</f>
        <v>11.37</v>
      </c>
      <c r="J682" s="100">
        <f t="shared" si="79"/>
        <v>0.22470000000000001</v>
      </c>
      <c r="K682" s="48">
        <f t="shared" si="73"/>
        <v>4064.35</v>
      </c>
      <c r="L682" s="48">
        <f t="shared" si="74"/>
        <v>13.92</v>
      </c>
      <c r="M682" s="48">
        <f t="shared" si="75"/>
        <v>81287</v>
      </c>
      <c r="N682" s="48">
        <f t="shared" si="76"/>
        <v>278.39999999999998</v>
      </c>
      <c r="O682" s="50">
        <f t="shared" si="77"/>
        <v>81565.399999999994</v>
      </c>
      <c r="P682" s="50">
        <v>0</v>
      </c>
      <c r="Q682" s="76"/>
      <c r="R682" s="139">
        <f>1*(S9+S10)</f>
        <v>20</v>
      </c>
      <c r="S682" s="79">
        <v>3318.65</v>
      </c>
      <c r="T682" s="80">
        <v>11.37</v>
      </c>
    </row>
    <row r="683" spans="2:20" ht="28">
      <c r="B683" s="5" t="s">
        <v>1617</v>
      </c>
      <c r="C683" s="45" t="s">
        <v>97</v>
      </c>
      <c r="D683" s="45" t="s">
        <v>1484</v>
      </c>
      <c r="E683" s="6" t="s">
        <v>1485</v>
      </c>
      <c r="F683" s="45" t="s">
        <v>121</v>
      </c>
      <c r="G683" s="46">
        <f t="shared" si="78"/>
        <v>110</v>
      </c>
      <c r="H683" s="46">
        <f>TRUNC(S683*(1-LOTE_03!$K$10),2)</f>
        <v>444.3</v>
      </c>
      <c r="I683" s="46">
        <f>TRUNC(T683*(1-LOTE_03!$K$10),2)</f>
        <v>4.38</v>
      </c>
      <c r="J683" s="100">
        <f t="shared" si="79"/>
        <v>0.22470000000000001</v>
      </c>
      <c r="K683" s="48">
        <f t="shared" si="73"/>
        <v>544.13</v>
      </c>
      <c r="L683" s="48">
        <f t="shared" si="74"/>
        <v>5.36</v>
      </c>
      <c r="M683" s="48">
        <f t="shared" si="75"/>
        <v>59854.3</v>
      </c>
      <c r="N683" s="48">
        <f t="shared" si="76"/>
        <v>589.6</v>
      </c>
      <c r="O683" s="50">
        <f t="shared" si="77"/>
        <v>60443.9</v>
      </c>
      <c r="P683" s="50">
        <v>0</v>
      </c>
      <c r="Q683" s="76"/>
      <c r="R683" s="139">
        <f>1*5.5*(S9+S10)</f>
        <v>110</v>
      </c>
      <c r="S683" s="79">
        <v>444.3</v>
      </c>
      <c r="T683" s="80">
        <v>4.38</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2033123.48</v>
      </c>
      <c r="Q684" s="76"/>
      <c r="R684" s="155"/>
      <c r="S684" s="79" t="s">
        <v>22</v>
      </c>
      <c r="T684" s="80" t="s">
        <v>22</v>
      </c>
    </row>
    <row r="685" spans="2:20" ht="56">
      <c r="B685" s="5" t="s">
        <v>1619</v>
      </c>
      <c r="C685" s="45" t="s">
        <v>135</v>
      </c>
      <c r="D685" s="45">
        <v>103247</v>
      </c>
      <c r="E685" s="6" t="s">
        <v>1620</v>
      </c>
      <c r="F685" s="45" t="s">
        <v>210</v>
      </c>
      <c r="G685" s="46">
        <f t="shared" si="78"/>
        <v>40</v>
      </c>
      <c r="H685" s="46">
        <f>TRUNC(S685*(1-LOTE_03!$K$10),2)</f>
        <v>2667.02</v>
      </c>
      <c r="I685" s="46">
        <f>TRUNC(T685*(1-LOTE_03!$K$10),2)</f>
        <v>86.17</v>
      </c>
      <c r="J685" s="100">
        <f>$J$5</f>
        <v>0.16500000000000001</v>
      </c>
      <c r="K685" s="48">
        <f t="shared" si="73"/>
        <v>3107.07</v>
      </c>
      <c r="L685" s="48">
        <f t="shared" si="74"/>
        <v>100.38</v>
      </c>
      <c r="M685" s="48">
        <f t="shared" si="75"/>
        <v>124282.8</v>
      </c>
      <c r="N685" s="48">
        <f t="shared" si="76"/>
        <v>4015.2</v>
      </c>
      <c r="O685" s="50">
        <f t="shared" si="77"/>
        <v>128298</v>
      </c>
      <c r="P685" s="50">
        <v>0</v>
      </c>
      <c r="Q685" s="76"/>
      <c r="R685" s="139">
        <f>2*(S9+S10)</f>
        <v>40</v>
      </c>
      <c r="S685" s="79">
        <v>2667.02</v>
      </c>
      <c r="T685" s="80">
        <v>86.17</v>
      </c>
    </row>
    <row r="686" spans="2:20" ht="56">
      <c r="B686" s="5" t="s">
        <v>1621</v>
      </c>
      <c r="C686" s="45" t="s">
        <v>135</v>
      </c>
      <c r="D686" s="45">
        <v>103250</v>
      </c>
      <c r="E686" s="6" t="s">
        <v>1622</v>
      </c>
      <c r="F686" s="45" t="s">
        <v>210</v>
      </c>
      <c r="G686" s="46">
        <f t="shared" si="78"/>
        <v>40</v>
      </c>
      <c r="H686" s="46">
        <f>TRUNC(S686*(1-LOTE_03!$K$10),2)</f>
        <v>3907.94</v>
      </c>
      <c r="I686" s="46">
        <f>TRUNC(T686*(1-LOTE_03!$K$10),2)</f>
        <v>92.81</v>
      </c>
      <c r="J686" s="100">
        <f t="shared" ref="J686:J691" si="80">$J$5</f>
        <v>0.16500000000000001</v>
      </c>
      <c r="K686" s="48">
        <f t="shared" si="73"/>
        <v>4552.75</v>
      </c>
      <c r="L686" s="48">
        <f t="shared" si="74"/>
        <v>108.12</v>
      </c>
      <c r="M686" s="48">
        <f t="shared" si="75"/>
        <v>182110</v>
      </c>
      <c r="N686" s="48">
        <f t="shared" si="76"/>
        <v>4324.8</v>
      </c>
      <c r="O686" s="50">
        <f t="shared" si="77"/>
        <v>186434.8</v>
      </c>
      <c r="P686" s="50">
        <v>0</v>
      </c>
      <c r="Q686" s="76"/>
      <c r="R686" s="139">
        <f>2*(S10+S9)</f>
        <v>40</v>
      </c>
      <c r="S686" s="79">
        <v>3907.94</v>
      </c>
      <c r="T686" s="80">
        <v>92.81</v>
      </c>
    </row>
    <row r="687" spans="2:20" ht="56">
      <c r="B687" s="5" t="s">
        <v>1623</v>
      </c>
      <c r="C687" s="45" t="s">
        <v>135</v>
      </c>
      <c r="D687" s="45">
        <v>103253</v>
      </c>
      <c r="E687" s="6" t="s">
        <v>1624</v>
      </c>
      <c r="F687" s="45" t="s">
        <v>210</v>
      </c>
      <c r="G687" s="46">
        <f t="shared" si="78"/>
        <v>40</v>
      </c>
      <c r="H687" s="46">
        <f>TRUNC(S687*(1-LOTE_03!$K$10),2)</f>
        <v>5357.86</v>
      </c>
      <c r="I687" s="46">
        <f>TRUNC(T687*(1-LOTE_03!$K$10),2)</f>
        <v>97.09</v>
      </c>
      <c r="J687" s="100">
        <f t="shared" si="80"/>
        <v>0.16500000000000001</v>
      </c>
      <c r="K687" s="48">
        <f t="shared" si="73"/>
        <v>6241.9</v>
      </c>
      <c r="L687" s="48">
        <f t="shared" si="74"/>
        <v>113.1</v>
      </c>
      <c r="M687" s="48">
        <f t="shared" si="75"/>
        <v>249676</v>
      </c>
      <c r="N687" s="48">
        <f t="shared" si="76"/>
        <v>4524</v>
      </c>
      <c r="O687" s="50">
        <f t="shared" si="77"/>
        <v>254200</v>
      </c>
      <c r="P687" s="50">
        <v>0</v>
      </c>
      <c r="Q687" s="76"/>
      <c r="R687" s="139">
        <f>2*(S10+S9)</f>
        <v>40</v>
      </c>
      <c r="S687" s="79">
        <v>5357.86</v>
      </c>
      <c r="T687" s="80">
        <v>97.09</v>
      </c>
    </row>
    <row r="688" spans="2:20" ht="56">
      <c r="B688" s="5" t="s">
        <v>1625</v>
      </c>
      <c r="C688" s="45" t="s">
        <v>135</v>
      </c>
      <c r="D688" s="45">
        <v>103244</v>
      </c>
      <c r="E688" s="6" t="s">
        <v>1626</v>
      </c>
      <c r="F688" s="45" t="s">
        <v>210</v>
      </c>
      <c r="G688" s="46">
        <f t="shared" si="78"/>
        <v>40</v>
      </c>
      <c r="H688" s="46">
        <f>TRUNC(S688*(1-LOTE_03!$K$10),2)</f>
        <v>2393.9699999999998</v>
      </c>
      <c r="I688" s="46">
        <f>TRUNC(T688*(1-LOTE_03!$K$10),2)</f>
        <v>86.31</v>
      </c>
      <c r="J688" s="100">
        <f t="shared" si="80"/>
        <v>0.16500000000000001</v>
      </c>
      <c r="K688" s="48">
        <f t="shared" si="73"/>
        <v>2788.97</v>
      </c>
      <c r="L688" s="48">
        <f t="shared" si="74"/>
        <v>100.55</v>
      </c>
      <c r="M688" s="48">
        <f t="shared" si="75"/>
        <v>111558.8</v>
      </c>
      <c r="N688" s="48">
        <f t="shared" si="76"/>
        <v>4022</v>
      </c>
      <c r="O688" s="50">
        <f t="shared" si="77"/>
        <v>115580.8</v>
      </c>
      <c r="P688" s="50">
        <v>0</v>
      </c>
      <c r="Q688" s="76"/>
      <c r="R688" s="139">
        <f>2*(S9+S10)</f>
        <v>40</v>
      </c>
      <c r="S688" s="79">
        <v>2393.9700000000003</v>
      </c>
      <c r="T688" s="80">
        <v>86.31</v>
      </c>
    </row>
    <row r="689" spans="2:20" ht="56">
      <c r="B689" s="5" t="s">
        <v>1627</v>
      </c>
      <c r="C689" s="45" t="s">
        <v>135</v>
      </c>
      <c r="D689" s="45">
        <v>103261</v>
      </c>
      <c r="E689" s="6" t="s">
        <v>1628</v>
      </c>
      <c r="F689" s="45" t="s">
        <v>210</v>
      </c>
      <c r="G689" s="46">
        <f t="shared" si="78"/>
        <v>20</v>
      </c>
      <c r="H689" s="46">
        <f>TRUNC(S689*(1-LOTE_03!$K$10),2)</f>
        <v>12618.44</v>
      </c>
      <c r="I689" s="46">
        <f>TRUNC(T689*(1-LOTE_03!$K$10),2)</f>
        <v>159.72</v>
      </c>
      <c r="J689" s="100">
        <f t="shared" si="80"/>
        <v>0.16500000000000001</v>
      </c>
      <c r="K689" s="48">
        <f t="shared" si="73"/>
        <v>14700.48</v>
      </c>
      <c r="L689" s="48">
        <f t="shared" si="74"/>
        <v>186.07</v>
      </c>
      <c r="M689" s="48">
        <f t="shared" si="75"/>
        <v>294009.59999999998</v>
      </c>
      <c r="N689" s="48">
        <f t="shared" si="76"/>
        <v>3721.4</v>
      </c>
      <c r="O689" s="50">
        <f t="shared" si="77"/>
        <v>297731</v>
      </c>
      <c r="P689" s="50">
        <v>0</v>
      </c>
      <c r="Q689" s="76"/>
      <c r="R689" s="139">
        <f>1*(S9+S10)</f>
        <v>20</v>
      </c>
      <c r="S689" s="79">
        <v>12618.44</v>
      </c>
      <c r="T689" s="80">
        <v>159.72</v>
      </c>
    </row>
    <row r="690" spans="2:20" ht="42">
      <c r="B690" s="5" t="s">
        <v>1629</v>
      </c>
      <c r="C690" s="45" t="s">
        <v>135</v>
      </c>
      <c r="D690" s="45">
        <v>103277</v>
      </c>
      <c r="E690" s="6" t="s">
        <v>1630</v>
      </c>
      <c r="F690" s="45" t="s">
        <v>210</v>
      </c>
      <c r="G690" s="46">
        <f>IF($S$11=0,0,TRUNC(R690,2))</f>
        <v>8</v>
      </c>
      <c r="H690" s="46">
        <f>TRUNC(S690*(1-LOTE_03!$K$10),2)</f>
        <v>26574.04</v>
      </c>
      <c r="I690" s="46">
        <f>TRUNC(T690*(1-LOTE_03!$K$10),2)</f>
        <v>271.13</v>
      </c>
      <c r="J690" s="100">
        <f t="shared" si="80"/>
        <v>0.16500000000000001</v>
      </c>
      <c r="K690" s="48">
        <f t="shared" si="73"/>
        <v>30958.75</v>
      </c>
      <c r="L690" s="48">
        <f t="shared" si="74"/>
        <v>315.86</v>
      </c>
      <c r="M690" s="48">
        <f t="shared" si="75"/>
        <v>247670</v>
      </c>
      <c r="N690" s="48">
        <f t="shared" si="76"/>
        <v>2526.88</v>
      </c>
      <c r="O690" s="50">
        <f t="shared" si="77"/>
        <v>250196.88</v>
      </c>
      <c r="P690" s="50">
        <v>0</v>
      </c>
      <c r="Q690" s="76"/>
      <c r="R690" s="139">
        <f>IF(40%*R691&lt;1,1,ROUND(40%*R691,0))</f>
        <v>8</v>
      </c>
      <c r="S690" s="79">
        <v>26574.039999999997</v>
      </c>
      <c r="T690" s="80">
        <v>271.13</v>
      </c>
    </row>
    <row r="691" spans="2:20" ht="42">
      <c r="B691" s="5" t="s">
        <v>1631</v>
      </c>
      <c r="C691" s="45" t="s">
        <v>135</v>
      </c>
      <c r="D691" s="45">
        <v>103278</v>
      </c>
      <c r="E691" s="6" t="s">
        <v>1632</v>
      </c>
      <c r="F691" s="45" t="s">
        <v>210</v>
      </c>
      <c r="G691" s="46">
        <f t="shared" si="78"/>
        <v>20</v>
      </c>
      <c r="H691" s="46">
        <f>TRUNC(S691*(1-LOTE_03!$K$10),2)</f>
        <v>34085.699999999997</v>
      </c>
      <c r="I691" s="46">
        <f>TRUNC(T691*(1-LOTE_03!$K$10),2)</f>
        <v>278.33999999999997</v>
      </c>
      <c r="J691" s="100">
        <f t="shared" si="80"/>
        <v>0.16500000000000001</v>
      </c>
      <c r="K691" s="48">
        <f t="shared" si="73"/>
        <v>39709.839999999997</v>
      </c>
      <c r="L691" s="48">
        <f t="shared" si="74"/>
        <v>324.26</v>
      </c>
      <c r="M691" s="48">
        <f t="shared" si="75"/>
        <v>794196.8</v>
      </c>
      <c r="N691" s="48">
        <f t="shared" si="76"/>
        <v>6485.2</v>
      </c>
      <c r="O691" s="50">
        <f t="shared" si="77"/>
        <v>800682</v>
      </c>
      <c r="P691" s="50">
        <v>0</v>
      </c>
      <c r="Q691" s="76"/>
      <c r="R691" s="139">
        <f>S10+S9</f>
        <v>20</v>
      </c>
      <c r="S691" s="79">
        <v>34085.700000000004</v>
      </c>
      <c r="T691" s="80">
        <v>278.33999999999997</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742584.60000000009</v>
      </c>
      <c r="Q692" s="76"/>
      <c r="R692" s="154"/>
      <c r="S692" s="79" t="s">
        <v>22</v>
      </c>
      <c r="T692" s="80" t="s">
        <v>22</v>
      </c>
    </row>
    <row r="693" spans="2:20" ht="28">
      <c r="B693" s="5" t="s">
        <v>1633</v>
      </c>
      <c r="C693" s="45" t="s">
        <v>97</v>
      </c>
      <c r="D693" s="45" t="s">
        <v>1634</v>
      </c>
      <c r="E693" s="6" t="s">
        <v>1635</v>
      </c>
      <c r="F693" s="45" t="s">
        <v>104</v>
      </c>
      <c r="G693" s="46">
        <f t="shared" si="78"/>
        <v>10</v>
      </c>
      <c r="H693" s="46">
        <f>TRUNC(S693*(1-LOTE_03!$K$10),2)</f>
        <v>179.1</v>
      </c>
      <c r="I693" s="46">
        <f>TRUNC(T693*(1-LOTE_03!$K$10),2)</f>
        <v>142.31</v>
      </c>
      <c r="J693" s="100">
        <f t="shared" si="79"/>
        <v>0.22470000000000001</v>
      </c>
      <c r="K693" s="48">
        <f t="shared" si="73"/>
        <v>219.34</v>
      </c>
      <c r="L693" s="48">
        <f t="shared" si="74"/>
        <v>174.28</v>
      </c>
      <c r="M693" s="48">
        <f t="shared" si="75"/>
        <v>2193.4</v>
      </c>
      <c r="N693" s="48">
        <f t="shared" si="76"/>
        <v>1742.8</v>
      </c>
      <c r="O693" s="50">
        <f t="shared" si="77"/>
        <v>3936.2</v>
      </c>
      <c r="P693" s="50">
        <v>0</v>
      </c>
      <c r="Q693" s="76"/>
      <c r="R693" s="140">
        <f>IF((1*S9+1*S10)&gt;10,10,(1*S9+1*S10))</f>
        <v>10</v>
      </c>
      <c r="S693" s="79">
        <v>179.1</v>
      </c>
      <c r="T693" s="80">
        <v>142.31</v>
      </c>
    </row>
    <row r="694" spans="2:20" ht="42">
      <c r="B694" s="5" t="s">
        <v>1636</v>
      </c>
      <c r="C694" s="45" t="s">
        <v>97</v>
      </c>
      <c r="D694" s="45" t="s">
        <v>1637</v>
      </c>
      <c r="E694" s="6" t="s">
        <v>1638</v>
      </c>
      <c r="F694" s="45" t="s">
        <v>121</v>
      </c>
      <c r="G694" s="46">
        <f t="shared" si="78"/>
        <v>600</v>
      </c>
      <c r="H694" s="46">
        <f>TRUNC(S694*(1-LOTE_03!$K$10),2)</f>
        <v>219.92</v>
      </c>
      <c r="I694" s="46">
        <f>TRUNC(T694*(1-LOTE_03!$K$10),2)</f>
        <v>62.63</v>
      </c>
      <c r="J694" s="100">
        <f t="shared" si="79"/>
        <v>0.22470000000000001</v>
      </c>
      <c r="K694" s="48">
        <f t="shared" si="73"/>
        <v>269.33</v>
      </c>
      <c r="L694" s="48">
        <f t="shared" si="74"/>
        <v>76.7</v>
      </c>
      <c r="M694" s="48">
        <f t="shared" si="75"/>
        <v>161598</v>
      </c>
      <c r="N694" s="48">
        <f t="shared" si="76"/>
        <v>46020</v>
      </c>
      <c r="O694" s="50">
        <f t="shared" si="77"/>
        <v>207618</v>
      </c>
      <c r="P694" s="50">
        <v>0</v>
      </c>
      <c r="Q694" s="76"/>
      <c r="R694" s="139">
        <f>30*(S9+S10)</f>
        <v>600</v>
      </c>
      <c r="S694" s="79">
        <v>219.92</v>
      </c>
      <c r="T694" s="80">
        <v>62.63</v>
      </c>
    </row>
    <row r="695" spans="2:20" ht="28">
      <c r="B695" s="5" t="s">
        <v>1639</v>
      </c>
      <c r="C695" s="45" t="s">
        <v>97</v>
      </c>
      <c r="D695" s="45" t="s">
        <v>1640</v>
      </c>
      <c r="E695" s="6" t="s">
        <v>1641</v>
      </c>
      <c r="F695" s="45" t="s">
        <v>104</v>
      </c>
      <c r="G695" s="46">
        <f t="shared" si="78"/>
        <v>1000</v>
      </c>
      <c r="H695" s="46">
        <f>TRUNC(S695*(1-LOTE_03!$K$10),2)</f>
        <v>3.66</v>
      </c>
      <c r="I695" s="46">
        <f>TRUNC(T695*(1-LOTE_03!$K$10),2)</f>
        <v>8.01</v>
      </c>
      <c r="J695" s="100">
        <f t="shared" si="79"/>
        <v>0.22470000000000001</v>
      </c>
      <c r="K695" s="48">
        <f t="shared" si="73"/>
        <v>4.4800000000000004</v>
      </c>
      <c r="L695" s="48">
        <f t="shared" si="74"/>
        <v>9.8000000000000007</v>
      </c>
      <c r="M695" s="48">
        <f t="shared" si="75"/>
        <v>4480</v>
      </c>
      <c r="N695" s="48">
        <f t="shared" si="76"/>
        <v>9800</v>
      </c>
      <c r="O695" s="50">
        <f t="shared" si="77"/>
        <v>14280</v>
      </c>
      <c r="P695" s="50">
        <v>0</v>
      </c>
      <c r="Q695" s="76"/>
      <c r="R695" s="139">
        <f>50*(S9+S10)</f>
        <v>1000</v>
      </c>
      <c r="S695" s="79">
        <v>3.66</v>
      </c>
      <c r="T695" s="80">
        <v>8.01</v>
      </c>
    </row>
    <row r="696" spans="2:20" ht="28">
      <c r="B696" s="5" t="s">
        <v>1642</v>
      </c>
      <c r="C696" s="45" t="s">
        <v>97</v>
      </c>
      <c r="D696" s="45" t="s">
        <v>1643</v>
      </c>
      <c r="E696" s="6" t="s">
        <v>1644</v>
      </c>
      <c r="F696" s="45" t="s">
        <v>104</v>
      </c>
      <c r="G696" s="46">
        <f t="shared" si="78"/>
        <v>60</v>
      </c>
      <c r="H696" s="46">
        <f>TRUNC(S696*(1-LOTE_03!$K$10),2)</f>
        <v>29.28</v>
      </c>
      <c r="I696" s="46">
        <f>TRUNC(T696*(1-LOTE_03!$K$10),2)</f>
        <v>64.08</v>
      </c>
      <c r="J696" s="100">
        <f t="shared" si="79"/>
        <v>0.22470000000000001</v>
      </c>
      <c r="K696" s="48">
        <f t="shared" si="73"/>
        <v>35.85</v>
      </c>
      <c r="L696" s="48">
        <f t="shared" si="74"/>
        <v>78.47</v>
      </c>
      <c r="M696" s="48">
        <f t="shared" si="75"/>
        <v>2151</v>
      </c>
      <c r="N696" s="48">
        <f t="shared" si="76"/>
        <v>4708.2</v>
      </c>
      <c r="O696" s="50">
        <f t="shared" si="77"/>
        <v>6859.2</v>
      </c>
      <c r="P696" s="50">
        <v>0</v>
      </c>
      <c r="Q696" s="76"/>
      <c r="R696" s="139">
        <f>3*(S9+S10)</f>
        <v>60</v>
      </c>
      <c r="S696" s="79">
        <v>29.28</v>
      </c>
      <c r="T696" s="80">
        <v>64.08</v>
      </c>
    </row>
    <row r="697" spans="2:20" ht="28">
      <c r="B697" s="5" t="s">
        <v>1645</v>
      </c>
      <c r="C697" s="45" t="s">
        <v>97</v>
      </c>
      <c r="D697" s="45" t="s">
        <v>1646</v>
      </c>
      <c r="E697" s="6" t="s">
        <v>1647</v>
      </c>
      <c r="F697" s="45" t="s">
        <v>104</v>
      </c>
      <c r="G697" s="46">
        <f t="shared" si="78"/>
        <v>20</v>
      </c>
      <c r="H697" s="46">
        <f>TRUNC(S697*(1-LOTE_03!$K$10),2)</f>
        <v>6120.3</v>
      </c>
      <c r="I697" s="46">
        <f>TRUNC(T697*(1-LOTE_03!$K$10),2)</f>
        <v>1487.53</v>
      </c>
      <c r="J697" s="100">
        <f t="shared" si="79"/>
        <v>0.22470000000000001</v>
      </c>
      <c r="K697" s="48">
        <f t="shared" si="73"/>
        <v>7495.53</v>
      </c>
      <c r="L697" s="48">
        <f t="shared" si="74"/>
        <v>1821.77</v>
      </c>
      <c r="M697" s="48">
        <f t="shared" si="75"/>
        <v>149910.6</v>
      </c>
      <c r="N697" s="48">
        <f t="shared" si="76"/>
        <v>36435.4</v>
      </c>
      <c r="O697" s="50">
        <f t="shared" si="77"/>
        <v>186346</v>
      </c>
      <c r="P697" s="50">
        <v>0</v>
      </c>
      <c r="Q697" s="76"/>
      <c r="R697" s="139">
        <f>1*(S9+S10)</f>
        <v>20</v>
      </c>
      <c r="S697" s="79">
        <v>6120.3</v>
      </c>
      <c r="T697" s="80">
        <v>1487.53</v>
      </c>
    </row>
    <row r="698" spans="2:20" ht="28">
      <c r="B698" s="5" t="s">
        <v>1648</v>
      </c>
      <c r="C698" s="45" t="s">
        <v>97</v>
      </c>
      <c r="D698" s="45" t="s">
        <v>331</v>
      </c>
      <c r="E698" s="6" t="s">
        <v>332</v>
      </c>
      <c r="F698" s="45" t="s">
        <v>104</v>
      </c>
      <c r="G698" s="46">
        <f t="shared" si="78"/>
        <v>20</v>
      </c>
      <c r="H698" s="46">
        <f>TRUNC(S698*(1-LOTE_03!$K$10),2)</f>
        <v>5845.75</v>
      </c>
      <c r="I698" s="46">
        <f>TRUNC(T698*(1-LOTE_03!$K$10),2)</f>
        <v>619.23</v>
      </c>
      <c r="J698" s="100">
        <f t="shared" si="79"/>
        <v>0.22470000000000001</v>
      </c>
      <c r="K698" s="48">
        <f t="shared" si="73"/>
        <v>7159.29</v>
      </c>
      <c r="L698" s="48">
        <f t="shared" si="74"/>
        <v>758.37</v>
      </c>
      <c r="M698" s="48">
        <f t="shared" si="75"/>
        <v>143185.79999999999</v>
      </c>
      <c r="N698" s="48">
        <f t="shared" si="76"/>
        <v>15167.4</v>
      </c>
      <c r="O698" s="50">
        <f t="shared" si="77"/>
        <v>158353.20000000001</v>
      </c>
      <c r="P698" s="50">
        <v>0</v>
      </c>
      <c r="Q698" s="76"/>
      <c r="R698" s="139">
        <f>1*(S9+S10)</f>
        <v>20</v>
      </c>
      <c r="S698" s="79">
        <v>5845.75</v>
      </c>
      <c r="T698" s="80">
        <v>619.23</v>
      </c>
    </row>
    <row r="699" spans="2:20" ht="42">
      <c r="B699" s="5" t="s">
        <v>1649</v>
      </c>
      <c r="C699" s="45" t="s">
        <v>97</v>
      </c>
      <c r="D699" s="45" t="s">
        <v>1650</v>
      </c>
      <c r="E699" s="6" t="s">
        <v>1651</v>
      </c>
      <c r="F699" s="45" t="s">
        <v>104</v>
      </c>
      <c r="G699" s="46">
        <f t="shared" si="78"/>
        <v>400</v>
      </c>
      <c r="H699" s="46">
        <f>TRUNC(S699*(1-LOTE_03!$K$10),2)</f>
        <v>17.46</v>
      </c>
      <c r="I699" s="46">
        <f>TRUNC(T699*(1-LOTE_03!$K$10),2)</f>
        <v>52.09</v>
      </c>
      <c r="J699" s="100">
        <f t="shared" si="79"/>
        <v>0.22470000000000001</v>
      </c>
      <c r="K699" s="48">
        <f t="shared" si="73"/>
        <v>21.38</v>
      </c>
      <c r="L699" s="48">
        <f t="shared" si="74"/>
        <v>63.79</v>
      </c>
      <c r="M699" s="48">
        <f t="shared" si="75"/>
        <v>8552</v>
      </c>
      <c r="N699" s="48">
        <f t="shared" si="76"/>
        <v>25516</v>
      </c>
      <c r="O699" s="50">
        <f t="shared" si="77"/>
        <v>34068</v>
      </c>
      <c r="P699" s="50">
        <v>0</v>
      </c>
      <c r="Q699" s="76"/>
      <c r="R699" s="139">
        <f>20*(S9+S10)</f>
        <v>400</v>
      </c>
      <c r="S699" s="79">
        <v>17.46</v>
      </c>
      <c r="T699" s="80">
        <v>52.09</v>
      </c>
    </row>
    <row r="700" spans="2:20" ht="28">
      <c r="B700" s="5" t="s">
        <v>1652</v>
      </c>
      <c r="C700" s="45" t="s">
        <v>97</v>
      </c>
      <c r="D700" s="45" t="s">
        <v>1653</v>
      </c>
      <c r="E700" s="6" t="s">
        <v>1654</v>
      </c>
      <c r="F700" s="45" t="s">
        <v>104</v>
      </c>
      <c r="G700" s="46">
        <f t="shared" si="78"/>
        <v>40</v>
      </c>
      <c r="H700" s="46">
        <f>TRUNC(S700*(1-LOTE_03!$K$10),2)</f>
        <v>6.31</v>
      </c>
      <c r="I700" s="46">
        <f>TRUNC(T700*(1-LOTE_03!$K$10),2)</f>
        <v>4</v>
      </c>
      <c r="J700" s="100">
        <f t="shared" si="79"/>
        <v>0.22470000000000001</v>
      </c>
      <c r="K700" s="48">
        <f t="shared" si="73"/>
        <v>7.72</v>
      </c>
      <c r="L700" s="48">
        <f t="shared" si="74"/>
        <v>4.8899999999999997</v>
      </c>
      <c r="M700" s="48">
        <f t="shared" si="75"/>
        <v>308.8</v>
      </c>
      <c r="N700" s="48">
        <f t="shared" si="76"/>
        <v>195.6</v>
      </c>
      <c r="O700" s="50">
        <f t="shared" si="77"/>
        <v>504.4</v>
      </c>
      <c r="P700" s="50">
        <v>0</v>
      </c>
      <c r="Q700" s="76"/>
      <c r="R700" s="139">
        <f>2*(S9+S10)</f>
        <v>40</v>
      </c>
      <c r="S700" s="79">
        <v>6.31</v>
      </c>
      <c r="T700" s="80">
        <v>4</v>
      </c>
    </row>
    <row r="701" spans="2:20" ht="70">
      <c r="B701" s="5" t="s">
        <v>1655</v>
      </c>
      <c r="C701" s="45" t="s">
        <v>97</v>
      </c>
      <c r="D701" s="45" t="s">
        <v>1656</v>
      </c>
      <c r="E701" s="6" t="s">
        <v>1657</v>
      </c>
      <c r="F701" s="45" t="s">
        <v>104</v>
      </c>
      <c r="G701" s="46">
        <f t="shared" si="78"/>
        <v>20</v>
      </c>
      <c r="H701" s="46">
        <f>TRUNC(S701*(1-LOTE_03!$K$10),2)</f>
        <v>931.46</v>
      </c>
      <c r="I701" s="46">
        <f>TRUNC(T701*(1-LOTE_03!$K$10),2)</f>
        <v>3.2</v>
      </c>
      <c r="J701" s="100">
        <f t="shared" si="79"/>
        <v>0.22470000000000001</v>
      </c>
      <c r="K701" s="48">
        <f t="shared" si="73"/>
        <v>1140.75</v>
      </c>
      <c r="L701" s="48">
        <f t="shared" si="74"/>
        <v>3.91</v>
      </c>
      <c r="M701" s="48">
        <f t="shared" si="75"/>
        <v>22815</v>
      </c>
      <c r="N701" s="48">
        <f t="shared" si="76"/>
        <v>78.2</v>
      </c>
      <c r="O701" s="50">
        <f t="shared" si="77"/>
        <v>22893.200000000001</v>
      </c>
      <c r="P701" s="50">
        <v>0</v>
      </c>
      <c r="Q701" s="76"/>
      <c r="R701" s="139">
        <f>1*(S9+S10)</f>
        <v>20</v>
      </c>
      <c r="S701" s="79">
        <v>931.46</v>
      </c>
      <c r="T701" s="80">
        <v>3.2</v>
      </c>
    </row>
    <row r="702" spans="2:20" ht="28">
      <c r="B702" s="5" t="s">
        <v>1658</v>
      </c>
      <c r="C702" s="45" t="s">
        <v>97</v>
      </c>
      <c r="D702" s="45" t="s">
        <v>1659</v>
      </c>
      <c r="E702" s="6" t="s">
        <v>1660</v>
      </c>
      <c r="F702" s="45" t="s">
        <v>104</v>
      </c>
      <c r="G702" s="46">
        <f t="shared" si="78"/>
        <v>200</v>
      </c>
      <c r="H702" s="46">
        <f>TRUNC(S702*(1-LOTE_03!$K$10),2)</f>
        <v>3.32</v>
      </c>
      <c r="I702" s="46">
        <f>TRUNC(T702*(1-LOTE_03!$K$10),2)</f>
        <v>8.73</v>
      </c>
      <c r="J702" s="100">
        <f t="shared" si="79"/>
        <v>0.22470000000000001</v>
      </c>
      <c r="K702" s="48">
        <f t="shared" si="73"/>
        <v>4.0599999999999996</v>
      </c>
      <c r="L702" s="48">
        <f t="shared" si="74"/>
        <v>10.69</v>
      </c>
      <c r="M702" s="48">
        <f t="shared" si="75"/>
        <v>812</v>
      </c>
      <c r="N702" s="48">
        <f t="shared" si="76"/>
        <v>2138</v>
      </c>
      <c r="O702" s="50">
        <f t="shared" si="77"/>
        <v>2950</v>
      </c>
      <c r="P702" s="50">
        <v>0</v>
      </c>
      <c r="Q702" s="76"/>
      <c r="R702" s="139">
        <f>10*(S9+S10)</f>
        <v>200</v>
      </c>
      <c r="S702" s="79">
        <v>3.32</v>
      </c>
      <c r="T702" s="80">
        <v>8.73</v>
      </c>
    </row>
    <row r="703" spans="2:20" ht="42">
      <c r="B703" s="5" t="s">
        <v>1661</v>
      </c>
      <c r="C703" s="45" t="s">
        <v>97</v>
      </c>
      <c r="D703" s="45" t="s">
        <v>1662</v>
      </c>
      <c r="E703" s="6" t="s">
        <v>1663</v>
      </c>
      <c r="F703" s="45" t="s">
        <v>104</v>
      </c>
      <c r="G703" s="46">
        <f t="shared" si="78"/>
        <v>20</v>
      </c>
      <c r="H703" s="46">
        <f>TRUNC(S703*(1-LOTE_03!$K$10),2)</f>
        <v>0</v>
      </c>
      <c r="I703" s="46">
        <f>TRUNC(T703*(1-LOTE_03!$K$10),2)</f>
        <v>260</v>
      </c>
      <c r="J703" s="100">
        <f t="shared" si="79"/>
        <v>0.22470000000000001</v>
      </c>
      <c r="K703" s="48">
        <f t="shared" si="73"/>
        <v>0</v>
      </c>
      <c r="L703" s="48">
        <f t="shared" si="74"/>
        <v>318.42</v>
      </c>
      <c r="M703" s="48">
        <f t="shared" si="75"/>
        <v>0</v>
      </c>
      <c r="N703" s="48">
        <f t="shared" si="76"/>
        <v>6368.4</v>
      </c>
      <c r="O703" s="50">
        <f t="shared" si="77"/>
        <v>6368.4</v>
      </c>
      <c r="P703" s="50">
        <v>0</v>
      </c>
      <c r="Q703" s="76"/>
      <c r="R703" s="139">
        <f>1*(S9+S10)</f>
        <v>20</v>
      </c>
      <c r="S703" s="79">
        <v>0</v>
      </c>
      <c r="T703" s="80">
        <v>260</v>
      </c>
    </row>
    <row r="704" spans="2:20" ht="42">
      <c r="B704" s="5" t="s">
        <v>1664</v>
      </c>
      <c r="C704" s="45" t="s">
        <v>97</v>
      </c>
      <c r="D704" s="45" t="s">
        <v>1665</v>
      </c>
      <c r="E704" s="6" t="s">
        <v>1666</v>
      </c>
      <c r="F704" s="45" t="s">
        <v>104</v>
      </c>
      <c r="G704" s="46">
        <f t="shared" si="78"/>
        <v>20</v>
      </c>
      <c r="H704" s="46">
        <f>TRUNC(S704*(1-LOTE_03!$K$10),2)</f>
        <v>0</v>
      </c>
      <c r="I704" s="46">
        <f>TRUNC(T704*(1-LOTE_03!$K$10),2)</f>
        <v>516.83000000000004</v>
      </c>
      <c r="J704" s="100">
        <f t="shared" si="79"/>
        <v>0.22470000000000001</v>
      </c>
      <c r="K704" s="48">
        <f t="shared" si="73"/>
        <v>0</v>
      </c>
      <c r="L704" s="48">
        <f t="shared" si="74"/>
        <v>632.96</v>
      </c>
      <c r="M704" s="48">
        <f t="shared" si="75"/>
        <v>0</v>
      </c>
      <c r="N704" s="48">
        <f t="shared" si="76"/>
        <v>12659.2</v>
      </c>
      <c r="O704" s="50">
        <f t="shared" si="77"/>
        <v>12659.2</v>
      </c>
      <c r="P704" s="50">
        <v>0</v>
      </c>
      <c r="Q704" s="76"/>
      <c r="R704" s="139">
        <f>1*(S9+S10)</f>
        <v>20</v>
      </c>
      <c r="S704" s="79">
        <v>0</v>
      </c>
      <c r="T704" s="80">
        <v>516.83000000000004</v>
      </c>
    </row>
    <row r="705" spans="2:20" ht="42">
      <c r="B705" s="5" t="s">
        <v>1667</v>
      </c>
      <c r="C705" s="45" t="s">
        <v>97</v>
      </c>
      <c r="D705" s="45" t="s">
        <v>1668</v>
      </c>
      <c r="E705" s="6" t="s">
        <v>1669</v>
      </c>
      <c r="F705" s="45" t="s">
        <v>104</v>
      </c>
      <c r="G705" s="46">
        <f t="shared" si="78"/>
        <v>20</v>
      </c>
      <c r="H705" s="46">
        <f>TRUNC(S705*(1-LOTE_03!$K$10),2)</f>
        <v>0</v>
      </c>
      <c r="I705" s="46">
        <f>TRUNC(T705*(1-LOTE_03!$K$10),2)</f>
        <v>779.3</v>
      </c>
      <c r="J705" s="100">
        <f t="shared" si="79"/>
        <v>0.22470000000000001</v>
      </c>
      <c r="K705" s="48">
        <f t="shared" si="73"/>
        <v>0</v>
      </c>
      <c r="L705" s="48">
        <f t="shared" si="74"/>
        <v>954.4</v>
      </c>
      <c r="M705" s="48">
        <f t="shared" si="75"/>
        <v>0</v>
      </c>
      <c r="N705" s="48">
        <f t="shared" si="76"/>
        <v>19088</v>
      </c>
      <c r="O705" s="50">
        <f t="shared" si="77"/>
        <v>19088</v>
      </c>
      <c r="P705" s="50">
        <v>0</v>
      </c>
      <c r="Q705" s="76"/>
      <c r="R705" s="139">
        <f>1*(S9+S10)</f>
        <v>20</v>
      </c>
      <c r="S705" s="79">
        <v>0</v>
      </c>
      <c r="T705" s="80">
        <v>779.3</v>
      </c>
    </row>
    <row r="706" spans="2:20" ht="42">
      <c r="B706" s="5" t="s">
        <v>1670</v>
      </c>
      <c r="C706" s="45" t="s">
        <v>97</v>
      </c>
      <c r="D706" s="45" t="s">
        <v>1671</v>
      </c>
      <c r="E706" s="6" t="s">
        <v>1672</v>
      </c>
      <c r="F706" s="45" t="s">
        <v>104</v>
      </c>
      <c r="G706" s="46">
        <f t="shared" si="78"/>
        <v>20</v>
      </c>
      <c r="H706" s="46">
        <f>TRUNC(S706*(1-LOTE_03!$K$10),2)</f>
        <v>339.54</v>
      </c>
      <c r="I706" s="46">
        <f>TRUNC(T706*(1-LOTE_03!$K$10),2)</f>
        <v>0</v>
      </c>
      <c r="J706" s="100">
        <f t="shared" si="79"/>
        <v>0.22470000000000001</v>
      </c>
      <c r="K706" s="48">
        <f t="shared" si="73"/>
        <v>415.83</v>
      </c>
      <c r="L706" s="48">
        <f t="shared" si="74"/>
        <v>0</v>
      </c>
      <c r="M706" s="48">
        <f t="shared" si="75"/>
        <v>8316.6</v>
      </c>
      <c r="N706" s="48">
        <f t="shared" si="76"/>
        <v>0</v>
      </c>
      <c r="O706" s="50">
        <f t="shared" si="77"/>
        <v>8316.6</v>
      </c>
      <c r="P706" s="50">
        <v>0</v>
      </c>
      <c r="Q706" s="76"/>
      <c r="R706" s="139">
        <f>1*(S9+S10)</f>
        <v>20</v>
      </c>
      <c r="S706" s="79">
        <v>339.54</v>
      </c>
      <c r="T706" s="80">
        <v>0</v>
      </c>
    </row>
    <row r="707" spans="2:20" ht="42">
      <c r="B707" s="5" t="s">
        <v>1673</v>
      </c>
      <c r="C707" s="45" t="s">
        <v>97</v>
      </c>
      <c r="D707" s="45" t="s">
        <v>1674</v>
      </c>
      <c r="E707" s="6" t="s">
        <v>1675</v>
      </c>
      <c r="F707" s="45" t="s">
        <v>104</v>
      </c>
      <c r="G707" s="46">
        <f t="shared" si="78"/>
        <v>20</v>
      </c>
      <c r="H707" s="46">
        <f>TRUNC(S707*(1-LOTE_03!$K$10),2)</f>
        <v>0</v>
      </c>
      <c r="I707" s="46">
        <f>TRUNC(T707*(1-LOTE_03!$K$10),2)</f>
        <v>667.87</v>
      </c>
      <c r="J707" s="100">
        <f t="shared" si="79"/>
        <v>0.22470000000000001</v>
      </c>
      <c r="K707" s="48">
        <f t="shared" si="73"/>
        <v>0</v>
      </c>
      <c r="L707" s="48">
        <f t="shared" si="74"/>
        <v>817.94</v>
      </c>
      <c r="M707" s="48">
        <f t="shared" si="75"/>
        <v>0</v>
      </c>
      <c r="N707" s="48">
        <f t="shared" si="76"/>
        <v>16358.8</v>
      </c>
      <c r="O707" s="50">
        <f t="shared" si="77"/>
        <v>16358.8</v>
      </c>
      <c r="P707" s="50">
        <v>0</v>
      </c>
      <c r="Q707" s="76"/>
      <c r="R707" s="139">
        <f>1*(S9+S10)</f>
        <v>20</v>
      </c>
      <c r="S707" s="79">
        <v>0</v>
      </c>
      <c r="T707" s="80">
        <v>667.87</v>
      </c>
    </row>
    <row r="708" spans="2:20" ht="42">
      <c r="B708" s="5" t="s">
        <v>1676</v>
      </c>
      <c r="C708" s="45" t="s">
        <v>97</v>
      </c>
      <c r="D708" s="45" t="s">
        <v>1677</v>
      </c>
      <c r="E708" s="6" t="s">
        <v>1678</v>
      </c>
      <c r="F708" s="45" t="s">
        <v>104</v>
      </c>
      <c r="G708" s="46">
        <f t="shared" si="78"/>
        <v>40</v>
      </c>
      <c r="H708" s="46">
        <f>TRUNC(S708*(1-LOTE_03!$K$10),2)</f>
        <v>273.11</v>
      </c>
      <c r="I708" s="46">
        <f>TRUNC(T708*(1-LOTE_03!$K$10),2)</f>
        <v>21.48</v>
      </c>
      <c r="J708" s="100">
        <f t="shared" si="79"/>
        <v>0.22470000000000001</v>
      </c>
      <c r="K708" s="48">
        <f t="shared" si="73"/>
        <v>334.47</v>
      </c>
      <c r="L708" s="48">
        <f t="shared" si="74"/>
        <v>26.3</v>
      </c>
      <c r="M708" s="48">
        <f t="shared" si="75"/>
        <v>13378.8</v>
      </c>
      <c r="N708" s="48">
        <f t="shared" si="76"/>
        <v>1052</v>
      </c>
      <c r="O708" s="50">
        <f t="shared" si="77"/>
        <v>14430.8</v>
      </c>
      <c r="P708" s="50">
        <v>0</v>
      </c>
      <c r="Q708" s="76"/>
      <c r="R708" s="139">
        <f>2*(S9+S10)</f>
        <v>40</v>
      </c>
      <c r="S708" s="79">
        <v>273.11</v>
      </c>
      <c r="T708" s="80">
        <v>21.48</v>
      </c>
    </row>
    <row r="709" spans="2:20" ht="28">
      <c r="B709" s="5" t="s">
        <v>1679</v>
      </c>
      <c r="C709" s="45" t="s">
        <v>97</v>
      </c>
      <c r="D709" s="45" t="s">
        <v>1680</v>
      </c>
      <c r="E709" s="6" t="s">
        <v>1681</v>
      </c>
      <c r="F709" s="45" t="s">
        <v>104</v>
      </c>
      <c r="G709" s="46">
        <f t="shared" si="78"/>
        <v>40</v>
      </c>
      <c r="H709" s="46">
        <f>TRUNC(S709*(1-LOTE_03!$K$10),2)</f>
        <v>7.05</v>
      </c>
      <c r="I709" s="46">
        <f>TRUNC(T709*(1-LOTE_03!$K$10),2)</f>
        <v>18.75</v>
      </c>
      <c r="J709" s="100">
        <f t="shared" si="79"/>
        <v>0.22470000000000001</v>
      </c>
      <c r="K709" s="48">
        <f t="shared" si="73"/>
        <v>8.6300000000000008</v>
      </c>
      <c r="L709" s="48">
        <f t="shared" si="74"/>
        <v>22.96</v>
      </c>
      <c r="M709" s="48">
        <f t="shared" si="75"/>
        <v>345.2</v>
      </c>
      <c r="N709" s="48">
        <f t="shared" si="76"/>
        <v>918.4</v>
      </c>
      <c r="O709" s="50">
        <f t="shared" si="77"/>
        <v>1263.5999999999999</v>
      </c>
      <c r="P709" s="50">
        <v>0</v>
      </c>
      <c r="Q709" s="76"/>
      <c r="R709" s="139">
        <f>2*(S9+S10)</f>
        <v>40</v>
      </c>
      <c r="S709" s="79">
        <v>7.05</v>
      </c>
      <c r="T709" s="80">
        <v>18.75</v>
      </c>
    </row>
    <row r="710" spans="2:20" ht="28">
      <c r="B710" s="5" t="s">
        <v>1682</v>
      </c>
      <c r="C710" s="45" t="s">
        <v>165</v>
      </c>
      <c r="D710" s="45" t="s">
        <v>1683</v>
      </c>
      <c r="E710" s="6" t="s">
        <v>1684</v>
      </c>
      <c r="F710" s="45" t="s">
        <v>531</v>
      </c>
      <c r="G710" s="46">
        <f t="shared" si="78"/>
        <v>100</v>
      </c>
      <c r="H710" s="46">
        <f>TRUNC(S710*(1-LOTE_03!$K$10),2)</f>
        <v>19.04</v>
      </c>
      <c r="I710" s="46">
        <f>TRUNC(T710*(1-LOTE_03!$K$10),2)</f>
        <v>2.59</v>
      </c>
      <c r="J710" s="100">
        <f t="shared" si="79"/>
        <v>0.22470000000000001</v>
      </c>
      <c r="K710" s="48">
        <f t="shared" si="73"/>
        <v>23.31</v>
      </c>
      <c r="L710" s="48">
        <f t="shared" si="74"/>
        <v>3.17</v>
      </c>
      <c r="M710" s="48">
        <f t="shared" si="75"/>
        <v>2331</v>
      </c>
      <c r="N710" s="48">
        <f t="shared" si="76"/>
        <v>317</v>
      </c>
      <c r="O710" s="50">
        <f t="shared" si="77"/>
        <v>2648</v>
      </c>
      <c r="P710" s="50">
        <v>0</v>
      </c>
      <c r="Q710" s="76"/>
      <c r="R710" s="139">
        <f>5*(S9+S10)</f>
        <v>100</v>
      </c>
      <c r="S710" s="79">
        <v>19.04</v>
      </c>
      <c r="T710" s="80">
        <v>2.59</v>
      </c>
    </row>
    <row r="711" spans="2:20" ht="42">
      <c r="B711" s="5" t="s">
        <v>1685</v>
      </c>
      <c r="C711" s="45" t="s">
        <v>97</v>
      </c>
      <c r="D711" s="45" t="s">
        <v>1686</v>
      </c>
      <c r="E711" s="6" t="s">
        <v>1687</v>
      </c>
      <c r="F711" s="45" t="s">
        <v>187</v>
      </c>
      <c r="G711" s="46">
        <f t="shared" si="78"/>
        <v>100</v>
      </c>
      <c r="H711" s="46">
        <f>TRUNC(S711*(1-LOTE_03!$K$10),2)</f>
        <v>9.58</v>
      </c>
      <c r="I711" s="46">
        <f>TRUNC(T711*(1-LOTE_03!$K$10),2)</f>
        <v>1.28</v>
      </c>
      <c r="J711" s="100">
        <f t="shared" si="79"/>
        <v>0.22470000000000001</v>
      </c>
      <c r="K711" s="48">
        <f t="shared" si="73"/>
        <v>11.73</v>
      </c>
      <c r="L711" s="48">
        <f t="shared" si="74"/>
        <v>1.56</v>
      </c>
      <c r="M711" s="48">
        <f t="shared" si="75"/>
        <v>1173</v>
      </c>
      <c r="N711" s="48">
        <f t="shared" si="76"/>
        <v>156</v>
      </c>
      <c r="O711" s="50">
        <f t="shared" si="77"/>
        <v>1329</v>
      </c>
      <c r="P711" s="50">
        <v>0</v>
      </c>
      <c r="Q711" s="76"/>
      <c r="R711" s="139">
        <f>5*(S9+S10)</f>
        <v>100</v>
      </c>
      <c r="S711" s="79">
        <v>9.58</v>
      </c>
      <c r="T711" s="80">
        <v>1.28</v>
      </c>
    </row>
    <row r="712" spans="2:20" ht="28">
      <c r="B712" s="5" t="s">
        <v>1688</v>
      </c>
      <c r="C712" s="45" t="s">
        <v>97</v>
      </c>
      <c r="D712" s="45" t="s">
        <v>1689</v>
      </c>
      <c r="E712" s="6" t="s">
        <v>1690</v>
      </c>
      <c r="F712" s="45" t="s">
        <v>519</v>
      </c>
      <c r="G712" s="46">
        <f t="shared" si="78"/>
        <v>100</v>
      </c>
      <c r="H712" s="46">
        <f>TRUNC(S712*(1-LOTE_03!$K$10),2)</f>
        <v>28.89</v>
      </c>
      <c r="I712" s="46">
        <f>TRUNC(T712*(1-LOTE_03!$K$10),2)</f>
        <v>7.58</v>
      </c>
      <c r="J712" s="100">
        <f t="shared" si="79"/>
        <v>0.22470000000000001</v>
      </c>
      <c r="K712" s="48">
        <f t="shared" si="73"/>
        <v>35.380000000000003</v>
      </c>
      <c r="L712" s="48">
        <f t="shared" si="74"/>
        <v>9.2799999999999994</v>
      </c>
      <c r="M712" s="48">
        <f t="shared" si="75"/>
        <v>3538</v>
      </c>
      <c r="N712" s="48">
        <f t="shared" si="76"/>
        <v>928</v>
      </c>
      <c r="O712" s="50">
        <f t="shared" si="77"/>
        <v>4466</v>
      </c>
      <c r="P712" s="50">
        <v>0</v>
      </c>
      <c r="Q712" s="76"/>
      <c r="R712" s="139">
        <f>5*(S9+S10)</f>
        <v>100</v>
      </c>
      <c r="S712" s="79">
        <v>28.89</v>
      </c>
      <c r="T712" s="80">
        <v>7.58</v>
      </c>
    </row>
    <row r="713" spans="2:20" ht="28">
      <c r="B713" s="5" t="s">
        <v>1691</v>
      </c>
      <c r="C713" s="45" t="s">
        <v>165</v>
      </c>
      <c r="D713" s="45" t="s">
        <v>1692</v>
      </c>
      <c r="E713" s="6" t="s">
        <v>1693</v>
      </c>
      <c r="F713" s="45" t="s">
        <v>182</v>
      </c>
      <c r="G713" s="46">
        <f t="shared" si="78"/>
        <v>40</v>
      </c>
      <c r="H713" s="46">
        <f>TRUNC(S713*(1-LOTE_03!$K$10),2)</f>
        <v>252.75</v>
      </c>
      <c r="I713" s="46">
        <f>TRUNC(T713*(1-LOTE_03!$K$10),2)</f>
        <v>20.69</v>
      </c>
      <c r="J713" s="100">
        <f t="shared" si="79"/>
        <v>0.22470000000000001</v>
      </c>
      <c r="K713" s="48">
        <f t="shared" si="73"/>
        <v>309.54000000000002</v>
      </c>
      <c r="L713" s="48">
        <f t="shared" si="74"/>
        <v>25.33</v>
      </c>
      <c r="M713" s="48">
        <f t="shared" si="75"/>
        <v>12381.6</v>
      </c>
      <c r="N713" s="48">
        <f t="shared" si="76"/>
        <v>1013.2</v>
      </c>
      <c r="O713" s="50">
        <f t="shared" si="77"/>
        <v>13394.8</v>
      </c>
      <c r="P713" s="50">
        <v>0</v>
      </c>
      <c r="Q713" s="76"/>
      <c r="R713" s="139">
        <f>2*(S9+S10)</f>
        <v>40</v>
      </c>
      <c r="S713" s="79">
        <v>252.75</v>
      </c>
      <c r="T713" s="80">
        <v>20.69</v>
      </c>
    </row>
    <row r="714" spans="2:20" ht="28">
      <c r="B714" s="5" t="s">
        <v>1694</v>
      </c>
      <c r="C714" s="45" t="s">
        <v>165</v>
      </c>
      <c r="D714" s="45" t="s">
        <v>1695</v>
      </c>
      <c r="E714" s="6" t="s">
        <v>1696</v>
      </c>
      <c r="F714" s="45" t="s">
        <v>559</v>
      </c>
      <c r="G714" s="46">
        <f t="shared" si="78"/>
        <v>60</v>
      </c>
      <c r="H714" s="46">
        <f>TRUNC(S714*(1-LOTE_03!$K$10),2)</f>
        <v>58.28</v>
      </c>
      <c r="I714" s="46">
        <f>TRUNC(T714*(1-LOTE_03!$K$10),2)</f>
        <v>2.33</v>
      </c>
      <c r="J714" s="100">
        <f t="shared" si="79"/>
        <v>0.22470000000000001</v>
      </c>
      <c r="K714" s="48">
        <f t="shared" si="73"/>
        <v>71.37</v>
      </c>
      <c r="L714" s="48">
        <f t="shared" si="74"/>
        <v>2.85</v>
      </c>
      <c r="M714" s="48">
        <f t="shared" si="75"/>
        <v>4282.2</v>
      </c>
      <c r="N714" s="48">
        <f t="shared" si="76"/>
        <v>171</v>
      </c>
      <c r="O714" s="50">
        <f t="shared" si="77"/>
        <v>4453.2</v>
      </c>
      <c r="P714" s="50">
        <v>0</v>
      </c>
      <c r="Q714" s="76"/>
      <c r="R714" s="139">
        <f>3*(S9+S10)</f>
        <v>60</v>
      </c>
      <c r="S714" s="79">
        <v>58.28</v>
      </c>
      <c r="T714" s="80">
        <v>2.33</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818977.52</v>
      </c>
      <c r="Q715" s="76"/>
      <c r="R715" s="139"/>
      <c r="S715" s="79" t="s">
        <v>22</v>
      </c>
      <c r="T715" s="80" t="s">
        <v>22</v>
      </c>
    </row>
    <row r="716" spans="2:20" ht="28">
      <c r="B716" s="5" t="s">
        <v>1698</v>
      </c>
      <c r="C716" s="45" t="s">
        <v>165</v>
      </c>
      <c r="D716" s="45" t="s">
        <v>1699</v>
      </c>
      <c r="E716" s="6" t="s">
        <v>1700</v>
      </c>
      <c r="F716" s="45" t="s">
        <v>168</v>
      </c>
      <c r="G716" s="46">
        <f t="shared" si="78"/>
        <v>8000</v>
      </c>
      <c r="H716" s="46">
        <f>TRUNC(S716*(1-LOTE_03!$K$10),2)</f>
        <v>0</v>
      </c>
      <c r="I716" s="46">
        <f>TRUNC(T716*(1-LOTE_03!$K$10),2)</f>
        <v>9.0500000000000007</v>
      </c>
      <c r="J716" s="100">
        <f t="shared" si="79"/>
        <v>0.22470000000000001</v>
      </c>
      <c r="K716" s="48">
        <f t="shared" si="73"/>
        <v>0</v>
      </c>
      <c r="L716" s="48">
        <f t="shared" si="74"/>
        <v>11.08</v>
      </c>
      <c r="M716" s="48">
        <f t="shared" si="75"/>
        <v>0</v>
      </c>
      <c r="N716" s="48">
        <f t="shared" si="76"/>
        <v>88640</v>
      </c>
      <c r="O716" s="50">
        <f t="shared" si="77"/>
        <v>88640</v>
      </c>
      <c r="P716" s="50">
        <v>0</v>
      </c>
      <c r="Q716" s="76"/>
      <c r="R716" s="139">
        <f>400*(S9+S10)</f>
        <v>8000</v>
      </c>
      <c r="S716" s="79">
        <v>0</v>
      </c>
      <c r="T716" s="80">
        <v>9.0500000000000007</v>
      </c>
    </row>
    <row r="717" spans="2:20" ht="28">
      <c r="B717" s="5" t="s">
        <v>1701</v>
      </c>
      <c r="C717" s="45" t="s">
        <v>97</v>
      </c>
      <c r="D717" s="45" t="s">
        <v>1702</v>
      </c>
      <c r="E717" s="6" t="s">
        <v>1703</v>
      </c>
      <c r="F717" s="45" t="s">
        <v>104</v>
      </c>
      <c r="G717" s="46">
        <f t="shared" si="78"/>
        <v>20</v>
      </c>
      <c r="H717" s="46">
        <f>TRUNC(S717*(1-LOTE_03!$K$10),2)</f>
        <v>266</v>
      </c>
      <c r="I717" s="46">
        <f>TRUNC(T717*(1-LOTE_03!$K$10),2)</f>
        <v>0</v>
      </c>
      <c r="J717" s="100">
        <f t="shared" si="79"/>
        <v>0.22470000000000001</v>
      </c>
      <c r="K717" s="48">
        <f t="shared" si="73"/>
        <v>325.77</v>
      </c>
      <c r="L717" s="48">
        <f t="shared" si="74"/>
        <v>0</v>
      </c>
      <c r="M717" s="48">
        <f t="shared" si="75"/>
        <v>6515.4</v>
      </c>
      <c r="N717" s="48">
        <f t="shared" si="76"/>
        <v>0</v>
      </c>
      <c r="O717" s="50">
        <f t="shared" si="77"/>
        <v>6515.4</v>
      </c>
      <c r="P717" s="50">
        <v>0</v>
      </c>
      <c r="Q717" s="76"/>
      <c r="R717" s="139">
        <f>1*(S9+S10)</f>
        <v>20</v>
      </c>
      <c r="S717" s="79">
        <v>266</v>
      </c>
      <c r="T717" s="80">
        <v>0</v>
      </c>
    </row>
    <row r="718" spans="2:20" ht="42">
      <c r="B718" s="5" t="s">
        <v>1704</v>
      </c>
      <c r="C718" s="45" t="s">
        <v>135</v>
      </c>
      <c r="D718" s="45">
        <v>99814</v>
      </c>
      <c r="E718" s="6" t="s">
        <v>1839</v>
      </c>
      <c r="F718" s="45" t="s">
        <v>121</v>
      </c>
      <c r="G718" s="46">
        <f t="shared" si="78"/>
        <v>20</v>
      </c>
      <c r="H718" s="46">
        <f>TRUNC(S718*(1-LOTE_03!$K$10),2)</f>
        <v>0.56999999999999995</v>
      </c>
      <c r="I718" s="46">
        <f>TRUNC(T718*(1-LOTE_03!$K$10),2)</f>
        <v>1.08</v>
      </c>
      <c r="J718" s="100">
        <f t="shared" si="79"/>
        <v>0.22470000000000001</v>
      </c>
      <c r="K718" s="48">
        <f t="shared" si="73"/>
        <v>0.69</v>
      </c>
      <c r="L718" s="48">
        <f t="shared" si="74"/>
        <v>1.32</v>
      </c>
      <c r="M718" s="48">
        <f t="shared" si="75"/>
        <v>13.8</v>
      </c>
      <c r="N718" s="48">
        <f t="shared" si="76"/>
        <v>26.4</v>
      </c>
      <c r="O718" s="50">
        <f t="shared" si="77"/>
        <v>40.200000000000003</v>
      </c>
      <c r="P718" s="50">
        <v>0</v>
      </c>
      <c r="Q718" s="76"/>
      <c r="R718" s="139">
        <f>1*(S9+S10)</f>
        <v>20</v>
      </c>
      <c r="S718" s="79">
        <v>0.56999999999999984</v>
      </c>
      <c r="T718" s="80">
        <v>1.08</v>
      </c>
    </row>
    <row r="719" spans="2:20" ht="28">
      <c r="B719" s="5" t="s">
        <v>1705</v>
      </c>
      <c r="C719" s="45" t="s">
        <v>135</v>
      </c>
      <c r="D719" s="45">
        <v>98524</v>
      </c>
      <c r="E719" s="6" t="s">
        <v>1706</v>
      </c>
      <c r="F719" s="45" t="s">
        <v>121</v>
      </c>
      <c r="G719" s="46">
        <f t="shared" si="78"/>
        <v>20</v>
      </c>
      <c r="H719" s="46">
        <f>TRUNC(S719*(1-LOTE_03!$K$10),2)</f>
        <v>1.56</v>
      </c>
      <c r="I719" s="46">
        <f>TRUNC(T719*(1-LOTE_03!$K$10),2)</f>
        <v>3.41</v>
      </c>
      <c r="J719" s="100">
        <f t="shared" si="79"/>
        <v>0.22470000000000001</v>
      </c>
      <c r="K719" s="48">
        <f t="shared" si="73"/>
        <v>1.91</v>
      </c>
      <c r="L719" s="48">
        <f t="shared" si="74"/>
        <v>4.17</v>
      </c>
      <c r="M719" s="48">
        <f t="shared" si="75"/>
        <v>38.200000000000003</v>
      </c>
      <c r="N719" s="48">
        <f t="shared" si="76"/>
        <v>83.4</v>
      </c>
      <c r="O719" s="50">
        <f t="shared" si="77"/>
        <v>121.6</v>
      </c>
      <c r="P719" s="50">
        <v>0</v>
      </c>
      <c r="Q719" s="76"/>
      <c r="R719" s="139">
        <f>1*(S9+S10)</f>
        <v>20</v>
      </c>
      <c r="S719" s="79">
        <v>1.5599999999999996</v>
      </c>
      <c r="T719" s="80">
        <v>3.41</v>
      </c>
    </row>
    <row r="720" spans="2:20" ht="42">
      <c r="B720" s="5" t="s">
        <v>1707</v>
      </c>
      <c r="C720" s="45" t="s">
        <v>135</v>
      </c>
      <c r="D720" s="45">
        <v>98531</v>
      </c>
      <c r="E720" s="6" t="s">
        <v>1708</v>
      </c>
      <c r="F720" s="45" t="s">
        <v>210</v>
      </c>
      <c r="G720" s="46">
        <f t="shared" si="78"/>
        <v>20</v>
      </c>
      <c r="H720" s="46">
        <f>TRUNC(S720*(1-LOTE_03!$K$10),2)</f>
        <v>213.97</v>
      </c>
      <c r="I720" s="46">
        <f>TRUNC(T720*(1-LOTE_03!$K$10),2)</f>
        <v>180.58</v>
      </c>
      <c r="J720" s="100">
        <f t="shared" si="79"/>
        <v>0.22470000000000001</v>
      </c>
      <c r="K720" s="48">
        <f t="shared" ref="K720:K737" si="81">TRUNC(H720*(1+J720),2)</f>
        <v>262.04000000000002</v>
      </c>
      <c r="L720" s="48">
        <f t="shared" ref="L720:L737" si="82">TRUNC(I720*(1+J720),2)</f>
        <v>221.15</v>
      </c>
      <c r="M720" s="48">
        <f t="shared" ref="M720:M737" si="83">TRUNC(K720*G720,2)</f>
        <v>5240.8</v>
      </c>
      <c r="N720" s="48">
        <f t="shared" ref="N720:N737" si="84">TRUNC(L720*G720,2)</f>
        <v>4423</v>
      </c>
      <c r="O720" s="50">
        <f t="shared" ref="O720:O737" si="85">TRUNC(M720+N720,2)</f>
        <v>9663.7999999999993</v>
      </c>
      <c r="P720" s="50">
        <v>0</v>
      </c>
      <c r="Q720" s="76"/>
      <c r="R720" s="139">
        <f>1*(S9+S10)</f>
        <v>20</v>
      </c>
      <c r="S720" s="79">
        <v>213.97</v>
      </c>
      <c r="T720" s="80">
        <v>180.58</v>
      </c>
    </row>
    <row r="721" spans="2:20" ht="42">
      <c r="B721" s="5" t="s">
        <v>1709</v>
      </c>
      <c r="C721" s="45" t="s">
        <v>135</v>
      </c>
      <c r="D721" s="45">
        <v>99805</v>
      </c>
      <c r="E721" s="6" t="s">
        <v>1840</v>
      </c>
      <c r="F721" s="45" t="s">
        <v>121</v>
      </c>
      <c r="G721" s="46">
        <f t="shared" si="78"/>
        <v>8000</v>
      </c>
      <c r="H721" s="46">
        <f>TRUNC(S721*(1-LOTE_03!$K$10),2)</f>
        <v>4.01</v>
      </c>
      <c r="I721" s="46">
        <f>TRUNC(T721*(1-LOTE_03!$K$10),2)</f>
        <v>7.15</v>
      </c>
      <c r="J721" s="100">
        <f t="shared" si="79"/>
        <v>0.22470000000000001</v>
      </c>
      <c r="K721" s="48">
        <f t="shared" si="81"/>
        <v>4.91</v>
      </c>
      <c r="L721" s="48">
        <f t="shared" si="82"/>
        <v>8.75</v>
      </c>
      <c r="M721" s="48">
        <f t="shared" si="83"/>
        <v>39280</v>
      </c>
      <c r="N721" s="48">
        <f t="shared" si="84"/>
        <v>70000</v>
      </c>
      <c r="O721" s="50">
        <f t="shared" si="85"/>
        <v>109280</v>
      </c>
      <c r="P721" s="50">
        <v>0</v>
      </c>
      <c r="Q721" s="76"/>
      <c r="R721" s="139">
        <f>400*(S9+S10)</f>
        <v>8000</v>
      </c>
      <c r="S721" s="79">
        <v>4.01</v>
      </c>
      <c r="T721" s="80">
        <v>7.15</v>
      </c>
    </row>
    <row r="722" spans="2:20" ht="42">
      <c r="B722" s="5" t="s">
        <v>1710</v>
      </c>
      <c r="C722" s="45" t="s">
        <v>135</v>
      </c>
      <c r="D722" s="45">
        <v>99802</v>
      </c>
      <c r="E722" s="6" t="s">
        <v>1841</v>
      </c>
      <c r="F722" s="45" t="s">
        <v>121</v>
      </c>
      <c r="G722" s="46">
        <f t="shared" ref="G722:G737" si="86">TRUNC(R722,2)</f>
        <v>8000</v>
      </c>
      <c r="H722" s="46">
        <f>TRUNC(S722*(1-LOTE_03!$K$10),2)</f>
        <v>0.17</v>
      </c>
      <c r="I722" s="46">
        <f>TRUNC(T722*(1-LOTE_03!$K$10),2)</f>
        <v>0.37</v>
      </c>
      <c r="J722" s="100">
        <f t="shared" ref="J722:J737" si="87">$J$4</f>
        <v>0.22470000000000001</v>
      </c>
      <c r="K722" s="48">
        <f t="shared" si="81"/>
        <v>0.2</v>
      </c>
      <c r="L722" s="48">
        <f t="shared" si="82"/>
        <v>0.45</v>
      </c>
      <c r="M722" s="48">
        <f t="shared" si="83"/>
        <v>1600</v>
      </c>
      <c r="N722" s="48">
        <f t="shared" si="84"/>
        <v>3600</v>
      </c>
      <c r="O722" s="50">
        <f t="shared" si="85"/>
        <v>5200</v>
      </c>
      <c r="P722" s="50">
        <v>0</v>
      </c>
      <c r="Q722" s="76"/>
      <c r="R722" s="139">
        <f>400*(S9+S10)</f>
        <v>8000</v>
      </c>
      <c r="S722" s="79">
        <v>0.17000000000000004</v>
      </c>
      <c r="T722" s="80">
        <v>0.37</v>
      </c>
    </row>
    <row r="723" spans="2:20" ht="42">
      <c r="B723" s="5" t="s">
        <v>1711</v>
      </c>
      <c r="C723" s="45" t="s">
        <v>135</v>
      </c>
      <c r="D723" s="45">
        <v>99803</v>
      </c>
      <c r="E723" s="6" t="s">
        <v>1842</v>
      </c>
      <c r="F723" s="45" t="s">
        <v>121</v>
      </c>
      <c r="G723" s="46">
        <f t="shared" si="86"/>
        <v>1000</v>
      </c>
      <c r="H723" s="46">
        <f>TRUNC(S723*(1-LOTE_03!$K$10),2)</f>
        <v>1.28</v>
      </c>
      <c r="I723" s="46">
        <f>TRUNC(T723*(1-LOTE_03!$K$10),2)</f>
        <v>2.76</v>
      </c>
      <c r="J723" s="100">
        <f t="shared" si="87"/>
        <v>0.22470000000000001</v>
      </c>
      <c r="K723" s="48">
        <f t="shared" si="81"/>
        <v>1.56</v>
      </c>
      <c r="L723" s="48">
        <f t="shared" si="82"/>
        <v>3.38</v>
      </c>
      <c r="M723" s="48">
        <f t="shared" si="83"/>
        <v>1560</v>
      </c>
      <c r="N723" s="48">
        <f t="shared" si="84"/>
        <v>3380</v>
      </c>
      <c r="O723" s="50">
        <f t="shared" si="85"/>
        <v>4940</v>
      </c>
      <c r="P723" s="50">
        <v>0</v>
      </c>
      <c r="Q723" s="76"/>
      <c r="R723" s="139">
        <f>50*(S9+S10)</f>
        <v>1000</v>
      </c>
      <c r="S723" s="79">
        <v>1.2800000000000002</v>
      </c>
      <c r="T723" s="80">
        <v>2.76</v>
      </c>
    </row>
    <row r="724" spans="2:20" ht="56">
      <c r="B724" s="5" t="s">
        <v>1712</v>
      </c>
      <c r="C724" s="45" t="s">
        <v>135</v>
      </c>
      <c r="D724" s="45">
        <v>99810</v>
      </c>
      <c r="E724" s="6" t="s">
        <v>1843</v>
      </c>
      <c r="F724" s="45" t="s">
        <v>121</v>
      </c>
      <c r="G724" s="46">
        <f t="shared" si="86"/>
        <v>8000</v>
      </c>
      <c r="H724" s="46">
        <f>TRUNC(S724*(1-LOTE_03!$K$10),2)</f>
        <v>2.12</v>
      </c>
      <c r="I724" s="46">
        <f>TRUNC(T724*(1-LOTE_03!$K$10),2)</f>
        <v>4.46</v>
      </c>
      <c r="J724" s="100">
        <f t="shared" si="87"/>
        <v>0.22470000000000001</v>
      </c>
      <c r="K724" s="48">
        <f t="shared" si="81"/>
        <v>2.59</v>
      </c>
      <c r="L724" s="48">
        <f t="shared" si="82"/>
        <v>5.46</v>
      </c>
      <c r="M724" s="48">
        <f t="shared" si="83"/>
        <v>20720</v>
      </c>
      <c r="N724" s="48">
        <f t="shared" si="84"/>
        <v>43680</v>
      </c>
      <c r="O724" s="50">
        <f t="shared" si="85"/>
        <v>64400</v>
      </c>
      <c r="P724" s="50">
        <v>0</v>
      </c>
      <c r="Q724" s="76"/>
      <c r="R724" s="139">
        <f>400*(S9+S10)</f>
        <v>8000</v>
      </c>
      <c r="S724" s="79">
        <v>2.12</v>
      </c>
      <c r="T724" s="80">
        <v>4.46</v>
      </c>
    </row>
    <row r="725" spans="2:20" ht="42">
      <c r="B725" s="5" t="s">
        <v>1713</v>
      </c>
      <c r="C725" s="45" t="s">
        <v>135</v>
      </c>
      <c r="D725" s="45">
        <v>99806</v>
      </c>
      <c r="E725" s="6" t="s">
        <v>1844</v>
      </c>
      <c r="F725" s="45" t="s">
        <v>121</v>
      </c>
      <c r="G725" s="46">
        <f t="shared" si="86"/>
        <v>8000</v>
      </c>
      <c r="H725" s="46">
        <f>TRUNC(S725*(1-LOTE_03!$K$10),2)</f>
        <v>0.92</v>
      </c>
      <c r="I725" s="46">
        <f>TRUNC(T725*(1-LOTE_03!$K$10),2)</f>
        <v>1.99</v>
      </c>
      <c r="J725" s="100">
        <f t="shared" si="87"/>
        <v>0.22470000000000001</v>
      </c>
      <c r="K725" s="48">
        <f>TRUNC(H725*(1+J725),2)</f>
        <v>1.1200000000000001</v>
      </c>
      <c r="L725" s="48">
        <f>TRUNC(I725*(1+J725),2)</f>
        <v>2.4300000000000002</v>
      </c>
      <c r="M725" s="48">
        <f>TRUNC(K725*G725,2)</f>
        <v>8960</v>
      </c>
      <c r="N725" s="48">
        <f>TRUNC(L725*G725,2)</f>
        <v>19440</v>
      </c>
      <c r="O725" s="50">
        <f>TRUNC(M725+N725,2)</f>
        <v>28400</v>
      </c>
      <c r="P725" s="50">
        <v>0</v>
      </c>
      <c r="Q725" s="76"/>
      <c r="R725" s="139">
        <f>400*(S9+S10)</f>
        <v>8000</v>
      </c>
      <c r="S725" s="79">
        <v>0.92000000000000015</v>
      </c>
      <c r="T725" s="80">
        <v>1.99</v>
      </c>
    </row>
    <row r="726" spans="2:20">
      <c r="B726" s="5" t="s">
        <v>1714</v>
      </c>
      <c r="C726" s="45" t="s">
        <v>97</v>
      </c>
      <c r="D726" s="45" t="s">
        <v>1717</v>
      </c>
      <c r="E726" s="6" t="s">
        <v>1718</v>
      </c>
      <c r="F726" s="45" t="s">
        <v>121</v>
      </c>
      <c r="G726" s="46">
        <f t="shared" si="86"/>
        <v>1000</v>
      </c>
      <c r="H726" s="46">
        <f>TRUNC(S726*(1-LOTE_03!$K$10),2)</f>
        <v>5.38</v>
      </c>
      <c r="I726" s="46">
        <f>TRUNC(T726*(1-LOTE_03!$K$10),2)</f>
        <v>9.61</v>
      </c>
      <c r="J726" s="100">
        <f t="shared" si="87"/>
        <v>0.22470000000000001</v>
      </c>
      <c r="K726" s="48">
        <f t="shared" si="81"/>
        <v>6.58</v>
      </c>
      <c r="L726" s="48">
        <f t="shared" si="82"/>
        <v>11.76</v>
      </c>
      <c r="M726" s="48">
        <f t="shared" si="83"/>
        <v>6580</v>
      </c>
      <c r="N726" s="48">
        <f t="shared" si="84"/>
        <v>11760</v>
      </c>
      <c r="O726" s="50">
        <f t="shared" si="85"/>
        <v>18340</v>
      </c>
      <c r="P726" s="50">
        <v>0</v>
      </c>
      <c r="Q726" s="76"/>
      <c r="R726" s="139">
        <f>50*(S9+S10)</f>
        <v>1000</v>
      </c>
      <c r="S726" s="79">
        <v>5.38</v>
      </c>
      <c r="T726" s="80">
        <v>9.61</v>
      </c>
    </row>
    <row r="727" spans="2:20" ht="28">
      <c r="B727" s="5" t="s">
        <v>1715</v>
      </c>
      <c r="C727" s="45" t="s">
        <v>135</v>
      </c>
      <c r="D727" s="45">
        <v>99823</v>
      </c>
      <c r="E727" s="6" t="s">
        <v>1845</v>
      </c>
      <c r="F727" s="45" t="s">
        <v>121</v>
      </c>
      <c r="G727" s="46">
        <f t="shared" si="86"/>
        <v>8000</v>
      </c>
      <c r="H727" s="46">
        <f>TRUNC(S727*(1-LOTE_03!$K$10),2)</f>
        <v>1.25</v>
      </c>
      <c r="I727" s="46">
        <f>TRUNC(T727*(1-LOTE_03!$K$10),2)</f>
        <v>1.18</v>
      </c>
      <c r="J727" s="100">
        <f t="shared" si="87"/>
        <v>0.22470000000000001</v>
      </c>
      <c r="K727" s="48">
        <f t="shared" si="81"/>
        <v>1.53</v>
      </c>
      <c r="L727" s="48">
        <f t="shared" si="82"/>
        <v>1.44</v>
      </c>
      <c r="M727" s="48">
        <f t="shared" si="83"/>
        <v>12240</v>
      </c>
      <c r="N727" s="48">
        <f t="shared" si="84"/>
        <v>11520</v>
      </c>
      <c r="O727" s="50">
        <f t="shared" si="85"/>
        <v>23760</v>
      </c>
      <c r="P727" s="50">
        <v>0</v>
      </c>
      <c r="Q727" s="76"/>
      <c r="R727" s="139">
        <f>400*(S9+S10)</f>
        <v>8000</v>
      </c>
      <c r="S727" s="79">
        <v>1.2500000000000002</v>
      </c>
      <c r="T727" s="80">
        <v>1.18</v>
      </c>
    </row>
    <row r="728" spans="2:20" ht="42">
      <c r="B728" s="5" t="s">
        <v>1716</v>
      </c>
      <c r="C728" s="45" t="s">
        <v>135</v>
      </c>
      <c r="D728" s="45">
        <v>99821</v>
      </c>
      <c r="E728" s="6" t="s">
        <v>1846</v>
      </c>
      <c r="F728" s="45" t="s">
        <v>121</v>
      </c>
      <c r="G728" s="46">
        <f t="shared" si="86"/>
        <v>1000</v>
      </c>
      <c r="H728" s="46">
        <f>TRUNC(S728*(1-LOTE_03!$K$10),2)</f>
        <v>2.77</v>
      </c>
      <c r="I728" s="46">
        <f>TRUNC(T728*(1-LOTE_03!$K$10),2)</f>
        <v>2.0699999999999998</v>
      </c>
      <c r="J728" s="100">
        <f t="shared" si="87"/>
        <v>0.22470000000000001</v>
      </c>
      <c r="K728" s="48">
        <f t="shared" si="81"/>
        <v>3.39</v>
      </c>
      <c r="L728" s="48">
        <f t="shared" si="82"/>
        <v>2.5299999999999998</v>
      </c>
      <c r="M728" s="48">
        <f t="shared" si="83"/>
        <v>3390</v>
      </c>
      <c r="N728" s="48">
        <f t="shared" si="84"/>
        <v>2530</v>
      </c>
      <c r="O728" s="50">
        <f t="shared" si="85"/>
        <v>5920</v>
      </c>
      <c r="P728" s="50">
        <v>0</v>
      </c>
      <c r="Q728" s="76"/>
      <c r="R728" s="139">
        <f>50*(S9+S10)</f>
        <v>1000</v>
      </c>
      <c r="S728" s="79">
        <v>2.77</v>
      </c>
      <c r="T728" s="80">
        <v>2.0699999999999998</v>
      </c>
    </row>
    <row r="729" spans="2:20" ht="28">
      <c r="B729" s="5" t="s">
        <v>1719</v>
      </c>
      <c r="C729" s="45" t="s">
        <v>135</v>
      </c>
      <c r="D729" s="45">
        <v>99826</v>
      </c>
      <c r="E729" s="6" t="s">
        <v>1847</v>
      </c>
      <c r="F729" s="45" t="s">
        <v>121</v>
      </c>
      <c r="G729" s="46">
        <f t="shared" si="86"/>
        <v>1000</v>
      </c>
      <c r="H729" s="46">
        <f>TRUNC(S729*(1-LOTE_03!$K$10),2)</f>
        <v>0.53</v>
      </c>
      <c r="I729" s="46">
        <f>TRUNC(T729*(1-LOTE_03!$K$10),2)</f>
        <v>1.1200000000000001</v>
      </c>
      <c r="J729" s="100">
        <f t="shared" si="87"/>
        <v>0.22470000000000001</v>
      </c>
      <c r="K729" s="48">
        <f t="shared" si="81"/>
        <v>0.64</v>
      </c>
      <c r="L729" s="48">
        <f t="shared" si="82"/>
        <v>1.37</v>
      </c>
      <c r="M729" s="48">
        <f t="shared" si="83"/>
        <v>640</v>
      </c>
      <c r="N729" s="48">
        <f t="shared" si="84"/>
        <v>1370</v>
      </c>
      <c r="O729" s="50">
        <f t="shared" si="85"/>
        <v>2010</v>
      </c>
      <c r="P729" s="50">
        <v>0</v>
      </c>
      <c r="Q729" s="76"/>
      <c r="R729" s="139">
        <f>50*(S9+S10)</f>
        <v>1000</v>
      </c>
      <c r="S729" s="79">
        <v>0.5299999999999998</v>
      </c>
      <c r="T729" s="80">
        <v>1.1200000000000001</v>
      </c>
    </row>
    <row r="730" spans="2:20" ht="28">
      <c r="B730" s="5" t="s">
        <v>1720</v>
      </c>
      <c r="C730" s="45" t="s">
        <v>135</v>
      </c>
      <c r="D730" s="45">
        <v>99822</v>
      </c>
      <c r="E730" s="6" t="s">
        <v>1848</v>
      </c>
      <c r="F730" s="45" t="s">
        <v>121</v>
      </c>
      <c r="G730" s="46">
        <f t="shared" si="86"/>
        <v>132</v>
      </c>
      <c r="H730" s="46">
        <f>TRUNC(S730*(1-LOTE_03!$K$10),2)</f>
        <v>0.35</v>
      </c>
      <c r="I730" s="46">
        <f>TRUNC(T730*(1-LOTE_03!$K$10),2)</f>
        <v>0.73</v>
      </c>
      <c r="J730" s="100">
        <f t="shared" si="87"/>
        <v>0.22470000000000001</v>
      </c>
      <c r="K730" s="48">
        <f t="shared" si="81"/>
        <v>0.42</v>
      </c>
      <c r="L730" s="48">
        <f t="shared" si="82"/>
        <v>0.89</v>
      </c>
      <c r="M730" s="48">
        <f t="shared" si="83"/>
        <v>55.44</v>
      </c>
      <c r="N730" s="48">
        <f t="shared" si="84"/>
        <v>117.48</v>
      </c>
      <c r="O730" s="50">
        <f t="shared" si="85"/>
        <v>172.92</v>
      </c>
      <c r="P730" s="50">
        <v>0</v>
      </c>
      <c r="Q730" s="76"/>
      <c r="R730" s="139">
        <f>2.2*1*3*(S9+S10)</f>
        <v>132</v>
      </c>
      <c r="S730" s="79">
        <v>0.35000000000000009</v>
      </c>
      <c r="T730" s="80">
        <v>0.73</v>
      </c>
    </row>
    <row r="731" spans="2:20" ht="42">
      <c r="B731" s="5" t="s">
        <v>1721</v>
      </c>
      <c r="C731" s="45" t="s">
        <v>135</v>
      </c>
      <c r="D731" s="45">
        <v>99825</v>
      </c>
      <c r="E731" s="6" t="s">
        <v>1849</v>
      </c>
      <c r="F731" s="45" t="s">
        <v>121</v>
      </c>
      <c r="G731" s="46">
        <f t="shared" si="86"/>
        <v>44</v>
      </c>
      <c r="H731" s="46">
        <f>TRUNC(S731*(1-LOTE_03!$K$10),2)</f>
        <v>2.4900000000000002</v>
      </c>
      <c r="I731" s="46">
        <f>TRUNC(T731*(1-LOTE_03!$K$10),2)</f>
        <v>2.15</v>
      </c>
      <c r="J731" s="100">
        <f t="shared" si="87"/>
        <v>0.22470000000000001</v>
      </c>
      <c r="K731" s="48">
        <f t="shared" si="81"/>
        <v>3.04</v>
      </c>
      <c r="L731" s="48">
        <f t="shared" si="82"/>
        <v>2.63</v>
      </c>
      <c r="M731" s="48">
        <f t="shared" si="83"/>
        <v>133.76</v>
      </c>
      <c r="N731" s="48">
        <f t="shared" si="84"/>
        <v>115.72</v>
      </c>
      <c r="O731" s="50">
        <f t="shared" si="85"/>
        <v>249.48</v>
      </c>
      <c r="P731" s="50">
        <v>0</v>
      </c>
      <c r="Q731" s="76"/>
      <c r="R731" s="139">
        <f>2.2*1*(S9+S10)</f>
        <v>44</v>
      </c>
      <c r="S731" s="79">
        <v>2.4899999999999998</v>
      </c>
      <c r="T731" s="80">
        <v>2.15</v>
      </c>
    </row>
    <row r="732" spans="2:20" ht="28">
      <c r="B732" s="5" t="s">
        <v>1722</v>
      </c>
      <c r="C732" s="45" t="s">
        <v>135</v>
      </c>
      <c r="D732" s="45">
        <v>99824</v>
      </c>
      <c r="E732" s="6" t="s">
        <v>1850</v>
      </c>
      <c r="F732" s="45" t="s">
        <v>121</v>
      </c>
      <c r="G732" s="46">
        <f t="shared" si="86"/>
        <v>132</v>
      </c>
      <c r="H732" s="46">
        <f>TRUNC(S732*(1-LOTE_03!$K$10),2)</f>
        <v>1.3</v>
      </c>
      <c r="I732" s="46">
        <f>TRUNC(T732*(1-LOTE_03!$K$10),2)</f>
        <v>1.45</v>
      </c>
      <c r="J732" s="100">
        <f t="shared" si="87"/>
        <v>0.22470000000000001</v>
      </c>
      <c r="K732" s="48">
        <f t="shared" si="81"/>
        <v>1.59</v>
      </c>
      <c r="L732" s="48">
        <f t="shared" si="82"/>
        <v>1.77</v>
      </c>
      <c r="M732" s="48">
        <f t="shared" si="83"/>
        <v>209.88</v>
      </c>
      <c r="N732" s="48">
        <f t="shared" si="84"/>
        <v>233.64</v>
      </c>
      <c r="O732" s="50">
        <f t="shared" si="85"/>
        <v>443.52</v>
      </c>
      <c r="P732" s="50">
        <v>0</v>
      </c>
      <c r="Q732" s="76"/>
      <c r="R732" s="139">
        <f>2.2*1*3*(S9+S10)</f>
        <v>132</v>
      </c>
      <c r="S732" s="79">
        <v>1.3</v>
      </c>
      <c r="T732" s="80">
        <v>1.45</v>
      </c>
    </row>
    <row r="733" spans="2:20" ht="28">
      <c r="B733" s="5" t="s">
        <v>1723</v>
      </c>
      <c r="C733" s="45" t="s">
        <v>135</v>
      </c>
      <c r="D733" s="45">
        <v>99811</v>
      </c>
      <c r="E733" s="6" t="s">
        <v>1851</v>
      </c>
      <c r="F733" s="45" t="s">
        <v>121</v>
      </c>
      <c r="G733" s="46">
        <f t="shared" si="86"/>
        <v>1000</v>
      </c>
      <c r="H733" s="46">
        <f>TRUNC(S733*(1-LOTE_03!$K$10),2)</f>
        <v>0.21</v>
      </c>
      <c r="I733" s="46">
        <f>TRUNC(T733*(1-LOTE_03!$K$10),2)</f>
        <v>0.45</v>
      </c>
      <c r="J733" s="100">
        <f t="shared" si="87"/>
        <v>0.22470000000000001</v>
      </c>
      <c r="K733" s="48">
        <f t="shared" si="81"/>
        <v>0.25</v>
      </c>
      <c r="L733" s="48">
        <f t="shared" si="82"/>
        <v>0.55000000000000004</v>
      </c>
      <c r="M733" s="48">
        <f t="shared" si="83"/>
        <v>250</v>
      </c>
      <c r="N733" s="48">
        <f t="shared" si="84"/>
        <v>550</v>
      </c>
      <c r="O733" s="50">
        <f t="shared" si="85"/>
        <v>800</v>
      </c>
      <c r="P733" s="50">
        <v>0</v>
      </c>
      <c r="Q733" s="76"/>
      <c r="R733" s="139">
        <f>50*(S9+S10)</f>
        <v>1000</v>
      </c>
      <c r="S733" s="79">
        <v>0.21000000000000002</v>
      </c>
      <c r="T733" s="80">
        <v>0.45</v>
      </c>
    </row>
    <row r="734" spans="2:20" ht="42">
      <c r="B734" s="5" t="s">
        <v>1724</v>
      </c>
      <c r="C734" s="45" t="s">
        <v>135</v>
      </c>
      <c r="D734" s="45">
        <v>99805</v>
      </c>
      <c r="E734" s="6" t="s">
        <v>1840</v>
      </c>
      <c r="F734" s="45" t="s">
        <v>121</v>
      </c>
      <c r="G734" s="46">
        <f t="shared" si="86"/>
        <v>8000</v>
      </c>
      <c r="H734" s="46">
        <f>TRUNC(S734*(1-LOTE_03!$K$10),2)</f>
        <v>4.01</v>
      </c>
      <c r="I734" s="46">
        <f>TRUNC(T734*(1-LOTE_03!$K$10),2)</f>
        <v>7.15</v>
      </c>
      <c r="J734" s="100">
        <f t="shared" si="87"/>
        <v>0.22470000000000001</v>
      </c>
      <c r="K734" s="48">
        <f t="shared" si="81"/>
        <v>4.91</v>
      </c>
      <c r="L734" s="48">
        <f t="shared" si="82"/>
        <v>8.75</v>
      </c>
      <c r="M734" s="48">
        <f t="shared" si="83"/>
        <v>39280</v>
      </c>
      <c r="N734" s="48">
        <f t="shared" si="84"/>
        <v>70000</v>
      </c>
      <c r="O734" s="50">
        <f t="shared" si="85"/>
        <v>109280</v>
      </c>
      <c r="P734" s="50">
        <v>0</v>
      </c>
      <c r="Q734" s="76"/>
      <c r="R734" s="139">
        <f>400*(S9+S10)</f>
        <v>8000</v>
      </c>
      <c r="S734" s="79">
        <v>4.01</v>
      </c>
      <c r="T734" s="80">
        <v>7.15</v>
      </c>
    </row>
    <row r="735" spans="2:20">
      <c r="B735" s="5" t="s">
        <v>1725</v>
      </c>
      <c r="C735" s="45" t="s">
        <v>97</v>
      </c>
      <c r="D735" s="45" t="s">
        <v>1728</v>
      </c>
      <c r="E735" s="6" t="s">
        <v>1729</v>
      </c>
      <c r="F735" s="45" t="s">
        <v>104</v>
      </c>
      <c r="G735" s="46">
        <f t="shared" si="86"/>
        <v>20</v>
      </c>
      <c r="H735" s="46">
        <f>TRUNC(S735*(1-LOTE_03!$K$10),2)</f>
        <v>987.28</v>
      </c>
      <c r="I735" s="46">
        <f>TRUNC(T735*(1-LOTE_03!$K$10),2)</f>
        <v>209.17</v>
      </c>
      <c r="J735" s="100">
        <f t="shared" si="87"/>
        <v>0.22470000000000001</v>
      </c>
      <c r="K735" s="48">
        <f t="shared" si="81"/>
        <v>1209.1199999999999</v>
      </c>
      <c r="L735" s="48">
        <f t="shared" si="82"/>
        <v>256.17</v>
      </c>
      <c r="M735" s="48">
        <f t="shared" si="83"/>
        <v>24182.400000000001</v>
      </c>
      <c r="N735" s="48">
        <f t="shared" si="84"/>
        <v>5123.3999999999996</v>
      </c>
      <c r="O735" s="50">
        <f t="shared" si="85"/>
        <v>29305.8</v>
      </c>
      <c r="P735" s="50">
        <v>0</v>
      </c>
      <c r="Q735" s="76"/>
      <c r="R735" s="139">
        <f>1*(S9+S10)</f>
        <v>20</v>
      </c>
      <c r="S735" s="79">
        <v>987.28</v>
      </c>
      <c r="T735" s="80">
        <v>209.17</v>
      </c>
    </row>
    <row r="736" spans="2:20">
      <c r="B736" s="5" t="s">
        <v>1726</v>
      </c>
      <c r="C736" s="45" t="s">
        <v>97</v>
      </c>
      <c r="D736" s="45" t="s">
        <v>1730</v>
      </c>
      <c r="E736" s="6" t="s">
        <v>1731</v>
      </c>
      <c r="F736" s="45" t="s">
        <v>104</v>
      </c>
      <c r="G736" s="46">
        <f t="shared" si="86"/>
        <v>20</v>
      </c>
      <c r="H736" s="46">
        <f>TRUNC(S736*(1-LOTE_03!$K$10),2)</f>
        <v>2448.6799999999998</v>
      </c>
      <c r="I736" s="46">
        <f>TRUNC(T736*(1-LOTE_03!$K$10),2)</f>
        <v>331.55</v>
      </c>
      <c r="J736" s="100">
        <f t="shared" si="87"/>
        <v>0.22470000000000001</v>
      </c>
      <c r="K736" s="48">
        <f t="shared" si="81"/>
        <v>2998.89</v>
      </c>
      <c r="L736" s="48">
        <f t="shared" si="82"/>
        <v>406.04</v>
      </c>
      <c r="M736" s="48">
        <f t="shared" si="83"/>
        <v>59977.8</v>
      </c>
      <c r="N736" s="48">
        <f t="shared" si="84"/>
        <v>8120.8</v>
      </c>
      <c r="O736" s="50">
        <f t="shared" si="85"/>
        <v>68098.600000000006</v>
      </c>
      <c r="P736" s="50">
        <v>0</v>
      </c>
      <c r="Q736" s="76"/>
      <c r="R736" s="139">
        <f>1*(S9+S10)</f>
        <v>20</v>
      </c>
      <c r="S736" s="79">
        <v>2448.6799999999998</v>
      </c>
      <c r="T736" s="80">
        <v>331.55</v>
      </c>
    </row>
    <row r="737" spans="2:20">
      <c r="B737" s="5" t="s">
        <v>1727</v>
      </c>
      <c r="C737" s="45" t="s">
        <v>97</v>
      </c>
      <c r="D737" s="45" t="s">
        <v>1732</v>
      </c>
      <c r="E737" s="6" t="s">
        <v>1733</v>
      </c>
      <c r="F737" s="45" t="s">
        <v>104</v>
      </c>
      <c r="G737" s="46">
        <f t="shared" si="86"/>
        <v>20</v>
      </c>
      <c r="H737" s="46">
        <f>TRUNC(S737*(1-LOTE_03!$K$10),2)</f>
        <v>8906.19</v>
      </c>
      <c r="I737" s="46">
        <f>TRUNC(T737*(1-LOTE_03!$K$10),2)</f>
        <v>1030.79</v>
      </c>
      <c r="J737" s="100">
        <f t="shared" si="87"/>
        <v>0.22470000000000001</v>
      </c>
      <c r="K737" s="48">
        <f t="shared" si="81"/>
        <v>10907.41</v>
      </c>
      <c r="L737" s="48">
        <f t="shared" si="82"/>
        <v>1262.4000000000001</v>
      </c>
      <c r="M737" s="48">
        <f t="shared" si="83"/>
        <v>218148.2</v>
      </c>
      <c r="N737" s="48">
        <f t="shared" si="84"/>
        <v>25248</v>
      </c>
      <c r="O737" s="50">
        <f t="shared" si="85"/>
        <v>243396.2</v>
      </c>
      <c r="P737" s="50">
        <v>0</v>
      </c>
      <c r="Q737" s="76"/>
      <c r="R737" s="139">
        <f>1*(S9+S10)</f>
        <v>20</v>
      </c>
      <c r="S737" s="79">
        <v>8906.19</v>
      </c>
      <c r="T737" s="80">
        <v>1030.79</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34665682.339999996</v>
      </c>
      <c r="N741" s="58">
        <f>SUM(N15:N740)</f>
        <v>10118373.300000001</v>
      </c>
      <c r="O741" s="58">
        <f t="shared" ref="O741:P741" si="91">SUM(O15:O740)</f>
        <v>44784055.639999963</v>
      </c>
      <c r="P741" s="58">
        <f t="shared" si="91"/>
        <v>44784055.640000015</v>
      </c>
      <c r="Q741" s="78"/>
      <c r="R741" s="78"/>
      <c r="S741" s="78"/>
    </row>
  </sheetData>
  <sheetProtection selectLockedCells="1"/>
  <protectedRanges>
    <protectedRange sqref="E15:F33 G739:O739 S15 E179:F471 G179:G429 G124 G132 G134 G150:G159 G431:G689 J179:J737 M738:O738 G15:J15 M15:Q15 G16:G114 E35:F176 J16:J176 P16:Q176 G161:G176 B15:B176 S16:T176 G691:G737 P179:Q740 B179:B739 S179:T738 E473:F739" name="Intervalo1_7_1"/>
    <protectedRange sqref="G738" name="Intervalo1_3_3"/>
    <protectedRange sqref="S739" name="Intervalo1_1_3"/>
    <protectedRange sqref="R15" name="Intervalo1_3_1_2_1_1"/>
    <protectedRange sqref="B177 S177:T177 E177:G177 P177:Q177 J177" name="Intervalo1_3_1_2"/>
    <protectedRange sqref="G115:G123 G125:G131 G133 G135:G149 G160 G430 G690" name="Intervalo1_7_1_2"/>
    <protectedRange sqref="B178 S178:T178 E178:G178 P178:Q178 J178" name="Intervalo1_5_1_1_1"/>
    <protectedRange sqref="K15:L737" name="Intervalo1_1"/>
    <protectedRange sqref="M16:O737" name="Intervalo1_3"/>
    <protectedRange sqref="H16:I737" name="Intervalo1_2_1_1"/>
    <protectedRange sqref="R663 R684 R192:R194 R306 R310" name="Intervalo1_3_1_3"/>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_2"/>
    <protectedRange sqref="R33 R40 R114 R124 R134 R150 R170 R179 R188 R197 R207 R692 R253 R286 R311 R333:R334 R375 R394 R406 R440 R477 R495 R540 R581 R605 R624:R625 R638:R662 R680:R683 R664:R678 R242 R694:R737" name="Intervalo1_3_1_2_1_2"/>
    <protectedRange sqref="R365:R372" name="Intervalo1_3_1_3_1_2"/>
    <protectedRange sqref="R177:R178" name="Intervalo1_3_2_1"/>
  </protectedRanges>
  <autoFilter ref="B14:P751" xr:uid="{00000000-0009-0000-0000-00000B000000}"/>
  <mergeCells count="4">
    <mergeCell ref="H13:I13"/>
    <mergeCell ref="J13:J14"/>
    <mergeCell ref="M13:P13"/>
    <mergeCell ref="K13:L13"/>
  </mergeCells>
  <conditionalFormatting sqref="R15:R176 R179:R683">
    <cfRule type="expression" dxfId="6" priority="3" stopIfTrue="1">
      <formula>P15="-"</formula>
    </cfRule>
  </conditionalFormatting>
  <conditionalFormatting sqref="R15:R683">
    <cfRule type="cellIs" dxfId="5" priority="1" stopIfTrue="1" operator="equal">
      <formula>""</formula>
    </cfRule>
  </conditionalFormatting>
  <conditionalFormatting sqref="R177:R178">
    <cfRule type="expression" dxfId="4" priority="2" stopIfTrue="1">
      <formula>Q177="-"</formula>
    </cfRule>
  </conditionalFormatting>
  <conditionalFormatting sqref="R684">
    <cfRule type="cellIs" dxfId="3" priority="6" stopIfTrue="1" operator="equal">
      <formula>0</formula>
    </cfRule>
    <cfRule type="expression" dxfId="2" priority="7" stopIfTrue="1">
      <formula>I684="-"</formula>
    </cfRule>
  </conditionalFormatting>
  <conditionalFormatting sqref="R685:R737">
    <cfRule type="cellIs" dxfId="1" priority="4" stopIfTrue="1" operator="equal">
      <formula>""</formula>
    </cfRule>
    <cfRule type="expression" dxfId="0"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C8340-9B3D-4414-BA73-397D6693E5E7}">
  <dimension ref="D3:L21"/>
  <sheetViews>
    <sheetView topLeftCell="A4" zoomScale="70" zoomScaleNormal="70" workbookViewId="0">
      <selection activeCell="L13" sqref="L13:L17"/>
    </sheetView>
  </sheetViews>
  <sheetFormatPr defaultRowHeight="14.5"/>
  <cols>
    <col min="5" max="5" width="10.6328125" customWidth="1"/>
    <col min="6" max="6" width="11.26953125" customWidth="1"/>
    <col min="7" max="7" width="13.08984375" customWidth="1"/>
    <col min="8" max="8" width="13.36328125" customWidth="1"/>
    <col min="9" max="9" width="14.81640625" customWidth="1"/>
    <col min="10" max="10" width="20.54296875" customWidth="1"/>
    <col min="11" max="11" width="20.90625" customWidth="1"/>
    <col min="12" max="12" width="12" customWidth="1"/>
    <col min="13" max="13" width="19.54296875" customWidth="1"/>
  </cols>
  <sheetData>
    <row r="3" spans="4:12" s="8" customFormat="1" ht="14">
      <c r="E3" s="4"/>
      <c r="F3" s="4"/>
      <c r="G3" s="4"/>
      <c r="H3" s="4"/>
      <c r="I3" s="4"/>
      <c r="J3" s="4"/>
      <c r="K3" s="9"/>
    </row>
    <row r="4" spans="4:12" s="8" customFormat="1" ht="14">
      <c r="E4" s="15"/>
      <c r="F4" s="15"/>
      <c r="G4" s="15"/>
      <c r="H4" s="15"/>
      <c r="I4" s="15"/>
      <c r="J4" s="15"/>
      <c r="K4" s="16"/>
    </row>
    <row r="5" spans="4:12" s="8" customFormat="1" ht="14">
      <c r="D5" s="19"/>
      <c r="K5" s="20"/>
    </row>
    <row r="6" spans="4:12" s="8" customFormat="1" ht="14">
      <c r="D6" s="19" t="s">
        <v>0</v>
      </c>
      <c r="K6" s="16"/>
    </row>
    <row r="7" spans="4:12" s="8" customFormat="1" ht="14">
      <c r="D7" s="19" t="s">
        <v>1</v>
      </c>
      <c r="K7" s="16"/>
    </row>
    <row r="9" spans="4:12" ht="21.75" customHeight="1" thickBot="1"/>
    <row r="10" spans="4:12" s="74" customFormat="1" ht="63" customHeight="1" thickBot="1">
      <c r="D10" s="158" t="s">
        <v>78</v>
      </c>
      <c r="E10" s="159"/>
      <c r="F10" s="159"/>
      <c r="G10" s="159"/>
      <c r="H10" s="159"/>
      <c r="I10" s="159"/>
      <c r="J10" s="160"/>
      <c r="K10" s="82">
        <v>0</v>
      </c>
    </row>
    <row r="11" spans="4:12">
      <c r="D11" t="s">
        <v>1751</v>
      </c>
    </row>
    <row r="12" spans="4:12" ht="20.5" thickBot="1">
      <c r="G12" s="126" t="s">
        <v>1740</v>
      </c>
    </row>
    <row r="13" spans="4:12" ht="48" customHeight="1" thickBot="1">
      <c r="D13" s="69" t="s">
        <v>9</v>
      </c>
      <c r="E13" s="70" t="s">
        <v>66</v>
      </c>
      <c r="F13" s="70" t="s">
        <v>1743</v>
      </c>
      <c r="G13" s="70" t="s">
        <v>1744</v>
      </c>
      <c r="H13" s="70" t="s">
        <v>1745</v>
      </c>
      <c r="I13" s="70" t="s">
        <v>1742</v>
      </c>
      <c r="J13" s="70" t="s">
        <v>67</v>
      </c>
      <c r="K13" s="70" t="s">
        <v>84</v>
      </c>
    </row>
    <row r="14" spans="4:12" s="92" customFormat="1" ht="16" thickBot="1">
      <c r="D14" s="89">
        <v>1</v>
      </c>
      <c r="E14" s="90" t="s">
        <v>73</v>
      </c>
      <c r="F14" s="147">
        <v>25</v>
      </c>
      <c r="G14" s="147">
        <v>19</v>
      </c>
      <c r="H14" s="90">
        <v>1</v>
      </c>
      <c r="I14" s="129">
        <f>F14+G14+H14</f>
        <v>45</v>
      </c>
      <c r="J14" s="120">
        <v>94874389.860000014</v>
      </c>
      <c r="K14" s="91">
        <f>'OrçGeral-PA'!O741</f>
        <v>94874389.860000014</v>
      </c>
      <c r="L14" s="156"/>
    </row>
    <row r="15" spans="4:12" s="92" customFormat="1" ht="16" thickBot="1">
      <c r="D15" s="89">
        <f>D14+1</f>
        <v>2</v>
      </c>
      <c r="E15" s="90" t="s">
        <v>70</v>
      </c>
      <c r="F15" s="147">
        <v>1</v>
      </c>
      <c r="G15" s="147">
        <v>2</v>
      </c>
      <c r="H15" s="90">
        <v>1</v>
      </c>
      <c r="I15" s="129">
        <f>F15+G15+H15</f>
        <v>4</v>
      </c>
      <c r="J15" s="120">
        <v>9628113.7699999996</v>
      </c>
      <c r="K15" s="91">
        <f>'OrçGeral-AP'!O741</f>
        <v>9628113.7699999996</v>
      </c>
      <c r="L15" s="156"/>
    </row>
    <row r="16" spans="4:12" ht="16" thickBot="1">
      <c r="D16" s="87"/>
      <c r="E16" s="88"/>
      <c r="F16" s="88"/>
      <c r="G16" s="88"/>
      <c r="H16" s="88"/>
      <c r="I16" s="88"/>
      <c r="J16" s="85"/>
      <c r="K16" s="86"/>
    </row>
    <row r="17" spans="4:11" ht="16" thickBot="1">
      <c r="D17" s="87"/>
      <c r="E17" s="93" t="s">
        <v>77</v>
      </c>
      <c r="F17" s="127">
        <f t="shared" ref="F17:H17" si="0">SUM(F14:F16)</f>
        <v>26</v>
      </c>
      <c r="G17" s="127">
        <f t="shared" si="0"/>
        <v>21</v>
      </c>
      <c r="H17" s="127">
        <f t="shared" si="0"/>
        <v>2</v>
      </c>
      <c r="I17" s="127">
        <f>SUM(I14:I16)</f>
        <v>49</v>
      </c>
      <c r="J17" s="130">
        <f>SUM(J14:J16)</f>
        <v>104502503.63000001</v>
      </c>
      <c r="K17" s="94">
        <f>ROUND(SUM(K14:K16),2)</f>
        <v>104502503.63</v>
      </c>
    </row>
    <row r="19" spans="4:11">
      <c r="D19" s="149"/>
      <c r="E19" s="83"/>
      <c r="F19" s="83"/>
      <c r="G19" s="83"/>
      <c r="H19" s="83"/>
      <c r="I19" s="83"/>
      <c r="J19" s="84"/>
    </row>
    <row r="20" spans="4:11">
      <c r="J20" s="84"/>
    </row>
    <row r="21" spans="4:11">
      <c r="K21" s="84"/>
    </row>
  </sheetData>
  <mergeCells count="1">
    <mergeCell ref="D10:J1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DC53B-0AAF-43DB-99EE-A5CAF1924006}">
  <dimension ref="D3:L24"/>
  <sheetViews>
    <sheetView zoomScale="70" zoomScaleNormal="70" workbookViewId="0">
      <selection activeCell="K11" sqref="K11"/>
    </sheetView>
  </sheetViews>
  <sheetFormatPr defaultRowHeight="14.5"/>
  <cols>
    <col min="5" max="5" width="11" customWidth="1"/>
    <col min="6" max="6" width="12.453125" customWidth="1"/>
    <col min="7" max="8" width="11.54296875" customWidth="1"/>
    <col min="9" max="9" width="15" customWidth="1"/>
    <col min="10" max="10" width="21.08984375" customWidth="1"/>
    <col min="11" max="11" width="21.81640625" customWidth="1"/>
    <col min="12" max="12" width="12.453125" customWidth="1"/>
    <col min="13" max="13" width="19.54296875" customWidth="1"/>
  </cols>
  <sheetData>
    <row r="3" spans="4:12" s="8" customFormat="1" ht="14">
      <c r="E3" s="4"/>
      <c r="F3" s="4"/>
      <c r="G3" s="4"/>
      <c r="H3" s="4"/>
      <c r="I3" s="4"/>
      <c r="J3" s="4"/>
      <c r="K3" s="9"/>
    </row>
    <row r="4" spans="4:12" s="8" customFormat="1" ht="14">
      <c r="E4" s="15"/>
      <c r="F4" s="15"/>
      <c r="G4" s="15"/>
      <c r="H4" s="15"/>
      <c r="I4" s="15"/>
      <c r="J4" s="15"/>
      <c r="K4" s="16"/>
    </row>
    <row r="5" spans="4:12" s="8" customFormat="1" ht="14">
      <c r="D5" s="19"/>
      <c r="K5" s="20"/>
    </row>
    <row r="6" spans="4:12" s="8" customFormat="1" ht="14">
      <c r="D6" s="19" t="s">
        <v>0</v>
      </c>
      <c r="K6" s="16"/>
    </row>
    <row r="7" spans="4:12" s="8" customFormat="1" ht="14">
      <c r="D7" s="19" t="s">
        <v>1</v>
      </c>
      <c r="K7" s="16"/>
    </row>
    <row r="9" spans="4:12" ht="21.75" customHeight="1" thickBot="1"/>
    <row r="10" spans="4:12" s="74" customFormat="1" ht="39" customHeight="1" thickBot="1">
      <c r="D10" s="158" t="s">
        <v>78</v>
      </c>
      <c r="E10" s="159"/>
      <c r="F10" s="159"/>
      <c r="G10" s="159"/>
      <c r="H10" s="159"/>
      <c r="I10" s="159"/>
      <c r="J10" s="160"/>
      <c r="K10" s="82">
        <v>0</v>
      </c>
    </row>
    <row r="11" spans="4:12">
      <c r="D11" t="s">
        <v>1751</v>
      </c>
    </row>
    <row r="12" spans="4:12" ht="20.5" thickBot="1">
      <c r="G12" s="126" t="s">
        <v>1741</v>
      </c>
    </row>
    <row r="13" spans="4:12" ht="48" customHeight="1" thickBot="1">
      <c r="D13" s="69" t="s">
        <v>9</v>
      </c>
      <c r="E13" s="70" t="s">
        <v>66</v>
      </c>
      <c r="F13" s="70" t="s">
        <v>1743</v>
      </c>
      <c r="G13" s="70" t="s">
        <v>1744</v>
      </c>
      <c r="H13" s="70" t="s">
        <v>1745</v>
      </c>
      <c r="I13" s="70" t="s">
        <v>1742</v>
      </c>
      <c r="J13" s="70" t="s">
        <v>67</v>
      </c>
      <c r="K13" s="70" t="s">
        <v>84</v>
      </c>
    </row>
    <row r="14" spans="4:12" s="92" customFormat="1" ht="16" thickBot="1">
      <c r="D14" s="89">
        <v>1</v>
      </c>
      <c r="E14" s="90" t="s">
        <v>71</v>
      </c>
      <c r="F14" s="128">
        <v>9</v>
      </c>
      <c r="G14" s="128">
        <v>4</v>
      </c>
      <c r="H14" s="128">
        <v>1</v>
      </c>
      <c r="I14" s="128">
        <f>F14+G14+H14</f>
        <v>14</v>
      </c>
      <c r="J14" s="120">
        <v>33063700.780000024</v>
      </c>
      <c r="K14" s="91">
        <f>'OrçGeral-MA'!O741</f>
        <v>33063700.780000024</v>
      </c>
      <c r="L14" s="156"/>
    </row>
    <row r="15" spans="4:12" s="92" customFormat="1" ht="16" thickBot="1">
      <c r="D15" s="89">
        <f>D14+1</f>
        <v>2</v>
      </c>
      <c r="E15" s="90" t="s">
        <v>72</v>
      </c>
      <c r="F15" s="128">
        <v>5</v>
      </c>
      <c r="G15" s="128">
        <v>3</v>
      </c>
      <c r="H15" s="128">
        <v>1</v>
      </c>
      <c r="I15" s="128">
        <f t="shared" ref="I15:I16" si="0">F15+G15+H15</f>
        <v>9</v>
      </c>
      <c r="J15" s="120">
        <v>22944781.419999998</v>
      </c>
      <c r="K15" s="91">
        <f>'OrçGeral-MT'!O741</f>
        <v>22944781.419999998</v>
      </c>
      <c r="L15" s="156"/>
    </row>
    <row r="16" spans="4:12" s="92" customFormat="1" ht="16" thickBot="1">
      <c r="D16" s="89">
        <f>D15+1</f>
        <v>3</v>
      </c>
      <c r="E16" s="90" t="s">
        <v>76</v>
      </c>
      <c r="F16" s="128">
        <v>7</v>
      </c>
      <c r="G16" s="128">
        <v>12</v>
      </c>
      <c r="H16" s="128">
        <v>1</v>
      </c>
      <c r="I16" s="128">
        <f t="shared" si="0"/>
        <v>20</v>
      </c>
      <c r="J16" s="120">
        <v>44784055.639999963</v>
      </c>
      <c r="K16" s="91">
        <f>'OrçGeral-TO'!O741</f>
        <v>44784055.639999963</v>
      </c>
      <c r="L16" s="156"/>
    </row>
    <row r="17" spans="4:11" ht="16" thickBot="1">
      <c r="D17" s="87"/>
      <c r="E17" s="88"/>
      <c r="F17" s="88"/>
      <c r="G17" s="88"/>
      <c r="H17" s="88"/>
      <c r="I17" s="88"/>
      <c r="J17" s="85"/>
      <c r="K17" s="86"/>
    </row>
    <row r="18" spans="4:11" ht="16" thickBot="1">
      <c r="D18" s="87"/>
      <c r="E18" s="93" t="s">
        <v>77</v>
      </c>
      <c r="F18" s="127">
        <f t="shared" ref="F18:H18" si="1">SUM(F14:F17)</f>
        <v>21</v>
      </c>
      <c r="G18" s="127">
        <f t="shared" si="1"/>
        <v>19</v>
      </c>
      <c r="H18" s="127">
        <f t="shared" si="1"/>
        <v>3</v>
      </c>
      <c r="I18" s="127">
        <f>SUM(I14:I17)</f>
        <v>43</v>
      </c>
      <c r="J18" s="130">
        <f>SUM(J14:J17)</f>
        <v>100792537.83999997</v>
      </c>
      <c r="K18" s="94">
        <f>ROUND(SUM(K14:K17),2)</f>
        <v>100792537.84</v>
      </c>
    </row>
    <row r="20" spans="4:11">
      <c r="D20" s="149"/>
      <c r="E20" s="83"/>
      <c r="F20" s="83"/>
      <c r="G20" s="83"/>
      <c r="H20" s="83"/>
      <c r="I20" s="83"/>
      <c r="J20" s="84"/>
    </row>
    <row r="21" spans="4:11">
      <c r="J21" s="84"/>
    </row>
    <row r="22" spans="4:11">
      <c r="K22" s="84"/>
    </row>
    <row r="23" spans="4:11">
      <c r="K23" s="131"/>
    </row>
    <row r="24" spans="4:11">
      <c r="K24" s="131"/>
    </row>
  </sheetData>
  <mergeCells count="1">
    <mergeCell ref="D10:J10"/>
  </mergeCell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1"/>
  <dimension ref="B1:T741"/>
  <sheetViews>
    <sheetView zoomScale="70" zoomScaleNormal="70" workbookViewId="0"/>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2.54296875" style="66" customWidth="1"/>
    <col min="12" max="12" width="13.7265625" style="66" customWidth="1"/>
    <col min="13" max="13" width="16.54296875" style="51" customWidth="1"/>
    <col min="14" max="14" width="14.90625" style="51" customWidth="1"/>
    <col min="15" max="15" width="16.1796875" style="51" customWidth="1"/>
    <col min="16" max="16" width="18.1796875" style="51" bestFit="1" customWidth="1"/>
    <col min="17" max="17" width="7.453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68</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1.1261000000000001</v>
      </c>
    </row>
    <row r="6" spans="2:20" s="8" customFormat="1">
      <c r="D6" s="4"/>
      <c r="E6" s="16" t="s">
        <v>2</v>
      </c>
      <c r="F6" s="23" t="s">
        <v>1767</v>
      </c>
      <c r="G6" s="121"/>
      <c r="H6" s="18"/>
      <c r="N6" s="27" t="s">
        <v>4</v>
      </c>
      <c r="O6" s="28">
        <f>O741</f>
        <v>26500191.060000014</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65</v>
      </c>
      <c r="F9" s="33"/>
      <c r="G9" s="34"/>
      <c r="H9" s="34"/>
      <c r="I9" s="35"/>
      <c r="J9" s="35"/>
      <c r="K9" s="35"/>
      <c r="L9" s="35"/>
      <c r="M9" s="31"/>
      <c r="N9" s="67"/>
      <c r="R9" s="143" t="s">
        <v>1744</v>
      </c>
      <c r="S9" s="144">
        <v>8</v>
      </c>
    </row>
    <row r="10" spans="2:20" s="8" customFormat="1">
      <c r="C10" s="24" t="s">
        <v>1746</v>
      </c>
      <c r="D10" s="32" t="s">
        <v>135</v>
      </c>
      <c r="E10" s="132" t="s">
        <v>1747</v>
      </c>
      <c r="F10" s="133" t="s">
        <v>1852</v>
      </c>
      <c r="G10" s="134" t="s">
        <v>1748</v>
      </c>
      <c r="H10" s="2"/>
      <c r="I10" s="133">
        <v>46054</v>
      </c>
      <c r="M10" s="31"/>
      <c r="N10" s="67"/>
      <c r="R10" s="143" t="s">
        <v>1743</v>
      </c>
      <c r="S10" s="144">
        <v>3</v>
      </c>
    </row>
    <row r="11" spans="2:20" s="8" customFormat="1">
      <c r="C11" s="135"/>
      <c r="E11" s="136" t="s">
        <v>165</v>
      </c>
      <c r="F11" s="137" t="s">
        <v>1853</v>
      </c>
      <c r="G11" s="134" t="s">
        <v>1749</v>
      </c>
      <c r="H11" s="134"/>
      <c r="I11" s="133">
        <v>46082</v>
      </c>
      <c r="M11" s="31"/>
      <c r="N11" s="67"/>
      <c r="O11" s="68"/>
      <c r="R11" s="145" t="s">
        <v>77</v>
      </c>
      <c r="S11" s="146">
        <f>S9+S10</f>
        <v>11</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7"/>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142"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t="s">
        <v>21</v>
      </c>
      <c r="P15" s="104">
        <f>SUM(O16:O32)</f>
        <v>1490366.45</v>
      </c>
      <c r="Q15" s="107"/>
      <c r="R15" s="139"/>
      <c r="S15" s="76"/>
    </row>
    <row r="16" spans="2:20" ht="28">
      <c r="B16" s="5" t="s">
        <v>96</v>
      </c>
      <c r="C16" s="45" t="s">
        <v>97</v>
      </c>
      <c r="D16" s="45" t="s">
        <v>98</v>
      </c>
      <c r="E16" s="6" t="s">
        <v>99</v>
      </c>
      <c r="F16" s="45" t="s">
        <v>100</v>
      </c>
      <c r="G16" s="46">
        <f>TRUNC(R16,2)</f>
        <v>11</v>
      </c>
      <c r="H16" s="46">
        <f>TRUNC(S16*(1-LOTE_01!$K$10),2)</f>
        <v>1083.29</v>
      </c>
      <c r="I16" s="46">
        <f>TRUNC(T16*(1-LOTE_01!$K$10),2)</f>
        <v>0</v>
      </c>
      <c r="J16" s="100">
        <f>$J$4</f>
        <v>0.22470000000000001</v>
      </c>
      <c r="K16" s="48">
        <f>TRUNC(H16*(1+J16),2)</f>
        <v>1326.7</v>
      </c>
      <c r="L16" s="48">
        <f>TRUNC(I16*(1+J16),2)</f>
        <v>0</v>
      </c>
      <c r="M16" s="48">
        <f>TRUNC(K16*G16,2)</f>
        <v>14593.7</v>
      </c>
      <c r="N16" s="48">
        <f>TRUNC(L16*G16,2)</f>
        <v>0</v>
      </c>
      <c r="O16" s="50">
        <f>TRUNC(M16+N16,2)</f>
        <v>14593.7</v>
      </c>
      <c r="P16" s="50">
        <v>0</v>
      </c>
      <c r="Q16" s="76"/>
      <c r="R16" s="140">
        <f>S9+S10</f>
        <v>11</v>
      </c>
      <c r="S16" s="152">
        <v>1083.29</v>
      </c>
      <c r="T16" s="153">
        <v>0</v>
      </c>
    </row>
    <row r="17" spans="2:20" ht="28">
      <c r="B17" s="5" t="s">
        <v>101</v>
      </c>
      <c r="C17" s="45" t="s">
        <v>97</v>
      </c>
      <c r="D17" s="45" t="s">
        <v>102</v>
      </c>
      <c r="E17" s="6" t="s">
        <v>103</v>
      </c>
      <c r="F17" s="45" t="s">
        <v>104</v>
      </c>
      <c r="G17" s="46">
        <f t="shared" ref="G17:G80" si="0">TRUNC(R17,2)</f>
        <v>11</v>
      </c>
      <c r="H17" s="46">
        <f>TRUNC(S17*(1-LOTE_01!$K$10),2)</f>
        <v>881.17</v>
      </c>
      <c r="I17" s="46">
        <f>TRUNC(T17*(1-LOTE_01!$K$10),2)</f>
        <v>0</v>
      </c>
      <c r="J17" s="100">
        <f t="shared" ref="J17:J80" si="1">$J$4</f>
        <v>0.22470000000000001</v>
      </c>
      <c r="K17" s="48">
        <f t="shared" ref="K17:K80" si="2">TRUNC(H17*(1+J17),2)</f>
        <v>1079.1600000000001</v>
      </c>
      <c r="L17" s="48">
        <f t="shared" ref="L17:L80" si="3">TRUNC(I17*(1+J17),2)</f>
        <v>0</v>
      </c>
      <c r="M17" s="48">
        <f>TRUNC(K17*G17,2)</f>
        <v>11870.76</v>
      </c>
      <c r="N17" s="48">
        <f t="shared" ref="N17:N80" si="4">TRUNC(L17*G17,2)</f>
        <v>0</v>
      </c>
      <c r="O17" s="50">
        <f t="shared" ref="O17:O80" si="5">TRUNC(M17+N17,2)</f>
        <v>11870.76</v>
      </c>
      <c r="P17" s="50">
        <v>0</v>
      </c>
      <c r="Q17" s="76"/>
      <c r="R17" s="140">
        <f>IF((S9+S10)&gt;50,50,(S9+S10))</f>
        <v>11</v>
      </c>
      <c r="S17" s="152">
        <v>881.17</v>
      </c>
      <c r="T17" s="153">
        <v>0</v>
      </c>
    </row>
    <row r="18" spans="2:20" ht="70">
      <c r="B18" s="5" t="s">
        <v>105</v>
      </c>
      <c r="C18" s="45" t="s">
        <v>97</v>
      </c>
      <c r="D18" s="45" t="s">
        <v>106</v>
      </c>
      <c r="E18" s="6" t="s">
        <v>107</v>
      </c>
      <c r="F18" s="45" t="s">
        <v>104</v>
      </c>
      <c r="G18" s="46">
        <f t="shared" si="0"/>
        <v>11</v>
      </c>
      <c r="H18" s="46">
        <f>TRUNC(S18*(1-LOTE_01!$K$10),2)</f>
        <v>325.76</v>
      </c>
      <c r="I18" s="46">
        <f>TRUNC(T18*(1-LOTE_01!$K$10),2)</f>
        <v>0</v>
      </c>
      <c r="J18" s="100">
        <f t="shared" si="1"/>
        <v>0.22470000000000001</v>
      </c>
      <c r="K18" s="48">
        <f t="shared" si="2"/>
        <v>398.95</v>
      </c>
      <c r="L18" s="48">
        <f t="shared" si="3"/>
        <v>0</v>
      </c>
      <c r="M18" s="48">
        <f t="shared" ref="M18:M80" si="6">TRUNC(K18*G18,2)</f>
        <v>4388.45</v>
      </c>
      <c r="N18" s="48">
        <f t="shared" si="4"/>
        <v>0</v>
      </c>
      <c r="O18" s="50">
        <f t="shared" si="5"/>
        <v>4388.45</v>
      </c>
      <c r="P18" s="50">
        <v>0</v>
      </c>
      <c r="Q18" s="76"/>
      <c r="R18" s="140">
        <f>1*(S9+S10)</f>
        <v>11</v>
      </c>
      <c r="S18" s="152">
        <v>325.76</v>
      </c>
      <c r="T18" s="153">
        <v>0</v>
      </c>
    </row>
    <row r="19" spans="2:20" ht="84">
      <c r="B19" s="5" t="s">
        <v>108</v>
      </c>
      <c r="C19" s="45" t="s">
        <v>97</v>
      </c>
      <c r="D19" s="45" t="s">
        <v>109</v>
      </c>
      <c r="E19" s="6" t="s">
        <v>110</v>
      </c>
      <c r="F19" s="45" t="s">
        <v>111</v>
      </c>
      <c r="G19" s="46">
        <f t="shared" si="0"/>
        <v>11</v>
      </c>
      <c r="H19" s="46">
        <f>TRUNC(S19*(1-LOTE_01!$K$10),2)</f>
        <v>436.48</v>
      </c>
      <c r="I19" s="46">
        <f>TRUNC(T19*(1-LOTE_01!$K$10),2)</f>
        <v>24356.639999999999</v>
      </c>
      <c r="J19" s="100">
        <f t="shared" si="1"/>
        <v>0.22470000000000001</v>
      </c>
      <c r="K19" s="48">
        <f t="shared" si="2"/>
        <v>534.54999999999995</v>
      </c>
      <c r="L19" s="48">
        <f t="shared" si="3"/>
        <v>29829.57</v>
      </c>
      <c r="M19" s="48">
        <f t="shared" si="6"/>
        <v>5880.05</v>
      </c>
      <c r="N19" s="48">
        <f t="shared" si="4"/>
        <v>328125.27</v>
      </c>
      <c r="O19" s="50">
        <f t="shared" si="5"/>
        <v>334005.32</v>
      </c>
      <c r="P19" s="50">
        <v>0</v>
      </c>
      <c r="Q19" s="76"/>
      <c r="R19" s="140">
        <f>S9+S10</f>
        <v>11</v>
      </c>
      <c r="S19" s="152">
        <v>436.48</v>
      </c>
      <c r="T19" s="153">
        <v>24356.639999999999</v>
      </c>
    </row>
    <row r="20" spans="2:20" ht="70">
      <c r="B20" s="5" t="s">
        <v>112</v>
      </c>
      <c r="C20" s="45" t="s">
        <v>97</v>
      </c>
      <c r="D20" s="45" t="s">
        <v>113</v>
      </c>
      <c r="E20" s="6" t="s">
        <v>114</v>
      </c>
      <c r="F20" s="45" t="s">
        <v>111</v>
      </c>
      <c r="G20" s="46">
        <f t="shared" si="0"/>
        <v>22</v>
      </c>
      <c r="H20" s="46">
        <f>TRUNC(S20*(1-LOTE_01!$K$10),2)</f>
        <v>538.55999999999995</v>
      </c>
      <c r="I20" s="46">
        <f>TRUNC(T20*(1-LOTE_01!$K$10),2)</f>
        <v>8682.08</v>
      </c>
      <c r="J20" s="100">
        <f t="shared" si="1"/>
        <v>0.22470000000000001</v>
      </c>
      <c r="K20" s="48">
        <f t="shared" si="2"/>
        <v>659.57</v>
      </c>
      <c r="L20" s="48">
        <f t="shared" si="3"/>
        <v>10632.94</v>
      </c>
      <c r="M20" s="48">
        <f t="shared" si="6"/>
        <v>14510.54</v>
      </c>
      <c r="N20" s="48">
        <f t="shared" si="4"/>
        <v>233924.68</v>
      </c>
      <c r="O20" s="50">
        <f t="shared" si="5"/>
        <v>248435.22</v>
      </c>
      <c r="P20" s="50">
        <v>0</v>
      </c>
      <c r="Q20" s="76"/>
      <c r="R20" s="140">
        <f>2*S9+2*S10</f>
        <v>22</v>
      </c>
      <c r="S20" s="152">
        <v>538.55999999999995</v>
      </c>
      <c r="T20" s="153">
        <v>8682.08</v>
      </c>
    </row>
    <row r="21" spans="2:20" ht="70">
      <c r="B21" s="5" t="s">
        <v>115</v>
      </c>
      <c r="C21" s="45" t="s">
        <v>97</v>
      </c>
      <c r="D21" s="45" t="s">
        <v>116</v>
      </c>
      <c r="E21" s="6" t="s">
        <v>117</v>
      </c>
      <c r="F21" s="45" t="s">
        <v>111</v>
      </c>
      <c r="G21" s="46">
        <f t="shared" si="0"/>
        <v>22</v>
      </c>
      <c r="H21" s="46">
        <f>TRUNC(S21*(1-LOTE_01!$K$10),2)</f>
        <v>594.52</v>
      </c>
      <c r="I21" s="46">
        <f>TRUNC(T21*(1-LOTE_01!$K$10),2)</f>
        <v>7957.22</v>
      </c>
      <c r="J21" s="100">
        <f t="shared" si="1"/>
        <v>0.22470000000000001</v>
      </c>
      <c r="K21" s="48">
        <f t="shared" si="2"/>
        <v>728.1</v>
      </c>
      <c r="L21" s="48">
        <f t="shared" si="3"/>
        <v>9745.2000000000007</v>
      </c>
      <c r="M21" s="48">
        <f t="shared" si="6"/>
        <v>16018.2</v>
      </c>
      <c r="N21" s="48">
        <f t="shared" si="4"/>
        <v>214394.4</v>
      </c>
      <c r="O21" s="50">
        <f t="shared" si="5"/>
        <v>230412.6</v>
      </c>
      <c r="P21" s="50">
        <v>0</v>
      </c>
      <c r="Q21" s="76"/>
      <c r="R21" s="140">
        <f>2*S9+2*S10</f>
        <v>22</v>
      </c>
      <c r="S21" s="152">
        <v>594.52</v>
      </c>
      <c r="T21" s="153">
        <v>7957.22</v>
      </c>
    </row>
    <row r="22" spans="2:20">
      <c r="B22" s="5" t="s">
        <v>118</v>
      </c>
      <c r="C22" s="45" t="s">
        <v>97</v>
      </c>
      <c r="D22" s="45" t="s">
        <v>119</v>
      </c>
      <c r="E22" s="6" t="s">
        <v>120</v>
      </c>
      <c r="F22" s="45" t="s">
        <v>121</v>
      </c>
      <c r="G22" s="46">
        <f t="shared" si="0"/>
        <v>4400</v>
      </c>
      <c r="H22" s="46">
        <f>TRUNC(S22*(1-LOTE_01!$K$10),2)</f>
        <v>0</v>
      </c>
      <c r="I22" s="46">
        <f>TRUNC(T22*(1-LOTE_01!$K$10),2)</f>
        <v>27.5</v>
      </c>
      <c r="J22" s="100">
        <f t="shared" si="1"/>
        <v>0.22470000000000001</v>
      </c>
      <c r="K22" s="48">
        <f t="shared" si="2"/>
        <v>0</v>
      </c>
      <c r="L22" s="48">
        <f t="shared" si="3"/>
        <v>33.67</v>
      </c>
      <c r="M22" s="48">
        <f t="shared" si="6"/>
        <v>0</v>
      </c>
      <c r="N22" s="48">
        <f t="shared" si="4"/>
        <v>148148</v>
      </c>
      <c r="O22" s="50">
        <f t="shared" si="5"/>
        <v>148148</v>
      </c>
      <c r="P22" s="50">
        <v>0</v>
      </c>
      <c r="Q22" s="76"/>
      <c r="R22" s="140">
        <f>400*(S9+S10)</f>
        <v>4400</v>
      </c>
      <c r="S22" s="152">
        <v>0</v>
      </c>
      <c r="T22" s="153">
        <v>27.5</v>
      </c>
    </row>
    <row r="23" spans="2:20" ht="28">
      <c r="B23" s="5" t="s">
        <v>122</v>
      </c>
      <c r="C23" s="45" t="s">
        <v>97</v>
      </c>
      <c r="D23" s="45" t="s">
        <v>123</v>
      </c>
      <c r="E23" s="6" t="s">
        <v>124</v>
      </c>
      <c r="F23" s="45" t="s">
        <v>121</v>
      </c>
      <c r="G23" s="46">
        <f t="shared" si="0"/>
        <v>4400</v>
      </c>
      <c r="H23" s="46">
        <f>TRUNC(S23*(1-LOTE_01!$K$10),2)</f>
        <v>0</v>
      </c>
      <c r="I23" s="46">
        <f>TRUNC(T23*(1-LOTE_01!$K$10),2)</f>
        <v>3.6</v>
      </c>
      <c r="J23" s="100">
        <f t="shared" si="1"/>
        <v>0.22470000000000001</v>
      </c>
      <c r="K23" s="48">
        <f t="shared" si="2"/>
        <v>0</v>
      </c>
      <c r="L23" s="48">
        <f t="shared" si="3"/>
        <v>4.4000000000000004</v>
      </c>
      <c r="M23" s="48">
        <f t="shared" si="6"/>
        <v>0</v>
      </c>
      <c r="N23" s="48">
        <f t="shared" si="4"/>
        <v>19360</v>
      </c>
      <c r="O23" s="50">
        <f t="shared" si="5"/>
        <v>19360</v>
      </c>
      <c r="P23" s="50">
        <v>0</v>
      </c>
      <c r="Q23" s="76"/>
      <c r="R23" s="140">
        <f>400*(S9+S10)</f>
        <v>4400</v>
      </c>
      <c r="S23" s="152">
        <v>0</v>
      </c>
      <c r="T23" s="153">
        <v>3.6</v>
      </c>
    </row>
    <row r="24" spans="2:20" ht="28">
      <c r="B24" s="5" t="s">
        <v>125</v>
      </c>
      <c r="C24" s="45" t="s">
        <v>97</v>
      </c>
      <c r="D24" s="45" t="s">
        <v>126</v>
      </c>
      <c r="E24" s="6" t="s">
        <v>127</v>
      </c>
      <c r="F24" s="45" t="s">
        <v>121</v>
      </c>
      <c r="G24" s="46">
        <f t="shared" si="0"/>
        <v>4400</v>
      </c>
      <c r="H24" s="46">
        <f>TRUNC(S24*(1-LOTE_01!$K$10),2)</f>
        <v>0</v>
      </c>
      <c r="I24" s="46">
        <f>TRUNC(T24*(1-LOTE_01!$K$10),2)</f>
        <v>8.5</v>
      </c>
      <c r="J24" s="100">
        <f t="shared" si="1"/>
        <v>0.22470000000000001</v>
      </c>
      <c r="K24" s="48">
        <f t="shared" si="2"/>
        <v>0</v>
      </c>
      <c r="L24" s="48">
        <f t="shared" si="3"/>
        <v>10.4</v>
      </c>
      <c r="M24" s="48">
        <f t="shared" si="6"/>
        <v>0</v>
      </c>
      <c r="N24" s="48">
        <f t="shared" si="4"/>
        <v>45760</v>
      </c>
      <c r="O24" s="50">
        <f t="shared" si="5"/>
        <v>45760</v>
      </c>
      <c r="P24" s="50">
        <v>0</v>
      </c>
      <c r="Q24" s="76"/>
      <c r="R24" s="140">
        <f>400*(S9+S10)</f>
        <v>4400</v>
      </c>
      <c r="S24" s="152">
        <v>0</v>
      </c>
      <c r="T24" s="153">
        <v>8.5</v>
      </c>
    </row>
    <row r="25" spans="2:20" ht="28">
      <c r="B25" s="5" t="s">
        <v>128</v>
      </c>
      <c r="C25" s="45" t="s">
        <v>97</v>
      </c>
      <c r="D25" s="45" t="s">
        <v>129</v>
      </c>
      <c r="E25" s="6" t="s">
        <v>130</v>
      </c>
      <c r="F25" s="45" t="s">
        <v>121</v>
      </c>
      <c r="G25" s="46">
        <f t="shared" si="0"/>
        <v>4400</v>
      </c>
      <c r="H25" s="46">
        <f>TRUNC(S25*(1-LOTE_01!$K$10),2)</f>
        <v>0</v>
      </c>
      <c r="I25" s="46">
        <f>TRUNC(T25*(1-LOTE_01!$K$10),2)</f>
        <v>5</v>
      </c>
      <c r="J25" s="100">
        <f t="shared" si="1"/>
        <v>0.22470000000000001</v>
      </c>
      <c r="K25" s="48">
        <f t="shared" si="2"/>
        <v>0</v>
      </c>
      <c r="L25" s="48">
        <f t="shared" si="3"/>
        <v>6.12</v>
      </c>
      <c r="M25" s="48">
        <f t="shared" si="6"/>
        <v>0</v>
      </c>
      <c r="N25" s="48">
        <f t="shared" si="4"/>
        <v>26928</v>
      </c>
      <c r="O25" s="50">
        <f t="shared" si="5"/>
        <v>26928</v>
      </c>
      <c r="P25" s="50">
        <v>0</v>
      </c>
      <c r="Q25" s="76"/>
      <c r="R25" s="140">
        <f>400*(S9+S10)</f>
        <v>4400</v>
      </c>
      <c r="S25" s="152">
        <v>0</v>
      </c>
      <c r="T25" s="153">
        <v>5</v>
      </c>
    </row>
    <row r="26" spans="2:20" ht="28">
      <c r="B26" s="5" t="s">
        <v>131</v>
      </c>
      <c r="C26" s="45" t="s">
        <v>97</v>
      </c>
      <c r="D26" s="45" t="s">
        <v>132</v>
      </c>
      <c r="E26" s="6" t="s">
        <v>133</v>
      </c>
      <c r="F26" s="45" t="s">
        <v>121</v>
      </c>
      <c r="G26" s="46">
        <f t="shared" si="0"/>
        <v>4400</v>
      </c>
      <c r="H26" s="46">
        <f>TRUNC(S26*(1-LOTE_01!$K$10),2)</f>
        <v>0</v>
      </c>
      <c r="I26" s="46">
        <f>TRUNC(T26*(1-LOTE_01!$K$10),2)</f>
        <v>5.5</v>
      </c>
      <c r="J26" s="100">
        <f t="shared" si="1"/>
        <v>0.22470000000000001</v>
      </c>
      <c r="K26" s="48">
        <f t="shared" si="2"/>
        <v>0</v>
      </c>
      <c r="L26" s="48">
        <f t="shared" si="3"/>
        <v>6.73</v>
      </c>
      <c r="M26" s="48">
        <f t="shared" si="6"/>
        <v>0</v>
      </c>
      <c r="N26" s="48">
        <f t="shared" si="4"/>
        <v>29612</v>
      </c>
      <c r="O26" s="50">
        <f t="shared" si="5"/>
        <v>29612</v>
      </c>
      <c r="P26" s="50">
        <v>0</v>
      </c>
      <c r="Q26" s="76"/>
      <c r="R26" s="140">
        <f>400*(S9+S10)</f>
        <v>4400</v>
      </c>
      <c r="S26" s="152">
        <v>0</v>
      </c>
      <c r="T26" s="153">
        <v>5.5</v>
      </c>
    </row>
    <row r="27" spans="2:20" ht="28">
      <c r="B27" s="5" t="s">
        <v>134</v>
      </c>
      <c r="C27" s="45" t="s">
        <v>135</v>
      </c>
      <c r="D27" s="45">
        <v>90769</v>
      </c>
      <c r="E27" s="6" t="s">
        <v>136</v>
      </c>
      <c r="F27" s="45" t="s">
        <v>137</v>
      </c>
      <c r="G27" s="46">
        <f t="shared" si="0"/>
        <v>550</v>
      </c>
      <c r="H27" s="46">
        <f>TRUNC(S27*(1-LOTE_01!$K$10),2)</f>
        <v>2.4900000000000002</v>
      </c>
      <c r="I27" s="46">
        <f>TRUNC(T27*(1-LOTE_01!$K$10),2)</f>
        <v>142.87</v>
      </c>
      <c r="J27" s="100">
        <f t="shared" si="1"/>
        <v>0.22470000000000001</v>
      </c>
      <c r="K27" s="48">
        <f t="shared" si="2"/>
        <v>3.04</v>
      </c>
      <c r="L27" s="48">
        <f t="shared" si="3"/>
        <v>174.97</v>
      </c>
      <c r="M27" s="48">
        <f t="shared" si="6"/>
        <v>1672</v>
      </c>
      <c r="N27" s="48">
        <f t="shared" si="4"/>
        <v>96233.5</v>
      </c>
      <c r="O27" s="50">
        <f t="shared" si="5"/>
        <v>97905.5</v>
      </c>
      <c r="P27" s="50">
        <v>0</v>
      </c>
      <c r="Q27" s="76"/>
      <c r="R27" s="140">
        <f>IF((50*S10+50*S9),(50*S10+50*S9))</f>
        <v>550</v>
      </c>
      <c r="S27" s="152">
        <v>2.4900000000000091</v>
      </c>
      <c r="T27" s="153">
        <v>142.87</v>
      </c>
    </row>
    <row r="28" spans="2:20" ht="28">
      <c r="B28" s="5" t="s">
        <v>138</v>
      </c>
      <c r="C28" s="45" t="s">
        <v>135</v>
      </c>
      <c r="D28" s="45">
        <v>90778</v>
      </c>
      <c r="E28" s="6" t="s">
        <v>139</v>
      </c>
      <c r="F28" s="45" t="s">
        <v>137</v>
      </c>
      <c r="G28" s="46">
        <f t="shared" si="0"/>
        <v>550</v>
      </c>
      <c r="H28" s="46">
        <f>TRUNC(S28*(1-LOTE_01!$K$10),2)</f>
        <v>2.48</v>
      </c>
      <c r="I28" s="46">
        <f>TRUNC(T28*(1-LOTE_01!$K$10),2)</f>
        <v>145.1</v>
      </c>
      <c r="J28" s="100">
        <f t="shared" si="1"/>
        <v>0.22470000000000001</v>
      </c>
      <c r="K28" s="48">
        <f t="shared" si="2"/>
        <v>3.03</v>
      </c>
      <c r="L28" s="48">
        <f t="shared" si="3"/>
        <v>177.7</v>
      </c>
      <c r="M28" s="48">
        <f t="shared" si="6"/>
        <v>1666.5</v>
      </c>
      <c r="N28" s="48">
        <f t="shared" si="4"/>
        <v>97735</v>
      </c>
      <c r="O28" s="50">
        <f t="shared" si="5"/>
        <v>99401.5</v>
      </c>
      <c r="P28" s="50">
        <v>0</v>
      </c>
      <c r="Q28" s="76"/>
      <c r="R28" s="140">
        <f>IF((50*S10+50*S9)&gt;1000,1000,(50*S10+50*S9))</f>
        <v>550</v>
      </c>
      <c r="S28" s="152">
        <v>2.4800000000000182</v>
      </c>
      <c r="T28" s="153">
        <v>145.1</v>
      </c>
    </row>
    <row r="29" spans="2:20" ht="42">
      <c r="B29" s="5" t="s">
        <v>140</v>
      </c>
      <c r="C29" s="45" t="s">
        <v>97</v>
      </c>
      <c r="D29" s="45" t="s">
        <v>141</v>
      </c>
      <c r="E29" s="6" t="s">
        <v>142</v>
      </c>
      <c r="F29" s="45" t="s">
        <v>111</v>
      </c>
      <c r="G29" s="46">
        <f t="shared" si="0"/>
        <v>10</v>
      </c>
      <c r="H29" s="46">
        <f>TRUNC(S29*(1-LOTE_01!$K$10),2)</f>
        <v>63.6</v>
      </c>
      <c r="I29" s="46">
        <f>TRUNC(T29*(1-LOTE_01!$K$10),2)</f>
        <v>727.44</v>
      </c>
      <c r="J29" s="100">
        <f t="shared" si="1"/>
        <v>0.22470000000000001</v>
      </c>
      <c r="K29" s="48">
        <f t="shared" si="2"/>
        <v>77.89</v>
      </c>
      <c r="L29" s="48">
        <f t="shared" si="3"/>
        <v>890.89</v>
      </c>
      <c r="M29" s="48">
        <f t="shared" si="6"/>
        <v>778.9</v>
      </c>
      <c r="N29" s="48">
        <f t="shared" si="4"/>
        <v>8908.9</v>
      </c>
      <c r="O29" s="50">
        <f t="shared" si="5"/>
        <v>9687.7999999999993</v>
      </c>
      <c r="P29" s="50">
        <v>0</v>
      </c>
      <c r="Q29" s="76"/>
      <c r="R29" s="140">
        <f>IF((2*S9+2*S10)&gt;10,10,(2*S9+2*S10))</f>
        <v>10</v>
      </c>
      <c r="S29" s="152">
        <v>63.6</v>
      </c>
      <c r="T29" s="153">
        <v>727.44</v>
      </c>
    </row>
    <row r="30" spans="2:20">
      <c r="B30" s="5" t="s">
        <v>143</v>
      </c>
      <c r="C30" s="45" t="s">
        <v>97</v>
      </c>
      <c r="D30" s="45" t="s">
        <v>144</v>
      </c>
      <c r="E30" s="6" t="s">
        <v>145</v>
      </c>
      <c r="F30" s="45" t="s">
        <v>104</v>
      </c>
      <c r="G30" s="46">
        <f t="shared" si="0"/>
        <v>11</v>
      </c>
      <c r="H30" s="46">
        <f>TRUNC(S30*(1-LOTE_01!$K$10),2)</f>
        <v>906.26</v>
      </c>
      <c r="I30" s="46">
        <f>TRUNC(T30*(1-LOTE_01!$K$10),2)</f>
        <v>234.98</v>
      </c>
      <c r="J30" s="100">
        <f t="shared" si="1"/>
        <v>0.22470000000000001</v>
      </c>
      <c r="K30" s="48">
        <f t="shared" si="2"/>
        <v>1109.8900000000001</v>
      </c>
      <c r="L30" s="48">
        <f t="shared" si="3"/>
        <v>287.77999999999997</v>
      </c>
      <c r="M30" s="48">
        <f t="shared" si="6"/>
        <v>12208.79</v>
      </c>
      <c r="N30" s="48">
        <f t="shared" si="4"/>
        <v>3165.58</v>
      </c>
      <c r="O30" s="50">
        <f t="shared" si="5"/>
        <v>15374.37</v>
      </c>
      <c r="P30" s="50">
        <v>0</v>
      </c>
      <c r="Q30" s="76"/>
      <c r="R30" s="140">
        <f>S9+S10</f>
        <v>11</v>
      </c>
      <c r="S30" s="152">
        <v>906.26</v>
      </c>
      <c r="T30" s="153">
        <v>234.98</v>
      </c>
    </row>
    <row r="31" spans="2:20" ht="28">
      <c r="B31" s="5" t="s">
        <v>146</v>
      </c>
      <c r="C31" s="45" t="s">
        <v>97</v>
      </c>
      <c r="D31" s="45" t="s">
        <v>147</v>
      </c>
      <c r="E31" s="6" t="s">
        <v>148</v>
      </c>
      <c r="F31" s="45" t="s">
        <v>104</v>
      </c>
      <c r="G31" s="46">
        <f t="shared" si="0"/>
        <v>11</v>
      </c>
      <c r="H31" s="46">
        <f>TRUNC(S31*(1-LOTE_01!$K$10),2)</f>
        <v>1714.37</v>
      </c>
      <c r="I31" s="46">
        <f>TRUNC(T31*(1-LOTE_01!$K$10),2)</f>
        <v>355.96</v>
      </c>
      <c r="J31" s="100">
        <f t="shared" si="1"/>
        <v>0.22470000000000001</v>
      </c>
      <c r="K31" s="48">
        <f t="shared" si="2"/>
        <v>2099.58</v>
      </c>
      <c r="L31" s="48">
        <f t="shared" si="3"/>
        <v>435.94</v>
      </c>
      <c r="M31" s="48">
        <f t="shared" si="6"/>
        <v>23095.38</v>
      </c>
      <c r="N31" s="48">
        <f t="shared" si="4"/>
        <v>4795.34</v>
      </c>
      <c r="O31" s="50">
        <f t="shared" si="5"/>
        <v>27890.720000000001</v>
      </c>
      <c r="P31" s="50">
        <v>0</v>
      </c>
      <c r="Q31" s="76"/>
      <c r="R31" s="140">
        <f>S9+S10</f>
        <v>11</v>
      </c>
      <c r="S31" s="152">
        <v>1714.37</v>
      </c>
      <c r="T31" s="153">
        <v>355.96</v>
      </c>
    </row>
    <row r="32" spans="2:20" ht="28">
      <c r="B32" s="5" t="s">
        <v>149</v>
      </c>
      <c r="C32" s="45" t="s">
        <v>97</v>
      </c>
      <c r="D32" s="45" t="s">
        <v>150</v>
      </c>
      <c r="E32" s="6" t="s">
        <v>151</v>
      </c>
      <c r="F32" s="45" t="s">
        <v>104</v>
      </c>
      <c r="G32" s="46">
        <f t="shared" si="0"/>
        <v>11</v>
      </c>
      <c r="H32" s="46">
        <f>TRUNC(S32*(1-LOTE_01!$K$10),2)</f>
        <v>8405.8700000000008</v>
      </c>
      <c r="I32" s="46">
        <f>TRUNC(T32*(1-LOTE_01!$K$10),2)</f>
        <v>991.06</v>
      </c>
      <c r="J32" s="100">
        <f t="shared" si="1"/>
        <v>0.22470000000000001</v>
      </c>
      <c r="K32" s="48">
        <f t="shared" si="2"/>
        <v>10294.66</v>
      </c>
      <c r="L32" s="48">
        <f t="shared" si="3"/>
        <v>1213.75</v>
      </c>
      <c r="M32" s="48">
        <f t="shared" si="6"/>
        <v>113241.26</v>
      </c>
      <c r="N32" s="48">
        <f t="shared" si="4"/>
        <v>13351.25</v>
      </c>
      <c r="O32" s="50">
        <f t="shared" si="5"/>
        <v>126592.51</v>
      </c>
      <c r="P32" s="50">
        <v>0</v>
      </c>
      <c r="Q32" s="76"/>
      <c r="R32" s="140">
        <f>S9+S10</f>
        <v>11</v>
      </c>
      <c r="S32" s="152">
        <v>8405.8700000000008</v>
      </c>
      <c r="T32" s="153">
        <v>991.06</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6"/>
        <v>0</v>
      </c>
      <c r="N33" s="48">
        <f t="shared" si="4"/>
        <v>0</v>
      </c>
      <c r="O33" s="50">
        <f t="shared" si="5"/>
        <v>0</v>
      </c>
      <c r="P33" s="104">
        <f>SUM(O34:O39)</f>
        <v>184168.7</v>
      </c>
      <c r="Q33" s="107"/>
      <c r="R33" s="154"/>
      <c r="S33" s="152" t="s">
        <v>22</v>
      </c>
      <c r="T33" s="153" t="s">
        <v>22</v>
      </c>
    </row>
    <row r="34" spans="2:20" ht="56">
      <c r="B34" s="5" t="s">
        <v>152</v>
      </c>
      <c r="C34" s="45" t="s">
        <v>135</v>
      </c>
      <c r="D34" s="45">
        <v>103689</v>
      </c>
      <c r="E34" s="6" t="s">
        <v>153</v>
      </c>
      <c r="F34" s="45" t="s">
        <v>121</v>
      </c>
      <c r="G34" s="46">
        <f t="shared" si="0"/>
        <v>16.5</v>
      </c>
      <c r="H34" s="46">
        <f>TRUNC(S34*(1-LOTE_01!$K$10),2)</f>
        <v>460.88</v>
      </c>
      <c r="I34" s="46">
        <f>TRUNC(T34*(1-LOTE_01!$K$10),2)</f>
        <v>35.32</v>
      </c>
      <c r="J34" s="100">
        <f t="shared" si="1"/>
        <v>0.22470000000000001</v>
      </c>
      <c r="K34" s="48">
        <f t="shared" si="2"/>
        <v>564.42999999999995</v>
      </c>
      <c r="L34" s="48">
        <f t="shared" si="3"/>
        <v>43.25</v>
      </c>
      <c r="M34" s="48">
        <f t="shared" si="6"/>
        <v>9313.09</v>
      </c>
      <c r="N34" s="48">
        <f t="shared" si="4"/>
        <v>713.62</v>
      </c>
      <c r="O34" s="50">
        <f t="shared" si="5"/>
        <v>10026.709999999999</v>
      </c>
      <c r="P34" s="50">
        <v>0</v>
      </c>
      <c r="Q34" s="76"/>
      <c r="R34" s="140">
        <f>1.5*1*(S9+S10)</f>
        <v>16.5</v>
      </c>
      <c r="S34" s="152">
        <v>460.88</v>
      </c>
      <c r="T34" s="153">
        <v>35.32</v>
      </c>
    </row>
    <row r="35" spans="2:20" ht="112">
      <c r="B35" s="5" t="s">
        <v>154</v>
      </c>
      <c r="C35" s="45" t="s">
        <v>97</v>
      </c>
      <c r="D35" s="45" t="s">
        <v>155</v>
      </c>
      <c r="E35" s="6" t="s">
        <v>156</v>
      </c>
      <c r="F35" s="45" t="s">
        <v>157</v>
      </c>
      <c r="G35" s="46">
        <f t="shared" si="0"/>
        <v>330</v>
      </c>
      <c r="H35" s="46">
        <f>TRUNC(S35*(1-LOTE_01!$K$10),2)</f>
        <v>41</v>
      </c>
      <c r="I35" s="46">
        <f>TRUNC(T35*(1-LOTE_01!$K$10),2)</f>
        <v>0</v>
      </c>
      <c r="J35" s="100">
        <f t="shared" si="1"/>
        <v>0.22470000000000001</v>
      </c>
      <c r="K35" s="48">
        <f t="shared" si="2"/>
        <v>50.21</v>
      </c>
      <c r="L35" s="48">
        <f t="shared" si="3"/>
        <v>0</v>
      </c>
      <c r="M35" s="48">
        <f t="shared" si="6"/>
        <v>16569.3</v>
      </c>
      <c r="N35" s="48">
        <f t="shared" si="4"/>
        <v>0</v>
      </c>
      <c r="O35" s="50">
        <f t="shared" si="5"/>
        <v>16569.3</v>
      </c>
      <c r="P35" s="50">
        <v>0</v>
      </c>
      <c r="Q35" s="76"/>
      <c r="R35" s="140">
        <f>10*3*(S9+S10)</f>
        <v>330</v>
      </c>
      <c r="S35" s="152">
        <v>41</v>
      </c>
      <c r="T35" s="153">
        <v>0</v>
      </c>
    </row>
    <row r="36" spans="2:20" ht="70">
      <c r="B36" s="5" t="s">
        <v>158</v>
      </c>
      <c r="C36" s="45" t="s">
        <v>135</v>
      </c>
      <c r="D36" s="45">
        <v>97063</v>
      </c>
      <c r="E36" s="6" t="s">
        <v>159</v>
      </c>
      <c r="F36" s="45" t="s">
        <v>121</v>
      </c>
      <c r="G36" s="46">
        <f t="shared" si="0"/>
        <v>792</v>
      </c>
      <c r="H36" s="46">
        <f>TRUNC(S36*(1-LOTE_01!$K$10),2)</f>
        <v>5.08</v>
      </c>
      <c r="I36" s="46">
        <f>TRUNC(T36*(1-LOTE_01!$K$10),2)</f>
        <v>15.53</v>
      </c>
      <c r="J36" s="100">
        <f t="shared" si="1"/>
        <v>0.22470000000000001</v>
      </c>
      <c r="K36" s="48">
        <f t="shared" si="2"/>
        <v>6.22</v>
      </c>
      <c r="L36" s="48">
        <f t="shared" si="3"/>
        <v>19.010000000000002</v>
      </c>
      <c r="M36" s="48">
        <f t="shared" si="6"/>
        <v>4926.24</v>
      </c>
      <c r="N36" s="48">
        <f t="shared" si="4"/>
        <v>15055.92</v>
      </c>
      <c r="O36" s="50">
        <f t="shared" si="5"/>
        <v>19982.16</v>
      </c>
      <c r="P36" s="50">
        <v>0</v>
      </c>
      <c r="Q36" s="76"/>
      <c r="R36" s="140">
        <f>6*12*(S9+S10)</f>
        <v>792</v>
      </c>
      <c r="S36" s="152">
        <v>5.08</v>
      </c>
      <c r="T36" s="153">
        <v>15.53</v>
      </c>
    </row>
    <row r="37" spans="2:20" ht="84">
      <c r="B37" s="5" t="s">
        <v>160</v>
      </c>
      <c r="C37" s="45" t="s">
        <v>135</v>
      </c>
      <c r="D37" s="45">
        <v>100981</v>
      </c>
      <c r="E37" s="6" t="s">
        <v>1768</v>
      </c>
      <c r="F37" s="45" t="s">
        <v>161</v>
      </c>
      <c r="G37" s="46">
        <f t="shared" si="0"/>
        <v>396</v>
      </c>
      <c r="H37" s="46">
        <f>TRUNC(S37*(1-LOTE_01!$K$10),2)</f>
        <v>8.7200000000000006</v>
      </c>
      <c r="I37" s="46">
        <f>TRUNC(T37*(1-LOTE_01!$K$10),2)</f>
        <v>1.81</v>
      </c>
      <c r="J37" s="100">
        <f t="shared" si="1"/>
        <v>0.22470000000000001</v>
      </c>
      <c r="K37" s="48">
        <f t="shared" si="2"/>
        <v>10.67</v>
      </c>
      <c r="L37" s="48">
        <f t="shared" si="3"/>
        <v>2.21</v>
      </c>
      <c r="M37" s="48">
        <f t="shared" si="6"/>
        <v>4225.32</v>
      </c>
      <c r="N37" s="48">
        <f t="shared" si="4"/>
        <v>875.16</v>
      </c>
      <c r="O37" s="50">
        <f t="shared" si="5"/>
        <v>5100.4799999999996</v>
      </c>
      <c r="P37" s="50">
        <v>0</v>
      </c>
      <c r="Q37" s="76"/>
      <c r="R37" s="140">
        <f>6*6*(S9+S10)</f>
        <v>396</v>
      </c>
      <c r="S37" s="152">
        <v>8.7199999999999989</v>
      </c>
      <c r="T37" s="153">
        <v>1.81</v>
      </c>
    </row>
    <row r="38" spans="2:20" ht="56">
      <c r="B38" s="5" t="s">
        <v>162</v>
      </c>
      <c r="C38" s="45" t="s">
        <v>135</v>
      </c>
      <c r="D38" s="45">
        <v>97914</v>
      </c>
      <c r="E38" s="6" t="s">
        <v>1769</v>
      </c>
      <c r="F38" s="45" t="s">
        <v>163</v>
      </c>
      <c r="G38" s="46">
        <f t="shared" si="0"/>
        <v>23760</v>
      </c>
      <c r="H38" s="46">
        <f>TRUNC(S38*(1-LOTE_01!$K$10),2)</f>
        <v>3</v>
      </c>
      <c r="I38" s="46">
        <f>TRUNC(T38*(1-LOTE_01!$K$10),2)</f>
        <v>0.46</v>
      </c>
      <c r="J38" s="100">
        <f t="shared" si="1"/>
        <v>0.22470000000000001</v>
      </c>
      <c r="K38" s="48">
        <f t="shared" si="2"/>
        <v>3.67</v>
      </c>
      <c r="L38" s="48">
        <f t="shared" si="3"/>
        <v>0.56000000000000005</v>
      </c>
      <c r="M38" s="48">
        <f t="shared" si="6"/>
        <v>87199.2</v>
      </c>
      <c r="N38" s="48">
        <f t="shared" si="4"/>
        <v>13305.6</v>
      </c>
      <c r="O38" s="50">
        <f t="shared" si="5"/>
        <v>100504.8</v>
      </c>
      <c r="P38" s="50">
        <v>0</v>
      </c>
      <c r="Q38" s="76"/>
      <c r="R38" s="140">
        <f>R37*60</f>
        <v>23760</v>
      </c>
      <c r="S38" s="152">
        <v>3</v>
      </c>
      <c r="T38" s="153">
        <v>0.46</v>
      </c>
    </row>
    <row r="39" spans="2:20" ht="28">
      <c r="B39" s="5" t="s">
        <v>164</v>
      </c>
      <c r="C39" s="45" t="s">
        <v>165</v>
      </c>
      <c r="D39" s="45" t="s">
        <v>166</v>
      </c>
      <c r="E39" s="6" t="s">
        <v>167</v>
      </c>
      <c r="F39" s="45" t="s">
        <v>168</v>
      </c>
      <c r="G39" s="46">
        <f t="shared" si="0"/>
        <v>33</v>
      </c>
      <c r="H39" s="46">
        <f>TRUNC(S39*(1-LOTE_01!$K$10),2)</f>
        <v>548.72</v>
      </c>
      <c r="I39" s="46">
        <f>TRUNC(T39*(1-LOTE_01!$K$10),2)</f>
        <v>242.71</v>
      </c>
      <c r="J39" s="100">
        <f t="shared" si="1"/>
        <v>0.22470000000000001</v>
      </c>
      <c r="K39" s="48">
        <f t="shared" si="2"/>
        <v>672.01</v>
      </c>
      <c r="L39" s="48">
        <f t="shared" si="3"/>
        <v>297.24</v>
      </c>
      <c r="M39" s="48">
        <f t="shared" si="6"/>
        <v>22176.33</v>
      </c>
      <c r="N39" s="48">
        <f t="shared" si="4"/>
        <v>9808.92</v>
      </c>
      <c r="O39" s="50">
        <f t="shared" si="5"/>
        <v>31985.25</v>
      </c>
      <c r="P39" s="50">
        <v>0</v>
      </c>
      <c r="Q39" s="76"/>
      <c r="R39" s="140">
        <f>IF((3*S9+3*S10)&gt;50,50,(3*S9+3*S10))</f>
        <v>33</v>
      </c>
      <c r="S39" s="152">
        <v>548.72</v>
      </c>
      <c r="T39" s="153">
        <v>242.71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6"/>
        <v>0</v>
      </c>
      <c r="N40" s="48">
        <f t="shared" si="4"/>
        <v>0</v>
      </c>
      <c r="O40" s="50">
        <f t="shared" si="5"/>
        <v>0</v>
      </c>
      <c r="P40" s="104">
        <f>SUM(O41:O113)</f>
        <v>519517.23999999982</v>
      </c>
      <c r="Q40" s="107"/>
      <c r="R40" s="154"/>
      <c r="S40" s="152" t="s">
        <v>22</v>
      </c>
      <c r="T40" s="153" t="s">
        <v>22</v>
      </c>
    </row>
    <row r="41" spans="2:20" ht="42">
      <c r="B41" s="5" t="s">
        <v>169</v>
      </c>
      <c r="C41" s="45" t="s">
        <v>135</v>
      </c>
      <c r="D41" s="45">
        <v>97622</v>
      </c>
      <c r="E41" s="6" t="s">
        <v>170</v>
      </c>
      <c r="F41" s="45" t="s">
        <v>161</v>
      </c>
      <c r="G41" s="46">
        <f t="shared" si="0"/>
        <v>220</v>
      </c>
      <c r="H41" s="46">
        <f>TRUNC(S41*(1-LOTE_01!$K$10),2)</f>
        <v>19.04</v>
      </c>
      <c r="I41" s="46">
        <f>TRUNC(T41*(1-LOTE_01!$K$10),2)</f>
        <v>44.34</v>
      </c>
      <c r="J41" s="100">
        <f t="shared" si="1"/>
        <v>0.22470000000000001</v>
      </c>
      <c r="K41" s="48">
        <f t="shared" si="2"/>
        <v>23.31</v>
      </c>
      <c r="L41" s="48">
        <f t="shared" si="3"/>
        <v>54.3</v>
      </c>
      <c r="M41" s="48">
        <f t="shared" si="6"/>
        <v>5128.2</v>
      </c>
      <c r="N41" s="48">
        <f t="shared" si="4"/>
        <v>11946</v>
      </c>
      <c r="O41" s="50">
        <f t="shared" si="5"/>
        <v>17074.2</v>
      </c>
      <c r="P41" s="50">
        <v>0</v>
      </c>
      <c r="Q41" s="76"/>
      <c r="R41" s="140">
        <f>20*S9+20*S10</f>
        <v>220</v>
      </c>
      <c r="S41" s="152">
        <v>19.04</v>
      </c>
      <c r="T41" s="153">
        <v>44.34</v>
      </c>
    </row>
    <row r="42" spans="2:20" ht="42">
      <c r="B42" s="5" t="s">
        <v>171</v>
      </c>
      <c r="C42" s="45" t="s">
        <v>135</v>
      </c>
      <c r="D42" s="45">
        <v>97624</v>
      </c>
      <c r="E42" s="6" t="s">
        <v>172</v>
      </c>
      <c r="F42" s="45" t="s">
        <v>161</v>
      </c>
      <c r="G42" s="46">
        <f t="shared" si="0"/>
        <v>10</v>
      </c>
      <c r="H42" s="46">
        <f>TRUNC(S42*(1-LOTE_01!$K$10),2)</f>
        <v>35.78</v>
      </c>
      <c r="I42" s="46">
        <f>TRUNC(T42*(1-LOTE_01!$K$10),2)</f>
        <v>83.38</v>
      </c>
      <c r="J42" s="100">
        <f t="shared" si="1"/>
        <v>0.22470000000000001</v>
      </c>
      <c r="K42" s="48">
        <f t="shared" si="2"/>
        <v>43.81</v>
      </c>
      <c r="L42" s="48">
        <f t="shared" si="3"/>
        <v>102.11</v>
      </c>
      <c r="M42" s="48">
        <f t="shared" si="6"/>
        <v>438.1</v>
      </c>
      <c r="N42" s="48">
        <f t="shared" si="4"/>
        <v>1021.1</v>
      </c>
      <c r="O42" s="50">
        <f t="shared" si="5"/>
        <v>1459.2</v>
      </c>
      <c r="P42" s="50">
        <v>0</v>
      </c>
      <c r="Q42" s="76"/>
      <c r="R42" s="140">
        <f>IF((5*S9+5*S10)&gt;10,10,(5*S9+5*S10))</f>
        <v>10</v>
      </c>
      <c r="S42" s="152">
        <v>35.78</v>
      </c>
      <c r="T42" s="153">
        <v>83.38</v>
      </c>
    </row>
    <row r="43" spans="2:20" ht="56">
      <c r="B43" s="5" t="s">
        <v>173</v>
      </c>
      <c r="C43" s="45" t="s">
        <v>135</v>
      </c>
      <c r="D43" s="45">
        <v>97625</v>
      </c>
      <c r="E43" s="6" t="s">
        <v>174</v>
      </c>
      <c r="F43" s="45" t="s">
        <v>161</v>
      </c>
      <c r="G43" s="46">
        <f t="shared" si="0"/>
        <v>70</v>
      </c>
      <c r="H43" s="46">
        <f>TRUNC(S43*(1-LOTE_01!$K$10),2)</f>
        <v>50.24</v>
      </c>
      <c r="I43" s="46">
        <f>TRUNC(T43*(1-LOTE_01!$K$10),2)</f>
        <v>12.59</v>
      </c>
      <c r="J43" s="100">
        <f t="shared" si="1"/>
        <v>0.22470000000000001</v>
      </c>
      <c r="K43" s="48">
        <f t="shared" si="2"/>
        <v>61.52</v>
      </c>
      <c r="L43" s="48">
        <f t="shared" si="3"/>
        <v>15.41</v>
      </c>
      <c r="M43" s="48">
        <f t="shared" si="6"/>
        <v>4306.3999999999996</v>
      </c>
      <c r="N43" s="48">
        <f t="shared" si="4"/>
        <v>1078.7</v>
      </c>
      <c r="O43" s="50">
        <f t="shared" si="5"/>
        <v>5385.1</v>
      </c>
      <c r="P43" s="50">
        <v>0</v>
      </c>
      <c r="Q43" s="76"/>
      <c r="R43" s="140">
        <f>IF((5*S9+10*S10)&gt;200,200,(5*S9+10*S10))</f>
        <v>70</v>
      </c>
      <c r="S43" s="152">
        <v>50.239999999999995</v>
      </c>
      <c r="T43" s="153">
        <v>12.59</v>
      </c>
    </row>
    <row r="44" spans="2:20" ht="56">
      <c r="B44" s="5" t="s">
        <v>175</v>
      </c>
      <c r="C44" s="45" t="s">
        <v>135</v>
      </c>
      <c r="D44" s="45">
        <v>97626</v>
      </c>
      <c r="E44" s="6" t="s">
        <v>176</v>
      </c>
      <c r="F44" s="45" t="s">
        <v>161</v>
      </c>
      <c r="G44" s="46">
        <f t="shared" si="0"/>
        <v>10</v>
      </c>
      <c r="H44" s="46">
        <f>TRUNC(S44*(1-LOTE_01!$K$10),2)</f>
        <v>191.29</v>
      </c>
      <c r="I44" s="46">
        <f>TRUNC(T44*(1-LOTE_01!$K$10),2)</f>
        <v>445.69</v>
      </c>
      <c r="J44" s="100">
        <f t="shared" si="1"/>
        <v>0.22470000000000001</v>
      </c>
      <c r="K44" s="48">
        <f t="shared" si="2"/>
        <v>234.27</v>
      </c>
      <c r="L44" s="48">
        <f t="shared" si="3"/>
        <v>545.83000000000004</v>
      </c>
      <c r="M44" s="48">
        <f t="shared" si="6"/>
        <v>2342.6999999999998</v>
      </c>
      <c r="N44" s="48">
        <f t="shared" si="4"/>
        <v>5458.3</v>
      </c>
      <c r="O44" s="50">
        <f t="shared" si="5"/>
        <v>7801</v>
      </c>
      <c r="P44" s="50">
        <v>0</v>
      </c>
      <c r="Q44" s="76"/>
      <c r="R44" s="140">
        <f>IF((S9+S10)&gt;10,10,(S9+S10))</f>
        <v>10</v>
      </c>
      <c r="S44" s="152">
        <v>191.29000000000002</v>
      </c>
      <c r="T44" s="153">
        <v>445.69</v>
      </c>
    </row>
    <row r="45" spans="2:20" ht="42">
      <c r="B45" s="5" t="s">
        <v>177</v>
      </c>
      <c r="C45" s="45" t="s">
        <v>135</v>
      </c>
      <c r="D45" s="45">
        <v>97628</v>
      </c>
      <c r="E45" s="6" t="s">
        <v>178</v>
      </c>
      <c r="F45" s="45" t="s">
        <v>161</v>
      </c>
      <c r="G45" s="46">
        <f t="shared" si="0"/>
        <v>5</v>
      </c>
      <c r="H45" s="46">
        <f>TRUNC(S45*(1-LOTE_01!$K$10),2)</f>
        <v>89.1</v>
      </c>
      <c r="I45" s="46">
        <f>TRUNC(T45*(1-LOTE_01!$K$10),2)</f>
        <v>207.57</v>
      </c>
      <c r="J45" s="100">
        <f t="shared" si="1"/>
        <v>0.22470000000000001</v>
      </c>
      <c r="K45" s="48">
        <f t="shared" si="2"/>
        <v>109.12</v>
      </c>
      <c r="L45" s="48">
        <f t="shared" si="3"/>
        <v>254.21</v>
      </c>
      <c r="M45" s="48">
        <f t="shared" si="6"/>
        <v>545.6</v>
      </c>
      <c r="N45" s="48">
        <f t="shared" si="4"/>
        <v>1271.05</v>
      </c>
      <c r="O45" s="50">
        <f t="shared" si="5"/>
        <v>1816.65</v>
      </c>
      <c r="P45" s="50">
        <v>0</v>
      </c>
      <c r="Q45" s="76"/>
      <c r="R45" s="140">
        <f>IF((S10+S9)&gt;5,5,(S10+S9))</f>
        <v>5</v>
      </c>
      <c r="S45" s="152">
        <v>89.100000000000023</v>
      </c>
      <c r="T45" s="153">
        <v>207.57</v>
      </c>
    </row>
    <row r="46" spans="2:20" ht="28">
      <c r="B46" s="5" t="s">
        <v>179</v>
      </c>
      <c r="C46" s="45" t="s">
        <v>165</v>
      </c>
      <c r="D46" s="45" t="s">
        <v>180</v>
      </c>
      <c r="E46" s="6" t="s">
        <v>181</v>
      </c>
      <c r="F46" s="45" t="s">
        <v>182</v>
      </c>
      <c r="G46" s="46">
        <f t="shared" si="0"/>
        <v>5</v>
      </c>
      <c r="H46" s="46">
        <f>TRUNC(S46*(1-LOTE_01!$K$10),2)</f>
        <v>0</v>
      </c>
      <c r="I46" s="46">
        <f>TRUNC(T46*(1-LOTE_01!$K$10),2)</f>
        <v>190.47</v>
      </c>
      <c r="J46" s="100">
        <f t="shared" si="1"/>
        <v>0.22470000000000001</v>
      </c>
      <c r="K46" s="48">
        <f t="shared" si="2"/>
        <v>0</v>
      </c>
      <c r="L46" s="48">
        <f t="shared" si="3"/>
        <v>233.26</v>
      </c>
      <c r="M46" s="48">
        <f t="shared" si="6"/>
        <v>0</v>
      </c>
      <c r="N46" s="48">
        <f t="shared" si="4"/>
        <v>1166.3</v>
      </c>
      <c r="O46" s="50">
        <f t="shared" si="5"/>
        <v>1166.3</v>
      </c>
      <c r="P46" s="50">
        <v>0</v>
      </c>
      <c r="Q46" s="76"/>
      <c r="R46" s="140">
        <f>IF((S10+S9)&gt;5,5,(S10+S9))</f>
        <v>5</v>
      </c>
      <c r="S46" s="152">
        <v>0</v>
      </c>
      <c r="T46" s="153">
        <v>190.47</v>
      </c>
    </row>
    <row r="47" spans="2:20" ht="42">
      <c r="B47" s="5" t="s">
        <v>183</v>
      </c>
      <c r="C47" s="45" t="s">
        <v>135</v>
      </c>
      <c r="D47" s="45">
        <v>97631</v>
      </c>
      <c r="E47" s="6" t="s">
        <v>184</v>
      </c>
      <c r="F47" s="45" t="s">
        <v>121</v>
      </c>
      <c r="G47" s="46">
        <f t="shared" si="0"/>
        <v>700</v>
      </c>
      <c r="H47" s="46">
        <f>TRUNC(S47*(1-LOTE_01!$K$10),2)</f>
        <v>3.77</v>
      </c>
      <c r="I47" s="46">
        <f>TRUNC(T47*(1-LOTE_01!$K$10),2)</f>
        <v>9.0399999999999991</v>
      </c>
      <c r="J47" s="100">
        <f t="shared" si="1"/>
        <v>0.22470000000000001</v>
      </c>
      <c r="K47" s="48">
        <f t="shared" si="2"/>
        <v>4.6100000000000003</v>
      </c>
      <c r="L47" s="48">
        <f t="shared" si="3"/>
        <v>11.07</v>
      </c>
      <c r="M47" s="48">
        <f t="shared" si="6"/>
        <v>3227</v>
      </c>
      <c r="N47" s="48">
        <f t="shared" si="4"/>
        <v>7749</v>
      </c>
      <c r="O47" s="50">
        <f t="shared" si="5"/>
        <v>10976</v>
      </c>
      <c r="P47" s="50">
        <v>0</v>
      </c>
      <c r="Q47" s="76"/>
      <c r="R47" s="140">
        <f>IF((50*S9+100*S10)&gt;1000,1000,(50*S9+100*S10))</f>
        <v>700</v>
      </c>
      <c r="S47" s="152">
        <v>3.7700000000000014</v>
      </c>
      <c r="T47" s="153">
        <v>9.0399999999999991</v>
      </c>
    </row>
    <row r="48" spans="2:20" ht="42">
      <c r="B48" s="5" t="s">
        <v>185</v>
      </c>
      <c r="C48" s="45" t="s">
        <v>135</v>
      </c>
      <c r="D48" s="45">
        <v>97632</v>
      </c>
      <c r="E48" s="6" t="s">
        <v>186</v>
      </c>
      <c r="F48" s="45" t="s">
        <v>187</v>
      </c>
      <c r="G48" s="46">
        <f t="shared" si="0"/>
        <v>1100</v>
      </c>
      <c r="H48" s="46">
        <f>TRUNC(S48*(1-LOTE_01!$K$10),2)</f>
        <v>0.86</v>
      </c>
      <c r="I48" s="46">
        <f>TRUNC(T48*(1-LOTE_01!$K$10),2)</f>
        <v>2.06</v>
      </c>
      <c r="J48" s="100">
        <f t="shared" si="1"/>
        <v>0.22470000000000001</v>
      </c>
      <c r="K48" s="48">
        <f t="shared" si="2"/>
        <v>1.05</v>
      </c>
      <c r="L48" s="48">
        <f t="shared" si="3"/>
        <v>2.52</v>
      </c>
      <c r="M48" s="48">
        <f t="shared" si="6"/>
        <v>1155</v>
      </c>
      <c r="N48" s="48">
        <f t="shared" si="4"/>
        <v>2772</v>
      </c>
      <c r="O48" s="50">
        <f t="shared" si="5"/>
        <v>3927</v>
      </c>
      <c r="P48" s="50">
        <v>0</v>
      </c>
      <c r="Q48" s="76"/>
      <c r="R48" s="140">
        <f>100*S9+100*S10</f>
        <v>1100</v>
      </c>
      <c r="S48" s="152">
        <v>0.85999999999999988</v>
      </c>
      <c r="T48" s="153">
        <v>2.06</v>
      </c>
    </row>
    <row r="49" spans="2:20" ht="42">
      <c r="B49" s="5" t="s">
        <v>188</v>
      </c>
      <c r="C49" s="45" t="s">
        <v>135</v>
      </c>
      <c r="D49" s="45">
        <v>97633</v>
      </c>
      <c r="E49" s="6" t="s">
        <v>189</v>
      </c>
      <c r="F49" s="45" t="s">
        <v>121</v>
      </c>
      <c r="G49" s="46">
        <f t="shared" si="0"/>
        <v>1600</v>
      </c>
      <c r="H49" s="46">
        <f>TRUNC(S49*(1-LOTE_01!$K$10),2)</f>
        <v>7.51</v>
      </c>
      <c r="I49" s="46">
        <f>TRUNC(T49*(1-LOTE_01!$K$10),2)</f>
        <v>18.059999999999999</v>
      </c>
      <c r="J49" s="100">
        <f t="shared" si="1"/>
        <v>0.22470000000000001</v>
      </c>
      <c r="K49" s="48">
        <f t="shared" si="2"/>
        <v>9.19</v>
      </c>
      <c r="L49" s="48">
        <f t="shared" si="3"/>
        <v>22.11</v>
      </c>
      <c r="M49" s="48">
        <f t="shared" si="6"/>
        <v>14704</v>
      </c>
      <c r="N49" s="48">
        <f t="shared" si="4"/>
        <v>35376</v>
      </c>
      <c r="O49" s="50">
        <f t="shared" si="5"/>
        <v>50080</v>
      </c>
      <c r="P49" s="50">
        <v>0</v>
      </c>
      <c r="Q49" s="76"/>
      <c r="R49" s="140">
        <f>400*S10+50*S9</f>
        <v>1600</v>
      </c>
      <c r="S49" s="152">
        <v>7.5100000000000016</v>
      </c>
      <c r="T49" s="153">
        <v>18.059999999999999</v>
      </c>
    </row>
    <row r="50" spans="2:20" ht="28">
      <c r="B50" s="5" t="s">
        <v>190</v>
      </c>
      <c r="C50" s="45" t="s">
        <v>165</v>
      </c>
      <c r="D50" s="45" t="s">
        <v>191</v>
      </c>
      <c r="E50" s="6" t="s">
        <v>192</v>
      </c>
      <c r="F50" s="45" t="s">
        <v>168</v>
      </c>
      <c r="G50" s="46">
        <f t="shared" si="0"/>
        <v>1360</v>
      </c>
      <c r="H50" s="46">
        <f>TRUNC(S50*(1-LOTE_01!$K$10),2)</f>
        <v>0</v>
      </c>
      <c r="I50" s="46">
        <f>TRUNC(T50*(1-LOTE_01!$K$10),2)</f>
        <v>3.66</v>
      </c>
      <c r="J50" s="100">
        <f t="shared" si="1"/>
        <v>0.22470000000000001</v>
      </c>
      <c r="K50" s="48">
        <f t="shared" si="2"/>
        <v>0</v>
      </c>
      <c r="L50" s="48">
        <f t="shared" si="3"/>
        <v>4.4800000000000004</v>
      </c>
      <c r="M50" s="48">
        <f t="shared" si="6"/>
        <v>0</v>
      </c>
      <c r="N50" s="48">
        <f t="shared" si="4"/>
        <v>6092.8</v>
      </c>
      <c r="O50" s="50">
        <f t="shared" si="5"/>
        <v>6092.8</v>
      </c>
      <c r="P50" s="50">
        <v>0</v>
      </c>
      <c r="Q50" s="76"/>
      <c r="R50" s="140">
        <f>400*S10+20*S9</f>
        <v>1360</v>
      </c>
      <c r="S50" s="152">
        <v>0</v>
      </c>
      <c r="T50" s="153">
        <v>3.66</v>
      </c>
    </row>
    <row r="51" spans="2:20" ht="56">
      <c r="B51" s="5" t="s">
        <v>193</v>
      </c>
      <c r="C51" s="45" t="s">
        <v>135</v>
      </c>
      <c r="D51" s="45">
        <v>97627</v>
      </c>
      <c r="E51" s="6" t="s">
        <v>194</v>
      </c>
      <c r="F51" s="45" t="s">
        <v>161</v>
      </c>
      <c r="G51" s="46">
        <f t="shared" si="0"/>
        <v>10</v>
      </c>
      <c r="H51" s="46">
        <f>TRUNC(S51*(1-LOTE_01!$K$10),2)</f>
        <v>60.96</v>
      </c>
      <c r="I51" s="46">
        <f>TRUNC(T51*(1-LOTE_01!$K$10),2)</f>
        <v>162.24</v>
      </c>
      <c r="J51" s="100">
        <f t="shared" si="1"/>
        <v>0.22470000000000001</v>
      </c>
      <c r="K51" s="48">
        <f t="shared" si="2"/>
        <v>74.650000000000006</v>
      </c>
      <c r="L51" s="48">
        <f t="shared" si="3"/>
        <v>198.69</v>
      </c>
      <c r="M51" s="48">
        <f t="shared" si="6"/>
        <v>746.5</v>
      </c>
      <c r="N51" s="48">
        <f t="shared" si="4"/>
        <v>1986.9</v>
      </c>
      <c r="O51" s="50">
        <f t="shared" si="5"/>
        <v>2733.4</v>
      </c>
      <c r="P51" s="50">
        <v>0</v>
      </c>
      <c r="Q51" s="76"/>
      <c r="R51" s="140">
        <f>IF((S9+S10)&gt;10,10,(S9+S10))</f>
        <v>10</v>
      </c>
      <c r="S51" s="152">
        <v>60.95999999999998</v>
      </c>
      <c r="T51" s="153">
        <v>162.24</v>
      </c>
    </row>
    <row r="52" spans="2:20" ht="28">
      <c r="B52" s="5" t="s">
        <v>195</v>
      </c>
      <c r="C52" s="45" t="s">
        <v>165</v>
      </c>
      <c r="D52" s="45" t="s">
        <v>196</v>
      </c>
      <c r="E52" s="6" t="s">
        <v>197</v>
      </c>
      <c r="F52" s="45" t="s">
        <v>168</v>
      </c>
      <c r="G52" s="46">
        <f t="shared" si="0"/>
        <v>700</v>
      </c>
      <c r="H52" s="46">
        <f>TRUNC(S52*(1-LOTE_01!$K$10),2)</f>
        <v>0</v>
      </c>
      <c r="I52" s="46">
        <f>TRUNC(T52*(1-LOTE_01!$K$10),2)</f>
        <v>19.05</v>
      </c>
      <c r="J52" s="100">
        <f t="shared" si="1"/>
        <v>0.22470000000000001</v>
      </c>
      <c r="K52" s="48">
        <f t="shared" si="2"/>
        <v>0</v>
      </c>
      <c r="L52" s="48">
        <f t="shared" si="3"/>
        <v>23.33</v>
      </c>
      <c r="M52" s="48">
        <f t="shared" si="6"/>
        <v>0</v>
      </c>
      <c r="N52" s="48">
        <f t="shared" si="4"/>
        <v>16331</v>
      </c>
      <c r="O52" s="50">
        <f t="shared" si="5"/>
        <v>16331</v>
      </c>
      <c r="P52" s="50">
        <v>0</v>
      </c>
      <c r="Q52" s="76"/>
      <c r="R52" s="140">
        <f>IF((50*S9+100*S10)&gt;1000,1000,(50*S9+100*S10))</f>
        <v>700</v>
      </c>
      <c r="S52" s="152">
        <v>0</v>
      </c>
      <c r="T52" s="153">
        <v>19.05</v>
      </c>
    </row>
    <row r="53" spans="2:20" ht="28">
      <c r="B53" s="5" t="s">
        <v>198</v>
      </c>
      <c r="C53" s="45" t="s">
        <v>165</v>
      </c>
      <c r="D53" s="45" t="s">
        <v>199</v>
      </c>
      <c r="E53" s="6" t="s">
        <v>200</v>
      </c>
      <c r="F53" s="45" t="s">
        <v>168</v>
      </c>
      <c r="G53" s="46">
        <f t="shared" si="0"/>
        <v>200</v>
      </c>
      <c r="H53" s="46">
        <f>TRUNC(S53*(1-LOTE_01!$K$10),2)</f>
        <v>0</v>
      </c>
      <c r="I53" s="46">
        <f>TRUNC(T53*(1-LOTE_01!$K$10),2)</f>
        <v>10.26</v>
      </c>
      <c r="J53" s="100">
        <f t="shared" si="1"/>
        <v>0.22470000000000001</v>
      </c>
      <c r="K53" s="48">
        <f t="shared" si="2"/>
        <v>0</v>
      </c>
      <c r="L53" s="48">
        <f t="shared" si="3"/>
        <v>12.56</v>
      </c>
      <c r="M53" s="48">
        <f t="shared" si="6"/>
        <v>0</v>
      </c>
      <c r="N53" s="48">
        <f t="shared" si="4"/>
        <v>2512</v>
      </c>
      <c r="O53" s="50">
        <f t="shared" si="5"/>
        <v>2512</v>
      </c>
      <c r="P53" s="50">
        <v>0</v>
      </c>
      <c r="Q53" s="76"/>
      <c r="R53" s="140">
        <f>IF(50*(S10+S9)&gt;200,200,50*(S10+S9))</f>
        <v>200</v>
      </c>
      <c r="S53" s="152">
        <v>0</v>
      </c>
      <c r="T53" s="153">
        <v>10.26</v>
      </c>
    </row>
    <row r="54" spans="2:20" ht="28">
      <c r="B54" s="5" t="s">
        <v>201</v>
      </c>
      <c r="C54" s="45" t="s">
        <v>165</v>
      </c>
      <c r="D54" s="45" t="s">
        <v>202</v>
      </c>
      <c r="E54" s="6" t="s">
        <v>203</v>
      </c>
      <c r="F54" s="45" t="s">
        <v>168</v>
      </c>
      <c r="G54" s="46">
        <f t="shared" si="0"/>
        <v>200</v>
      </c>
      <c r="H54" s="46">
        <f>TRUNC(S54*(1-LOTE_01!$K$10),2)</f>
        <v>0</v>
      </c>
      <c r="I54" s="46">
        <f>TRUNC(T54*(1-LOTE_01!$K$10),2)</f>
        <v>19.739999999999998</v>
      </c>
      <c r="J54" s="100">
        <f t="shared" si="1"/>
        <v>0.22470000000000001</v>
      </c>
      <c r="K54" s="48">
        <f t="shared" si="2"/>
        <v>0</v>
      </c>
      <c r="L54" s="48">
        <f t="shared" si="3"/>
        <v>24.17</v>
      </c>
      <c r="M54" s="48">
        <f t="shared" si="6"/>
        <v>0</v>
      </c>
      <c r="N54" s="48">
        <f t="shared" si="4"/>
        <v>4834</v>
      </c>
      <c r="O54" s="50">
        <f t="shared" si="5"/>
        <v>4834</v>
      </c>
      <c r="P54" s="50">
        <v>0</v>
      </c>
      <c r="Q54" s="76"/>
      <c r="R54" s="140">
        <f>IF(20*(S10+S9)&gt;200,200,20*(S10+S9))</f>
        <v>200</v>
      </c>
      <c r="S54" s="152">
        <v>0</v>
      </c>
      <c r="T54" s="153">
        <v>19.739999999999998</v>
      </c>
    </row>
    <row r="55" spans="2:20" ht="42">
      <c r="B55" s="5" t="s">
        <v>204</v>
      </c>
      <c r="C55" s="45" t="s">
        <v>165</v>
      </c>
      <c r="D55" s="45" t="s">
        <v>205</v>
      </c>
      <c r="E55" s="6" t="s">
        <v>206</v>
      </c>
      <c r="F55" s="45" t="s">
        <v>168</v>
      </c>
      <c r="G55" s="46">
        <f t="shared" si="0"/>
        <v>4400</v>
      </c>
      <c r="H55" s="46">
        <f>TRUNC(S55*(1-LOTE_01!$K$10),2)</f>
        <v>0</v>
      </c>
      <c r="I55" s="46">
        <f>TRUNC(T55*(1-LOTE_01!$K$10),2)</f>
        <v>20.51</v>
      </c>
      <c r="J55" s="100">
        <f t="shared" si="1"/>
        <v>0.22470000000000001</v>
      </c>
      <c r="K55" s="48">
        <f t="shared" si="2"/>
        <v>0</v>
      </c>
      <c r="L55" s="48">
        <f t="shared" si="3"/>
        <v>25.11</v>
      </c>
      <c r="M55" s="48">
        <f t="shared" si="6"/>
        <v>0</v>
      </c>
      <c r="N55" s="48">
        <f t="shared" si="4"/>
        <v>110484</v>
      </c>
      <c r="O55" s="50">
        <f t="shared" si="5"/>
        <v>110484</v>
      </c>
      <c r="P55" s="50">
        <v>0</v>
      </c>
      <c r="Q55" s="76"/>
      <c r="R55" s="140">
        <f>400*(S10+S9)</f>
        <v>4400</v>
      </c>
      <c r="S55" s="152">
        <v>0</v>
      </c>
      <c r="T55" s="153">
        <v>20.51</v>
      </c>
    </row>
    <row r="56" spans="2:20" ht="28">
      <c r="B56" s="5" t="s">
        <v>207</v>
      </c>
      <c r="C56" s="45" t="s">
        <v>165</v>
      </c>
      <c r="D56" s="45" t="s">
        <v>196</v>
      </c>
      <c r="E56" s="6" t="s">
        <v>197</v>
      </c>
      <c r="F56" s="45" t="s">
        <v>168</v>
      </c>
      <c r="G56" s="46">
        <f t="shared" si="0"/>
        <v>700</v>
      </c>
      <c r="H56" s="46">
        <f>TRUNC(S56*(1-LOTE_01!$K$10),2)</f>
        <v>0</v>
      </c>
      <c r="I56" s="46">
        <f>TRUNC(T56*(1-LOTE_01!$K$10),2)</f>
        <v>19.05</v>
      </c>
      <c r="J56" s="100">
        <f t="shared" si="1"/>
        <v>0.22470000000000001</v>
      </c>
      <c r="K56" s="48">
        <f t="shared" si="2"/>
        <v>0</v>
      </c>
      <c r="L56" s="48">
        <f t="shared" si="3"/>
        <v>23.33</v>
      </c>
      <c r="M56" s="48">
        <f t="shared" si="6"/>
        <v>0</v>
      </c>
      <c r="N56" s="48">
        <f t="shared" si="4"/>
        <v>16331</v>
      </c>
      <c r="O56" s="50">
        <f t="shared" si="5"/>
        <v>16331</v>
      </c>
      <c r="P56" s="50">
        <v>0</v>
      </c>
      <c r="Q56" s="76"/>
      <c r="R56" s="140">
        <f>IF((50*S9+100*S10)&gt;1000,1000,(50*S9+100*S10))</f>
        <v>700</v>
      </c>
      <c r="S56" s="152">
        <v>0</v>
      </c>
      <c r="T56" s="153">
        <v>19.05</v>
      </c>
    </row>
    <row r="57" spans="2:20" ht="42">
      <c r="B57" s="5" t="s">
        <v>208</v>
      </c>
      <c r="C57" s="45" t="s">
        <v>135</v>
      </c>
      <c r="D57" s="45">
        <v>97666</v>
      </c>
      <c r="E57" s="6" t="s">
        <v>209</v>
      </c>
      <c r="F57" s="45" t="s">
        <v>210</v>
      </c>
      <c r="G57" s="46">
        <f t="shared" si="0"/>
        <v>30</v>
      </c>
      <c r="H57" s="46">
        <f>TRUNC(S57*(1-LOTE_01!$K$10),2)</f>
        <v>2.96</v>
      </c>
      <c r="I57" s="46">
        <f>TRUNC(T57*(1-LOTE_01!$K$10),2)</f>
        <v>7.38</v>
      </c>
      <c r="J57" s="100">
        <f t="shared" si="1"/>
        <v>0.22470000000000001</v>
      </c>
      <c r="K57" s="48">
        <f t="shared" si="2"/>
        <v>3.62</v>
      </c>
      <c r="L57" s="48">
        <f t="shared" si="3"/>
        <v>9.0299999999999994</v>
      </c>
      <c r="M57" s="48">
        <f t="shared" si="6"/>
        <v>108.6</v>
      </c>
      <c r="N57" s="48">
        <f t="shared" si="4"/>
        <v>270.89999999999998</v>
      </c>
      <c r="O57" s="50">
        <f t="shared" si="5"/>
        <v>379.5</v>
      </c>
      <c r="P57" s="50">
        <v>0</v>
      </c>
      <c r="Q57" s="76"/>
      <c r="R57" s="140">
        <f>IF((2*S9+8*S10)&gt;30,30,(2*S9+8*S10))</f>
        <v>30</v>
      </c>
      <c r="S57" s="152">
        <v>2.96</v>
      </c>
      <c r="T57" s="153">
        <v>7.38</v>
      </c>
    </row>
    <row r="58" spans="2:20" ht="56">
      <c r="B58" s="5" t="s">
        <v>211</v>
      </c>
      <c r="C58" s="45" t="s">
        <v>135</v>
      </c>
      <c r="D58" s="45">
        <v>97635</v>
      </c>
      <c r="E58" s="6" t="s">
        <v>212</v>
      </c>
      <c r="F58" s="45" t="s">
        <v>121</v>
      </c>
      <c r="G58" s="46">
        <f t="shared" si="0"/>
        <v>300</v>
      </c>
      <c r="H58" s="46">
        <f>TRUNC(S58*(1-LOTE_01!$K$10),2)</f>
        <v>5.22</v>
      </c>
      <c r="I58" s="46">
        <f>TRUNC(T58*(1-LOTE_01!$K$10),2)</f>
        <v>13.61</v>
      </c>
      <c r="J58" s="100">
        <f t="shared" si="1"/>
        <v>0.22470000000000001</v>
      </c>
      <c r="K58" s="48">
        <f t="shared" si="2"/>
        <v>6.39</v>
      </c>
      <c r="L58" s="48">
        <f t="shared" si="3"/>
        <v>16.66</v>
      </c>
      <c r="M58" s="48">
        <f t="shared" si="6"/>
        <v>1917</v>
      </c>
      <c r="N58" s="48">
        <f t="shared" si="4"/>
        <v>4998</v>
      </c>
      <c r="O58" s="50">
        <f t="shared" si="5"/>
        <v>6915</v>
      </c>
      <c r="P58" s="50">
        <v>0</v>
      </c>
      <c r="Q58" s="76"/>
      <c r="R58" s="140">
        <f>IF((50*S9+100*S10)&gt;300,300,(50*S9+100*S10))</f>
        <v>300</v>
      </c>
      <c r="S58" s="152">
        <v>5.2199999999999989</v>
      </c>
      <c r="T58" s="153">
        <v>13.61</v>
      </c>
    </row>
    <row r="59" spans="2:20" ht="56">
      <c r="B59" s="5" t="s">
        <v>213</v>
      </c>
      <c r="C59" s="45" t="s">
        <v>135</v>
      </c>
      <c r="D59" s="45">
        <v>97643</v>
      </c>
      <c r="E59" s="6" t="s">
        <v>214</v>
      </c>
      <c r="F59" s="45" t="s">
        <v>121</v>
      </c>
      <c r="G59" s="46">
        <f t="shared" si="0"/>
        <v>200</v>
      </c>
      <c r="H59" s="46">
        <f>TRUNC(S59*(1-LOTE_01!$K$10),2)</f>
        <v>8.1999999999999993</v>
      </c>
      <c r="I59" s="46">
        <f>TRUNC(T59*(1-LOTE_01!$K$10),2)</f>
        <v>20.09</v>
      </c>
      <c r="J59" s="100">
        <f t="shared" si="1"/>
        <v>0.22470000000000001</v>
      </c>
      <c r="K59" s="48">
        <f t="shared" si="2"/>
        <v>10.039999999999999</v>
      </c>
      <c r="L59" s="48">
        <f t="shared" si="3"/>
        <v>24.6</v>
      </c>
      <c r="M59" s="48">
        <f t="shared" si="6"/>
        <v>2008</v>
      </c>
      <c r="N59" s="48">
        <f t="shared" si="4"/>
        <v>4920</v>
      </c>
      <c r="O59" s="50">
        <f t="shared" si="5"/>
        <v>6928</v>
      </c>
      <c r="P59" s="50">
        <v>0</v>
      </c>
      <c r="Q59" s="76"/>
      <c r="R59" s="140">
        <f>IF((50*S9+50*S10)&gt;200,200,(50*S9+50*S10))</f>
        <v>200</v>
      </c>
      <c r="S59" s="152">
        <v>8.1999999999999993</v>
      </c>
      <c r="T59" s="153">
        <v>20.09</v>
      </c>
    </row>
    <row r="60" spans="2:20" ht="28">
      <c r="B60" s="5" t="s">
        <v>215</v>
      </c>
      <c r="C60" s="45" t="s">
        <v>165</v>
      </c>
      <c r="D60" s="45" t="s">
        <v>216</v>
      </c>
      <c r="E60" s="6" t="s">
        <v>217</v>
      </c>
      <c r="F60" s="45" t="s">
        <v>168</v>
      </c>
      <c r="G60" s="46">
        <f t="shared" si="0"/>
        <v>50</v>
      </c>
      <c r="H60" s="46">
        <f>TRUNC(S60*(1-LOTE_01!$K$10),2)</f>
        <v>0</v>
      </c>
      <c r="I60" s="46">
        <f>TRUNC(T60*(1-LOTE_01!$K$10),2)</f>
        <v>1.47</v>
      </c>
      <c r="J60" s="100">
        <f t="shared" si="1"/>
        <v>0.22470000000000001</v>
      </c>
      <c r="K60" s="48">
        <f t="shared" si="2"/>
        <v>0</v>
      </c>
      <c r="L60" s="48">
        <f t="shared" si="3"/>
        <v>1.8</v>
      </c>
      <c r="M60" s="48">
        <f t="shared" si="6"/>
        <v>0</v>
      </c>
      <c r="N60" s="48">
        <f t="shared" si="4"/>
        <v>90</v>
      </c>
      <c r="O60" s="50">
        <f t="shared" si="5"/>
        <v>90</v>
      </c>
      <c r="P60" s="50">
        <v>0</v>
      </c>
      <c r="Q60" s="76"/>
      <c r="R60" s="140">
        <f>IF((50*S9+50*S10)&gt;50,50,(50*S9+50*S10))</f>
        <v>50</v>
      </c>
      <c r="S60" s="152">
        <v>0</v>
      </c>
      <c r="T60" s="153">
        <v>1.47</v>
      </c>
    </row>
    <row r="61" spans="2:20" ht="28">
      <c r="B61" s="5" t="s">
        <v>218</v>
      </c>
      <c r="C61" s="45" t="s">
        <v>165</v>
      </c>
      <c r="D61" s="45" t="s">
        <v>219</v>
      </c>
      <c r="E61" s="6" t="s">
        <v>220</v>
      </c>
      <c r="F61" s="45" t="s">
        <v>168</v>
      </c>
      <c r="G61" s="46">
        <f t="shared" si="0"/>
        <v>500</v>
      </c>
      <c r="H61" s="46">
        <f>TRUNC(S61*(1-LOTE_01!$K$10),2)</f>
        <v>0</v>
      </c>
      <c r="I61" s="46">
        <f>TRUNC(T61*(1-LOTE_01!$K$10),2)</f>
        <v>13.19</v>
      </c>
      <c r="J61" s="100">
        <f t="shared" si="1"/>
        <v>0.22470000000000001</v>
      </c>
      <c r="K61" s="48">
        <f t="shared" si="2"/>
        <v>0</v>
      </c>
      <c r="L61" s="48">
        <f t="shared" si="3"/>
        <v>16.149999999999999</v>
      </c>
      <c r="M61" s="48">
        <f t="shared" si="6"/>
        <v>0</v>
      </c>
      <c r="N61" s="48">
        <f t="shared" si="4"/>
        <v>8075</v>
      </c>
      <c r="O61" s="50">
        <f t="shared" si="5"/>
        <v>8075</v>
      </c>
      <c r="P61" s="50">
        <v>0</v>
      </c>
      <c r="Q61" s="76"/>
      <c r="R61" s="140">
        <f>IF((20*S9+200*S10)&gt;500,500,((20*S9+200*S10)))</f>
        <v>500</v>
      </c>
      <c r="S61" s="152">
        <v>0</v>
      </c>
      <c r="T61" s="153">
        <v>13.19</v>
      </c>
    </row>
    <row r="62" spans="2:20" ht="42">
      <c r="B62" s="5" t="s">
        <v>221</v>
      </c>
      <c r="C62" s="45" t="s">
        <v>135</v>
      </c>
      <c r="D62" s="45">
        <v>97641</v>
      </c>
      <c r="E62" s="6" t="s">
        <v>222</v>
      </c>
      <c r="F62" s="45" t="s">
        <v>121</v>
      </c>
      <c r="G62" s="46">
        <f t="shared" si="0"/>
        <v>100</v>
      </c>
      <c r="H62" s="46">
        <f>TRUNC(S62*(1-LOTE_01!$K$10),2)</f>
        <v>0.96</v>
      </c>
      <c r="I62" s="46">
        <f>TRUNC(T62*(1-LOTE_01!$K$10),2)</f>
        <v>2.31</v>
      </c>
      <c r="J62" s="100">
        <f t="shared" si="1"/>
        <v>0.22470000000000001</v>
      </c>
      <c r="K62" s="48">
        <f t="shared" si="2"/>
        <v>1.17</v>
      </c>
      <c r="L62" s="48">
        <f t="shared" si="3"/>
        <v>2.82</v>
      </c>
      <c r="M62" s="48">
        <f t="shared" si="6"/>
        <v>117</v>
      </c>
      <c r="N62" s="48">
        <f t="shared" si="4"/>
        <v>282</v>
      </c>
      <c r="O62" s="50">
        <f t="shared" si="5"/>
        <v>399</v>
      </c>
      <c r="P62" s="50">
        <v>0</v>
      </c>
      <c r="Q62" s="76"/>
      <c r="R62" s="140">
        <f>IF((5*S9+20*S10)&gt;500,500,(5*S9+20*S10))</f>
        <v>100</v>
      </c>
      <c r="S62" s="152">
        <v>0.96</v>
      </c>
      <c r="T62" s="153">
        <v>2.31</v>
      </c>
    </row>
    <row r="63" spans="2:20" ht="42">
      <c r="B63" s="5" t="s">
        <v>223</v>
      </c>
      <c r="C63" s="45" t="s">
        <v>135</v>
      </c>
      <c r="D63" s="45">
        <v>97640</v>
      </c>
      <c r="E63" s="6" t="s">
        <v>224</v>
      </c>
      <c r="F63" s="45" t="s">
        <v>121</v>
      </c>
      <c r="G63" s="46">
        <f t="shared" si="0"/>
        <v>2000</v>
      </c>
      <c r="H63" s="46">
        <f>TRUNC(S63*(1-LOTE_01!$K$10),2)</f>
        <v>0.63</v>
      </c>
      <c r="I63" s="46">
        <f>TRUNC(T63*(1-LOTE_01!$K$10),2)</f>
        <v>1.55</v>
      </c>
      <c r="J63" s="100">
        <f t="shared" si="1"/>
        <v>0.22470000000000001</v>
      </c>
      <c r="K63" s="48">
        <f t="shared" si="2"/>
        <v>0.77</v>
      </c>
      <c r="L63" s="48">
        <f t="shared" si="3"/>
        <v>1.89</v>
      </c>
      <c r="M63" s="48">
        <f t="shared" si="6"/>
        <v>1540</v>
      </c>
      <c r="N63" s="48">
        <f t="shared" si="4"/>
        <v>3780</v>
      </c>
      <c r="O63" s="50">
        <f t="shared" si="5"/>
        <v>5320</v>
      </c>
      <c r="P63" s="50">
        <v>0</v>
      </c>
      <c r="Q63" s="76"/>
      <c r="R63" s="140">
        <f>IF((200*S9+200*S10)&gt;2000,2000,((20*S9+200*S10)))</f>
        <v>2000</v>
      </c>
      <c r="S63" s="152">
        <v>0.63000000000000012</v>
      </c>
      <c r="T63" s="153">
        <v>1.55</v>
      </c>
    </row>
    <row r="64" spans="2:20" ht="42">
      <c r="B64" s="5" t="s">
        <v>225</v>
      </c>
      <c r="C64" s="45" t="s">
        <v>135</v>
      </c>
      <c r="D64" s="45">
        <v>97663</v>
      </c>
      <c r="E64" s="6" t="s">
        <v>226</v>
      </c>
      <c r="F64" s="45" t="s">
        <v>210</v>
      </c>
      <c r="G64" s="46">
        <f t="shared" si="0"/>
        <v>550</v>
      </c>
      <c r="H64" s="46">
        <f>TRUNC(S64*(1-LOTE_01!$K$10),2)</f>
        <v>4.05</v>
      </c>
      <c r="I64" s="46">
        <f>TRUNC(T64*(1-LOTE_01!$K$10),2)</f>
        <v>10.130000000000001</v>
      </c>
      <c r="J64" s="100">
        <f t="shared" si="1"/>
        <v>0.22470000000000001</v>
      </c>
      <c r="K64" s="48">
        <f t="shared" si="2"/>
        <v>4.96</v>
      </c>
      <c r="L64" s="48">
        <f t="shared" si="3"/>
        <v>12.4</v>
      </c>
      <c r="M64" s="48">
        <f t="shared" si="6"/>
        <v>2728</v>
      </c>
      <c r="N64" s="48">
        <f t="shared" si="4"/>
        <v>6820</v>
      </c>
      <c r="O64" s="50">
        <f t="shared" si="5"/>
        <v>9548</v>
      </c>
      <c r="P64" s="50">
        <v>0</v>
      </c>
      <c r="Q64" s="76"/>
      <c r="R64" s="140">
        <f>50*(S9+S10)</f>
        <v>550</v>
      </c>
      <c r="S64" s="152">
        <v>4.0499999999999989</v>
      </c>
      <c r="T64" s="153">
        <v>10.130000000000001</v>
      </c>
    </row>
    <row r="65" spans="2:20" ht="42">
      <c r="B65" s="5" t="s">
        <v>227</v>
      </c>
      <c r="C65" s="45" t="s">
        <v>135</v>
      </c>
      <c r="D65" s="45">
        <v>97638</v>
      </c>
      <c r="E65" s="6" t="s">
        <v>228</v>
      </c>
      <c r="F65" s="45" t="s">
        <v>121</v>
      </c>
      <c r="G65" s="46">
        <f t="shared" si="0"/>
        <v>460</v>
      </c>
      <c r="H65" s="46">
        <f>TRUNC(S65*(1-LOTE_01!$K$10),2)</f>
        <v>2.69</v>
      </c>
      <c r="I65" s="46">
        <f>TRUNC(T65*(1-LOTE_01!$K$10),2)</f>
        <v>6.66</v>
      </c>
      <c r="J65" s="100">
        <f t="shared" si="1"/>
        <v>0.22470000000000001</v>
      </c>
      <c r="K65" s="48">
        <f t="shared" si="2"/>
        <v>3.29</v>
      </c>
      <c r="L65" s="48">
        <f t="shared" si="3"/>
        <v>8.15</v>
      </c>
      <c r="M65" s="48">
        <f t="shared" si="6"/>
        <v>1513.4</v>
      </c>
      <c r="N65" s="48">
        <f t="shared" si="4"/>
        <v>3749</v>
      </c>
      <c r="O65" s="50">
        <f t="shared" si="5"/>
        <v>5262.4</v>
      </c>
      <c r="P65" s="50">
        <v>0</v>
      </c>
      <c r="Q65" s="76"/>
      <c r="R65" s="140">
        <f>IF((20*S9+100*S10)&gt;500,500,(20*S9+100*S10))</f>
        <v>460</v>
      </c>
      <c r="S65" s="152">
        <v>2.6899999999999995</v>
      </c>
      <c r="T65" s="153">
        <v>6.66</v>
      </c>
    </row>
    <row r="66" spans="2:20" ht="56">
      <c r="B66" s="5" t="s">
        <v>229</v>
      </c>
      <c r="C66" s="45" t="s">
        <v>135</v>
      </c>
      <c r="D66" s="45">
        <v>97642</v>
      </c>
      <c r="E66" s="6" t="s">
        <v>230</v>
      </c>
      <c r="F66" s="45" t="s">
        <v>121</v>
      </c>
      <c r="G66" s="46">
        <f t="shared" si="0"/>
        <v>680</v>
      </c>
      <c r="H66" s="46">
        <f>TRUNC(S66*(1-LOTE_01!$K$10),2)</f>
        <v>0.9</v>
      </c>
      <c r="I66" s="46">
        <f>TRUNC(T66*(1-LOTE_01!$K$10),2)</f>
        <v>2.23</v>
      </c>
      <c r="J66" s="100">
        <f t="shared" si="1"/>
        <v>0.22470000000000001</v>
      </c>
      <c r="K66" s="48">
        <f t="shared" si="2"/>
        <v>1.1000000000000001</v>
      </c>
      <c r="L66" s="48">
        <f t="shared" si="3"/>
        <v>2.73</v>
      </c>
      <c r="M66" s="48">
        <f t="shared" si="6"/>
        <v>748</v>
      </c>
      <c r="N66" s="48">
        <f t="shared" si="4"/>
        <v>1856.4</v>
      </c>
      <c r="O66" s="50">
        <f t="shared" si="5"/>
        <v>2604.4</v>
      </c>
      <c r="P66" s="50">
        <v>0</v>
      </c>
      <c r="Q66" s="76"/>
      <c r="R66" s="140">
        <f>IF((10*S9+200*S10)&gt;2000,2000,((10*S9+200*S10)))</f>
        <v>680</v>
      </c>
      <c r="S66" s="152">
        <v>0.89999999999999991</v>
      </c>
      <c r="T66" s="153">
        <v>2.23</v>
      </c>
    </row>
    <row r="67" spans="2:20" ht="42">
      <c r="B67" s="5" t="s">
        <v>231</v>
      </c>
      <c r="C67" s="45" t="s">
        <v>135</v>
      </c>
      <c r="D67" s="45">
        <v>97650</v>
      </c>
      <c r="E67" s="6" t="s">
        <v>232</v>
      </c>
      <c r="F67" s="45" t="s">
        <v>121</v>
      </c>
      <c r="G67" s="46">
        <f t="shared" si="0"/>
        <v>1000</v>
      </c>
      <c r="H67" s="46">
        <f>TRUNC(S67*(1-LOTE_01!$K$10),2)</f>
        <v>2.5</v>
      </c>
      <c r="I67" s="46">
        <f>TRUNC(T67*(1-LOTE_01!$K$10),2)</f>
        <v>6.08</v>
      </c>
      <c r="J67" s="100">
        <f t="shared" si="1"/>
        <v>0.22470000000000001</v>
      </c>
      <c r="K67" s="48">
        <f t="shared" si="2"/>
        <v>3.06</v>
      </c>
      <c r="L67" s="48">
        <f t="shared" si="3"/>
        <v>7.44</v>
      </c>
      <c r="M67" s="48">
        <f t="shared" si="6"/>
        <v>3060</v>
      </c>
      <c r="N67" s="48">
        <f t="shared" si="4"/>
        <v>7440</v>
      </c>
      <c r="O67" s="50">
        <f t="shared" si="5"/>
        <v>10500</v>
      </c>
      <c r="P67" s="50">
        <v>0</v>
      </c>
      <c r="Q67" s="76"/>
      <c r="R67" s="140">
        <f>IF((20*S9+300*S10)&gt;1000,1000,(20*S9+100*S10))</f>
        <v>1000</v>
      </c>
      <c r="S67" s="152">
        <v>2.5</v>
      </c>
      <c r="T67" s="153">
        <v>6.08</v>
      </c>
    </row>
    <row r="68" spans="2:20" ht="56">
      <c r="B68" s="5" t="s">
        <v>233</v>
      </c>
      <c r="C68" s="45" t="s">
        <v>135</v>
      </c>
      <c r="D68" s="45">
        <v>97637</v>
      </c>
      <c r="E68" s="6" t="s">
        <v>234</v>
      </c>
      <c r="F68" s="45" t="s">
        <v>121</v>
      </c>
      <c r="G68" s="46">
        <f t="shared" si="0"/>
        <v>100</v>
      </c>
      <c r="H68" s="46">
        <f>TRUNC(S68*(1-LOTE_01!$K$10),2)</f>
        <v>0.93</v>
      </c>
      <c r="I68" s="46">
        <f>TRUNC(T68*(1-LOTE_01!$K$10),2)</f>
        <v>2.29</v>
      </c>
      <c r="J68" s="100">
        <f t="shared" si="1"/>
        <v>0.22470000000000001</v>
      </c>
      <c r="K68" s="48">
        <f t="shared" si="2"/>
        <v>1.1299999999999999</v>
      </c>
      <c r="L68" s="48">
        <f t="shared" si="3"/>
        <v>2.8</v>
      </c>
      <c r="M68" s="48">
        <f t="shared" si="6"/>
        <v>113</v>
      </c>
      <c r="N68" s="48">
        <f t="shared" si="4"/>
        <v>280</v>
      </c>
      <c r="O68" s="50">
        <f t="shared" si="5"/>
        <v>393</v>
      </c>
      <c r="P68" s="50">
        <v>0</v>
      </c>
      <c r="Q68" s="76"/>
      <c r="R68" s="140">
        <f>IF((10*S9+30*3*S10)&gt;100,100,(10*S9+15*3*S10))</f>
        <v>100</v>
      </c>
      <c r="S68" s="152">
        <v>0.93000000000000016</v>
      </c>
      <c r="T68" s="153">
        <v>2.29</v>
      </c>
    </row>
    <row r="69" spans="2:20" ht="42">
      <c r="B69" s="5" t="s">
        <v>235</v>
      </c>
      <c r="C69" s="45" t="s">
        <v>135</v>
      </c>
      <c r="D69" s="45">
        <v>97644</v>
      </c>
      <c r="E69" s="6" t="s">
        <v>236</v>
      </c>
      <c r="F69" s="45" t="s">
        <v>121</v>
      </c>
      <c r="G69" s="46">
        <f t="shared" si="0"/>
        <v>62.37</v>
      </c>
      <c r="H69" s="46">
        <f>TRUNC(S69*(1-LOTE_01!$K$10),2)</f>
        <v>3.12</v>
      </c>
      <c r="I69" s="46">
        <f>TRUNC(T69*(1-LOTE_01!$K$10),2)</f>
        <v>7.59</v>
      </c>
      <c r="J69" s="100">
        <f t="shared" si="1"/>
        <v>0.22470000000000001</v>
      </c>
      <c r="K69" s="48">
        <f t="shared" si="2"/>
        <v>3.82</v>
      </c>
      <c r="L69" s="48">
        <f t="shared" si="3"/>
        <v>9.2899999999999991</v>
      </c>
      <c r="M69" s="48">
        <f t="shared" si="6"/>
        <v>238.25</v>
      </c>
      <c r="N69" s="48">
        <f t="shared" si="4"/>
        <v>579.41</v>
      </c>
      <c r="O69" s="50">
        <f t="shared" si="5"/>
        <v>817.66</v>
      </c>
      <c r="P69" s="50">
        <v>0</v>
      </c>
      <c r="Q69" s="76"/>
      <c r="R69" s="140">
        <f>IF((0.9*2.1*3*S9+0.9*2.1*3*S10)&gt;100,100,(0.9*2.1*3*S9+0.9*2.1*3*S10))</f>
        <v>62.37</v>
      </c>
      <c r="S69" s="152">
        <v>3.120000000000001</v>
      </c>
      <c r="T69" s="153">
        <v>7.59</v>
      </c>
    </row>
    <row r="70" spans="2:20" ht="42">
      <c r="B70" s="5" t="s">
        <v>237</v>
      </c>
      <c r="C70" s="45" t="s">
        <v>135</v>
      </c>
      <c r="D70" s="45">
        <v>97645</v>
      </c>
      <c r="E70" s="6" t="s">
        <v>238</v>
      </c>
      <c r="F70" s="45" t="s">
        <v>121</v>
      </c>
      <c r="G70" s="46">
        <f t="shared" si="0"/>
        <v>100</v>
      </c>
      <c r="H70" s="46">
        <f>TRUNC(S70*(1-LOTE_01!$K$10),2)</f>
        <v>8.0299999999999994</v>
      </c>
      <c r="I70" s="46">
        <f>TRUNC(T70*(1-LOTE_01!$K$10),2)</f>
        <v>19.62</v>
      </c>
      <c r="J70" s="100">
        <f t="shared" si="1"/>
        <v>0.22470000000000001</v>
      </c>
      <c r="K70" s="48">
        <f t="shared" si="2"/>
        <v>9.83</v>
      </c>
      <c r="L70" s="48">
        <f t="shared" si="3"/>
        <v>24.02</v>
      </c>
      <c r="M70" s="48">
        <f t="shared" si="6"/>
        <v>983</v>
      </c>
      <c r="N70" s="48">
        <f t="shared" si="4"/>
        <v>2402</v>
      </c>
      <c r="O70" s="50">
        <f t="shared" si="5"/>
        <v>3385</v>
      </c>
      <c r="P70" s="50">
        <v>0</v>
      </c>
      <c r="Q70" s="76"/>
      <c r="R70" s="140">
        <f>IF((1.5*1*5*2*S9+1.5*1.5*3*(S10))&gt;100,100,(1.5*1*5*2*S9+1.5*1.5*3*(S10)))</f>
        <v>100</v>
      </c>
      <c r="S70" s="152">
        <v>8.0299999999999976</v>
      </c>
      <c r="T70" s="153">
        <v>19.62</v>
      </c>
    </row>
    <row r="71" spans="2:20" ht="56">
      <c r="B71" s="5" t="s">
        <v>239</v>
      </c>
      <c r="C71" s="45" t="s">
        <v>135</v>
      </c>
      <c r="D71" s="45">
        <v>97647</v>
      </c>
      <c r="E71" s="6" t="s">
        <v>240</v>
      </c>
      <c r="F71" s="45" t="s">
        <v>121</v>
      </c>
      <c r="G71" s="46">
        <f t="shared" si="0"/>
        <v>760</v>
      </c>
      <c r="H71" s="46">
        <f>TRUNC(S71*(1-LOTE_01!$K$10),2)</f>
        <v>1.1599999999999999</v>
      </c>
      <c r="I71" s="46">
        <f>TRUNC(T71*(1-LOTE_01!$K$10),2)</f>
        <v>2.81</v>
      </c>
      <c r="J71" s="100">
        <f t="shared" si="1"/>
        <v>0.22470000000000001</v>
      </c>
      <c r="K71" s="48">
        <f t="shared" si="2"/>
        <v>1.42</v>
      </c>
      <c r="L71" s="48">
        <f t="shared" si="3"/>
        <v>3.44</v>
      </c>
      <c r="M71" s="48">
        <f t="shared" si="6"/>
        <v>1079.2</v>
      </c>
      <c r="N71" s="48">
        <f t="shared" si="4"/>
        <v>2614.4</v>
      </c>
      <c r="O71" s="50">
        <f t="shared" si="5"/>
        <v>3693.6</v>
      </c>
      <c r="P71" s="50">
        <v>0</v>
      </c>
      <c r="Q71" s="76"/>
      <c r="R71" s="140">
        <f>IF((200*S9+300*S10)&gt;3000,3000,(20*S9+200*S10))</f>
        <v>760</v>
      </c>
      <c r="S71" s="152">
        <v>1.1600000000000001</v>
      </c>
      <c r="T71" s="153">
        <v>2.81</v>
      </c>
    </row>
    <row r="72" spans="2:20" ht="42">
      <c r="B72" s="5" t="s">
        <v>241</v>
      </c>
      <c r="C72" s="45" t="s">
        <v>97</v>
      </c>
      <c r="D72" s="45" t="s">
        <v>242</v>
      </c>
      <c r="E72" s="6" t="s">
        <v>243</v>
      </c>
      <c r="F72" s="45" t="s">
        <v>121</v>
      </c>
      <c r="G72" s="46">
        <f t="shared" si="0"/>
        <v>680</v>
      </c>
      <c r="H72" s="46">
        <f>TRUNC(S72*(1-LOTE_01!$K$10),2)</f>
        <v>5.24</v>
      </c>
      <c r="I72" s="46">
        <f>TRUNC(T72*(1-LOTE_01!$K$10),2)</f>
        <v>12.91</v>
      </c>
      <c r="J72" s="100">
        <f t="shared" si="1"/>
        <v>0.22470000000000001</v>
      </c>
      <c r="K72" s="48">
        <f t="shared" si="2"/>
        <v>6.41</v>
      </c>
      <c r="L72" s="48">
        <f t="shared" si="3"/>
        <v>15.81</v>
      </c>
      <c r="M72" s="48">
        <f t="shared" si="6"/>
        <v>4358.8</v>
      </c>
      <c r="N72" s="48">
        <f t="shared" si="4"/>
        <v>10750.8</v>
      </c>
      <c r="O72" s="50">
        <f t="shared" si="5"/>
        <v>15109.6</v>
      </c>
      <c r="P72" s="50">
        <v>0</v>
      </c>
      <c r="Q72" s="76"/>
      <c r="R72" s="140">
        <f>10*S9+200*S10</f>
        <v>680</v>
      </c>
      <c r="S72" s="152">
        <v>5.24</v>
      </c>
      <c r="T72" s="153">
        <v>12.91</v>
      </c>
    </row>
    <row r="73" spans="2:20" ht="42">
      <c r="B73" s="5" t="s">
        <v>244</v>
      </c>
      <c r="C73" s="45" t="s">
        <v>135</v>
      </c>
      <c r="D73" s="45">
        <v>97655</v>
      </c>
      <c r="E73" s="6" t="s">
        <v>245</v>
      </c>
      <c r="F73" s="45" t="s">
        <v>121</v>
      </c>
      <c r="G73" s="46">
        <f t="shared" si="0"/>
        <v>460</v>
      </c>
      <c r="H73" s="46">
        <f>TRUNC(S73*(1-LOTE_01!$K$10),2)</f>
        <v>26.45</v>
      </c>
      <c r="I73" s="46">
        <f>TRUNC(T73*(1-LOTE_01!$K$10),2)</f>
        <v>14.37</v>
      </c>
      <c r="J73" s="100">
        <f t="shared" si="1"/>
        <v>0.22470000000000001</v>
      </c>
      <c r="K73" s="48">
        <f t="shared" si="2"/>
        <v>32.39</v>
      </c>
      <c r="L73" s="48">
        <f t="shared" si="3"/>
        <v>17.59</v>
      </c>
      <c r="M73" s="48">
        <f t="shared" si="6"/>
        <v>14899.4</v>
      </c>
      <c r="N73" s="48">
        <f t="shared" si="4"/>
        <v>8091.4</v>
      </c>
      <c r="O73" s="50">
        <f t="shared" si="5"/>
        <v>22990.799999999999</v>
      </c>
      <c r="P73" s="50">
        <v>0</v>
      </c>
      <c r="Q73" s="76"/>
      <c r="R73" s="140">
        <f>IF((20*S9+100*S10)&gt;500,500,(20*S9+100*S10))</f>
        <v>460</v>
      </c>
      <c r="S73" s="152">
        <v>26.450000000000003</v>
      </c>
      <c r="T73" s="153">
        <v>14.37</v>
      </c>
    </row>
    <row r="74" spans="2:20" ht="42">
      <c r="B74" s="5" t="s">
        <v>246</v>
      </c>
      <c r="C74" s="45" t="s">
        <v>97</v>
      </c>
      <c r="D74" s="45" t="s">
        <v>247</v>
      </c>
      <c r="E74" s="6" t="s">
        <v>248</v>
      </c>
      <c r="F74" s="45" t="s">
        <v>104</v>
      </c>
      <c r="G74" s="46">
        <f t="shared" si="0"/>
        <v>11</v>
      </c>
      <c r="H74" s="46">
        <f>TRUNC(S74*(1-LOTE_01!$K$10),2)</f>
        <v>0</v>
      </c>
      <c r="I74" s="46">
        <f>TRUNC(T74*(1-LOTE_01!$K$10),2)</f>
        <v>62.44</v>
      </c>
      <c r="J74" s="100">
        <f t="shared" si="1"/>
        <v>0.22470000000000001</v>
      </c>
      <c r="K74" s="48">
        <f t="shared" si="2"/>
        <v>0</v>
      </c>
      <c r="L74" s="48">
        <f t="shared" si="3"/>
        <v>76.47</v>
      </c>
      <c r="M74" s="48">
        <f t="shared" si="6"/>
        <v>0</v>
      </c>
      <c r="N74" s="48">
        <f t="shared" si="4"/>
        <v>841.17</v>
      </c>
      <c r="O74" s="50">
        <f t="shared" si="5"/>
        <v>841.17</v>
      </c>
      <c r="P74" s="50">
        <v>0</v>
      </c>
      <c r="Q74" s="76"/>
      <c r="R74" s="140">
        <f>IF((1*S9+2*S10)&gt;20,20,(1*S9+1*S10))</f>
        <v>11</v>
      </c>
      <c r="S74" s="152">
        <v>0</v>
      </c>
      <c r="T74" s="153">
        <v>62.44</v>
      </c>
    </row>
    <row r="75" spans="2:20" ht="42">
      <c r="B75" s="5" t="s">
        <v>249</v>
      </c>
      <c r="C75" s="45" t="s">
        <v>135</v>
      </c>
      <c r="D75" s="45">
        <v>102190</v>
      </c>
      <c r="E75" s="6" t="s">
        <v>1770</v>
      </c>
      <c r="F75" s="45" t="s">
        <v>121</v>
      </c>
      <c r="G75" s="46">
        <f t="shared" si="0"/>
        <v>55</v>
      </c>
      <c r="H75" s="46">
        <f>TRUNC(S75*(1-LOTE_01!$K$10),2)</f>
        <v>5.5</v>
      </c>
      <c r="I75" s="46">
        <f>TRUNC(T75*(1-LOTE_01!$K$10),2)</f>
        <v>13.61</v>
      </c>
      <c r="J75" s="100">
        <f t="shared" si="1"/>
        <v>0.22470000000000001</v>
      </c>
      <c r="K75" s="48">
        <f t="shared" si="2"/>
        <v>6.73</v>
      </c>
      <c r="L75" s="48">
        <f t="shared" si="3"/>
        <v>16.66</v>
      </c>
      <c r="M75" s="48">
        <f t="shared" si="6"/>
        <v>370.15</v>
      </c>
      <c r="N75" s="48">
        <f t="shared" si="4"/>
        <v>916.3</v>
      </c>
      <c r="O75" s="50">
        <f t="shared" si="5"/>
        <v>1286.45</v>
      </c>
      <c r="P75" s="50">
        <v>0</v>
      </c>
      <c r="Q75" s="76"/>
      <c r="R75" s="140">
        <f>IF((5*S9+5*S10)&gt;100,100,(5*S9+5*S10))</f>
        <v>55</v>
      </c>
      <c r="S75" s="152">
        <v>5.5</v>
      </c>
      <c r="T75" s="153">
        <v>13.61</v>
      </c>
    </row>
    <row r="76" spans="2:20" ht="56">
      <c r="B76" s="5" t="s">
        <v>250</v>
      </c>
      <c r="C76" s="45" t="s">
        <v>135</v>
      </c>
      <c r="D76" s="45">
        <v>97662</v>
      </c>
      <c r="E76" s="6" t="s">
        <v>251</v>
      </c>
      <c r="F76" s="45" t="s">
        <v>187</v>
      </c>
      <c r="G76" s="46">
        <f t="shared" si="0"/>
        <v>340</v>
      </c>
      <c r="H76" s="46">
        <f>TRUNC(S76*(1-LOTE_01!$K$10),2)</f>
        <v>0.17</v>
      </c>
      <c r="I76" s="46">
        <f>TRUNC(T76*(1-LOTE_01!$K$10),2)</f>
        <v>0.4</v>
      </c>
      <c r="J76" s="100">
        <f t="shared" si="1"/>
        <v>0.22470000000000001</v>
      </c>
      <c r="K76" s="48">
        <f t="shared" si="2"/>
        <v>0.2</v>
      </c>
      <c r="L76" s="48">
        <f t="shared" si="3"/>
        <v>0.48</v>
      </c>
      <c r="M76" s="48">
        <f t="shared" si="6"/>
        <v>68</v>
      </c>
      <c r="N76" s="48">
        <f t="shared" si="4"/>
        <v>163.19999999999999</v>
      </c>
      <c r="O76" s="50">
        <f t="shared" si="5"/>
        <v>231.2</v>
      </c>
      <c r="P76" s="50">
        <v>0</v>
      </c>
      <c r="Q76" s="76"/>
      <c r="R76" s="140">
        <f>IF((5*S9+100*S10)&gt;500,500,(5*S9+100*S10))</f>
        <v>340</v>
      </c>
      <c r="S76" s="152">
        <v>0.16999999999999993</v>
      </c>
      <c r="T76" s="153">
        <v>0.4</v>
      </c>
    </row>
    <row r="77" spans="2:20" ht="42">
      <c r="B77" s="5" t="s">
        <v>252</v>
      </c>
      <c r="C77" s="45" t="s">
        <v>135</v>
      </c>
      <c r="D77" s="45">
        <v>97664</v>
      </c>
      <c r="E77" s="6" t="s">
        <v>253</v>
      </c>
      <c r="F77" s="45" t="s">
        <v>210</v>
      </c>
      <c r="G77" s="46">
        <f t="shared" si="0"/>
        <v>30</v>
      </c>
      <c r="H77" s="46">
        <f>TRUNC(S77*(1-LOTE_01!$K$10),2)</f>
        <v>0.52</v>
      </c>
      <c r="I77" s="46">
        <f>TRUNC(T77*(1-LOTE_01!$K$10),2)</f>
        <v>1.25</v>
      </c>
      <c r="J77" s="100">
        <f t="shared" si="1"/>
        <v>0.22470000000000001</v>
      </c>
      <c r="K77" s="48">
        <f t="shared" si="2"/>
        <v>0.63</v>
      </c>
      <c r="L77" s="48">
        <f t="shared" si="3"/>
        <v>1.53</v>
      </c>
      <c r="M77" s="48">
        <f t="shared" si="6"/>
        <v>18.899999999999999</v>
      </c>
      <c r="N77" s="48">
        <f t="shared" si="4"/>
        <v>45.9</v>
      </c>
      <c r="O77" s="50">
        <f t="shared" si="5"/>
        <v>64.8</v>
      </c>
      <c r="P77" s="50">
        <v>0</v>
      </c>
      <c r="Q77" s="76"/>
      <c r="R77" s="140">
        <f>IF((2*S9+8*S10)&gt;30,30,(2*S9+8*S10))</f>
        <v>30</v>
      </c>
      <c r="S77" s="152">
        <v>0.52</v>
      </c>
      <c r="T77" s="153">
        <v>1.25</v>
      </c>
    </row>
    <row r="78" spans="2:20" ht="28">
      <c r="B78" s="5" t="s">
        <v>254</v>
      </c>
      <c r="C78" s="45" t="s">
        <v>97</v>
      </c>
      <c r="D78" s="45" t="s">
        <v>255</v>
      </c>
      <c r="E78" s="6" t="s">
        <v>256</v>
      </c>
      <c r="F78" s="45" t="s">
        <v>121</v>
      </c>
      <c r="G78" s="46">
        <f t="shared" si="0"/>
        <v>420</v>
      </c>
      <c r="H78" s="46">
        <f>TRUNC(S78*(1-LOTE_01!$K$10),2)</f>
        <v>2.23</v>
      </c>
      <c r="I78" s="46">
        <f>TRUNC(T78*(1-LOTE_01!$K$10),2)</f>
        <v>4.91</v>
      </c>
      <c r="J78" s="100">
        <f t="shared" si="1"/>
        <v>0.22470000000000001</v>
      </c>
      <c r="K78" s="48">
        <f t="shared" si="2"/>
        <v>2.73</v>
      </c>
      <c r="L78" s="48">
        <f t="shared" si="3"/>
        <v>6.01</v>
      </c>
      <c r="M78" s="48">
        <f t="shared" si="6"/>
        <v>1146.5999999999999</v>
      </c>
      <c r="N78" s="48">
        <f t="shared" si="4"/>
        <v>2524.1999999999998</v>
      </c>
      <c r="O78" s="50">
        <f t="shared" si="5"/>
        <v>3670.8</v>
      </c>
      <c r="P78" s="50">
        <v>0</v>
      </c>
      <c r="Q78" s="76"/>
      <c r="R78" s="140">
        <f>IF((30*S9+3*20*S10)&gt;500,500,(30*S9+3*20*S10))</f>
        <v>420</v>
      </c>
      <c r="S78" s="152">
        <v>2.23</v>
      </c>
      <c r="T78" s="153">
        <v>4.91</v>
      </c>
    </row>
    <row r="79" spans="2:20" ht="28">
      <c r="B79" s="5" t="s">
        <v>257</v>
      </c>
      <c r="C79" s="45" t="s">
        <v>97</v>
      </c>
      <c r="D79" s="45" t="s">
        <v>258</v>
      </c>
      <c r="E79" s="6" t="s">
        <v>259</v>
      </c>
      <c r="F79" s="45" t="s">
        <v>121</v>
      </c>
      <c r="G79" s="46">
        <f t="shared" si="0"/>
        <v>11</v>
      </c>
      <c r="H79" s="46">
        <f>TRUNC(S79*(1-LOTE_01!$K$10),2)</f>
        <v>8.59</v>
      </c>
      <c r="I79" s="46">
        <f>TRUNC(T79*(1-LOTE_01!$K$10),2)</f>
        <v>19.920000000000002</v>
      </c>
      <c r="J79" s="100">
        <f t="shared" si="1"/>
        <v>0.22470000000000001</v>
      </c>
      <c r="K79" s="48">
        <f t="shared" si="2"/>
        <v>10.52</v>
      </c>
      <c r="L79" s="48">
        <f t="shared" si="3"/>
        <v>24.39</v>
      </c>
      <c r="M79" s="48">
        <f t="shared" si="6"/>
        <v>115.72</v>
      </c>
      <c r="N79" s="48">
        <f t="shared" si="4"/>
        <v>268.29000000000002</v>
      </c>
      <c r="O79" s="50">
        <f t="shared" si="5"/>
        <v>384.01</v>
      </c>
      <c r="P79" s="50">
        <v>0</v>
      </c>
      <c r="Q79" s="76"/>
      <c r="R79" s="140">
        <f>IF((S9+S10)&gt;20,20,(S9+S10))</f>
        <v>11</v>
      </c>
      <c r="S79" s="152">
        <v>8.59</v>
      </c>
      <c r="T79" s="153">
        <v>19.920000000000002</v>
      </c>
    </row>
    <row r="80" spans="2:20" ht="28">
      <c r="B80" s="5" t="s">
        <v>260</v>
      </c>
      <c r="C80" s="45" t="s">
        <v>97</v>
      </c>
      <c r="D80" s="45" t="s">
        <v>261</v>
      </c>
      <c r="E80" s="6" t="s">
        <v>262</v>
      </c>
      <c r="F80" s="45" t="s">
        <v>121</v>
      </c>
      <c r="G80" s="46">
        <f t="shared" si="0"/>
        <v>31</v>
      </c>
      <c r="H80" s="46">
        <f>TRUNC(S80*(1-LOTE_01!$K$10),2)</f>
        <v>6.89</v>
      </c>
      <c r="I80" s="46">
        <f>TRUNC(T80*(1-LOTE_01!$K$10),2)</f>
        <v>17.37</v>
      </c>
      <c r="J80" s="100">
        <f t="shared" si="1"/>
        <v>0.22470000000000001</v>
      </c>
      <c r="K80" s="48">
        <f t="shared" si="2"/>
        <v>8.43</v>
      </c>
      <c r="L80" s="48">
        <f t="shared" si="3"/>
        <v>21.27</v>
      </c>
      <c r="M80" s="48">
        <f t="shared" si="6"/>
        <v>261.33</v>
      </c>
      <c r="N80" s="48">
        <f t="shared" si="4"/>
        <v>659.37</v>
      </c>
      <c r="O80" s="50">
        <f t="shared" si="5"/>
        <v>920.7</v>
      </c>
      <c r="P80" s="50">
        <v>0</v>
      </c>
      <c r="Q80" s="76"/>
      <c r="R80" s="140">
        <f>IF((5*S10)&gt;50,50,(2*S9+5*S10))</f>
        <v>31</v>
      </c>
      <c r="S80" s="152">
        <v>6.89</v>
      </c>
      <c r="T80" s="153">
        <v>17.37</v>
      </c>
    </row>
    <row r="81" spans="2:20" ht="28">
      <c r="B81" s="5" t="s">
        <v>263</v>
      </c>
      <c r="C81" s="45" t="s">
        <v>97</v>
      </c>
      <c r="D81" s="45" t="s">
        <v>264</v>
      </c>
      <c r="E81" s="6" t="s">
        <v>265</v>
      </c>
      <c r="F81" s="45" t="s">
        <v>104</v>
      </c>
      <c r="G81" s="46">
        <f t="shared" ref="G81:G134" si="7">TRUNC(R81,2)</f>
        <v>11</v>
      </c>
      <c r="H81" s="46">
        <f>TRUNC(S81*(1-LOTE_01!$K$10),2)</f>
        <v>7.46</v>
      </c>
      <c r="I81" s="46">
        <f>TRUNC(T81*(1-LOTE_01!$K$10),2)</f>
        <v>16.39</v>
      </c>
      <c r="J81" s="100">
        <f t="shared" ref="J81:J144" si="8">$J$4</f>
        <v>0.22470000000000001</v>
      </c>
      <c r="K81" s="48">
        <f t="shared" ref="K81:K144" si="9">TRUNC(H81*(1+J81),2)</f>
        <v>9.1300000000000008</v>
      </c>
      <c r="L81" s="48">
        <f t="shared" ref="L81:L144" si="10">TRUNC(I81*(1+J81),2)</f>
        <v>20.07</v>
      </c>
      <c r="M81" s="48">
        <f t="shared" ref="M81:M144" si="11">TRUNC(K81*G81,2)</f>
        <v>100.43</v>
      </c>
      <c r="N81" s="48">
        <f t="shared" ref="N81:N144" si="12">TRUNC(L81*G81,2)</f>
        <v>220.77</v>
      </c>
      <c r="O81" s="50">
        <f t="shared" ref="O81:O144" si="13">TRUNC(M81+N81,2)</f>
        <v>321.2</v>
      </c>
      <c r="P81" s="50">
        <v>0</v>
      </c>
      <c r="Q81" s="76"/>
      <c r="R81" s="140">
        <f>1*S9+1*S10</f>
        <v>11</v>
      </c>
      <c r="S81" s="152">
        <v>7.46</v>
      </c>
      <c r="T81" s="153">
        <v>16.39</v>
      </c>
    </row>
    <row r="82" spans="2:20" ht="28">
      <c r="B82" s="5" t="s">
        <v>266</v>
      </c>
      <c r="C82" s="45" t="s">
        <v>97</v>
      </c>
      <c r="D82" s="45" t="s">
        <v>267</v>
      </c>
      <c r="E82" s="6" t="s">
        <v>268</v>
      </c>
      <c r="F82" s="45" t="s">
        <v>104</v>
      </c>
      <c r="G82" s="46">
        <f t="shared" si="7"/>
        <v>22</v>
      </c>
      <c r="H82" s="46">
        <f>TRUNC(S82*(1-LOTE_01!$K$10),2)</f>
        <v>2.98</v>
      </c>
      <c r="I82" s="46">
        <f>TRUNC(T82*(1-LOTE_01!$K$10),2)</f>
        <v>6.55</v>
      </c>
      <c r="J82" s="100">
        <f t="shared" si="8"/>
        <v>0.22470000000000001</v>
      </c>
      <c r="K82" s="48">
        <f t="shared" si="9"/>
        <v>3.64</v>
      </c>
      <c r="L82" s="48">
        <f t="shared" si="10"/>
        <v>8.02</v>
      </c>
      <c r="M82" s="48">
        <f t="shared" si="11"/>
        <v>80.08</v>
      </c>
      <c r="N82" s="48">
        <f t="shared" si="12"/>
        <v>176.44</v>
      </c>
      <c r="O82" s="50">
        <f t="shared" si="13"/>
        <v>256.52</v>
      </c>
      <c r="P82" s="50">
        <v>0</v>
      </c>
      <c r="Q82" s="76"/>
      <c r="R82" s="140">
        <f>2*S9+2*(S10)</f>
        <v>22</v>
      </c>
      <c r="S82" s="152">
        <v>2.98</v>
      </c>
      <c r="T82" s="153">
        <v>6.55</v>
      </c>
    </row>
    <row r="83" spans="2:20" ht="28">
      <c r="B83" s="5" t="s">
        <v>269</v>
      </c>
      <c r="C83" s="45" t="s">
        <v>97</v>
      </c>
      <c r="D83" s="45" t="s">
        <v>270</v>
      </c>
      <c r="E83" s="6" t="s">
        <v>271</v>
      </c>
      <c r="F83" s="45" t="s">
        <v>104</v>
      </c>
      <c r="G83" s="46">
        <f t="shared" si="7"/>
        <v>22</v>
      </c>
      <c r="H83" s="46">
        <f>TRUNC(S83*(1-LOTE_01!$K$10),2)</f>
        <v>3.73</v>
      </c>
      <c r="I83" s="46">
        <f>TRUNC(T83*(1-LOTE_01!$K$10),2)</f>
        <v>8.19</v>
      </c>
      <c r="J83" s="100">
        <f t="shared" si="8"/>
        <v>0.22470000000000001</v>
      </c>
      <c r="K83" s="48">
        <f t="shared" si="9"/>
        <v>4.5599999999999996</v>
      </c>
      <c r="L83" s="48">
        <f t="shared" si="10"/>
        <v>10.029999999999999</v>
      </c>
      <c r="M83" s="48">
        <f t="shared" si="11"/>
        <v>100.32</v>
      </c>
      <c r="N83" s="48">
        <f t="shared" si="12"/>
        <v>220.66</v>
      </c>
      <c r="O83" s="50">
        <f t="shared" si="13"/>
        <v>320.98</v>
      </c>
      <c r="P83" s="50">
        <v>0</v>
      </c>
      <c r="Q83" s="76"/>
      <c r="R83" s="140">
        <f>2*S9+2*(S10)</f>
        <v>22</v>
      </c>
      <c r="S83" s="152">
        <v>3.73</v>
      </c>
      <c r="T83" s="153">
        <v>8.19</v>
      </c>
    </row>
    <row r="84" spans="2:20">
      <c r="B84" s="5" t="s">
        <v>272</v>
      </c>
      <c r="C84" s="45" t="s">
        <v>97</v>
      </c>
      <c r="D84" s="45" t="s">
        <v>273</v>
      </c>
      <c r="E84" s="6" t="s">
        <v>274</v>
      </c>
      <c r="F84" s="45" t="s">
        <v>104</v>
      </c>
      <c r="G84" s="46">
        <f t="shared" si="7"/>
        <v>110</v>
      </c>
      <c r="H84" s="46">
        <f>TRUNC(S84*(1-LOTE_01!$K$10),2)</f>
        <v>1.49</v>
      </c>
      <c r="I84" s="46">
        <f>TRUNC(T84*(1-LOTE_01!$K$10),2)</f>
        <v>3.27</v>
      </c>
      <c r="J84" s="100">
        <f t="shared" si="8"/>
        <v>0.22470000000000001</v>
      </c>
      <c r="K84" s="48">
        <f t="shared" si="9"/>
        <v>1.82</v>
      </c>
      <c r="L84" s="48">
        <f t="shared" si="10"/>
        <v>4</v>
      </c>
      <c r="M84" s="48">
        <f t="shared" si="11"/>
        <v>200.2</v>
      </c>
      <c r="N84" s="48">
        <f t="shared" si="12"/>
        <v>440</v>
      </c>
      <c r="O84" s="50">
        <f t="shared" si="13"/>
        <v>640.20000000000005</v>
      </c>
      <c r="P84" s="50">
        <v>0</v>
      </c>
      <c r="Q84" s="76"/>
      <c r="R84" s="140">
        <f>10*S9+10*S10</f>
        <v>110</v>
      </c>
      <c r="S84" s="152">
        <v>1.49</v>
      </c>
      <c r="T84" s="153">
        <v>3.27</v>
      </c>
    </row>
    <row r="85" spans="2:20" ht="28">
      <c r="B85" s="5" t="s">
        <v>275</v>
      </c>
      <c r="C85" s="45" t="s">
        <v>97</v>
      </c>
      <c r="D85" s="45" t="s">
        <v>276</v>
      </c>
      <c r="E85" s="6" t="s">
        <v>277</v>
      </c>
      <c r="F85" s="45" t="s">
        <v>104</v>
      </c>
      <c r="G85" s="46">
        <f t="shared" si="7"/>
        <v>55</v>
      </c>
      <c r="H85" s="46">
        <f>TRUNC(S85*(1-LOTE_01!$K$10),2)</f>
        <v>2.98</v>
      </c>
      <c r="I85" s="46">
        <f>TRUNC(T85*(1-LOTE_01!$K$10),2)</f>
        <v>6.55</v>
      </c>
      <c r="J85" s="100">
        <f t="shared" si="8"/>
        <v>0.22470000000000001</v>
      </c>
      <c r="K85" s="48">
        <f t="shared" si="9"/>
        <v>3.64</v>
      </c>
      <c r="L85" s="48">
        <f t="shared" si="10"/>
        <v>8.02</v>
      </c>
      <c r="M85" s="48">
        <f t="shared" si="11"/>
        <v>200.2</v>
      </c>
      <c r="N85" s="48">
        <f t="shared" si="12"/>
        <v>441.1</v>
      </c>
      <c r="O85" s="50">
        <f t="shared" si="13"/>
        <v>641.29999999999995</v>
      </c>
      <c r="P85" s="50">
        <v>0</v>
      </c>
      <c r="Q85" s="76"/>
      <c r="R85" s="140">
        <f>5*S9+5*(S10)</f>
        <v>55</v>
      </c>
      <c r="S85" s="152">
        <v>2.98</v>
      </c>
      <c r="T85" s="153">
        <v>6.55</v>
      </c>
    </row>
    <row r="86" spans="2:20" ht="28">
      <c r="B86" s="5" t="s">
        <v>278</v>
      </c>
      <c r="C86" s="45" t="s">
        <v>97</v>
      </c>
      <c r="D86" s="45" t="s">
        <v>279</v>
      </c>
      <c r="E86" s="6" t="s">
        <v>280</v>
      </c>
      <c r="F86" s="45" t="s">
        <v>104</v>
      </c>
      <c r="G86" s="46">
        <f t="shared" si="7"/>
        <v>10</v>
      </c>
      <c r="H86" s="46">
        <f>TRUNC(S86*(1-LOTE_01!$K$10),2)</f>
        <v>682.2</v>
      </c>
      <c r="I86" s="46">
        <f>TRUNC(T86*(1-LOTE_01!$K$10),2)</f>
        <v>154.32</v>
      </c>
      <c r="J86" s="100">
        <f t="shared" si="8"/>
        <v>0.22470000000000001</v>
      </c>
      <c r="K86" s="48">
        <f t="shared" si="9"/>
        <v>835.49</v>
      </c>
      <c r="L86" s="48">
        <f t="shared" si="10"/>
        <v>188.99</v>
      </c>
      <c r="M86" s="48">
        <f t="shared" si="11"/>
        <v>8354.9</v>
      </c>
      <c r="N86" s="48">
        <f t="shared" si="12"/>
        <v>1889.9</v>
      </c>
      <c r="O86" s="50">
        <f t="shared" si="13"/>
        <v>10244.799999999999</v>
      </c>
      <c r="P86" s="50">
        <v>0</v>
      </c>
      <c r="Q86" s="76"/>
      <c r="R86" s="140">
        <f>IF((1*S9+1*S10)&gt;10,10,(1*S9+1*S10))</f>
        <v>10</v>
      </c>
      <c r="S86" s="152">
        <v>682.2</v>
      </c>
      <c r="T86" s="153">
        <v>154.32</v>
      </c>
    </row>
    <row r="87" spans="2:20" ht="42">
      <c r="B87" s="5" t="s">
        <v>281</v>
      </c>
      <c r="C87" s="45" t="s">
        <v>97</v>
      </c>
      <c r="D87" s="45" t="s">
        <v>282</v>
      </c>
      <c r="E87" s="6" t="s">
        <v>283</v>
      </c>
      <c r="F87" s="45" t="s">
        <v>104</v>
      </c>
      <c r="G87" s="46">
        <f t="shared" si="7"/>
        <v>11</v>
      </c>
      <c r="H87" s="46">
        <f>TRUNC(S87*(1-LOTE_01!$K$10),2)</f>
        <v>345.54</v>
      </c>
      <c r="I87" s="46">
        <f>TRUNC(T87*(1-LOTE_01!$K$10),2)</f>
        <v>61.4</v>
      </c>
      <c r="J87" s="100">
        <f t="shared" si="8"/>
        <v>0.22470000000000001</v>
      </c>
      <c r="K87" s="48">
        <f t="shared" si="9"/>
        <v>423.18</v>
      </c>
      <c r="L87" s="48">
        <f t="shared" si="10"/>
        <v>75.19</v>
      </c>
      <c r="M87" s="48">
        <f t="shared" si="11"/>
        <v>4654.9799999999996</v>
      </c>
      <c r="N87" s="48">
        <f t="shared" si="12"/>
        <v>827.09</v>
      </c>
      <c r="O87" s="50">
        <f t="shared" si="13"/>
        <v>5482.07</v>
      </c>
      <c r="P87" s="50">
        <v>0</v>
      </c>
      <c r="Q87" s="76"/>
      <c r="R87" s="140">
        <f>1*S9+1*S10</f>
        <v>11</v>
      </c>
      <c r="S87" s="152">
        <v>345.54</v>
      </c>
      <c r="T87" s="153">
        <v>61.4</v>
      </c>
    </row>
    <row r="88" spans="2:20" ht="42">
      <c r="B88" s="5" t="s">
        <v>284</v>
      </c>
      <c r="C88" s="45" t="s">
        <v>97</v>
      </c>
      <c r="D88" s="45" t="s">
        <v>285</v>
      </c>
      <c r="E88" s="6" t="s">
        <v>286</v>
      </c>
      <c r="F88" s="45" t="s">
        <v>104</v>
      </c>
      <c r="G88" s="46">
        <f t="shared" si="7"/>
        <v>23</v>
      </c>
      <c r="H88" s="46">
        <f>TRUNC(S88*(1-LOTE_01!$K$10),2)</f>
        <v>14.74</v>
      </c>
      <c r="I88" s="46">
        <f>TRUNC(T88*(1-LOTE_01!$K$10),2)</f>
        <v>39.58</v>
      </c>
      <c r="J88" s="100">
        <f t="shared" si="8"/>
        <v>0.22470000000000001</v>
      </c>
      <c r="K88" s="48">
        <f t="shared" si="9"/>
        <v>18.05</v>
      </c>
      <c r="L88" s="48">
        <f t="shared" si="10"/>
        <v>48.47</v>
      </c>
      <c r="M88" s="48">
        <f t="shared" si="11"/>
        <v>415.15</v>
      </c>
      <c r="N88" s="48">
        <f t="shared" si="12"/>
        <v>1114.81</v>
      </c>
      <c r="O88" s="50">
        <f t="shared" si="13"/>
        <v>1529.96</v>
      </c>
      <c r="P88" s="50">
        <v>0</v>
      </c>
      <c r="Q88" s="76"/>
      <c r="R88" s="140">
        <f>IF((1*S9+5*S10)&gt;30,30,(1*S9+5*S10))</f>
        <v>23</v>
      </c>
      <c r="S88" s="152">
        <v>14.74</v>
      </c>
      <c r="T88" s="153">
        <v>39.58</v>
      </c>
    </row>
    <row r="89" spans="2:20" ht="28">
      <c r="B89" s="5" t="s">
        <v>287</v>
      </c>
      <c r="C89" s="45" t="s">
        <v>97</v>
      </c>
      <c r="D89" s="45" t="s">
        <v>288</v>
      </c>
      <c r="E89" s="6" t="s">
        <v>289</v>
      </c>
      <c r="F89" s="45" t="s">
        <v>104</v>
      </c>
      <c r="G89" s="46">
        <f t="shared" si="7"/>
        <v>23</v>
      </c>
      <c r="H89" s="46">
        <f>TRUNC(S89*(1-LOTE_01!$K$10),2)</f>
        <v>7.5</v>
      </c>
      <c r="I89" s="46">
        <f>TRUNC(T89*(1-LOTE_01!$K$10),2)</f>
        <v>19.98</v>
      </c>
      <c r="J89" s="100">
        <f t="shared" si="8"/>
        <v>0.22470000000000001</v>
      </c>
      <c r="K89" s="48">
        <f t="shared" si="9"/>
        <v>9.18</v>
      </c>
      <c r="L89" s="48">
        <f t="shared" si="10"/>
        <v>24.46</v>
      </c>
      <c r="M89" s="48">
        <f t="shared" si="11"/>
        <v>211.14</v>
      </c>
      <c r="N89" s="48">
        <f t="shared" si="12"/>
        <v>562.58000000000004</v>
      </c>
      <c r="O89" s="50">
        <f t="shared" si="13"/>
        <v>773.72</v>
      </c>
      <c r="P89" s="50">
        <v>0</v>
      </c>
      <c r="Q89" s="76"/>
      <c r="R89" s="140">
        <f>IF((1*S9+5*S10)&gt;30,30,(1*S9+5*S10))</f>
        <v>23</v>
      </c>
      <c r="S89" s="152">
        <v>7.5</v>
      </c>
      <c r="T89" s="153">
        <v>19.98</v>
      </c>
    </row>
    <row r="90" spans="2:20" ht="28">
      <c r="B90" s="5" t="s">
        <v>290</v>
      </c>
      <c r="C90" s="45" t="s">
        <v>135</v>
      </c>
      <c r="D90" s="45">
        <v>102192</v>
      </c>
      <c r="E90" s="6" t="s">
        <v>1771</v>
      </c>
      <c r="F90" s="45" t="s">
        <v>121</v>
      </c>
      <c r="G90" s="46">
        <f t="shared" si="7"/>
        <v>310</v>
      </c>
      <c r="H90" s="46">
        <f>TRUNC(S90*(1-LOTE_01!$K$10),2)</f>
        <v>5.26</v>
      </c>
      <c r="I90" s="46">
        <f>TRUNC(T90*(1-LOTE_01!$K$10),2)</f>
        <v>13.02</v>
      </c>
      <c r="J90" s="100">
        <f t="shared" si="8"/>
        <v>0.22470000000000001</v>
      </c>
      <c r="K90" s="48">
        <f t="shared" si="9"/>
        <v>6.44</v>
      </c>
      <c r="L90" s="48">
        <f t="shared" si="10"/>
        <v>15.94</v>
      </c>
      <c r="M90" s="48">
        <f t="shared" si="11"/>
        <v>1996.4</v>
      </c>
      <c r="N90" s="48">
        <f t="shared" si="12"/>
        <v>4941.3999999999996</v>
      </c>
      <c r="O90" s="50">
        <f t="shared" si="13"/>
        <v>6937.8</v>
      </c>
      <c r="P90" s="50">
        <v>0</v>
      </c>
      <c r="Q90" s="76"/>
      <c r="R90" s="140">
        <f>IF((20*S9+50*S10)&gt;500,500,50*S10+20*S9)</f>
        <v>310</v>
      </c>
      <c r="S90" s="152">
        <v>5.2600000000000016</v>
      </c>
      <c r="T90" s="153">
        <v>13.02</v>
      </c>
    </row>
    <row r="91" spans="2:20" ht="42">
      <c r="B91" s="5" t="s">
        <v>291</v>
      </c>
      <c r="C91" s="45" t="s">
        <v>97</v>
      </c>
      <c r="D91" s="45" t="s">
        <v>292</v>
      </c>
      <c r="E91" s="6" t="s">
        <v>293</v>
      </c>
      <c r="F91" s="45" t="s">
        <v>104</v>
      </c>
      <c r="G91" s="46">
        <f t="shared" si="7"/>
        <v>11</v>
      </c>
      <c r="H91" s="46">
        <f>TRUNC(S91*(1-LOTE_01!$K$10),2)</f>
        <v>345.54</v>
      </c>
      <c r="I91" s="46">
        <f>TRUNC(T91*(1-LOTE_01!$K$10),2)</f>
        <v>60.39</v>
      </c>
      <c r="J91" s="100">
        <f t="shared" si="8"/>
        <v>0.22470000000000001</v>
      </c>
      <c r="K91" s="48">
        <f t="shared" si="9"/>
        <v>423.18</v>
      </c>
      <c r="L91" s="48">
        <f t="shared" si="10"/>
        <v>73.95</v>
      </c>
      <c r="M91" s="48">
        <f t="shared" si="11"/>
        <v>4654.9799999999996</v>
      </c>
      <c r="N91" s="48">
        <f t="shared" si="12"/>
        <v>813.45</v>
      </c>
      <c r="O91" s="50">
        <f t="shared" si="13"/>
        <v>5468.43</v>
      </c>
      <c r="P91" s="50">
        <v>0</v>
      </c>
      <c r="Q91" s="76"/>
      <c r="R91" s="140">
        <f>1*S9+1*S10</f>
        <v>11</v>
      </c>
      <c r="S91" s="152">
        <v>345.54</v>
      </c>
      <c r="T91" s="153">
        <v>60.39</v>
      </c>
    </row>
    <row r="92" spans="2:20" ht="28">
      <c r="B92" s="5" t="s">
        <v>294</v>
      </c>
      <c r="C92" s="45" t="s">
        <v>97</v>
      </c>
      <c r="D92" s="45" t="s">
        <v>295</v>
      </c>
      <c r="E92" s="6" t="s">
        <v>296</v>
      </c>
      <c r="F92" s="45" t="s">
        <v>121</v>
      </c>
      <c r="G92" s="46">
        <f t="shared" si="7"/>
        <v>10</v>
      </c>
      <c r="H92" s="46">
        <f>TRUNC(S92*(1-LOTE_01!$K$10),2)</f>
        <v>7.55</v>
      </c>
      <c r="I92" s="46">
        <f>TRUNC(T92*(1-LOTE_01!$K$10),2)</f>
        <v>23.35</v>
      </c>
      <c r="J92" s="100">
        <f t="shared" si="8"/>
        <v>0.22470000000000001</v>
      </c>
      <c r="K92" s="48">
        <f t="shared" si="9"/>
        <v>9.24</v>
      </c>
      <c r="L92" s="48">
        <f t="shared" si="10"/>
        <v>28.59</v>
      </c>
      <c r="M92" s="48">
        <f t="shared" si="11"/>
        <v>92.4</v>
      </c>
      <c r="N92" s="48">
        <f t="shared" si="12"/>
        <v>285.89999999999998</v>
      </c>
      <c r="O92" s="50">
        <f t="shared" si="13"/>
        <v>378.3</v>
      </c>
      <c r="P92" s="50">
        <v>0</v>
      </c>
      <c r="Q92" s="76"/>
      <c r="R92" s="140">
        <f>IF((1*S9+1*S10)&gt;10,10,(1*S9+1*S10))</f>
        <v>10</v>
      </c>
      <c r="S92" s="152">
        <v>7.55</v>
      </c>
      <c r="T92" s="153">
        <v>23.35</v>
      </c>
    </row>
    <row r="93" spans="2:20" ht="70">
      <c r="B93" s="5" t="s">
        <v>297</v>
      </c>
      <c r="C93" s="45" t="s">
        <v>97</v>
      </c>
      <c r="D93" s="45" t="s">
        <v>298</v>
      </c>
      <c r="E93" s="6" t="s">
        <v>299</v>
      </c>
      <c r="F93" s="45" t="s">
        <v>121</v>
      </c>
      <c r="G93" s="46">
        <f t="shared" si="7"/>
        <v>220</v>
      </c>
      <c r="H93" s="46">
        <f>TRUNC(S93*(1-LOTE_01!$K$10),2)</f>
        <v>0</v>
      </c>
      <c r="I93" s="46">
        <f>TRUNC(T93*(1-LOTE_01!$K$10),2)</f>
        <v>48.65</v>
      </c>
      <c r="J93" s="100">
        <f t="shared" si="8"/>
        <v>0.22470000000000001</v>
      </c>
      <c r="K93" s="48">
        <f t="shared" si="9"/>
        <v>0</v>
      </c>
      <c r="L93" s="48">
        <f t="shared" si="10"/>
        <v>59.58</v>
      </c>
      <c r="M93" s="48">
        <f t="shared" si="11"/>
        <v>0</v>
      </c>
      <c r="N93" s="48">
        <f t="shared" si="12"/>
        <v>13107.6</v>
      </c>
      <c r="O93" s="50">
        <f t="shared" si="13"/>
        <v>13107.6</v>
      </c>
      <c r="P93" s="50">
        <v>0</v>
      </c>
      <c r="Q93" s="76"/>
      <c r="R93" s="140">
        <f>20*S9+20*S10</f>
        <v>220</v>
      </c>
      <c r="S93" s="152">
        <v>0</v>
      </c>
      <c r="T93" s="153">
        <v>48.65</v>
      </c>
    </row>
    <row r="94" spans="2:20" ht="28">
      <c r="B94" s="5" t="s">
        <v>300</v>
      </c>
      <c r="C94" s="45" t="s">
        <v>97</v>
      </c>
      <c r="D94" s="45" t="s">
        <v>301</v>
      </c>
      <c r="E94" s="6" t="s">
        <v>302</v>
      </c>
      <c r="F94" s="45" t="s">
        <v>104</v>
      </c>
      <c r="G94" s="46">
        <f t="shared" si="7"/>
        <v>33</v>
      </c>
      <c r="H94" s="46">
        <f>TRUNC(S94*(1-LOTE_01!$K$10),2)</f>
        <v>1.49</v>
      </c>
      <c r="I94" s="46">
        <f>TRUNC(T94*(1-LOTE_01!$K$10),2)</f>
        <v>3.27</v>
      </c>
      <c r="J94" s="100">
        <f t="shared" si="8"/>
        <v>0.22470000000000001</v>
      </c>
      <c r="K94" s="48">
        <f t="shared" si="9"/>
        <v>1.82</v>
      </c>
      <c r="L94" s="48">
        <f t="shared" si="10"/>
        <v>4</v>
      </c>
      <c r="M94" s="48">
        <f t="shared" si="11"/>
        <v>60.06</v>
      </c>
      <c r="N94" s="48">
        <f t="shared" si="12"/>
        <v>132</v>
      </c>
      <c r="O94" s="50">
        <f t="shared" si="13"/>
        <v>192.06</v>
      </c>
      <c r="P94" s="50">
        <v>0</v>
      </c>
      <c r="Q94" s="76"/>
      <c r="R94" s="140">
        <f>3*S9+3*S10</f>
        <v>33</v>
      </c>
      <c r="S94" s="152">
        <v>1.49</v>
      </c>
      <c r="T94" s="153">
        <v>3.27</v>
      </c>
    </row>
    <row r="95" spans="2:20" ht="28">
      <c r="B95" s="5" t="s">
        <v>303</v>
      </c>
      <c r="C95" s="45" t="s">
        <v>97</v>
      </c>
      <c r="D95" s="45" t="s">
        <v>304</v>
      </c>
      <c r="E95" s="6" t="s">
        <v>305</v>
      </c>
      <c r="F95" s="45" t="s">
        <v>121</v>
      </c>
      <c r="G95" s="46">
        <f t="shared" si="7"/>
        <v>38</v>
      </c>
      <c r="H95" s="46">
        <f>TRUNC(S95*(1-LOTE_01!$K$10),2)</f>
        <v>5.75</v>
      </c>
      <c r="I95" s="46">
        <f>TRUNC(T95*(1-LOTE_01!$K$10),2)</f>
        <v>13.12</v>
      </c>
      <c r="J95" s="100">
        <f t="shared" si="8"/>
        <v>0.22470000000000001</v>
      </c>
      <c r="K95" s="48">
        <f t="shared" si="9"/>
        <v>7.04</v>
      </c>
      <c r="L95" s="48">
        <f t="shared" si="10"/>
        <v>16.059999999999999</v>
      </c>
      <c r="M95" s="48">
        <f t="shared" si="11"/>
        <v>267.52</v>
      </c>
      <c r="N95" s="48">
        <f t="shared" si="12"/>
        <v>610.28</v>
      </c>
      <c r="O95" s="50">
        <f t="shared" si="13"/>
        <v>877.8</v>
      </c>
      <c r="P95" s="50">
        <v>0</v>
      </c>
      <c r="Q95" s="76"/>
      <c r="R95" s="140">
        <f>IF((10*S10+1*S9)&gt;50,50,(10*S10+1*S9))</f>
        <v>38</v>
      </c>
      <c r="S95" s="152">
        <v>5.75</v>
      </c>
      <c r="T95" s="153">
        <v>13.12</v>
      </c>
    </row>
    <row r="96" spans="2:20" ht="28">
      <c r="B96" s="5" t="s">
        <v>306</v>
      </c>
      <c r="C96" s="45" t="s">
        <v>97</v>
      </c>
      <c r="D96" s="45" t="s">
        <v>307</v>
      </c>
      <c r="E96" s="6" t="s">
        <v>308</v>
      </c>
      <c r="F96" s="45" t="s">
        <v>104</v>
      </c>
      <c r="G96" s="46">
        <f t="shared" si="7"/>
        <v>10</v>
      </c>
      <c r="H96" s="46">
        <f>TRUNC(S96*(1-LOTE_01!$K$10),2)</f>
        <v>9.7899999999999991</v>
      </c>
      <c r="I96" s="46">
        <f>TRUNC(T96*(1-LOTE_01!$K$10),2)</f>
        <v>23.62</v>
      </c>
      <c r="J96" s="100">
        <f t="shared" si="8"/>
        <v>0.22470000000000001</v>
      </c>
      <c r="K96" s="48">
        <f t="shared" si="9"/>
        <v>11.98</v>
      </c>
      <c r="L96" s="48">
        <f t="shared" si="10"/>
        <v>28.92</v>
      </c>
      <c r="M96" s="48">
        <f t="shared" si="11"/>
        <v>119.8</v>
      </c>
      <c r="N96" s="48">
        <f t="shared" si="12"/>
        <v>289.2</v>
      </c>
      <c r="O96" s="50">
        <f t="shared" si="13"/>
        <v>409</v>
      </c>
      <c r="P96" s="50">
        <v>0</v>
      </c>
      <c r="Q96" s="76"/>
      <c r="R96" s="140">
        <f>IF((1*S9+2*S10)&gt;10,10,(1*S9+2*S10))</f>
        <v>10</v>
      </c>
      <c r="S96" s="152">
        <v>9.7899999999999991</v>
      </c>
      <c r="T96" s="153">
        <v>23.62</v>
      </c>
    </row>
    <row r="97" spans="2:20">
      <c r="B97" s="5" t="s">
        <v>309</v>
      </c>
      <c r="C97" s="45" t="s">
        <v>97</v>
      </c>
      <c r="D97" s="45" t="s">
        <v>310</v>
      </c>
      <c r="E97" s="6" t="s">
        <v>311</v>
      </c>
      <c r="F97" s="45" t="s">
        <v>104</v>
      </c>
      <c r="G97" s="46">
        <f t="shared" si="7"/>
        <v>220</v>
      </c>
      <c r="H97" s="46">
        <f>TRUNC(S97*(1-LOTE_01!$K$10),2)</f>
        <v>0.74</v>
      </c>
      <c r="I97" s="46">
        <f>TRUNC(T97*(1-LOTE_01!$K$10),2)</f>
        <v>1.63</v>
      </c>
      <c r="J97" s="100">
        <f t="shared" si="8"/>
        <v>0.22470000000000001</v>
      </c>
      <c r="K97" s="48">
        <f t="shared" si="9"/>
        <v>0.9</v>
      </c>
      <c r="L97" s="48">
        <f t="shared" si="10"/>
        <v>1.99</v>
      </c>
      <c r="M97" s="48">
        <f t="shared" si="11"/>
        <v>198</v>
      </c>
      <c r="N97" s="48">
        <f t="shared" si="12"/>
        <v>437.8</v>
      </c>
      <c r="O97" s="50">
        <f t="shared" si="13"/>
        <v>635.79999999999995</v>
      </c>
      <c r="P97" s="50">
        <v>0</v>
      </c>
      <c r="Q97" s="76"/>
      <c r="R97" s="140">
        <f>20*S9+20*S10</f>
        <v>220</v>
      </c>
      <c r="S97" s="152">
        <v>0.74</v>
      </c>
      <c r="T97" s="153">
        <v>1.63</v>
      </c>
    </row>
    <row r="98" spans="2:20" ht="42">
      <c r="B98" s="5" t="s">
        <v>312</v>
      </c>
      <c r="C98" s="45" t="s">
        <v>97</v>
      </c>
      <c r="D98" s="45" t="s">
        <v>313</v>
      </c>
      <c r="E98" s="6" t="s">
        <v>314</v>
      </c>
      <c r="F98" s="45" t="s">
        <v>104</v>
      </c>
      <c r="G98" s="46">
        <f t="shared" si="7"/>
        <v>5</v>
      </c>
      <c r="H98" s="46">
        <f>TRUNC(S98*(1-LOTE_01!$K$10),2)</f>
        <v>15.01</v>
      </c>
      <c r="I98" s="46">
        <f>TRUNC(T98*(1-LOTE_01!$K$10),2)</f>
        <v>39.97</v>
      </c>
      <c r="J98" s="100">
        <f t="shared" si="8"/>
        <v>0.22470000000000001</v>
      </c>
      <c r="K98" s="48">
        <f t="shared" si="9"/>
        <v>18.38</v>
      </c>
      <c r="L98" s="48">
        <f t="shared" si="10"/>
        <v>48.95</v>
      </c>
      <c r="M98" s="48">
        <f t="shared" si="11"/>
        <v>91.9</v>
      </c>
      <c r="N98" s="48">
        <f t="shared" si="12"/>
        <v>244.75</v>
      </c>
      <c r="O98" s="50">
        <f t="shared" si="13"/>
        <v>336.65</v>
      </c>
      <c r="P98" s="50">
        <v>0</v>
      </c>
      <c r="Q98" s="76"/>
      <c r="R98" s="140">
        <f>IF((1*S9+1*S10)&gt;5,5,(1*S9+1*S10))</f>
        <v>5</v>
      </c>
      <c r="S98" s="152">
        <v>15.01</v>
      </c>
      <c r="T98" s="153">
        <v>39.97</v>
      </c>
    </row>
    <row r="99" spans="2:20" ht="28">
      <c r="B99" s="5" t="s">
        <v>315</v>
      </c>
      <c r="C99" s="45" t="s">
        <v>97</v>
      </c>
      <c r="D99" s="45" t="s">
        <v>316</v>
      </c>
      <c r="E99" s="6" t="s">
        <v>317</v>
      </c>
      <c r="F99" s="45" t="s">
        <v>104</v>
      </c>
      <c r="G99" s="46">
        <f t="shared" si="7"/>
        <v>22</v>
      </c>
      <c r="H99" s="46">
        <f>TRUNC(S99*(1-LOTE_01!$K$10),2)</f>
        <v>1.82</v>
      </c>
      <c r="I99" s="46">
        <f>TRUNC(T99*(1-LOTE_01!$K$10),2)</f>
        <v>5.46</v>
      </c>
      <c r="J99" s="100">
        <f t="shared" si="8"/>
        <v>0.22470000000000001</v>
      </c>
      <c r="K99" s="48">
        <f t="shared" si="9"/>
        <v>2.2200000000000002</v>
      </c>
      <c r="L99" s="48">
        <f t="shared" si="10"/>
        <v>6.68</v>
      </c>
      <c r="M99" s="48">
        <f t="shared" si="11"/>
        <v>48.84</v>
      </c>
      <c r="N99" s="48">
        <f t="shared" si="12"/>
        <v>146.96</v>
      </c>
      <c r="O99" s="50">
        <f t="shared" si="13"/>
        <v>195.8</v>
      </c>
      <c r="P99" s="50">
        <v>0</v>
      </c>
      <c r="Q99" s="76"/>
      <c r="R99" s="140">
        <f>IF((2*S9+2*S10)&gt;50,50,(2*S9+2*S10))</f>
        <v>22</v>
      </c>
      <c r="S99" s="152">
        <v>1.82</v>
      </c>
      <c r="T99" s="153">
        <v>5.46</v>
      </c>
    </row>
    <row r="100" spans="2:20" ht="28">
      <c r="B100" s="5" t="s">
        <v>318</v>
      </c>
      <c r="C100" s="45" t="s">
        <v>97</v>
      </c>
      <c r="D100" s="45" t="s">
        <v>319</v>
      </c>
      <c r="E100" s="6" t="s">
        <v>320</v>
      </c>
      <c r="F100" s="45" t="s">
        <v>187</v>
      </c>
      <c r="G100" s="46">
        <f t="shared" si="7"/>
        <v>100</v>
      </c>
      <c r="H100" s="46">
        <f>TRUNC(S100*(1-LOTE_01!$K$10),2)</f>
        <v>2.08</v>
      </c>
      <c r="I100" s="46">
        <f>TRUNC(T100*(1-LOTE_01!$K$10),2)</f>
        <v>4.55</v>
      </c>
      <c r="J100" s="100">
        <f t="shared" si="8"/>
        <v>0.22470000000000001</v>
      </c>
      <c r="K100" s="48">
        <f t="shared" si="9"/>
        <v>2.54</v>
      </c>
      <c r="L100" s="48">
        <f t="shared" si="10"/>
        <v>5.57</v>
      </c>
      <c r="M100" s="48">
        <f t="shared" si="11"/>
        <v>254</v>
      </c>
      <c r="N100" s="48">
        <f t="shared" si="12"/>
        <v>557</v>
      </c>
      <c r="O100" s="50">
        <f t="shared" si="13"/>
        <v>811</v>
      </c>
      <c r="P100" s="50">
        <v>0</v>
      </c>
      <c r="Q100" s="76"/>
      <c r="R100" s="140">
        <f>IF((10*S9+30*S10)&gt;100,100,(10*S9+30*S10))</f>
        <v>100</v>
      </c>
      <c r="S100" s="152">
        <v>2.08</v>
      </c>
      <c r="T100" s="153">
        <v>4.55</v>
      </c>
    </row>
    <row r="101" spans="2:20" ht="28">
      <c r="B101" s="5" t="s">
        <v>321</v>
      </c>
      <c r="C101" s="45" t="s">
        <v>97</v>
      </c>
      <c r="D101" s="45" t="s">
        <v>322</v>
      </c>
      <c r="E101" s="6" t="s">
        <v>323</v>
      </c>
      <c r="F101" s="45" t="s">
        <v>121</v>
      </c>
      <c r="G101" s="46">
        <f t="shared" si="7"/>
        <v>110</v>
      </c>
      <c r="H101" s="46">
        <f>TRUNC(S101*(1-LOTE_01!$K$10),2)</f>
        <v>8.98</v>
      </c>
      <c r="I101" s="46">
        <f>TRUNC(T101*(1-LOTE_01!$K$10),2)</f>
        <v>22.54</v>
      </c>
      <c r="J101" s="100">
        <f t="shared" si="8"/>
        <v>0.22470000000000001</v>
      </c>
      <c r="K101" s="48">
        <f t="shared" si="9"/>
        <v>10.99</v>
      </c>
      <c r="L101" s="48">
        <f t="shared" si="10"/>
        <v>27.6</v>
      </c>
      <c r="M101" s="48">
        <f t="shared" si="11"/>
        <v>1208.9000000000001</v>
      </c>
      <c r="N101" s="48">
        <f t="shared" si="12"/>
        <v>3036</v>
      </c>
      <c r="O101" s="50">
        <f t="shared" si="13"/>
        <v>4244.8999999999996</v>
      </c>
      <c r="P101" s="50">
        <v>0</v>
      </c>
      <c r="Q101" s="76"/>
      <c r="R101" s="140">
        <f>10*S9+10*S10</f>
        <v>110</v>
      </c>
      <c r="S101" s="152">
        <v>8.98</v>
      </c>
      <c r="T101" s="153">
        <v>22.54</v>
      </c>
    </row>
    <row r="102" spans="2:20" ht="28">
      <c r="B102" s="5" t="s">
        <v>324</v>
      </c>
      <c r="C102" s="45" t="s">
        <v>97</v>
      </c>
      <c r="D102" s="45" t="s">
        <v>325</v>
      </c>
      <c r="E102" s="6" t="s">
        <v>326</v>
      </c>
      <c r="F102" s="45" t="s">
        <v>104</v>
      </c>
      <c r="G102" s="46">
        <f t="shared" si="7"/>
        <v>25</v>
      </c>
      <c r="H102" s="46">
        <f>TRUNC(S102*(1-LOTE_01!$K$10),2)</f>
        <v>3.64</v>
      </c>
      <c r="I102" s="46">
        <f>TRUNC(T102*(1-LOTE_01!$K$10),2)</f>
        <v>10.93</v>
      </c>
      <c r="J102" s="100">
        <f t="shared" si="8"/>
        <v>0.22470000000000001</v>
      </c>
      <c r="K102" s="48">
        <f t="shared" si="9"/>
        <v>4.45</v>
      </c>
      <c r="L102" s="48">
        <f t="shared" si="10"/>
        <v>13.38</v>
      </c>
      <c r="M102" s="48">
        <f t="shared" si="11"/>
        <v>111.25</v>
      </c>
      <c r="N102" s="48">
        <f t="shared" si="12"/>
        <v>334.5</v>
      </c>
      <c r="O102" s="50">
        <f t="shared" si="13"/>
        <v>445.75</v>
      </c>
      <c r="P102" s="50">
        <v>0</v>
      </c>
      <c r="Q102" s="76"/>
      <c r="R102" s="140">
        <f>2*S9+3*S10</f>
        <v>25</v>
      </c>
      <c r="S102" s="152">
        <v>3.64</v>
      </c>
      <c r="T102" s="153">
        <v>10.93</v>
      </c>
    </row>
    <row r="103" spans="2:20" ht="28">
      <c r="B103" s="5" t="s">
        <v>327</v>
      </c>
      <c r="C103" s="45" t="s">
        <v>97</v>
      </c>
      <c r="D103" s="45" t="s">
        <v>328</v>
      </c>
      <c r="E103" s="6" t="s">
        <v>329</v>
      </c>
      <c r="F103" s="45" t="s">
        <v>104</v>
      </c>
      <c r="G103" s="46">
        <f t="shared" si="7"/>
        <v>10</v>
      </c>
      <c r="H103" s="46">
        <f>TRUNC(S103*(1-LOTE_01!$K$10),2)</f>
        <v>26.9</v>
      </c>
      <c r="I103" s="46">
        <f>TRUNC(T103*(1-LOTE_01!$K$10),2)</f>
        <v>66.5</v>
      </c>
      <c r="J103" s="100">
        <f t="shared" si="8"/>
        <v>0.22470000000000001</v>
      </c>
      <c r="K103" s="48">
        <f t="shared" si="9"/>
        <v>32.94</v>
      </c>
      <c r="L103" s="48">
        <f t="shared" si="10"/>
        <v>81.44</v>
      </c>
      <c r="M103" s="48">
        <f t="shared" si="11"/>
        <v>329.4</v>
      </c>
      <c r="N103" s="48">
        <f t="shared" si="12"/>
        <v>814.4</v>
      </c>
      <c r="O103" s="50">
        <f t="shared" si="13"/>
        <v>1143.8</v>
      </c>
      <c r="P103" s="50">
        <v>0</v>
      </c>
      <c r="Q103" s="76"/>
      <c r="R103" s="140">
        <f>IF((1*S9+1*S10)&gt;10,10,(1*S9+1*S10))</f>
        <v>10</v>
      </c>
      <c r="S103" s="152">
        <v>26.9</v>
      </c>
      <c r="T103" s="153">
        <v>66.5</v>
      </c>
    </row>
    <row r="104" spans="2:20" ht="28">
      <c r="B104" s="5" t="s">
        <v>330</v>
      </c>
      <c r="C104" s="45" t="s">
        <v>97</v>
      </c>
      <c r="D104" s="45" t="s">
        <v>331</v>
      </c>
      <c r="E104" s="6" t="s">
        <v>332</v>
      </c>
      <c r="F104" s="45" t="s">
        <v>104</v>
      </c>
      <c r="G104" s="46">
        <f t="shared" si="7"/>
        <v>10</v>
      </c>
      <c r="H104" s="46">
        <f>TRUNC(S104*(1-LOTE_01!$K$10),2)</f>
        <v>6742.13</v>
      </c>
      <c r="I104" s="46">
        <f>TRUNC(T104*(1-LOTE_01!$K$10),2)</f>
        <v>616.91999999999996</v>
      </c>
      <c r="J104" s="100">
        <f t="shared" si="8"/>
        <v>0.22470000000000001</v>
      </c>
      <c r="K104" s="48">
        <f t="shared" si="9"/>
        <v>8257.08</v>
      </c>
      <c r="L104" s="48">
        <f t="shared" si="10"/>
        <v>755.54</v>
      </c>
      <c r="M104" s="48">
        <f t="shared" si="11"/>
        <v>82570.8</v>
      </c>
      <c r="N104" s="48">
        <f t="shared" si="12"/>
        <v>7555.4</v>
      </c>
      <c r="O104" s="50">
        <f t="shared" si="13"/>
        <v>90126.2</v>
      </c>
      <c r="P104" s="50">
        <v>0</v>
      </c>
      <c r="Q104" s="76"/>
      <c r="R104" s="140">
        <f>IF((1*S9+1*S10)&gt;10,10,(1*S9+1*S10))</f>
        <v>10</v>
      </c>
      <c r="S104" s="152">
        <v>6742.13</v>
      </c>
      <c r="T104" s="153">
        <v>616.91999999999996</v>
      </c>
    </row>
    <row r="105" spans="2:20" ht="28">
      <c r="B105" s="5" t="s">
        <v>333</v>
      </c>
      <c r="C105" s="45" t="s">
        <v>97</v>
      </c>
      <c r="D105" s="45" t="s">
        <v>334</v>
      </c>
      <c r="E105" s="6" t="s">
        <v>335</v>
      </c>
      <c r="F105" s="45" t="s">
        <v>104</v>
      </c>
      <c r="G105" s="46">
        <f t="shared" si="7"/>
        <v>28</v>
      </c>
      <c r="H105" s="46">
        <f>TRUNC(S105*(1-LOTE_01!$K$10),2)</f>
        <v>2.23</v>
      </c>
      <c r="I105" s="46">
        <f>TRUNC(T105*(1-LOTE_01!$K$10),2)</f>
        <v>4.91</v>
      </c>
      <c r="J105" s="100">
        <f t="shared" si="8"/>
        <v>0.22470000000000001</v>
      </c>
      <c r="K105" s="48">
        <f t="shared" si="9"/>
        <v>2.73</v>
      </c>
      <c r="L105" s="48">
        <f t="shared" si="10"/>
        <v>6.01</v>
      </c>
      <c r="M105" s="48">
        <f t="shared" si="11"/>
        <v>76.44</v>
      </c>
      <c r="N105" s="48">
        <f t="shared" si="12"/>
        <v>168.28</v>
      </c>
      <c r="O105" s="50">
        <f t="shared" si="13"/>
        <v>244.72</v>
      </c>
      <c r="P105" s="50">
        <v>0</v>
      </c>
      <c r="Q105" s="76"/>
      <c r="R105" s="140">
        <f>2*S9+4*S10</f>
        <v>28</v>
      </c>
      <c r="S105" s="152">
        <v>2.23</v>
      </c>
      <c r="T105" s="153">
        <v>4.91</v>
      </c>
    </row>
    <row r="106" spans="2:20">
      <c r="B106" s="5" t="s">
        <v>336</v>
      </c>
      <c r="C106" s="45" t="s">
        <v>97</v>
      </c>
      <c r="D106" s="45" t="s">
        <v>337</v>
      </c>
      <c r="E106" s="6" t="s">
        <v>338</v>
      </c>
      <c r="F106" s="45" t="s">
        <v>104</v>
      </c>
      <c r="G106" s="46">
        <f t="shared" si="7"/>
        <v>250</v>
      </c>
      <c r="H106" s="46">
        <f>TRUNC(S106*(1-LOTE_01!$K$10),2)</f>
        <v>0.74</v>
      </c>
      <c r="I106" s="46">
        <f>TRUNC(T106*(1-LOTE_01!$K$10),2)</f>
        <v>1.63</v>
      </c>
      <c r="J106" s="100">
        <f t="shared" si="8"/>
        <v>0.22470000000000001</v>
      </c>
      <c r="K106" s="48">
        <f t="shared" si="9"/>
        <v>0.9</v>
      </c>
      <c r="L106" s="48">
        <f t="shared" si="10"/>
        <v>1.99</v>
      </c>
      <c r="M106" s="48">
        <f t="shared" si="11"/>
        <v>225</v>
      </c>
      <c r="N106" s="48">
        <f t="shared" si="12"/>
        <v>497.5</v>
      </c>
      <c r="O106" s="50">
        <f t="shared" si="13"/>
        <v>722.5</v>
      </c>
      <c r="P106" s="50">
        <v>0</v>
      </c>
      <c r="Q106" s="76"/>
      <c r="R106" s="140">
        <f>20*S9+30*S10</f>
        <v>250</v>
      </c>
      <c r="S106" s="152">
        <v>0.74</v>
      </c>
      <c r="T106" s="153">
        <v>1.63</v>
      </c>
    </row>
    <row r="107" spans="2:20" ht="28">
      <c r="B107" s="5" t="s">
        <v>339</v>
      </c>
      <c r="C107" s="45" t="s">
        <v>97</v>
      </c>
      <c r="D107" s="45" t="s">
        <v>301</v>
      </c>
      <c r="E107" s="6" t="s">
        <v>302</v>
      </c>
      <c r="F107" s="45" t="s">
        <v>104</v>
      </c>
      <c r="G107" s="46">
        <f t="shared" si="7"/>
        <v>22</v>
      </c>
      <c r="H107" s="46">
        <f>TRUNC(S107*(1-LOTE_01!$K$10),2)</f>
        <v>1.49</v>
      </c>
      <c r="I107" s="46">
        <f>TRUNC(T107*(1-LOTE_01!$K$10),2)</f>
        <v>3.27</v>
      </c>
      <c r="J107" s="100">
        <f t="shared" si="8"/>
        <v>0.22470000000000001</v>
      </c>
      <c r="K107" s="48">
        <f t="shared" si="9"/>
        <v>1.82</v>
      </c>
      <c r="L107" s="48">
        <f t="shared" si="10"/>
        <v>4</v>
      </c>
      <c r="M107" s="48">
        <f t="shared" si="11"/>
        <v>40.04</v>
      </c>
      <c r="N107" s="48">
        <f t="shared" si="12"/>
        <v>88</v>
      </c>
      <c r="O107" s="50">
        <f t="shared" si="13"/>
        <v>128.04</v>
      </c>
      <c r="P107" s="50">
        <v>0</v>
      </c>
      <c r="Q107" s="76"/>
      <c r="R107" s="140">
        <f>2*S9+2*S10</f>
        <v>22</v>
      </c>
      <c r="S107" s="152">
        <v>1.49</v>
      </c>
      <c r="T107" s="153">
        <v>3.27</v>
      </c>
    </row>
    <row r="108" spans="2:20" ht="42">
      <c r="B108" s="5" t="s">
        <v>340</v>
      </c>
      <c r="C108" s="45" t="s">
        <v>135</v>
      </c>
      <c r="D108" s="45">
        <v>90436</v>
      </c>
      <c r="E108" s="6" t="s">
        <v>341</v>
      </c>
      <c r="F108" s="45" t="s">
        <v>210</v>
      </c>
      <c r="G108" s="46">
        <f t="shared" si="7"/>
        <v>20</v>
      </c>
      <c r="H108" s="46">
        <f>TRUNC(S108*(1-LOTE_01!$K$10),2)</f>
        <v>3.9</v>
      </c>
      <c r="I108" s="46">
        <f>TRUNC(T108*(1-LOTE_01!$K$10),2)</f>
        <v>12.51</v>
      </c>
      <c r="J108" s="100">
        <f t="shared" si="8"/>
        <v>0.22470000000000001</v>
      </c>
      <c r="K108" s="48">
        <f t="shared" si="9"/>
        <v>4.7699999999999996</v>
      </c>
      <c r="L108" s="48">
        <f t="shared" si="10"/>
        <v>15.32</v>
      </c>
      <c r="M108" s="48">
        <f t="shared" si="11"/>
        <v>95.4</v>
      </c>
      <c r="N108" s="48">
        <f t="shared" si="12"/>
        <v>306.39999999999998</v>
      </c>
      <c r="O108" s="50">
        <f t="shared" si="13"/>
        <v>401.8</v>
      </c>
      <c r="P108" s="50">
        <v>0</v>
      </c>
      <c r="Q108" s="76"/>
      <c r="R108" s="140">
        <f>IF((2*S9+2*S10)&gt;20,20,(2*S9+2*S10))</f>
        <v>20</v>
      </c>
      <c r="S108" s="152">
        <v>3.9000000000000004</v>
      </c>
      <c r="T108" s="153">
        <v>12.51</v>
      </c>
    </row>
    <row r="109" spans="2:20" ht="56">
      <c r="B109" s="5" t="s">
        <v>342</v>
      </c>
      <c r="C109" s="45" t="s">
        <v>135</v>
      </c>
      <c r="D109" s="45">
        <v>90437</v>
      </c>
      <c r="E109" s="6" t="s">
        <v>343</v>
      </c>
      <c r="F109" s="45" t="s">
        <v>210</v>
      </c>
      <c r="G109" s="46">
        <f t="shared" si="7"/>
        <v>20</v>
      </c>
      <c r="H109" s="46">
        <f>TRUNC(S109*(1-LOTE_01!$K$10),2)</f>
        <v>10.36</v>
      </c>
      <c r="I109" s="46">
        <f>TRUNC(T109*(1-LOTE_01!$K$10),2)</f>
        <v>33.36</v>
      </c>
      <c r="J109" s="100">
        <f t="shared" si="8"/>
        <v>0.22470000000000001</v>
      </c>
      <c r="K109" s="48">
        <f t="shared" si="9"/>
        <v>12.68</v>
      </c>
      <c r="L109" s="48">
        <f t="shared" si="10"/>
        <v>40.85</v>
      </c>
      <c r="M109" s="48">
        <f t="shared" si="11"/>
        <v>253.6</v>
      </c>
      <c r="N109" s="48">
        <f t="shared" si="12"/>
        <v>817</v>
      </c>
      <c r="O109" s="50">
        <f t="shared" si="13"/>
        <v>1070.5999999999999</v>
      </c>
      <c r="P109" s="50">
        <v>0</v>
      </c>
      <c r="Q109" s="76"/>
      <c r="R109" s="140">
        <f>IF((2*S9+2*S10)&gt;20,20,(2*S9+2*S10))</f>
        <v>20</v>
      </c>
      <c r="S109" s="152">
        <v>10.36</v>
      </c>
      <c r="T109" s="153">
        <v>33.36</v>
      </c>
    </row>
    <row r="110" spans="2:20" ht="56">
      <c r="B110" s="5" t="s">
        <v>344</v>
      </c>
      <c r="C110" s="45" t="s">
        <v>135</v>
      </c>
      <c r="D110" s="45">
        <v>90438</v>
      </c>
      <c r="E110" s="6" t="s">
        <v>345</v>
      </c>
      <c r="F110" s="45" t="s">
        <v>210</v>
      </c>
      <c r="G110" s="46">
        <f t="shared" si="7"/>
        <v>20</v>
      </c>
      <c r="H110" s="46">
        <f>TRUNC(S110*(1-LOTE_01!$K$10),2)</f>
        <v>15.12</v>
      </c>
      <c r="I110" s="46">
        <f>TRUNC(T110*(1-LOTE_01!$K$10),2)</f>
        <v>48.73</v>
      </c>
      <c r="J110" s="100">
        <f t="shared" si="8"/>
        <v>0.22470000000000001</v>
      </c>
      <c r="K110" s="48">
        <f t="shared" si="9"/>
        <v>18.510000000000002</v>
      </c>
      <c r="L110" s="48">
        <f t="shared" si="10"/>
        <v>59.67</v>
      </c>
      <c r="M110" s="48">
        <f t="shared" si="11"/>
        <v>370.2</v>
      </c>
      <c r="N110" s="48">
        <f t="shared" si="12"/>
        <v>1193.4000000000001</v>
      </c>
      <c r="O110" s="50">
        <f t="shared" si="13"/>
        <v>1563.6</v>
      </c>
      <c r="P110" s="50">
        <v>0</v>
      </c>
      <c r="Q110" s="76"/>
      <c r="R110" s="140">
        <f>IF((2*S9+2*S10)&gt;20,20,(2*S9+2*S10))</f>
        <v>20</v>
      </c>
      <c r="S110" s="152">
        <v>15.120000000000005</v>
      </c>
      <c r="T110" s="153">
        <v>48.73</v>
      </c>
    </row>
    <row r="111" spans="2:20" ht="56">
      <c r="B111" s="5" t="s">
        <v>346</v>
      </c>
      <c r="C111" s="45" t="s">
        <v>135</v>
      </c>
      <c r="D111" s="45">
        <v>90439</v>
      </c>
      <c r="E111" s="6" t="s">
        <v>347</v>
      </c>
      <c r="F111" s="45" t="s">
        <v>210</v>
      </c>
      <c r="G111" s="46">
        <f t="shared" si="7"/>
        <v>10</v>
      </c>
      <c r="H111" s="46">
        <f>TRUNC(S111*(1-LOTE_01!$K$10),2)</f>
        <v>2.91</v>
      </c>
      <c r="I111" s="46">
        <f>TRUNC(T111*(1-LOTE_01!$K$10),2)</f>
        <v>8.43</v>
      </c>
      <c r="J111" s="100">
        <f t="shared" si="8"/>
        <v>0.22470000000000001</v>
      </c>
      <c r="K111" s="48">
        <f t="shared" si="9"/>
        <v>3.56</v>
      </c>
      <c r="L111" s="48">
        <f t="shared" si="10"/>
        <v>10.32</v>
      </c>
      <c r="M111" s="48">
        <f t="shared" si="11"/>
        <v>35.6</v>
      </c>
      <c r="N111" s="48">
        <f t="shared" si="12"/>
        <v>103.2</v>
      </c>
      <c r="O111" s="50">
        <f t="shared" si="13"/>
        <v>138.80000000000001</v>
      </c>
      <c r="P111" s="50">
        <v>0</v>
      </c>
      <c r="Q111" s="76"/>
      <c r="R111" s="140">
        <f>IF((2*S9+2*S10)&gt;10,10,(2*S9+2*S10))</f>
        <v>10</v>
      </c>
      <c r="S111" s="152">
        <v>2.91</v>
      </c>
      <c r="T111" s="153">
        <v>8.43</v>
      </c>
    </row>
    <row r="112" spans="2:20" ht="70">
      <c r="B112" s="5" t="s">
        <v>348</v>
      </c>
      <c r="C112" s="45" t="s">
        <v>135</v>
      </c>
      <c r="D112" s="45">
        <v>90440</v>
      </c>
      <c r="E112" s="6" t="s">
        <v>349</v>
      </c>
      <c r="F112" s="45" t="s">
        <v>210</v>
      </c>
      <c r="G112" s="46">
        <f t="shared" si="7"/>
        <v>10</v>
      </c>
      <c r="H112" s="46">
        <f>TRUNC(S112*(1-LOTE_01!$K$10),2)</f>
        <v>7.75</v>
      </c>
      <c r="I112" s="46">
        <f>TRUNC(T112*(1-LOTE_01!$K$10),2)</f>
        <v>22.51</v>
      </c>
      <c r="J112" s="100">
        <f t="shared" si="8"/>
        <v>0.22470000000000001</v>
      </c>
      <c r="K112" s="48">
        <f t="shared" si="9"/>
        <v>9.49</v>
      </c>
      <c r="L112" s="48">
        <f t="shared" si="10"/>
        <v>27.56</v>
      </c>
      <c r="M112" s="48">
        <f t="shared" si="11"/>
        <v>94.9</v>
      </c>
      <c r="N112" s="48">
        <f t="shared" si="12"/>
        <v>275.60000000000002</v>
      </c>
      <c r="O112" s="50">
        <f t="shared" si="13"/>
        <v>370.5</v>
      </c>
      <c r="P112" s="50">
        <v>0</v>
      </c>
      <c r="Q112" s="76"/>
      <c r="R112" s="140">
        <f>IF((2*S9+2*S10)&gt;10,10,(2*S9+2*S10))</f>
        <v>10</v>
      </c>
      <c r="S112" s="152">
        <v>7.75</v>
      </c>
      <c r="T112" s="153">
        <v>22.51</v>
      </c>
    </row>
    <row r="113" spans="2:20" ht="70">
      <c r="B113" s="5" t="s">
        <v>350</v>
      </c>
      <c r="C113" s="45" t="s">
        <v>135</v>
      </c>
      <c r="D113" s="45">
        <v>90441</v>
      </c>
      <c r="E113" s="6" t="s">
        <v>351</v>
      </c>
      <c r="F113" s="45" t="s">
        <v>210</v>
      </c>
      <c r="G113" s="46">
        <f t="shared" si="7"/>
        <v>10</v>
      </c>
      <c r="H113" s="46">
        <f>TRUNC(S113*(1-LOTE_01!$K$10),2)</f>
        <v>11.31</v>
      </c>
      <c r="I113" s="46">
        <f>TRUNC(T113*(1-LOTE_01!$K$10),2)</f>
        <v>32.89</v>
      </c>
      <c r="J113" s="100">
        <f t="shared" si="8"/>
        <v>0.22470000000000001</v>
      </c>
      <c r="K113" s="48">
        <f t="shared" si="9"/>
        <v>13.85</v>
      </c>
      <c r="L113" s="48">
        <f t="shared" si="10"/>
        <v>40.28</v>
      </c>
      <c r="M113" s="48">
        <f t="shared" si="11"/>
        <v>138.5</v>
      </c>
      <c r="N113" s="48">
        <f t="shared" si="12"/>
        <v>402.8</v>
      </c>
      <c r="O113" s="50">
        <f t="shared" si="13"/>
        <v>541.29999999999995</v>
      </c>
      <c r="P113" s="50">
        <v>0</v>
      </c>
      <c r="Q113" s="76"/>
      <c r="R113" s="140">
        <f>IF((2*S9+2*S10)&gt;10,10,(2*S9+2*S10))</f>
        <v>10</v>
      </c>
      <c r="S113" s="152">
        <v>11.310000000000002</v>
      </c>
      <c r="T113" s="153">
        <v>32.89</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627.91</v>
      </c>
      <c r="Q114" s="76"/>
      <c r="R114" s="154"/>
      <c r="S114" s="152" t="s">
        <v>22</v>
      </c>
      <c r="T114" s="153" t="s">
        <v>22</v>
      </c>
    </row>
    <row r="115" spans="2:20" ht="28">
      <c r="B115" s="5" t="s">
        <v>352</v>
      </c>
      <c r="C115" s="45" t="s">
        <v>135</v>
      </c>
      <c r="D115" s="45">
        <v>94319</v>
      </c>
      <c r="E115" s="6" t="s">
        <v>353</v>
      </c>
      <c r="F115" s="45" t="s">
        <v>161</v>
      </c>
      <c r="G115" s="46">
        <f>IF($S$11=0,0,TRUNC(R115,2))</f>
        <v>1</v>
      </c>
      <c r="H115" s="46">
        <f>TRUNC(S115*(1-LOTE_01!$K$10),2)</f>
        <v>64.58</v>
      </c>
      <c r="I115" s="46">
        <f>TRUNC(T115*(1-LOTE_01!$K$10),2)</f>
        <v>18.97</v>
      </c>
      <c r="J115" s="100">
        <f t="shared" si="8"/>
        <v>0.22470000000000001</v>
      </c>
      <c r="K115" s="48">
        <f t="shared" si="9"/>
        <v>79.09</v>
      </c>
      <c r="L115" s="48">
        <f t="shared" si="10"/>
        <v>23.23</v>
      </c>
      <c r="M115" s="48">
        <f t="shared" si="11"/>
        <v>79.09</v>
      </c>
      <c r="N115" s="48">
        <f t="shared" si="12"/>
        <v>23.23</v>
      </c>
      <c r="O115" s="50">
        <f t="shared" si="13"/>
        <v>102.32</v>
      </c>
      <c r="P115" s="50">
        <v>0</v>
      </c>
      <c r="Q115" s="76"/>
      <c r="R115" s="140">
        <f>IF((1*S10)&gt;5,5,1)</f>
        <v>1</v>
      </c>
      <c r="S115" s="152">
        <v>64.58</v>
      </c>
      <c r="T115" s="153">
        <v>18.97</v>
      </c>
    </row>
    <row r="116" spans="2:20" ht="28">
      <c r="B116" s="5" t="s">
        <v>354</v>
      </c>
      <c r="C116" s="45" t="s">
        <v>135</v>
      </c>
      <c r="D116" s="45">
        <v>94342</v>
      </c>
      <c r="E116" s="6" t="s">
        <v>355</v>
      </c>
      <c r="F116" s="45" t="s">
        <v>161</v>
      </c>
      <c r="G116" s="46">
        <f t="shared" ref="G116:G123" si="14">IF($S$11=0,0,TRUNC(R116,2))</f>
        <v>1</v>
      </c>
      <c r="H116" s="46">
        <f>TRUNC(S116*(1-LOTE_01!$K$10),2)</f>
        <v>121.81</v>
      </c>
      <c r="I116" s="46">
        <f>TRUNC(T116*(1-LOTE_01!$K$10),2)</f>
        <v>19.02</v>
      </c>
      <c r="J116" s="100">
        <f t="shared" si="8"/>
        <v>0.22470000000000001</v>
      </c>
      <c r="K116" s="48">
        <f t="shared" si="9"/>
        <v>149.18</v>
      </c>
      <c r="L116" s="48">
        <f t="shared" si="10"/>
        <v>23.29</v>
      </c>
      <c r="M116" s="48">
        <f t="shared" si="11"/>
        <v>149.18</v>
      </c>
      <c r="N116" s="48">
        <f t="shared" si="12"/>
        <v>23.29</v>
      </c>
      <c r="O116" s="50">
        <f t="shared" si="13"/>
        <v>172.47</v>
      </c>
      <c r="P116" s="50">
        <v>0</v>
      </c>
      <c r="Q116" s="76"/>
      <c r="R116" s="140">
        <f>IF((1*S10)&gt;5,5,1)</f>
        <v>1</v>
      </c>
      <c r="S116" s="152">
        <v>121.81000000000002</v>
      </c>
      <c r="T116" s="153">
        <v>19.02</v>
      </c>
    </row>
    <row r="117" spans="2:20" ht="28">
      <c r="B117" s="5" t="s">
        <v>356</v>
      </c>
      <c r="C117" s="45" t="s">
        <v>165</v>
      </c>
      <c r="D117" s="45" t="s">
        <v>357</v>
      </c>
      <c r="E117" s="6" t="s">
        <v>358</v>
      </c>
      <c r="F117" s="45" t="s">
        <v>182</v>
      </c>
      <c r="G117" s="46">
        <f t="shared" si="14"/>
        <v>1</v>
      </c>
      <c r="H117" s="46">
        <f>TRUNC(S117*(1-LOTE_01!$K$10),2)</f>
        <v>15.49</v>
      </c>
      <c r="I117" s="46">
        <f>TRUNC(T117*(1-LOTE_01!$K$10),2)</f>
        <v>0.92</v>
      </c>
      <c r="J117" s="100">
        <f t="shared" si="8"/>
        <v>0.22470000000000001</v>
      </c>
      <c r="K117" s="48">
        <f t="shared" si="9"/>
        <v>18.97</v>
      </c>
      <c r="L117" s="48">
        <f t="shared" si="10"/>
        <v>1.1200000000000001</v>
      </c>
      <c r="M117" s="48">
        <f t="shared" si="11"/>
        <v>18.97</v>
      </c>
      <c r="N117" s="48">
        <f t="shared" si="12"/>
        <v>1.1200000000000001</v>
      </c>
      <c r="O117" s="50">
        <f t="shared" si="13"/>
        <v>20.09</v>
      </c>
      <c r="P117" s="50">
        <v>0</v>
      </c>
      <c r="Q117" s="76"/>
      <c r="R117" s="140">
        <f>IF((1*S10)&gt;5,5,1)</f>
        <v>1</v>
      </c>
      <c r="S117" s="152">
        <v>15.49</v>
      </c>
      <c r="T117" s="153">
        <v>0.92</v>
      </c>
    </row>
    <row r="118" spans="2:20" ht="28">
      <c r="B118" s="5" t="s">
        <v>359</v>
      </c>
      <c r="C118" s="45" t="s">
        <v>165</v>
      </c>
      <c r="D118" s="45" t="s">
        <v>360</v>
      </c>
      <c r="E118" s="6" t="s">
        <v>361</v>
      </c>
      <c r="F118" s="45" t="s">
        <v>182</v>
      </c>
      <c r="G118" s="46">
        <f t="shared" si="14"/>
        <v>1</v>
      </c>
      <c r="H118" s="46">
        <f>TRUNC(S118*(1-LOTE_01!$K$10),2)</f>
        <v>22.84</v>
      </c>
      <c r="I118" s="46">
        <f>TRUNC(T118*(1-LOTE_01!$K$10),2)</f>
        <v>28.25</v>
      </c>
      <c r="J118" s="100">
        <f t="shared" si="8"/>
        <v>0.22470000000000001</v>
      </c>
      <c r="K118" s="48">
        <f t="shared" si="9"/>
        <v>27.97</v>
      </c>
      <c r="L118" s="48">
        <f t="shared" si="10"/>
        <v>34.590000000000003</v>
      </c>
      <c r="M118" s="48">
        <f t="shared" si="11"/>
        <v>27.97</v>
      </c>
      <c r="N118" s="48">
        <f t="shared" si="12"/>
        <v>34.590000000000003</v>
      </c>
      <c r="O118" s="50">
        <f t="shared" si="13"/>
        <v>62.56</v>
      </c>
      <c r="P118" s="50">
        <v>0</v>
      </c>
      <c r="Q118" s="76"/>
      <c r="R118" s="140">
        <f>IF((1*S10)&gt;5,5,1)</f>
        <v>1</v>
      </c>
      <c r="S118" s="152">
        <v>22.84</v>
      </c>
      <c r="T118" s="153">
        <v>28.25</v>
      </c>
    </row>
    <row r="119" spans="2:20" ht="28">
      <c r="B119" s="5" t="s">
        <v>362</v>
      </c>
      <c r="C119" s="45" t="s">
        <v>135</v>
      </c>
      <c r="D119" s="45">
        <v>93358</v>
      </c>
      <c r="E119" s="6" t="s">
        <v>363</v>
      </c>
      <c r="F119" s="45" t="s">
        <v>161</v>
      </c>
      <c r="G119" s="46">
        <f t="shared" si="14"/>
        <v>1</v>
      </c>
      <c r="H119" s="46">
        <f>TRUNC(S119*(1-LOTE_01!$K$10),2)</f>
        <v>29.49</v>
      </c>
      <c r="I119" s="46">
        <f>TRUNC(T119*(1-LOTE_01!$K$10),2)</f>
        <v>64.849999999999994</v>
      </c>
      <c r="J119" s="100">
        <f t="shared" si="8"/>
        <v>0.22470000000000001</v>
      </c>
      <c r="K119" s="48">
        <f t="shared" si="9"/>
        <v>36.11</v>
      </c>
      <c r="L119" s="48">
        <f t="shared" si="10"/>
        <v>79.42</v>
      </c>
      <c r="M119" s="48">
        <f t="shared" si="11"/>
        <v>36.11</v>
      </c>
      <c r="N119" s="48">
        <f t="shared" si="12"/>
        <v>79.42</v>
      </c>
      <c r="O119" s="50">
        <f t="shared" si="13"/>
        <v>115.53</v>
      </c>
      <c r="P119" s="50">
        <v>0</v>
      </c>
      <c r="Q119" s="76"/>
      <c r="R119" s="140">
        <f>IF((1*S10)&gt;5,5,1)</f>
        <v>1</v>
      </c>
      <c r="S119" s="152">
        <v>29.490000000000009</v>
      </c>
      <c r="T119" s="153">
        <v>64.849999999999994</v>
      </c>
    </row>
    <row r="120" spans="2:20" ht="28">
      <c r="B120" s="5" t="s">
        <v>364</v>
      </c>
      <c r="C120" s="45" t="s">
        <v>165</v>
      </c>
      <c r="D120" s="45" t="s">
        <v>365</v>
      </c>
      <c r="E120" s="6" t="s">
        <v>366</v>
      </c>
      <c r="F120" s="45" t="s">
        <v>182</v>
      </c>
      <c r="G120" s="46">
        <f t="shared" si="14"/>
        <v>1</v>
      </c>
      <c r="H120" s="46">
        <f>TRUNC(S120*(1-LOTE_01!$K$10),2)</f>
        <v>0</v>
      </c>
      <c r="I120" s="46">
        <f>TRUNC(T120*(1-LOTE_01!$K$10),2)</f>
        <v>50.59</v>
      </c>
      <c r="J120" s="100">
        <f t="shared" si="8"/>
        <v>0.22470000000000001</v>
      </c>
      <c r="K120" s="48">
        <f t="shared" si="9"/>
        <v>0</v>
      </c>
      <c r="L120" s="48">
        <f t="shared" si="10"/>
        <v>61.95</v>
      </c>
      <c r="M120" s="48">
        <f t="shared" si="11"/>
        <v>0</v>
      </c>
      <c r="N120" s="48">
        <f t="shared" si="12"/>
        <v>61.95</v>
      </c>
      <c r="O120" s="50">
        <f t="shared" si="13"/>
        <v>61.95</v>
      </c>
      <c r="P120" s="50">
        <v>0</v>
      </c>
      <c r="Q120" s="76"/>
      <c r="R120" s="140">
        <f>IF((1*S10)&gt;5,5,1)</f>
        <v>1</v>
      </c>
      <c r="S120" s="152">
        <v>0</v>
      </c>
      <c r="T120" s="153">
        <v>50.59</v>
      </c>
    </row>
    <row r="121" spans="2:20" ht="28">
      <c r="B121" s="5" t="s">
        <v>367</v>
      </c>
      <c r="C121" s="45" t="s">
        <v>165</v>
      </c>
      <c r="D121" s="45" t="s">
        <v>368</v>
      </c>
      <c r="E121" s="6" t="s">
        <v>369</v>
      </c>
      <c r="F121" s="45" t="s">
        <v>182</v>
      </c>
      <c r="G121" s="46">
        <f t="shared" si="14"/>
        <v>1</v>
      </c>
      <c r="H121" s="46">
        <f>TRUNC(S121*(1-LOTE_01!$K$10),2)</f>
        <v>0</v>
      </c>
      <c r="I121" s="46">
        <f>TRUNC(T121*(1-LOTE_01!$K$10),2)</f>
        <v>5.69</v>
      </c>
      <c r="J121" s="100">
        <f t="shared" si="8"/>
        <v>0.22470000000000001</v>
      </c>
      <c r="K121" s="48">
        <f t="shared" si="9"/>
        <v>0</v>
      </c>
      <c r="L121" s="48">
        <f t="shared" si="10"/>
        <v>6.96</v>
      </c>
      <c r="M121" s="48">
        <f t="shared" si="11"/>
        <v>0</v>
      </c>
      <c r="N121" s="48">
        <f t="shared" si="12"/>
        <v>6.96</v>
      </c>
      <c r="O121" s="50">
        <f t="shared" si="13"/>
        <v>6.96</v>
      </c>
      <c r="P121" s="50">
        <v>0</v>
      </c>
      <c r="Q121" s="76"/>
      <c r="R121" s="140">
        <f>IF((1*S10)&gt;5,5,1)</f>
        <v>1</v>
      </c>
      <c r="S121" s="152">
        <v>0</v>
      </c>
      <c r="T121" s="153">
        <v>5.69</v>
      </c>
    </row>
    <row r="122" spans="2:20" ht="28">
      <c r="B122" s="5" t="s">
        <v>370</v>
      </c>
      <c r="C122" s="45" t="s">
        <v>165</v>
      </c>
      <c r="D122" s="45" t="s">
        <v>371</v>
      </c>
      <c r="E122" s="6" t="s">
        <v>372</v>
      </c>
      <c r="F122" s="45" t="s">
        <v>182</v>
      </c>
      <c r="G122" s="46">
        <f t="shared" si="14"/>
        <v>1</v>
      </c>
      <c r="H122" s="46">
        <f>TRUNC(S122*(1-LOTE_01!$K$10),2)</f>
        <v>0</v>
      </c>
      <c r="I122" s="46">
        <f>TRUNC(T122*(1-LOTE_01!$K$10),2)</f>
        <v>51.28</v>
      </c>
      <c r="J122" s="100">
        <f t="shared" si="8"/>
        <v>0.22470000000000001</v>
      </c>
      <c r="K122" s="48">
        <f t="shared" si="9"/>
        <v>0</v>
      </c>
      <c r="L122" s="48">
        <f t="shared" si="10"/>
        <v>62.8</v>
      </c>
      <c r="M122" s="48">
        <f t="shared" si="11"/>
        <v>0</v>
      </c>
      <c r="N122" s="48">
        <f t="shared" si="12"/>
        <v>62.8</v>
      </c>
      <c r="O122" s="50">
        <f t="shared" si="13"/>
        <v>62.8</v>
      </c>
      <c r="P122" s="50">
        <v>0</v>
      </c>
      <c r="Q122" s="76"/>
      <c r="R122" s="140">
        <f>IF((1*S10)&gt;5,5,1)</f>
        <v>1</v>
      </c>
      <c r="S122" s="152">
        <v>0</v>
      </c>
      <c r="T122" s="153">
        <v>51.28</v>
      </c>
    </row>
    <row r="123" spans="2:20" ht="28">
      <c r="B123" s="5" t="s">
        <v>373</v>
      </c>
      <c r="C123" s="45" t="s">
        <v>165</v>
      </c>
      <c r="D123" s="45" t="s">
        <v>374</v>
      </c>
      <c r="E123" s="6" t="s">
        <v>375</v>
      </c>
      <c r="F123" s="45" t="s">
        <v>168</v>
      </c>
      <c r="G123" s="46">
        <f t="shared" si="14"/>
        <v>1</v>
      </c>
      <c r="H123" s="46">
        <f>TRUNC(S123*(1-LOTE_01!$K$10),2)</f>
        <v>0</v>
      </c>
      <c r="I123" s="46">
        <f>TRUNC(T123*(1-LOTE_01!$K$10),2)</f>
        <v>18.97</v>
      </c>
      <c r="J123" s="100">
        <f t="shared" si="8"/>
        <v>0.22470000000000001</v>
      </c>
      <c r="K123" s="48">
        <f t="shared" si="9"/>
        <v>0</v>
      </c>
      <c r="L123" s="48">
        <f t="shared" si="10"/>
        <v>23.23</v>
      </c>
      <c r="M123" s="48">
        <f t="shared" si="11"/>
        <v>0</v>
      </c>
      <c r="N123" s="48">
        <f t="shared" si="12"/>
        <v>23.23</v>
      </c>
      <c r="O123" s="50">
        <f t="shared" si="13"/>
        <v>23.23</v>
      </c>
      <c r="P123" s="50">
        <v>0</v>
      </c>
      <c r="Q123" s="76"/>
      <c r="R123" s="140">
        <f>IF((1*S10)&gt;5,5,1)</f>
        <v>1</v>
      </c>
      <c r="S123" s="152">
        <v>0</v>
      </c>
      <c r="T123" s="153">
        <v>18.97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8919.15</v>
      </c>
      <c r="Q124" s="76"/>
      <c r="R124" s="154"/>
      <c r="S124" s="152" t="s">
        <v>22</v>
      </c>
      <c r="T124" s="153" t="s">
        <v>22</v>
      </c>
    </row>
    <row r="125" spans="2:20" ht="70">
      <c r="B125" s="5" t="s">
        <v>376</v>
      </c>
      <c r="C125" s="45" t="s">
        <v>135</v>
      </c>
      <c r="D125" s="45">
        <v>94962</v>
      </c>
      <c r="E125" s="6" t="s">
        <v>377</v>
      </c>
      <c r="F125" s="45" t="s">
        <v>161</v>
      </c>
      <c r="G125" s="46">
        <f t="shared" ref="G125:G131" si="15">IF($S$11=0,0,TRUNC(R125,2))</f>
        <v>1</v>
      </c>
      <c r="H125" s="46">
        <f>TRUNC(S125*(1-LOTE_01!$K$10),2)</f>
        <v>649.17999999999995</v>
      </c>
      <c r="I125" s="46">
        <f>TRUNC(T125*(1-LOTE_01!$K$10),2)</f>
        <v>65.849999999999994</v>
      </c>
      <c r="J125" s="100">
        <f t="shared" si="8"/>
        <v>0.22470000000000001</v>
      </c>
      <c r="K125" s="48">
        <f t="shared" si="9"/>
        <v>795.05</v>
      </c>
      <c r="L125" s="48">
        <f t="shared" si="10"/>
        <v>80.64</v>
      </c>
      <c r="M125" s="48">
        <f t="shared" si="11"/>
        <v>795.05</v>
      </c>
      <c r="N125" s="48">
        <f t="shared" si="12"/>
        <v>80.64</v>
      </c>
      <c r="O125" s="50">
        <f t="shared" si="13"/>
        <v>875.69</v>
      </c>
      <c r="P125" s="50">
        <v>0</v>
      </c>
      <c r="Q125" s="76"/>
      <c r="R125" s="140">
        <f>IF((1*S10)&gt;5,5,1)</f>
        <v>1</v>
      </c>
      <c r="S125" s="152">
        <v>649.17999999999995</v>
      </c>
      <c r="T125" s="153">
        <v>65.849999999999994</v>
      </c>
    </row>
    <row r="126" spans="2:20" ht="56">
      <c r="B126" s="5" t="s">
        <v>378</v>
      </c>
      <c r="C126" s="45" t="s">
        <v>135</v>
      </c>
      <c r="D126" s="45">
        <v>94963</v>
      </c>
      <c r="E126" s="6" t="s">
        <v>379</v>
      </c>
      <c r="F126" s="45" t="s">
        <v>161</v>
      </c>
      <c r="G126" s="46">
        <f t="shared" si="15"/>
        <v>1</v>
      </c>
      <c r="H126" s="46">
        <f>TRUNC(S126*(1-LOTE_01!$K$10),2)</f>
        <v>725.79</v>
      </c>
      <c r="I126" s="46">
        <f>TRUNC(T126*(1-LOTE_01!$K$10),2)</f>
        <v>65.34</v>
      </c>
      <c r="J126" s="100">
        <f t="shared" si="8"/>
        <v>0.22470000000000001</v>
      </c>
      <c r="K126" s="48">
        <f t="shared" si="9"/>
        <v>888.87</v>
      </c>
      <c r="L126" s="48">
        <f t="shared" si="10"/>
        <v>80.02</v>
      </c>
      <c r="M126" s="48">
        <f t="shared" si="11"/>
        <v>888.87</v>
      </c>
      <c r="N126" s="48">
        <f t="shared" si="12"/>
        <v>80.02</v>
      </c>
      <c r="O126" s="50">
        <f t="shared" si="13"/>
        <v>968.89</v>
      </c>
      <c r="P126" s="50">
        <v>0</v>
      </c>
      <c r="Q126" s="76"/>
      <c r="R126" s="140">
        <f>IF((1*S10)&gt;5,5,1)</f>
        <v>1</v>
      </c>
      <c r="S126" s="152">
        <v>725.79</v>
      </c>
      <c r="T126" s="153">
        <v>65.34</v>
      </c>
    </row>
    <row r="127" spans="2:20" ht="56">
      <c r="B127" s="5" t="s">
        <v>380</v>
      </c>
      <c r="C127" s="45" t="s">
        <v>135</v>
      </c>
      <c r="D127" s="45">
        <v>94964</v>
      </c>
      <c r="E127" s="6" t="s">
        <v>381</v>
      </c>
      <c r="F127" s="45" t="s">
        <v>161</v>
      </c>
      <c r="G127" s="46">
        <f t="shared" si="15"/>
        <v>1</v>
      </c>
      <c r="H127" s="46">
        <f>TRUNC(S127*(1-LOTE_01!$K$10),2)</f>
        <v>788.68</v>
      </c>
      <c r="I127" s="46">
        <f>TRUNC(T127*(1-LOTE_01!$K$10),2)</f>
        <v>71.19</v>
      </c>
      <c r="J127" s="100">
        <f t="shared" si="8"/>
        <v>0.22470000000000001</v>
      </c>
      <c r="K127" s="48">
        <f t="shared" si="9"/>
        <v>965.89</v>
      </c>
      <c r="L127" s="48">
        <f t="shared" si="10"/>
        <v>87.18</v>
      </c>
      <c r="M127" s="48">
        <f t="shared" si="11"/>
        <v>965.89</v>
      </c>
      <c r="N127" s="48">
        <f t="shared" si="12"/>
        <v>87.18</v>
      </c>
      <c r="O127" s="50">
        <f t="shared" si="13"/>
        <v>1053.07</v>
      </c>
      <c r="P127" s="50">
        <v>0</v>
      </c>
      <c r="Q127" s="76"/>
      <c r="R127" s="140">
        <f>IF((1*S10)&gt;5,5,1)</f>
        <v>1</v>
      </c>
      <c r="S127" s="152">
        <v>788.68000000000006</v>
      </c>
      <c r="T127" s="153">
        <v>71.19</v>
      </c>
    </row>
    <row r="128" spans="2:20" ht="56">
      <c r="B128" s="5" t="s">
        <v>382</v>
      </c>
      <c r="C128" s="45" t="s">
        <v>135</v>
      </c>
      <c r="D128" s="45">
        <v>94965</v>
      </c>
      <c r="E128" s="6" t="s">
        <v>383</v>
      </c>
      <c r="F128" s="45" t="s">
        <v>161</v>
      </c>
      <c r="G128" s="46">
        <f t="shared" si="15"/>
        <v>1</v>
      </c>
      <c r="H128" s="46">
        <f>TRUNC(S128*(1-LOTE_01!$K$10),2)</f>
        <v>835.24</v>
      </c>
      <c r="I128" s="46">
        <f>TRUNC(T128*(1-LOTE_01!$K$10),2)</f>
        <v>64.89</v>
      </c>
      <c r="J128" s="100">
        <f t="shared" si="8"/>
        <v>0.22470000000000001</v>
      </c>
      <c r="K128" s="48">
        <f t="shared" si="9"/>
        <v>1022.91</v>
      </c>
      <c r="L128" s="48">
        <f t="shared" si="10"/>
        <v>79.47</v>
      </c>
      <c r="M128" s="48">
        <f t="shared" si="11"/>
        <v>1022.91</v>
      </c>
      <c r="N128" s="48">
        <f t="shared" si="12"/>
        <v>79.47</v>
      </c>
      <c r="O128" s="50">
        <f t="shared" si="13"/>
        <v>1102.3800000000001</v>
      </c>
      <c r="P128" s="50">
        <v>0</v>
      </c>
      <c r="Q128" s="76"/>
      <c r="R128" s="140">
        <f>IF((1*S10)&gt;5,5,1)</f>
        <v>1</v>
      </c>
      <c r="S128" s="152">
        <v>835.24</v>
      </c>
      <c r="T128" s="153">
        <v>64.89</v>
      </c>
    </row>
    <row r="129" spans="2:20" ht="42">
      <c r="B129" s="5" t="s">
        <v>384</v>
      </c>
      <c r="C129" s="45" t="s">
        <v>135</v>
      </c>
      <c r="D129" s="45">
        <v>102487</v>
      </c>
      <c r="E129" s="6" t="s">
        <v>385</v>
      </c>
      <c r="F129" s="45" t="s">
        <v>161</v>
      </c>
      <c r="G129" s="46">
        <f t="shared" si="15"/>
        <v>1</v>
      </c>
      <c r="H129" s="46">
        <f>TRUNC(S129*(1-LOTE_01!$K$10),2)</f>
        <v>797.88</v>
      </c>
      <c r="I129" s="46">
        <f>TRUNC(T129*(1-LOTE_01!$K$10),2)</f>
        <v>203.09</v>
      </c>
      <c r="J129" s="100">
        <f t="shared" si="8"/>
        <v>0.22470000000000001</v>
      </c>
      <c r="K129" s="48">
        <f t="shared" si="9"/>
        <v>977.16</v>
      </c>
      <c r="L129" s="48">
        <f t="shared" si="10"/>
        <v>248.72</v>
      </c>
      <c r="M129" s="48">
        <f t="shared" si="11"/>
        <v>977.16</v>
      </c>
      <c r="N129" s="48">
        <f t="shared" si="12"/>
        <v>248.72</v>
      </c>
      <c r="O129" s="50">
        <f t="shared" si="13"/>
        <v>1225.8800000000001</v>
      </c>
      <c r="P129" s="50">
        <v>0</v>
      </c>
      <c r="Q129" s="76"/>
      <c r="R129" s="140">
        <f>IF((1*S10)&gt;5,5,1)</f>
        <v>1</v>
      </c>
      <c r="S129" s="152">
        <v>797.88</v>
      </c>
      <c r="T129" s="153">
        <v>203.09</v>
      </c>
    </row>
    <row r="130" spans="2:20" ht="28">
      <c r="B130" s="5" t="s">
        <v>386</v>
      </c>
      <c r="C130" s="45" t="s">
        <v>165</v>
      </c>
      <c r="D130" s="45" t="s">
        <v>387</v>
      </c>
      <c r="E130" s="6" t="s">
        <v>388</v>
      </c>
      <c r="F130" s="45" t="s">
        <v>168</v>
      </c>
      <c r="G130" s="46">
        <f t="shared" si="15"/>
        <v>5</v>
      </c>
      <c r="H130" s="46">
        <f>TRUNC(S130*(1-LOTE_01!$K$10),2)</f>
        <v>134.71</v>
      </c>
      <c r="I130" s="46">
        <f>TRUNC(T130*(1-LOTE_01!$K$10),2)</f>
        <v>75.7</v>
      </c>
      <c r="J130" s="100">
        <f t="shared" si="8"/>
        <v>0.22470000000000001</v>
      </c>
      <c r="K130" s="48">
        <f t="shared" si="9"/>
        <v>164.97</v>
      </c>
      <c r="L130" s="48">
        <f t="shared" si="10"/>
        <v>92.7</v>
      </c>
      <c r="M130" s="48">
        <f t="shared" si="11"/>
        <v>824.85</v>
      </c>
      <c r="N130" s="48">
        <f t="shared" si="12"/>
        <v>463.5</v>
      </c>
      <c r="O130" s="50">
        <f t="shared" si="13"/>
        <v>1288.3499999999999</v>
      </c>
      <c r="P130" s="50">
        <v>0</v>
      </c>
      <c r="Q130" s="76"/>
      <c r="R130" s="140">
        <f>IF((5*S10)&gt;20,20,5)</f>
        <v>5</v>
      </c>
      <c r="S130" s="152">
        <v>134.71</v>
      </c>
      <c r="T130" s="153">
        <v>75.7</v>
      </c>
    </row>
    <row r="131" spans="2:20" ht="42">
      <c r="B131" s="5" t="s">
        <v>389</v>
      </c>
      <c r="C131" s="45" t="s">
        <v>135</v>
      </c>
      <c r="D131" s="45">
        <v>103670</v>
      </c>
      <c r="E131" s="6" t="s">
        <v>390</v>
      </c>
      <c r="F131" s="45" t="s">
        <v>161</v>
      </c>
      <c r="G131" s="46">
        <f t="shared" si="15"/>
        <v>1</v>
      </c>
      <c r="H131" s="46">
        <f>TRUNC(S131*(1-LOTE_01!$K$10),2)</f>
        <v>93.72</v>
      </c>
      <c r="I131" s="46">
        <f>TRUNC(T131*(1-LOTE_01!$K$10),2)</f>
        <v>236.14</v>
      </c>
      <c r="J131" s="100">
        <f t="shared" si="8"/>
        <v>0.22470000000000001</v>
      </c>
      <c r="K131" s="48">
        <f t="shared" si="9"/>
        <v>114.77</v>
      </c>
      <c r="L131" s="48">
        <f t="shared" si="10"/>
        <v>289.2</v>
      </c>
      <c r="M131" s="48">
        <f t="shared" si="11"/>
        <v>114.77</v>
      </c>
      <c r="N131" s="48">
        <f t="shared" si="12"/>
        <v>289.2</v>
      </c>
      <c r="O131" s="50">
        <f t="shared" si="13"/>
        <v>403.97</v>
      </c>
      <c r="P131" s="50">
        <v>0</v>
      </c>
      <c r="Q131" s="76"/>
      <c r="R131" s="140">
        <f>IF((1*S10)&gt;5,5,1)</f>
        <v>1</v>
      </c>
      <c r="S131" s="152">
        <v>93.720000000000027</v>
      </c>
      <c r="T131" s="153">
        <v>236.14</v>
      </c>
    </row>
    <row r="132" spans="2:20" ht="56">
      <c r="B132" s="5" t="s">
        <v>391</v>
      </c>
      <c r="C132" s="45" t="s">
        <v>135</v>
      </c>
      <c r="D132" s="45">
        <v>95240</v>
      </c>
      <c r="E132" s="6" t="s">
        <v>392</v>
      </c>
      <c r="F132" s="45" t="s">
        <v>121</v>
      </c>
      <c r="G132" s="46">
        <f t="shared" si="7"/>
        <v>14</v>
      </c>
      <c r="H132" s="46">
        <f>TRUNC(S132*(1-LOTE_01!$K$10),2)</f>
        <v>23.61</v>
      </c>
      <c r="I132" s="46">
        <f>TRUNC(T132*(1-LOTE_01!$K$10),2)</f>
        <v>6.69</v>
      </c>
      <c r="J132" s="100">
        <f t="shared" si="8"/>
        <v>0.22470000000000001</v>
      </c>
      <c r="K132" s="48">
        <f t="shared" si="9"/>
        <v>28.91</v>
      </c>
      <c r="L132" s="48">
        <f t="shared" si="10"/>
        <v>8.19</v>
      </c>
      <c r="M132" s="48">
        <f t="shared" si="11"/>
        <v>404.74</v>
      </c>
      <c r="N132" s="48">
        <f t="shared" si="12"/>
        <v>114.66</v>
      </c>
      <c r="O132" s="50">
        <f t="shared" si="13"/>
        <v>519.4</v>
      </c>
      <c r="P132" s="50">
        <v>0</v>
      </c>
      <c r="Q132" s="76"/>
      <c r="R132" s="140">
        <f>IF((S9+2*S10)&gt;20,20,(S9+2*S10))</f>
        <v>14</v>
      </c>
      <c r="S132" s="152">
        <v>23.61</v>
      </c>
      <c r="T132" s="153">
        <v>6.69</v>
      </c>
    </row>
    <row r="133" spans="2:20" ht="28">
      <c r="B133" s="5" t="s">
        <v>393</v>
      </c>
      <c r="C133" s="45" t="s">
        <v>97</v>
      </c>
      <c r="D133" s="45" t="s">
        <v>394</v>
      </c>
      <c r="E133" s="6" t="s">
        <v>395</v>
      </c>
      <c r="F133" s="45" t="s">
        <v>161</v>
      </c>
      <c r="G133" s="46">
        <f>IF($S$11=0,0,TRUNC(R133,2))</f>
        <v>1</v>
      </c>
      <c r="H133" s="46">
        <f>TRUNC(S133*(1-LOTE_01!$K$10),2)</f>
        <v>900.31</v>
      </c>
      <c r="I133" s="46">
        <f>TRUNC(T133*(1-LOTE_01!$K$10),2)</f>
        <v>309.39999999999998</v>
      </c>
      <c r="J133" s="100">
        <f t="shared" si="8"/>
        <v>0.22470000000000001</v>
      </c>
      <c r="K133" s="48">
        <f t="shared" si="9"/>
        <v>1102.5999999999999</v>
      </c>
      <c r="L133" s="48">
        <f t="shared" si="10"/>
        <v>378.92</v>
      </c>
      <c r="M133" s="48">
        <f t="shared" si="11"/>
        <v>1102.5999999999999</v>
      </c>
      <c r="N133" s="48">
        <f t="shared" si="12"/>
        <v>378.92</v>
      </c>
      <c r="O133" s="50">
        <f t="shared" si="13"/>
        <v>1481.52</v>
      </c>
      <c r="P133" s="50">
        <v>0</v>
      </c>
      <c r="Q133" s="76"/>
      <c r="R133" s="140">
        <f>IF((1*S10)&gt;5,5,1)</f>
        <v>1</v>
      </c>
      <c r="S133" s="152">
        <v>900.31</v>
      </c>
      <c r="T133" s="153">
        <v>309.39999999999998</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42075.81</v>
      </c>
      <c r="Q134" s="76"/>
      <c r="R134" s="154"/>
      <c r="S134" s="152" t="s">
        <v>22</v>
      </c>
      <c r="T134" s="153" t="s">
        <v>22</v>
      </c>
    </row>
    <row r="135" spans="2:20" ht="28">
      <c r="B135" s="5" t="s">
        <v>396</v>
      </c>
      <c r="C135" s="45" t="s">
        <v>135</v>
      </c>
      <c r="D135" s="45">
        <v>96543</v>
      </c>
      <c r="E135" s="6" t="s">
        <v>397</v>
      </c>
      <c r="F135" s="45" t="s">
        <v>398</v>
      </c>
      <c r="G135" s="46">
        <f t="shared" ref="G135:G149" si="16">IF($S$11=0,0,TRUNC(R135,2))</f>
        <v>50</v>
      </c>
      <c r="H135" s="46">
        <f>TRUNC(S135*(1-LOTE_01!$K$10),2)</f>
        <v>14.21</v>
      </c>
      <c r="I135" s="46">
        <f>TRUNC(T135*(1-LOTE_01!$K$10),2)</f>
        <v>9.0299999999999994</v>
      </c>
      <c r="J135" s="100">
        <f t="shared" si="8"/>
        <v>0.22470000000000001</v>
      </c>
      <c r="K135" s="48">
        <f t="shared" si="9"/>
        <v>17.399999999999999</v>
      </c>
      <c r="L135" s="48">
        <f t="shared" si="10"/>
        <v>11.05</v>
      </c>
      <c r="M135" s="48">
        <f t="shared" si="11"/>
        <v>870</v>
      </c>
      <c r="N135" s="48">
        <f t="shared" si="12"/>
        <v>552.5</v>
      </c>
      <c r="O135" s="50">
        <f t="shared" si="13"/>
        <v>1422.5</v>
      </c>
      <c r="P135" s="50">
        <v>0</v>
      </c>
      <c r="Q135" s="76"/>
      <c r="R135" s="140">
        <f>IF(20*S10&gt;=80,200,50)</f>
        <v>50</v>
      </c>
      <c r="S135" s="152">
        <v>14.209999999999999</v>
      </c>
      <c r="T135" s="153">
        <v>9.0299999999999994</v>
      </c>
    </row>
    <row r="136" spans="2:20" ht="42">
      <c r="B136" s="5" t="s">
        <v>399</v>
      </c>
      <c r="C136" s="45" t="s">
        <v>165</v>
      </c>
      <c r="D136" s="45" t="s">
        <v>400</v>
      </c>
      <c r="E136" s="6" t="s">
        <v>401</v>
      </c>
      <c r="F136" s="45" t="s">
        <v>402</v>
      </c>
      <c r="G136" s="46">
        <f t="shared" si="16"/>
        <v>50</v>
      </c>
      <c r="H136" s="46">
        <f>TRUNC(S136*(1-LOTE_01!$K$10),2)</f>
        <v>9.14</v>
      </c>
      <c r="I136" s="46">
        <f>TRUNC(T136*(1-LOTE_01!$K$10),2)</f>
        <v>4.49</v>
      </c>
      <c r="J136" s="100">
        <f t="shared" si="8"/>
        <v>0.22470000000000001</v>
      </c>
      <c r="K136" s="48">
        <f t="shared" si="9"/>
        <v>11.19</v>
      </c>
      <c r="L136" s="48">
        <f t="shared" si="10"/>
        <v>5.49</v>
      </c>
      <c r="M136" s="48">
        <f t="shared" si="11"/>
        <v>559.5</v>
      </c>
      <c r="N136" s="48">
        <f t="shared" si="12"/>
        <v>274.5</v>
      </c>
      <c r="O136" s="50">
        <f t="shared" si="13"/>
        <v>834</v>
      </c>
      <c r="P136" s="50">
        <v>0</v>
      </c>
      <c r="Q136" s="76"/>
      <c r="R136" s="140">
        <f>IF(20*S10&gt;=80,200,50)</f>
        <v>50</v>
      </c>
      <c r="S136" s="152">
        <v>9.14</v>
      </c>
      <c r="T136" s="153">
        <v>4.49</v>
      </c>
    </row>
    <row r="137" spans="2:20" ht="42">
      <c r="B137" s="5" t="s">
        <v>403</v>
      </c>
      <c r="C137" s="45" t="s">
        <v>165</v>
      </c>
      <c r="D137" s="45" t="s">
        <v>404</v>
      </c>
      <c r="E137" s="6" t="s">
        <v>405</v>
      </c>
      <c r="F137" s="45" t="s">
        <v>402</v>
      </c>
      <c r="G137" s="46">
        <f t="shared" si="16"/>
        <v>50</v>
      </c>
      <c r="H137" s="46">
        <f>TRUNC(S137*(1-LOTE_01!$K$10),2)</f>
        <v>18.73</v>
      </c>
      <c r="I137" s="46">
        <f>TRUNC(T137*(1-LOTE_01!$K$10),2)</f>
        <v>4.49</v>
      </c>
      <c r="J137" s="100">
        <f t="shared" si="8"/>
        <v>0.22470000000000001</v>
      </c>
      <c r="K137" s="48">
        <f t="shared" si="9"/>
        <v>22.93</v>
      </c>
      <c r="L137" s="48">
        <f t="shared" si="10"/>
        <v>5.49</v>
      </c>
      <c r="M137" s="48">
        <f t="shared" si="11"/>
        <v>1146.5</v>
      </c>
      <c r="N137" s="48">
        <f t="shared" si="12"/>
        <v>274.5</v>
      </c>
      <c r="O137" s="50">
        <f t="shared" si="13"/>
        <v>1421</v>
      </c>
      <c r="P137" s="50">
        <v>0</v>
      </c>
      <c r="Q137" s="76"/>
      <c r="R137" s="140">
        <f>IF(20*S10&gt;=80,200,50)</f>
        <v>50</v>
      </c>
      <c r="S137" s="152">
        <v>18.73</v>
      </c>
      <c r="T137" s="153">
        <v>4.49</v>
      </c>
    </row>
    <row r="138" spans="2:20" ht="42">
      <c r="B138" s="5" t="s">
        <v>406</v>
      </c>
      <c r="C138" s="45" t="s">
        <v>165</v>
      </c>
      <c r="D138" s="45" t="s">
        <v>407</v>
      </c>
      <c r="E138" s="6" t="s">
        <v>408</v>
      </c>
      <c r="F138" s="45" t="s">
        <v>402</v>
      </c>
      <c r="G138" s="46">
        <f t="shared" si="16"/>
        <v>50</v>
      </c>
      <c r="H138" s="46">
        <f>TRUNC(S138*(1-LOTE_01!$K$10),2)</f>
        <v>25.42</v>
      </c>
      <c r="I138" s="46">
        <f>TRUNC(T138*(1-LOTE_01!$K$10),2)</f>
        <v>2.81</v>
      </c>
      <c r="J138" s="100">
        <f t="shared" si="8"/>
        <v>0.22470000000000001</v>
      </c>
      <c r="K138" s="48">
        <f t="shared" si="9"/>
        <v>31.13</v>
      </c>
      <c r="L138" s="48">
        <f t="shared" si="10"/>
        <v>3.44</v>
      </c>
      <c r="M138" s="48">
        <f t="shared" si="11"/>
        <v>1556.5</v>
      </c>
      <c r="N138" s="48">
        <f t="shared" si="12"/>
        <v>172</v>
      </c>
      <c r="O138" s="50">
        <f t="shared" si="13"/>
        <v>1728.5</v>
      </c>
      <c r="P138" s="50">
        <v>0</v>
      </c>
      <c r="Q138" s="76"/>
      <c r="R138" s="140">
        <f>IF(20*S10&gt;=80,200,50)</f>
        <v>50</v>
      </c>
      <c r="S138" s="152">
        <v>25.42</v>
      </c>
      <c r="T138" s="153">
        <v>2.81</v>
      </c>
    </row>
    <row r="139" spans="2:20" ht="28">
      <c r="B139" s="5" t="s">
        <v>409</v>
      </c>
      <c r="C139" s="45" t="s">
        <v>165</v>
      </c>
      <c r="D139" s="45" t="s">
        <v>410</v>
      </c>
      <c r="E139" s="6" t="s">
        <v>411</v>
      </c>
      <c r="F139" s="45" t="s">
        <v>168</v>
      </c>
      <c r="G139" s="46">
        <f t="shared" si="16"/>
        <v>100</v>
      </c>
      <c r="H139" s="46">
        <f>TRUNC(S139*(1-LOTE_01!$K$10),2)</f>
        <v>56.02</v>
      </c>
      <c r="I139" s="46">
        <f>TRUNC(T139*(1-LOTE_01!$K$10),2)</f>
        <v>2.15</v>
      </c>
      <c r="J139" s="100">
        <f t="shared" si="8"/>
        <v>0.22470000000000001</v>
      </c>
      <c r="K139" s="48">
        <f t="shared" si="9"/>
        <v>68.599999999999994</v>
      </c>
      <c r="L139" s="48">
        <f t="shared" si="10"/>
        <v>2.63</v>
      </c>
      <c r="M139" s="48">
        <f t="shared" si="11"/>
        <v>6860</v>
      </c>
      <c r="N139" s="48">
        <f t="shared" si="12"/>
        <v>263</v>
      </c>
      <c r="O139" s="50">
        <f t="shared" si="13"/>
        <v>7123</v>
      </c>
      <c r="P139" s="50">
        <v>0</v>
      </c>
      <c r="Q139" s="76"/>
      <c r="R139" s="140">
        <f>IF(20*S10&gt;=50,100,50)</f>
        <v>100</v>
      </c>
      <c r="S139" s="152">
        <v>56.02</v>
      </c>
      <c r="T139" s="153">
        <v>2.15</v>
      </c>
    </row>
    <row r="140" spans="2:20" ht="70">
      <c r="B140" s="5" t="s">
        <v>412</v>
      </c>
      <c r="C140" s="45" t="s">
        <v>135</v>
      </c>
      <c r="D140" s="45">
        <v>102475</v>
      </c>
      <c r="E140" s="6" t="s">
        <v>413</v>
      </c>
      <c r="F140" s="45" t="s">
        <v>161</v>
      </c>
      <c r="G140" s="46">
        <f t="shared" si="16"/>
        <v>1</v>
      </c>
      <c r="H140" s="46">
        <f>TRUNC(S140*(1-LOTE_01!$K$10),2)</f>
        <v>749.21</v>
      </c>
      <c r="I140" s="46">
        <f>TRUNC(T140*(1-LOTE_01!$K$10),2)</f>
        <v>73.19</v>
      </c>
      <c r="J140" s="100">
        <f t="shared" si="8"/>
        <v>0.22470000000000001</v>
      </c>
      <c r="K140" s="48">
        <f t="shared" si="9"/>
        <v>917.55</v>
      </c>
      <c r="L140" s="48">
        <f t="shared" si="10"/>
        <v>89.63</v>
      </c>
      <c r="M140" s="48">
        <f t="shared" si="11"/>
        <v>917.55</v>
      </c>
      <c r="N140" s="48">
        <f t="shared" si="12"/>
        <v>89.63</v>
      </c>
      <c r="O140" s="50">
        <f t="shared" si="13"/>
        <v>1007.18</v>
      </c>
      <c r="P140" s="50">
        <v>0</v>
      </c>
      <c r="Q140" s="76"/>
      <c r="R140" s="140">
        <f>IF(S10&gt;5,5,1)</f>
        <v>1</v>
      </c>
      <c r="S140" s="152">
        <v>749.21</v>
      </c>
      <c r="T140" s="153">
        <v>73.19</v>
      </c>
    </row>
    <row r="141" spans="2:20" ht="42">
      <c r="B141" s="5" t="s">
        <v>414</v>
      </c>
      <c r="C141" s="45" t="s">
        <v>165</v>
      </c>
      <c r="D141" s="45" t="s">
        <v>415</v>
      </c>
      <c r="E141" s="6" t="s">
        <v>416</v>
      </c>
      <c r="F141" s="45" t="s">
        <v>168</v>
      </c>
      <c r="G141" s="46">
        <f t="shared" si="16"/>
        <v>10</v>
      </c>
      <c r="H141" s="46">
        <f>TRUNC(S141*(1-LOTE_01!$K$10),2)</f>
        <v>129.30000000000001</v>
      </c>
      <c r="I141" s="46">
        <f>TRUNC(T141*(1-LOTE_01!$K$10),2)</f>
        <v>7.57</v>
      </c>
      <c r="J141" s="100">
        <f t="shared" si="8"/>
        <v>0.22470000000000001</v>
      </c>
      <c r="K141" s="48">
        <f t="shared" si="9"/>
        <v>158.35</v>
      </c>
      <c r="L141" s="48">
        <f t="shared" si="10"/>
        <v>9.27</v>
      </c>
      <c r="M141" s="48">
        <f t="shared" si="11"/>
        <v>1583.5</v>
      </c>
      <c r="N141" s="48">
        <f t="shared" si="12"/>
        <v>92.7</v>
      </c>
      <c r="O141" s="50">
        <f t="shared" si="13"/>
        <v>1676.2</v>
      </c>
      <c r="P141" s="50">
        <v>0</v>
      </c>
      <c r="Q141" s="76"/>
      <c r="R141" s="140">
        <f>IF(S10*10&gt;100,100,10)</f>
        <v>10</v>
      </c>
      <c r="S141" s="152">
        <v>129.30000000000001</v>
      </c>
      <c r="T141" s="153">
        <v>7.57</v>
      </c>
    </row>
    <row r="142" spans="2:20" ht="56">
      <c r="B142" s="5" t="s">
        <v>417</v>
      </c>
      <c r="C142" s="45" t="s">
        <v>135</v>
      </c>
      <c r="D142" s="45">
        <v>94969</v>
      </c>
      <c r="E142" s="6" t="s">
        <v>418</v>
      </c>
      <c r="F142" s="45" t="s">
        <v>161</v>
      </c>
      <c r="G142" s="46">
        <f t="shared" si="16"/>
        <v>1</v>
      </c>
      <c r="H142" s="46">
        <f>TRUNC(S142*(1-LOTE_01!$K$10),2)</f>
        <v>728.23</v>
      </c>
      <c r="I142" s="46">
        <f>TRUNC(T142*(1-LOTE_01!$K$10),2)</f>
        <v>57</v>
      </c>
      <c r="J142" s="100">
        <f t="shared" si="8"/>
        <v>0.22470000000000001</v>
      </c>
      <c r="K142" s="48">
        <f t="shared" si="9"/>
        <v>891.86</v>
      </c>
      <c r="L142" s="48">
        <f t="shared" si="10"/>
        <v>69.8</v>
      </c>
      <c r="M142" s="48">
        <f t="shared" si="11"/>
        <v>891.86</v>
      </c>
      <c r="N142" s="48">
        <f t="shared" si="12"/>
        <v>69.8</v>
      </c>
      <c r="O142" s="50">
        <f t="shared" si="13"/>
        <v>961.66</v>
      </c>
      <c r="P142" s="50">
        <v>0</v>
      </c>
      <c r="Q142" s="76"/>
      <c r="R142" s="140">
        <f>IF(S10&gt;5,10,1)</f>
        <v>1</v>
      </c>
      <c r="S142" s="152">
        <v>728.23</v>
      </c>
      <c r="T142" s="153">
        <v>57</v>
      </c>
    </row>
    <row r="143" spans="2:20" ht="56">
      <c r="B143" s="5" t="s">
        <v>419</v>
      </c>
      <c r="C143" s="45" t="s">
        <v>135</v>
      </c>
      <c r="D143" s="45">
        <v>92263</v>
      </c>
      <c r="E143" s="6" t="s">
        <v>420</v>
      </c>
      <c r="F143" s="45" t="s">
        <v>121</v>
      </c>
      <c r="G143" s="46">
        <f t="shared" si="16"/>
        <v>20</v>
      </c>
      <c r="H143" s="46">
        <f>TRUNC(S143*(1-LOTE_01!$K$10),2)</f>
        <v>148.16</v>
      </c>
      <c r="I143" s="46">
        <f>TRUNC(T143*(1-LOTE_01!$K$10),2)</f>
        <v>42.05</v>
      </c>
      <c r="J143" s="100">
        <f t="shared" si="8"/>
        <v>0.22470000000000001</v>
      </c>
      <c r="K143" s="48">
        <f t="shared" si="9"/>
        <v>181.45</v>
      </c>
      <c r="L143" s="48">
        <f t="shared" si="10"/>
        <v>51.49</v>
      </c>
      <c r="M143" s="48">
        <f t="shared" si="11"/>
        <v>3629</v>
      </c>
      <c r="N143" s="48">
        <f t="shared" si="12"/>
        <v>1029.8</v>
      </c>
      <c r="O143" s="50">
        <f t="shared" si="13"/>
        <v>4658.8</v>
      </c>
      <c r="P143" s="50">
        <v>0</v>
      </c>
      <c r="Q143" s="76"/>
      <c r="R143" s="140">
        <f>IF(S10&gt;5,100,20)</f>
        <v>20</v>
      </c>
      <c r="S143" s="152">
        <v>148.16000000000003</v>
      </c>
      <c r="T143" s="153">
        <v>42.05</v>
      </c>
    </row>
    <row r="144" spans="2:20" ht="70">
      <c r="B144" s="5" t="s">
        <v>421</v>
      </c>
      <c r="C144" s="45" t="s">
        <v>135</v>
      </c>
      <c r="D144" s="45">
        <v>92409</v>
      </c>
      <c r="E144" s="6" t="s">
        <v>422</v>
      </c>
      <c r="F144" s="45" t="s">
        <v>121</v>
      </c>
      <c r="G144" s="46">
        <f t="shared" si="16"/>
        <v>20</v>
      </c>
      <c r="H144" s="46">
        <f>TRUNC(S144*(1-LOTE_01!$K$10),2)</f>
        <v>120.24</v>
      </c>
      <c r="I144" s="46">
        <f>TRUNC(T144*(1-LOTE_01!$K$10),2)</f>
        <v>106.92</v>
      </c>
      <c r="J144" s="100">
        <f t="shared" si="8"/>
        <v>0.22470000000000001</v>
      </c>
      <c r="K144" s="48">
        <f t="shared" si="9"/>
        <v>147.25</v>
      </c>
      <c r="L144" s="48">
        <f t="shared" si="10"/>
        <v>130.94</v>
      </c>
      <c r="M144" s="48">
        <f t="shared" si="11"/>
        <v>2945</v>
      </c>
      <c r="N144" s="48">
        <f t="shared" si="12"/>
        <v>2618.8000000000002</v>
      </c>
      <c r="O144" s="50">
        <f t="shared" si="13"/>
        <v>5563.8</v>
      </c>
      <c r="P144" s="50">
        <v>0</v>
      </c>
      <c r="Q144" s="76"/>
      <c r="R144" s="140">
        <f>IF(S10&gt;5,100,20)</f>
        <v>20</v>
      </c>
      <c r="S144" s="152">
        <v>120.24</v>
      </c>
      <c r="T144" s="153">
        <v>106.92</v>
      </c>
    </row>
    <row r="145" spans="2:20" ht="56">
      <c r="B145" s="5" t="s">
        <v>423</v>
      </c>
      <c r="C145" s="45" t="s">
        <v>135</v>
      </c>
      <c r="D145" s="45">
        <v>92482</v>
      </c>
      <c r="E145" s="6" t="s">
        <v>424</v>
      </c>
      <c r="F145" s="45" t="s">
        <v>121</v>
      </c>
      <c r="G145" s="46">
        <f t="shared" si="16"/>
        <v>20</v>
      </c>
      <c r="H145" s="46">
        <f>TRUNC(S145*(1-LOTE_01!$K$10),2)</f>
        <v>203.68</v>
      </c>
      <c r="I145" s="46">
        <f>TRUNC(T145*(1-LOTE_01!$K$10),2)</f>
        <v>112.19</v>
      </c>
      <c r="J145" s="100">
        <f t="shared" ref="J145:J209" si="17">$J$4</f>
        <v>0.22470000000000001</v>
      </c>
      <c r="K145" s="48">
        <f t="shared" ref="K145:K207" si="18">TRUNC(H145*(1+J145),2)</f>
        <v>249.44</v>
      </c>
      <c r="L145" s="48">
        <f t="shared" ref="L145:L207" si="19">TRUNC(I145*(1+J145),2)</f>
        <v>137.38999999999999</v>
      </c>
      <c r="M145" s="48">
        <f t="shared" ref="M145:M207" si="20">TRUNC(K145*G145,2)</f>
        <v>4988.8</v>
      </c>
      <c r="N145" s="48">
        <f t="shared" ref="N145:N207" si="21">TRUNC(L145*G145,2)</f>
        <v>2747.8</v>
      </c>
      <c r="O145" s="50">
        <f t="shared" ref="O145:O207" si="22">TRUNC(M145+N145,2)</f>
        <v>7736.6</v>
      </c>
      <c r="P145" s="50">
        <v>0</v>
      </c>
      <c r="Q145" s="76"/>
      <c r="R145" s="140">
        <f>IF(S10&gt;5,100,20)</f>
        <v>20</v>
      </c>
      <c r="S145" s="152">
        <v>203.68</v>
      </c>
      <c r="T145" s="153">
        <v>112.19</v>
      </c>
    </row>
    <row r="146" spans="2:20" ht="70">
      <c r="B146" s="5" t="s">
        <v>425</v>
      </c>
      <c r="C146" s="45" t="s">
        <v>135</v>
      </c>
      <c r="D146" s="45">
        <v>101963</v>
      </c>
      <c r="E146" s="6" t="s">
        <v>426</v>
      </c>
      <c r="F146" s="45" t="s">
        <v>121</v>
      </c>
      <c r="G146" s="46">
        <f t="shared" si="16"/>
        <v>20</v>
      </c>
      <c r="H146" s="46">
        <f>TRUNC(S146*(1-LOTE_01!$K$10),2)</f>
        <v>244.35</v>
      </c>
      <c r="I146" s="46">
        <f>TRUNC(T146*(1-LOTE_01!$K$10),2)</f>
        <v>28.05</v>
      </c>
      <c r="J146" s="100">
        <f t="shared" si="17"/>
        <v>0.22470000000000001</v>
      </c>
      <c r="K146" s="48">
        <f t="shared" si="18"/>
        <v>299.25</v>
      </c>
      <c r="L146" s="48">
        <f t="shared" si="19"/>
        <v>34.35</v>
      </c>
      <c r="M146" s="48">
        <f t="shared" si="20"/>
        <v>5985</v>
      </c>
      <c r="N146" s="48">
        <f t="shared" si="21"/>
        <v>687</v>
      </c>
      <c r="O146" s="50">
        <f t="shared" si="22"/>
        <v>6672</v>
      </c>
      <c r="P146" s="50">
        <v>0</v>
      </c>
      <c r="Q146" s="76"/>
      <c r="R146" s="140">
        <f>IF(S10&gt;5,100,20)</f>
        <v>20</v>
      </c>
      <c r="S146" s="152">
        <v>244.34999999999997</v>
      </c>
      <c r="T146" s="153">
        <v>28.05</v>
      </c>
    </row>
    <row r="147" spans="2:20" ht="42">
      <c r="B147" s="5" t="s">
        <v>427</v>
      </c>
      <c r="C147" s="45" t="s">
        <v>135</v>
      </c>
      <c r="D147" s="45">
        <v>103670</v>
      </c>
      <c r="E147" s="6" t="s">
        <v>390</v>
      </c>
      <c r="F147" s="45" t="s">
        <v>161</v>
      </c>
      <c r="G147" s="46">
        <f t="shared" si="16"/>
        <v>1</v>
      </c>
      <c r="H147" s="46">
        <f>TRUNC(S147*(1-LOTE_01!$K$10),2)</f>
        <v>93.72</v>
      </c>
      <c r="I147" s="46">
        <f>TRUNC(T147*(1-LOTE_01!$K$10),2)</f>
        <v>236.14</v>
      </c>
      <c r="J147" s="100">
        <f t="shared" si="17"/>
        <v>0.22470000000000001</v>
      </c>
      <c r="K147" s="48">
        <f t="shared" si="18"/>
        <v>114.77</v>
      </c>
      <c r="L147" s="48">
        <f t="shared" si="19"/>
        <v>289.2</v>
      </c>
      <c r="M147" s="48">
        <f t="shared" si="20"/>
        <v>114.77</v>
      </c>
      <c r="N147" s="48">
        <f t="shared" si="21"/>
        <v>289.2</v>
      </c>
      <c r="O147" s="50">
        <f t="shared" si="22"/>
        <v>403.97</v>
      </c>
      <c r="P147" s="50">
        <v>0</v>
      </c>
      <c r="Q147" s="76"/>
      <c r="R147" s="140">
        <f>IF(S10&gt;5,5,1)</f>
        <v>1</v>
      </c>
      <c r="S147" s="152">
        <v>93.720000000000027</v>
      </c>
      <c r="T147" s="153">
        <v>236.14</v>
      </c>
    </row>
    <row r="148" spans="2:20" ht="42">
      <c r="B148" s="5" t="s">
        <v>428</v>
      </c>
      <c r="C148" s="45" t="s">
        <v>135</v>
      </c>
      <c r="D148" s="45">
        <v>105036</v>
      </c>
      <c r="E148" s="6" t="s">
        <v>429</v>
      </c>
      <c r="F148" s="45" t="s">
        <v>187</v>
      </c>
      <c r="G148" s="46">
        <f t="shared" si="16"/>
        <v>5</v>
      </c>
      <c r="H148" s="46">
        <f>TRUNC(S148*(1-LOTE_01!$K$10),2)</f>
        <v>32.86</v>
      </c>
      <c r="I148" s="46">
        <f>TRUNC(T148*(1-LOTE_01!$K$10),2)</f>
        <v>26.65</v>
      </c>
      <c r="J148" s="100">
        <f t="shared" si="17"/>
        <v>0.22470000000000001</v>
      </c>
      <c r="K148" s="48">
        <f t="shared" si="18"/>
        <v>40.24</v>
      </c>
      <c r="L148" s="48">
        <f t="shared" si="19"/>
        <v>32.630000000000003</v>
      </c>
      <c r="M148" s="48">
        <f t="shared" si="20"/>
        <v>201.2</v>
      </c>
      <c r="N148" s="48">
        <f t="shared" si="21"/>
        <v>163.15</v>
      </c>
      <c r="O148" s="50">
        <f t="shared" si="22"/>
        <v>364.35</v>
      </c>
      <c r="P148" s="50">
        <v>0</v>
      </c>
      <c r="Q148" s="76"/>
      <c r="R148" s="140">
        <f>IF(S10&gt;=5,20,5)</f>
        <v>5</v>
      </c>
      <c r="S148" s="152">
        <v>32.86</v>
      </c>
      <c r="T148" s="153">
        <v>26.65</v>
      </c>
    </row>
    <row r="149" spans="2:20" ht="42">
      <c r="B149" s="5" t="s">
        <v>430</v>
      </c>
      <c r="C149" s="45" t="s">
        <v>135</v>
      </c>
      <c r="D149" s="45">
        <v>94588</v>
      </c>
      <c r="E149" s="6" t="s">
        <v>431</v>
      </c>
      <c r="F149" s="45" t="s">
        <v>187</v>
      </c>
      <c r="G149" s="46">
        <f t="shared" si="16"/>
        <v>5</v>
      </c>
      <c r="H149" s="46">
        <f>TRUNC(S149*(1-LOTE_01!$K$10),2)</f>
        <v>53.31</v>
      </c>
      <c r="I149" s="46">
        <f>TRUNC(T149*(1-LOTE_01!$K$10),2)</f>
        <v>28.72</v>
      </c>
      <c r="J149" s="100">
        <f t="shared" si="17"/>
        <v>0.22470000000000001</v>
      </c>
      <c r="K149" s="48">
        <f t="shared" si="18"/>
        <v>65.28</v>
      </c>
      <c r="L149" s="48">
        <f t="shared" si="19"/>
        <v>35.17</v>
      </c>
      <c r="M149" s="48">
        <f t="shared" si="20"/>
        <v>326.39999999999998</v>
      </c>
      <c r="N149" s="48">
        <f t="shared" si="21"/>
        <v>175.85</v>
      </c>
      <c r="O149" s="50">
        <f t="shared" si="22"/>
        <v>502.25</v>
      </c>
      <c r="P149" s="50">
        <v>0</v>
      </c>
      <c r="Q149" s="76"/>
      <c r="R149" s="140">
        <f>IF(S10&gt;=5,20,5)</f>
        <v>5</v>
      </c>
      <c r="S149" s="152">
        <v>53.31</v>
      </c>
      <c r="T149" s="153">
        <v>28.72</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1274952.25</v>
      </c>
      <c r="Q150" s="76"/>
      <c r="R150" s="154"/>
      <c r="S150" s="152" t="s">
        <v>22</v>
      </c>
      <c r="T150" s="153" t="s">
        <v>22</v>
      </c>
    </row>
    <row r="151" spans="2:20" ht="28">
      <c r="B151" s="5" t="s">
        <v>432</v>
      </c>
      <c r="C151" s="45" t="s">
        <v>135</v>
      </c>
      <c r="D151" s="45">
        <v>98458</v>
      </c>
      <c r="E151" s="6" t="s">
        <v>433</v>
      </c>
      <c r="F151" s="45" t="s">
        <v>121</v>
      </c>
      <c r="G151" s="46">
        <f t="shared" si="23"/>
        <v>200</v>
      </c>
      <c r="H151" s="46">
        <f>TRUNC(S151*(1-LOTE_01!$K$10),2)</f>
        <v>79.680000000000007</v>
      </c>
      <c r="I151" s="46">
        <f>TRUNC(T151*(1-LOTE_01!$K$10),2)</f>
        <v>29.98</v>
      </c>
      <c r="J151" s="100">
        <f t="shared" si="17"/>
        <v>0.22470000000000001</v>
      </c>
      <c r="K151" s="48">
        <f t="shared" si="18"/>
        <v>97.58</v>
      </c>
      <c r="L151" s="48">
        <f t="shared" si="19"/>
        <v>36.71</v>
      </c>
      <c r="M151" s="48">
        <f t="shared" si="20"/>
        <v>19516</v>
      </c>
      <c r="N151" s="48">
        <f t="shared" si="21"/>
        <v>7342</v>
      </c>
      <c r="O151" s="50">
        <f t="shared" si="22"/>
        <v>26858</v>
      </c>
      <c r="P151" s="50">
        <v>0</v>
      </c>
      <c r="Q151" s="76"/>
      <c r="R151" s="140">
        <f>IF((15*3*S9+15*3*S10)&gt;200,200,(15*3*S9+15*3*S10))</f>
        <v>200</v>
      </c>
      <c r="S151" s="152">
        <v>79.679999999999993</v>
      </c>
      <c r="T151" s="153">
        <v>29.98</v>
      </c>
    </row>
    <row r="152" spans="2:20" ht="70">
      <c r="B152" s="5" t="s">
        <v>434</v>
      </c>
      <c r="C152" s="45" t="s">
        <v>135</v>
      </c>
      <c r="D152" s="45">
        <v>103329</v>
      </c>
      <c r="E152" s="6" t="s">
        <v>435</v>
      </c>
      <c r="F152" s="45" t="s">
        <v>121</v>
      </c>
      <c r="G152" s="46">
        <f t="shared" si="23"/>
        <v>310</v>
      </c>
      <c r="H152" s="46">
        <f>TRUNC(S152*(1-LOTE_01!$K$10),2)</f>
        <v>59.15</v>
      </c>
      <c r="I152" s="46">
        <f>TRUNC(T152*(1-LOTE_01!$K$10),2)</f>
        <v>55.27</v>
      </c>
      <c r="J152" s="100">
        <f t="shared" si="17"/>
        <v>0.22470000000000001</v>
      </c>
      <c r="K152" s="48">
        <f t="shared" si="18"/>
        <v>72.44</v>
      </c>
      <c r="L152" s="48">
        <f t="shared" si="19"/>
        <v>67.680000000000007</v>
      </c>
      <c r="M152" s="48">
        <f t="shared" si="20"/>
        <v>22456.400000000001</v>
      </c>
      <c r="N152" s="48">
        <f t="shared" si="21"/>
        <v>20980.799999999999</v>
      </c>
      <c r="O152" s="50">
        <f t="shared" si="22"/>
        <v>43437.2</v>
      </c>
      <c r="P152" s="50">
        <v>0</v>
      </c>
      <c r="Q152" s="76"/>
      <c r="R152" s="140">
        <f>IF((20*S9+50*S10)&gt;1000,1000,(20*S9+50*S10))</f>
        <v>310</v>
      </c>
      <c r="S152" s="152">
        <v>59.15</v>
      </c>
      <c r="T152" s="153">
        <v>55.27</v>
      </c>
    </row>
    <row r="153" spans="2:20" ht="70">
      <c r="B153" s="5" t="s">
        <v>436</v>
      </c>
      <c r="C153" s="45" t="s">
        <v>135</v>
      </c>
      <c r="D153" s="45">
        <v>103331</v>
      </c>
      <c r="E153" s="6" t="s">
        <v>437</v>
      </c>
      <c r="F153" s="45" t="s">
        <v>121</v>
      </c>
      <c r="G153" s="46">
        <f t="shared" si="23"/>
        <v>310</v>
      </c>
      <c r="H153" s="46">
        <f>TRUNC(S153*(1-LOTE_01!$K$10),2)</f>
        <v>60.54</v>
      </c>
      <c r="I153" s="46">
        <f>TRUNC(T153*(1-LOTE_01!$K$10),2)</f>
        <v>42.28</v>
      </c>
      <c r="J153" s="100">
        <f t="shared" si="17"/>
        <v>0.22470000000000001</v>
      </c>
      <c r="K153" s="48">
        <f t="shared" si="18"/>
        <v>74.14</v>
      </c>
      <c r="L153" s="48">
        <f t="shared" si="19"/>
        <v>51.78</v>
      </c>
      <c r="M153" s="48">
        <f t="shared" si="20"/>
        <v>22983.4</v>
      </c>
      <c r="N153" s="48">
        <f t="shared" si="21"/>
        <v>16051.8</v>
      </c>
      <c r="O153" s="50">
        <f t="shared" si="22"/>
        <v>39035.199999999997</v>
      </c>
      <c r="P153" s="50">
        <v>0</v>
      </c>
      <c r="Q153" s="76"/>
      <c r="R153" s="140">
        <f>IF((20*S9+50*S10)&gt;1000,1000,(20*S9+50*S10))</f>
        <v>310</v>
      </c>
      <c r="S153" s="152">
        <v>60.539999999999992</v>
      </c>
      <c r="T153" s="153">
        <v>42.28</v>
      </c>
    </row>
    <row r="154" spans="2:20" ht="70">
      <c r="B154" s="5" t="s">
        <v>438</v>
      </c>
      <c r="C154" s="45" t="s">
        <v>135</v>
      </c>
      <c r="D154" s="45">
        <v>96358</v>
      </c>
      <c r="E154" s="6" t="s">
        <v>439</v>
      </c>
      <c r="F154" s="45" t="s">
        <v>121</v>
      </c>
      <c r="G154" s="46">
        <f t="shared" si="23"/>
        <v>310</v>
      </c>
      <c r="H154" s="46">
        <f>TRUNC(S154*(1-LOTE_01!$K$10),2)</f>
        <v>107.8</v>
      </c>
      <c r="I154" s="46">
        <f>TRUNC(T154*(1-LOTE_01!$K$10),2)</f>
        <v>15.92</v>
      </c>
      <c r="J154" s="100">
        <f t="shared" si="17"/>
        <v>0.22470000000000001</v>
      </c>
      <c r="K154" s="48">
        <f t="shared" si="18"/>
        <v>132.02000000000001</v>
      </c>
      <c r="L154" s="48">
        <f t="shared" si="19"/>
        <v>19.489999999999998</v>
      </c>
      <c r="M154" s="48">
        <f t="shared" si="20"/>
        <v>40926.199999999997</v>
      </c>
      <c r="N154" s="48">
        <f t="shared" si="21"/>
        <v>6041.9</v>
      </c>
      <c r="O154" s="50">
        <f t="shared" si="22"/>
        <v>46968.1</v>
      </c>
      <c r="P154" s="50">
        <v>0</v>
      </c>
      <c r="Q154" s="76"/>
      <c r="R154" s="140">
        <f>IF((20*S9+50*S10)&gt;500,500,(20*S9+50*S10))</f>
        <v>310</v>
      </c>
      <c r="S154" s="152">
        <v>107.8</v>
      </c>
      <c r="T154" s="153">
        <v>15.92</v>
      </c>
    </row>
    <row r="155" spans="2:20" ht="98">
      <c r="B155" s="5" t="s">
        <v>440</v>
      </c>
      <c r="C155" s="45" t="s">
        <v>135</v>
      </c>
      <c r="D155" s="45">
        <v>96359</v>
      </c>
      <c r="E155" s="6" t="s">
        <v>441</v>
      </c>
      <c r="F155" s="45" t="s">
        <v>121</v>
      </c>
      <c r="G155" s="46">
        <f t="shared" si="23"/>
        <v>310</v>
      </c>
      <c r="H155" s="46">
        <f>TRUNC(S155*(1-LOTE_01!$K$10),2)</f>
        <v>118.26</v>
      </c>
      <c r="I155" s="46">
        <f>TRUNC(T155*(1-LOTE_01!$K$10),2)</f>
        <v>17.98</v>
      </c>
      <c r="J155" s="100">
        <f t="shared" si="17"/>
        <v>0.22470000000000001</v>
      </c>
      <c r="K155" s="48">
        <f t="shared" si="18"/>
        <v>144.83000000000001</v>
      </c>
      <c r="L155" s="48">
        <f t="shared" si="19"/>
        <v>22.02</v>
      </c>
      <c r="M155" s="48">
        <f t="shared" si="20"/>
        <v>44897.3</v>
      </c>
      <c r="N155" s="48">
        <f t="shared" si="21"/>
        <v>6826.2</v>
      </c>
      <c r="O155" s="50">
        <f t="shared" si="22"/>
        <v>51723.5</v>
      </c>
      <c r="P155" s="50">
        <v>0</v>
      </c>
      <c r="Q155" s="76"/>
      <c r="R155" s="140">
        <f>IF((20*S9+50*S10)&gt;500,500,(20*S9+50*S10))</f>
        <v>310</v>
      </c>
      <c r="S155" s="152">
        <v>118.26</v>
      </c>
      <c r="T155" s="153">
        <v>17.98</v>
      </c>
    </row>
    <row r="156" spans="2:20" ht="42">
      <c r="B156" s="5" t="s">
        <v>442</v>
      </c>
      <c r="C156" s="45" t="s">
        <v>97</v>
      </c>
      <c r="D156" s="45" t="s">
        <v>443</v>
      </c>
      <c r="E156" s="6" t="s">
        <v>444</v>
      </c>
      <c r="F156" s="45" t="s">
        <v>121</v>
      </c>
      <c r="G156" s="46">
        <f t="shared" si="23"/>
        <v>200</v>
      </c>
      <c r="H156" s="46">
        <f>TRUNC(S156*(1-LOTE_01!$K$10),2)</f>
        <v>472.48</v>
      </c>
      <c r="I156" s="46">
        <f>TRUNC(T156*(1-LOTE_01!$K$10),2)</f>
        <v>114.16</v>
      </c>
      <c r="J156" s="100">
        <f t="shared" si="17"/>
        <v>0.22470000000000001</v>
      </c>
      <c r="K156" s="48">
        <f t="shared" si="18"/>
        <v>578.64</v>
      </c>
      <c r="L156" s="48">
        <f t="shared" si="19"/>
        <v>139.81</v>
      </c>
      <c r="M156" s="48">
        <f t="shared" si="20"/>
        <v>115728</v>
      </c>
      <c r="N156" s="48">
        <f t="shared" si="21"/>
        <v>27962</v>
      </c>
      <c r="O156" s="50">
        <f t="shared" si="22"/>
        <v>143690</v>
      </c>
      <c r="P156" s="50">
        <v>0</v>
      </c>
      <c r="Q156" s="76"/>
      <c r="R156" s="140">
        <f>IF((20*S9+20*S10)&gt;200,200,(20*S9+20*S10))</f>
        <v>200</v>
      </c>
      <c r="S156" s="152">
        <v>472.48</v>
      </c>
      <c r="T156" s="153">
        <v>114.16</v>
      </c>
    </row>
    <row r="157" spans="2:20" ht="42">
      <c r="B157" s="5" t="s">
        <v>445</v>
      </c>
      <c r="C157" s="45" t="s">
        <v>135</v>
      </c>
      <c r="D157" s="45">
        <v>102180</v>
      </c>
      <c r="E157" s="6" t="s">
        <v>1772</v>
      </c>
      <c r="F157" s="45" t="s">
        <v>121</v>
      </c>
      <c r="G157" s="46">
        <f t="shared" si="23"/>
        <v>100</v>
      </c>
      <c r="H157" s="46">
        <f>TRUNC(S157*(1-LOTE_01!$K$10),2)</f>
        <v>523.04999999999995</v>
      </c>
      <c r="I157" s="46">
        <f>TRUNC(T157*(1-LOTE_01!$K$10),2)</f>
        <v>48.65</v>
      </c>
      <c r="J157" s="100">
        <f t="shared" si="17"/>
        <v>0.22470000000000001</v>
      </c>
      <c r="K157" s="48">
        <f t="shared" si="18"/>
        <v>640.57000000000005</v>
      </c>
      <c r="L157" s="48">
        <f t="shared" si="19"/>
        <v>59.58</v>
      </c>
      <c r="M157" s="48">
        <f t="shared" si="20"/>
        <v>64057</v>
      </c>
      <c r="N157" s="48">
        <f t="shared" si="21"/>
        <v>5958</v>
      </c>
      <c r="O157" s="50">
        <f t="shared" si="22"/>
        <v>70015</v>
      </c>
      <c r="P157" s="50">
        <v>0</v>
      </c>
      <c r="Q157" s="76"/>
      <c r="R157" s="140">
        <f>IF((20*S9+20*S10)&gt;100,100,(20*S9+20*S10))</f>
        <v>100</v>
      </c>
      <c r="S157" s="152">
        <v>523.05000000000007</v>
      </c>
      <c r="T157" s="153">
        <v>48.65</v>
      </c>
    </row>
    <row r="158" spans="2:20" ht="42">
      <c r="B158" s="5" t="s">
        <v>446</v>
      </c>
      <c r="C158" s="45" t="s">
        <v>135</v>
      </c>
      <c r="D158" s="45">
        <v>102181</v>
      </c>
      <c r="E158" s="6" t="s">
        <v>1773</v>
      </c>
      <c r="F158" s="45" t="s">
        <v>121</v>
      </c>
      <c r="G158" s="46">
        <f t="shared" si="23"/>
        <v>200</v>
      </c>
      <c r="H158" s="46">
        <f>TRUNC(S158*(1-LOTE_01!$K$10),2)</f>
        <v>651.29999999999995</v>
      </c>
      <c r="I158" s="46">
        <f>TRUNC(T158*(1-LOTE_01!$K$10),2)</f>
        <v>45.57</v>
      </c>
      <c r="J158" s="100">
        <f t="shared" si="17"/>
        <v>0.22470000000000001</v>
      </c>
      <c r="K158" s="48">
        <f t="shared" si="18"/>
        <v>797.64</v>
      </c>
      <c r="L158" s="48">
        <f t="shared" si="19"/>
        <v>55.8</v>
      </c>
      <c r="M158" s="48">
        <f t="shared" si="20"/>
        <v>159528</v>
      </c>
      <c r="N158" s="48">
        <f t="shared" si="21"/>
        <v>11160</v>
      </c>
      <c r="O158" s="50">
        <f t="shared" si="22"/>
        <v>170688</v>
      </c>
      <c r="P158" s="50">
        <v>0</v>
      </c>
      <c r="Q158" s="76"/>
      <c r="R158" s="140">
        <f>IF((20*S9+20*S10)&gt;200,200,(20*S9+20*S10))</f>
        <v>200</v>
      </c>
      <c r="S158" s="152">
        <v>651.29999999999995</v>
      </c>
      <c r="T158" s="153">
        <v>45.57</v>
      </c>
    </row>
    <row r="159" spans="2:20" ht="56">
      <c r="B159" s="5" t="s">
        <v>447</v>
      </c>
      <c r="C159" s="45" t="s">
        <v>97</v>
      </c>
      <c r="D159" s="45" t="s">
        <v>448</v>
      </c>
      <c r="E159" s="6" t="s">
        <v>449</v>
      </c>
      <c r="F159" s="45" t="s">
        <v>121</v>
      </c>
      <c r="G159" s="46">
        <f t="shared" si="23"/>
        <v>200</v>
      </c>
      <c r="H159" s="46">
        <f>TRUNC(S159*(1-LOTE_01!$K$10),2)</f>
        <v>143.80000000000001</v>
      </c>
      <c r="I159" s="46">
        <f>TRUNC(T159*(1-LOTE_01!$K$10),2)</f>
        <v>45.57</v>
      </c>
      <c r="J159" s="100">
        <f t="shared" si="17"/>
        <v>0.22470000000000001</v>
      </c>
      <c r="K159" s="48">
        <f t="shared" si="18"/>
        <v>176.11</v>
      </c>
      <c r="L159" s="48">
        <f t="shared" si="19"/>
        <v>55.8</v>
      </c>
      <c r="M159" s="48">
        <f t="shared" si="20"/>
        <v>35222</v>
      </c>
      <c r="N159" s="48">
        <f t="shared" si="21"/>
        <v>11160</v>
      </c>
      <c r="O159" s="50">
        <f t="shared" si="22"/>
        <v>46382</v>
      </c>
      <c r="P159" s="50">
        <v>0</v>
      </c>
      <c r="Q159" s="76"/>
      <c r="R159" s="140">
        <f>IF((20*S9+20*S10)&gt;200,200,(20*S9+20*S10))</f>
        <v>200</v>
      </c>
      <c r="S159" s="152">
        <v>143.80000000000001</v>
      </c>
      <c r="T159" s="153">
        <v>45.57</v>
      </c>
    </row>
    <row r="160" spans="2:20" ht="56">
      <c r="B160" s="5" t="s">
        <v>450</v>
      </c>
      <c r="C160" s="45" t="s">
        <v>135</v>
      </c>
      <c r="D160" s="45">
        <v>102253</v>
      </c>
      <c r="E160" s="6" t="s">
        <v>1774</v>
      </c>
      <c r="F160" s="45" t="s">
        <v>121</v>
      </c>
      <c r="G160" s="46">
        <f>IF($S$11=0,0,TRUNC(R160,2))</f>
        <v>5</v>
      </c>
      <c r="H160" s="46">
        <f>TRUNC(S160*(1-LOTE_01!$K$10),2)</f>
        <v>1586.77</v>
      </c>
      <c r="I160" s="46">
        <f>TRUNC(T160*(1-LOTE_01!$K$10),2)</f>
        <v>90.75</v>
      </c>
      <c r="J160" s="100">
        <f t="shared" si="17"/>
        <v>0.22470000000000001</v>
      </c>
      <c r="K160" s="48">
        <f t="shared" si="18"/>
        <v>1943.31</v>
      </c>
      <c r="L160" s="48">
        <f t="shared" si="19"/>
        <v>111.14</v>
      </c>
      <c r="M160" s="48">
        <f t="shared" si="20"/>
        <v>9716.5499999999993</v>
      </c>
      <c r="N160" s="48">
        <f t="shared" si="21"/>
        <v>555.70000000000005</v>
      </c>
      <c r="O160" s="50">
        <f t="shared" si="22"/>
        <v>10272.25</v>
      </c>
      <c r="P160" s="50">
        <v>0</v>
      </c>
      <c r="Q160" s="76"/>
      <c r="R160" s="140">
        <f>IF(S10&gt;=5,10,5)</f>
        <v>5</v>
      </c>
      <c r="S160" s="152">
        <v>1586.77</v>
      </c>
      <c r="T160" s="153">
        <v>90.75</v>
      </c>
    </row>
    <row r="161" spans="2:20" ht="42">
      <c r="B161" s="5" t="s">
        <v>451</v>
      </c>
      <c r="C161" s="45" t="s">
        <v>165</v>
      </c>
      <c r="D161" s="45" t="s">
        <v>452</v>
      </c>
      <c r="E161" s="6" t="s">
        <v>453</v>
      </c>
      <c r="F161" s="45" t="s">
        <v>168</v>
      </c>
      <c r="G161" s="46">
        <f t="shared" si="23"/>
        <v>500</v>
      </c>
      <c r="H161" s="46">
        <f>TRUNC(S161*(1-LOTE_01!$K$10),2)</f>
        <v>305.3</v>
      </c>
      <c r="I161" s="46">
        <f>TRUNC(T161*(1-LOTE_01!$K$10),2)</f>
        <v>0</v>
      </c>
      <c r="J161" s="100">
        <f t="shared" si="17"/>
        <v>0.22470000000000001</v>
      </c>
      <c r="K161" s="48">
        <f t="shared" si="18"/>
        <v>373.9</v>
      </c>
      <c r="L161" s="48">
        <f t="shared" si="19"/>
        <v>0</v>
      </c>
      <c r="M161" s="48">
        <f t="shared" si="20"/>
        <v>186950</v>
      </c>
      <c r="N161" s="48">
        <f t="shared" si="21"/>
        <v>0</v>
      </c>
      <c r="O161" s="50">
        <f t="shared" si="22"/>
        <v>186950</v>
      </c>
      <c r="P161" s="50">
        <v>0</v>
      </c>
      <c r="Q161" s="76"/>
      <c r="R161" s="140">
        <f>IF((50*S9+50*S10)&gt;500,500,(50*S9+50*S10))</f>
        <v>500</v>
      </c>
      <c r="S161" s="152">
        <v>305.3</v>
      </c>
      <c r="T161" s="153">
        <v>0</v>
      </c>
    </row>
    <row r="162" spans="2:20" ht="56">
      <c r="B162" s="5" t="s">
        <v>454</v>
      </c>
      <c r="C162" s="45" t="s">
        <v>165</v>
      </c>
      <c r="D162" s="45" t="s">
        <v>455</v>
      </c>
      <c r="E162" s="6" t="s">
        <v>456</v>
      </c>
      <c r="F162" s="45" t="s">
        <v>168</v>
      </c>
      <c r="G162" s="46">
        <f t="shared" si="23"/>
        <v>100</v>
      </c>
      <c r="H162" s="46">
        <f>TRUNC(S162*(1-LOTE_01!$K$10),2)</f>
        <v>573.63</v>
      </c>
      <c r="I162" s="46">
        <f>TRUNC(T162*(1-LOTE_01!$K$10),2)</f>
        <v>0</v>
      </c>
      <c r="J162" s="100">
        <f t="shared" si="17"/>
        <v>0.22470000000000001</v>
      </c>
      <c r="K162" s="48">
        <f t="shared" si="18"/>
        <v>702.52</v>
      </c>
      <c r="L162" s="48">
        <f t="shared" si="19"/>
        <v>0</v>
      </c>
      <c r="M162" s="48">
        <f t="shared" si="20"/>
        <v>70252</v>
      </c>
      <c r="N162" s="48">
        <f t="shared" si="21"/>
        <v>0</v>
      </c>
      <c r="O162" s="50">
        <f t="shared" si="22"/>
        <v>70252</v>
      </c>
      <c r="P162" s="50">
        <v>0</v>
      </c>
      <c r="Q162" s="76"/>
      <c r="R162" s="140">
        <f>IF((50*S9+50*S10)&gt;100,100,(50*S9+50*S10))</f>
        <v>100</v>
      </c>
      <c r="S162" s="152">
        <v>573.63</v>
      </c>
      <c r="T162" s="153">
        <v>0</v>
      </c>
    </row>
    <row r="163" spans="2:20" ht="56">
      <c r="B163" s="5" t="s">
        <v>457</v>
      </c>
      <c r="C163" s="45" t="s">
        <v>97</v>
      </c>
      <c r="D163" s="45" t="s">
        <v>458</v>
      </c>
      <c r="E163" s="6" t="s">
        <v>459</v>
      </c>
      <c r="F163" s="45" t="s">
        <v>121</v>
      </c>
      <c r="G163" s="46">
        <f t="shared" si="23"/>
        <v>100</v>
      </c>
      <c r="H163" s="46">
        <f>TRUNC(S163*(1-LOTE_01!$K$10),2)</f>
        <v>91.01</v>
      </c>
      <c r="I163" s="46">
        <f>TRUNC(T163*(1-LOTE_01!$K$10),2)</f>
        <v>28.44</v>
      </c>
      <c r="J163" s="100">
        <f t="shared" si="17"/>
        <v>0.22470000000000001</v>
      </c>
      <c r="K163" s="48">
        <f t="shared" si="18"/>
        <v>111.45</v>
      </c>
      <c r="L163" s="48">
        <f t="shared" si="19"/>
        <v>34.83</v>
      </c>
      <c r="M163" s="48">
        <f t="shared" si="20"/>
        <v>11145</v>
      </c>
      <c r="N163" s="48">
        <f t="shared" si="21"/>
        <v>3483</v>
      </c>
      <c r="O163" s="50">
        <f t="shared" si="22"/>
        <v>14628</v>
      </c>
      <c r="P163" s="50">
        <v>0</v>
      </c>
      <c r="Q163" s="76"/>
      <c r="R163" s="140">
        <f>IF((50*S9+50*S10)&gt;100,100,(50*S9+50*S10))</f>
        <v>100</v>
      </c>
      <c r="S163" s="152">
        <v>91.01</v>
      </c>
      <c r="T163" s="153">
        <v>28.44</v>
      </c>
    </row>
    <row r="164" spans="2:20" ht="42">
      <c r="B164" s="5" t="s">
        <v>460</v>
      </c>
      <c r="C164" s="45" t="s">
        <v>97</v>
      </c>
      <c r="D164" s="45" t="s">
        <v>461</v>
      </c>
      <c r="E164" s="6" t="s">
        <v>462</v>
      </c>
      <c r="F164" s="45" t="s">
        <v>121</v>
      </c>
      <c r="G164" s="46">
        <f t="shared" si="23"/>
        <v>200</v>
      </c>
      <c r="H164" s="46">
        <f>TRUNC(S164*(1-LOTE_01!$K$10),2)</f>
        <v>80.48</v>
      </c>
      <c r="I164" s="46">
        <f>TRUNC(T164*(1-LOTE_01!$K$10),2)</f>
        <v>28.44</v>
      </c>
      <c r="J164" s="100">
        <f t="shared" si="17"/>
        <v>0.22470000000000001</v>
      </c>
      <c r="K164" s="48">
        <f t="shared" si="18"/>
        <v>98.56</v>
      </c>
      <c r="L164" s="48">
        <f t="shared" si="19"/>
        <v>34.83</v>
      </c>
      <c r="M164" s="48">
        <f t="shared" si="20"/>
        <v>19712</v>
      </c>
      <c r="N164" s="48">
        <f t="shared" si="21"/>
        <v>6966</v>
      </c>
      <c r="O164" s="50">
        <f t="shared" si="22"/>
        <v>26678</v>
      </c>
      <c r="P164" s="50">
        <v>0</v>
      </c>
      <c r="Q164" s="76"/>
      <c r="R164" s="140">
        <f>IF((50*S9+50*S10)&gt;200,200,(50*S9+50*S10))</f>
        <v>200</v>
      </c>
      <c r="S164" s="152">
        <v>80.48</v>
      </c>
      <c r="T164" s="153">
        <v>28.44</v>
      </c>
    </row>
    <row r="165" spans="2:20" ht="28">
      <c r="B165" s="5" t="s">
        <v>463</v>
      </c>
      <c r="C165" s="45" t="s">
        <v>97</v>
      </c>
      <c r="D165" s="45" t="s">
        <v>464</v>
      </c>
      <c r="E165" s="6" t="s">
        <v>465</v>
      </c>
      <c r="F165" s="45" t="s">
        <v>121</v>
      </c>
      <c r="G165" s="46">
        <f t="shared" si="23"/>
        <v>500</v>
      </c>
      <c r="H165" s="46">
        <f>TRUNC(S165*(1-LOTE_01!$K$10),2)</f>
        <v>7.37</v>
      </c>
      <c r="I165" s="46">
        <f>TRUNC(T165*(1-LOTE_01!$K$10),2)</f>
        <v>19.13</v>
      </c>
      <c r="J165" s="100">
        <f t="shared" si="17"/>
        <v>0.22470000000000001</v>
      </c>
      <c r="K165" s="48">
        <f t="shared" si="18"/>
        <v>9.02</v>
      </c>
      <c r="L165" s="48">
        <f t="shared" si="19"/>
        <v>23.42</v>
      </c>
      <c r="M165" s="48">
        <f t="shared" si="20"/>
        <v>4510</v>
      </c>
      <c r="N165" s="48">
        <f t="shared" si="21"/>
        <v>11710</v>
      </c>
      <c r="O165" s="50">
        <f t="shared" si="22"/>
        <v>16220</v>
      </c>
      <c r="P165" s="50">
        <v>0</v>
      </c>
      <c r="Q165" s="76"/>
      <c r="R165" s="140">
        <f>IF((50*S9+50*S10)&gt;500,500,(50*S9+50*S10))</f>
        <v>500</v>
      </c>
      <c r="S165" s="152">
        <v>7.37</v>
      </c>
      <c r="T165" s="153">
        <v>19.13</v>
      </c>
    </row>
    <row r="166" spans="2:20" ht="56">
      <c r="B166" s="5" t="s">
        <v>466</v>
      </c>
      <c r="C166" s="45" t="s">
        <v>97</v>
      </c>
      <c r="D166" s="45" t="s">
        <v>467</v>
      </c>
      <c r="E166" s="6" t="s">
        <v>468</v>
      </c>
      <c r="F166" s="45" t="s">
        <v>121</v>
      </c>
      <c r="G166" s="46">
        <f t="shared" si="23"/>
        <v>330</v>
      </c>
      <c r="H166" s="46">
        <f>TRUNC(S166*(1-LOTE_01!$K$10),2)</f>
        <v>382.96</v>
      </c>
      <c r="I166" s="46">
        <f>TRUNC(T166*(1-LOTE_01!$K$10),2)</f>
        <v>158.32</v>
      </c>
      <c r="J166" s="100">
        <f t="shared" si="17"/>
        <v>0.22470000000000001</v>
      </c>
      <c r="K166" s="48">
        <f t="shared" si="18"/>
        <v>469.01</v>
      </c>
      <c r="L166" s="48">
        <f t="shared" si="19"/>
        <v>193.89</v>
      </c>
      <c r="M166" s="48">
        <f t="shared" si="20"/>
        <v>154773.29999999999</v>
      </c>
      <c r="N166" s="48">
        <f t="shared" si="21"/>
        <v>63983.7</v>
      </c>
      <c r="O166" s="50">
        <f t="shared" si="22"/>
        <v>218757</v>
      </c>
      <c r="P166" s="50">
        <v>0</v>
      </c>
      <c r="Q166" s="76"/>
      <c r="R166" s="140">
        <f>30*S9+30*S10</f>
        <v>330</v>
      </c>
      <c r="S166" s="152">
        <v>382.96</v>
      </c>
      <c r="T166" s="153">
        <v>158.32</v>
      </c>
    </row>
    <row r="167" spans="2:20" ht="42">
      <c r="B167" s="5" t="s">
        <v>469</v>
      </c>
      <c r="C167" s="45" t="s">
        <v>135</v>
      </c>
      <c r="D167" s="45">
        <v>102162</v>
      </c>
      <c r="E167" s="6" t="s">
        <v>1775</v>
      </c>
      <c r="F167" s="45" t="s">
        <v>121</v>
      </c>
      <c r="G167" s="46">
        <f t="shared" si="23"/>
        <v>50</v>
      </c>
      <c r="H167" s="46">
        <f>TRUNC(S167*(1-LOTE_01!$K$10),2)</f>
        <v>394.95</v>
      </c>
      <c r="I167" s="46">
        <f>TRUNC(T167*(1-LOTE_01!$K$10),2)</f>
        <v>30.09</v>
      </c>
      <c r="J167" s="100">
        <f t="shared" si="17"/>
        <v>0.22470000000000001</v>
      </c>
      <c r="K167" s="48">
        <f t="shared" si="18"/>
        <v>483.69</v>
      </c>
      <c r="L167" s="48">
        <f t="shared" si="19"/>
        <v>36.85</v>
      </c>
      <c r="M167" s="48">
        <f t="shared" si="20"/>
        <v>24184.5</v>
      </c>
      <c r="N167" s="48">
        <f t="shared" si="21"/>
        <v>1842.5</v>
      </c>
      <c r="O167" s="50">
        <f t="shared" si="22"/>
        <v>26027</v>
      </c>
      <c r="P167" s="50">
        <v>0</v>
      </c>
      <c r="Q167" s="76"/>
      <c r="R167" s="140">
        <f>IF((5*S9+10*S10)&gt;50,50,(5*S9+10*S10))</f>
        <v>50</v>
      </c>
      <c r="S167" s="152">
        <v>394.95000000000005</v>
      </c>
      <c r="T167" s="153">
        <v>30.09</v>
      </c>
    </row>
    <row r="168" spans="2:20" ht="42">
      <c r="B168" s="5" t="s">
        <v>470</v>
      </c>
      <c r="C168" s="45" t="s">
        <v>135</v>
      </c>
      <c r="D168" s="45">
        <v>102166</v>
      </c>
      <c r="E168" s="6" t="s">
        <v>1776</v>
      </c>
      <c r="F168" s="45" t="s">
        <v>121</v>
      </c>
      <c r="G168" s="46">
        <f t="shared" si="23"/>
        <v>50</v>
      </c>
      <c r="H168" s="46">
        <f>TRUNC(S168*(1-LOTE_01!$K$10),2)</f>
        <v>407.25</v>
      </c>
      <c r="I168" s="46">
        <f>TRUNC(T168*(1-LOTE_01!$K$10),2)</f>
        <v>18.03</v>
      </c>
      <c r="J168" s="100">
        <f t="shared" si="17"/>
        <v>0.22470000000000001</v>
      </c>
      <c r="K168" s="48">
        <f t="shared" si="18"/>
        <v>498.75</v>
      </c>
      <c r="L168" s="48">
        <f t="shared" si="19"/>
        <v>22.08</v>
      </c>
      <c r="M168" s="48">
        <f t="shared" si="20"/>
        <v>24937.5</v>
      </c>
      <c r="N168" s="48">
        <f t="shared" si="21"/>
        <v>1104</v>
      </c>
      <c r="O168" s="50">
        <f t="shared" si="22"/>
        <v>26041.5</v>
      </c>
      <c r="P168" s="50">
        <v>0</v>
      </c>
      <c r="Q168" s="76"/>
      <c r="R168" s="140">
        <f>IF((5*S9+10*S10)&gt;50,50,(5*S9+10*S10))</f>
        <v>50</v>
      </c>
      <c r="S168" s="152">
        <v>407.25</v>
      </c>
      <c r="T168" s="153">
        <v>18.03</v>
      </c>
    </row>
    <row r="169" spans="2:20" ht="42">
      <c r="B169" s="5" t="s">
        <v>471</v>
      </c>
      <c r="C169" s="45" t="s">
        <v>135</v>
      </c>
      <c r="D169" s="45">
        <v>102172</v>
      </c>
      <c r="E169" s="6" t="s">
        <v>1777</v>
      </c>
      <c r="F169" s="45" t="s">
        <v>121</v>
      </c>
      <c r="G169" s="46">
        <f t="shared" si="23"/>
        <v>50</v>
      </c>
      <c r="H169" s="46">
        <f>TRUNC(S169*(1-LOTE_01!$K$10),2)</f>
        <v>640.83000000000004</v>
      </c>
      <c r="I169" s="46">
        <f>TRUNC(T169*(1-LOTE_01!$K$10),2)</f>
        <v>17.78</v>
      </c>
      <c r="J169" s="100">
        <f t="shared" si="17"/>
        <v>0.22470000000000001</v>
      </c>
      <c r="K169" s="48">
        <f t="shared" si="18"/>
        <v>784.82</v>
      </c>
      <c r="L169" s="48">
        <f t="shared" si="19"/>
        <v>21.77</v>
      </c>
      <c r="M169" s="48">
        <f t="shared" si="20"/>
        <v>39241</v>
      </c>
      <c r="N169" s="48">
        <f t="shared" si="21"/>
        <v>1088.5</v>
      </c>
      <c r="O169" s="50">
        <f t="shared" si="22"/>
        <v>40329.5</v>
      </c>
      <c r="P169" s="50">
        <v>0</v>
      </c>
      <c r="Q169" s="76"/>
      <c r="R169" s="140">
        <f>IF((5*S9+10*S10)&gt;50,50,(5*S9+10*S10))</f>
        <v>50</v>
      </c>
      <c r="S169" s="152">
        <v>640.83000000000004</v>
      </c>
      <c r="T169" s="153">
        <v>17.78</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397504.3</v>
      </c>
      <c r="Q170" s="76"/>
      <c r="R170" s="154"/>
      <c r="S170" s="152" t="s">
        <v>22</v>
      </c>
      <c r="T170" s="153" t="s">
        <v>22</v>
      </c>
    </row>
    <row r="171" spans="2:20" ht="84">
      <c r="B171" s="5" t="s">
        <v>472</v>
      </c>
      <c r="C171" s="45" t="s">
        <v>135</v>
      </c>
      <c r="D171" s="45">
        <v>87893</v>
      </c>
      <c r="E171" s="6" t="s">
        <v>473</v>
      </c>
      <c r="F171" s="45" t="s">
        <v>121</v>
      </c>
      <c r="G171" s="46">
        <f t="shared" si="23"/>
        <v>1240</v>
      </c>
      <c r="H171" s="46">
        <f>TRUNC(S171*(1-LOTE_01!$K$10),2)</f>
        <v>4.28</v>
      </c>
      <c r="I171" s="46">
        <f>TRUNC(T171*(1-LOTE_01!$K$10),2)</f>
        <v>4.7300000000000004</v>
      </c>
      <c r="J171" s="100">
        <f t="shared" si="17"/>
        <v>0.22470000000000001</v>
      </c>
      <c r="K171" s="48">
        <f t="shared" si="18"/>
        <v>5.24</v>
      </c>
      <c r="L171" s="48">
        <f t="shared" si="19"/>
        <v>5.79</v>
      </c>
      <c r="M171" s="48">
        <f t="shared" si="20"/>
        <v>6497.6</v>
      </c>
      <c r="N171" s="48">
        <f t="shared" si="21"/>
        <v>7179.6</v>
      </c>
      <c r="O171" s="50">
        <f t="shared" si="22"/>
        <v>13677.2</v>
      </c>
      <c r="P171" s="50">
        <v>0</v>
      </c>
      <c r="Q171" s="76"/>
      <c r="R171" s="140">
        <f>(R152+R153)*2</f>
        <v>1240</v>
      </c>
      <c r="S171" s="152">
        <v>4.2799999999999994</v>
      </c>
      <c r="T171" s="153">
        <v>4.7300000000000004</v>
      </c>
    </row>
    <row r="172" spans="2:20" ht="84">
      <c r="B172" s="5" t="s">
        <v>474</v>
      </c>
      <c r="C172" s="45" t="s">
        <v>135</v>
      </c>
      <c r="D172" s="45">
        <v>87530</v>
      </c>
      <c r="E172" s="6" t="s">
        <v>475</v>
      </c>
      <c r="F172" s="45" t="s">
        <v>121</v>
      </c>
      <c r="G172" s="46">
        <f t="shared" si="23"/>
        <v>1240</v>
      </c>
      <c r="H172" s="46">
        <f>TRUNC(S172*(1-LOTE_01!$K$10),2)</f>
        <v>33.200000000000003</v>
      </c>
      <c r="I172" s="46">
        <f>TRUNC(T172*(1-LOTE_01!$K$10),2)</f>
        <v>20.77</v>
      </c>
      <c r="J172" s="100">
        <f t="shared" si="17"/>
        <v>0.22470000000000001</v>
      </c>
      <c r="K172" s="48">
        <f t="shared" si="18"/>
        <v>40.659999999999997</v>
      </c>
      <c r="L172" s="48">
        <f t="shared" si="19"/>
        <v>25.43</v>
      </c>
      <c r="M172" s="48">
        <f t="shared" si="20"/>
        <v>50418.400000000001</v>
      </c>
      <c r="N172" s="48">
        <f t="shared" si="21"/>
        <v>31533.200000000001</v>
      </c>
      <c r="O172" s="50">
        <f t="shared" si="22"/>
        <v>81951.600000000006</v>
      </c>
      <c r="P172" s="50">
        <v>0</v>
      </c>
      <c r="Q172" s="76"/>
      <c r="R172" s="140">
        <f>(R152+R153)*2</f>
        <v>1240</v>
      </c>
      <c r="S172" s="152">
        <v>33.200000000000003</v>
      </c>
      <c r="T172" s="153">
        <v>20.77</v>
      </c>
    </row>
    <row r="173" spans="2:20" ht="84">
      <c r="B173" s="5" t="s">
        <v>476</v>
      </c>
      <c r="C173" s="45" t="s">
        <v>135</v>
      </c>
      <c r="D173" s="45">
        <v>87528</v>
      </c>
      <c r="E173" s="6" t="s">
        <v>477</v>
      </c>
      <c r="F173" s="45" t="s">
        <v>121</v>
      </c>
      <c r="G173" s="46">
        <f t="shared" si="23"/>
        <v>230</v>
      </c>
      <c r="H173" s="46">
        <f>TRUNC(S173*(1-LOTE_01!$K$10),2)</f>
        <v>34.08</v>
      </c>
      <c r="I173" s="46">
        <f>TRUNC(T173*(1-LOTE_01!$K$10),2)</f>
        <v>23.29</v>
      </c>
      <c r="J173" s="100">
        <f t="shared" si="17"/>
        <v>0.22470000000000001</v>
      </c>
      <c r="K173" s="48">
        <f t="shared" si="18"/>
        <v>41.73</v>
      </c>
      <c r="L173" s="48">
        <f t="shared" si="19"/>
        <v>28.52</v>
      </c>
      <c r="M173" s="48">
        <f t="shared" si="20"/>
        <v>9597.9</v>
      </c>
      <c r="N173" s="48">
        <f t="shared" si="21"/>
        <v>6559.6</v>
      </c>
      <c r="O173" s="50">
        <f t="shared" si="22"/>
        <v>16157.5</v>
      </c>
      <c r="P173" s="50">
        <v>0</v>
      </c>
      <c r="Q173" s="76"/>
      <c r="R173" s="140">
        <f>R175</f>
        <v>230</v>
      </c>
      <c r="S173" s="152">
        <v>34.08</v>
      </c>
      <c r="T173" s="153">
        <v>23.29</v>
      </c>
    </row>
    <row r="174" spans="2:20" ht="56">
      <c r="B174" s="5" t="s">
        <v>478</v>
      </c>
      <c r="C174" s="45" t="s">
        <v>135</v>
      </c>
      <c r="D174" s="45">
        <v>87244</v>
      </c>
      <c r="E174" s="6" t="s">
        <v>479</v>
      </c>
      <c r="F174" s="45" t="s">
        <v>121</v>
      </c>
      <c r="G174" s="46">
        <f t="shared" si="23"/>
        <v>230</v>
      </c>
      <c r="H174" s="46">
        <f>TRUNC(S174*(1-LOTE_01!$K$10),2)</f>
        <v>312.02999999999997</v>
      </c>
      <c r="I174" s="46">
        <f>TRUNC(T174*(1-LOTE_01!$K$10),2)</f>
        <v>39.19</v>
      </c>
      <c r="J174" s="100">
        <f t="shared" si="17"/>
        <v>0.22470000000000001</v>
      </c>
      <c r="K174" s="48">
        <f t="shared" si="18"/>
        <v>382.14</v>
      </c>
      <c r="L174" s="48">
        <f t="shared" si="19"/>
        <v>47.99</v>
      </c>
      <c r="M174" s="48">
        <f t="shared" si="20"/>
        <v>87892.2</v>
      </c>
      <c r="N174" s="48">
        <f t="shared" si="21"/>
        <v>11037.7</v>
      </c>
      <c r="O174" s="50">
        <f t="shared" si="22"/>
        <v>98929.9</v>
      </c>
      <c r="P174" s="50">
        <v>0</v>
      </c>
      <c r="Q174" s="76"/>
      <c r="R174" s="140">
        <f>IF((50*S10)&gt;200,200,(10*S9+50*S10))</f>
        <v>230</v>
      </c>
      <c r="S174" s="152">
        <v>312.03000000000003</v>
      </c>
      <c r="T174" s="153">
        <v>39.19</v>
      </c>
    </row>
    <row r="175" spans="2:20" ht="70">
      <c r="B175" s="5" t="s">
        <v>480</v>
      </c>
      <c r="C175" s="45" t="s">
        <v>135</v>
      </c>
      <c r="D175" s="45">
        <v>87265</v>
      </c>
      <c r="E175" s="6" t="s">
        <v>481</v>
      </c>
      <c r="F175" s="45" t="s">
        <v>121</v>
      </c>
      <c r="G175" s="46">
        <f t="shared" si="23"/>
        <v>230</v>
      </c>
      <c r="H175" s="46">
        <f>TRUNC(S175*(1-LOTE_01!$K$10),2)</f>
        <v>54.88</v>
      </c>
      <c r="I175" s="46">
        <f>TRUNC(T175*(1-LOTE_01!$K$10),2)</f>
        <v>17.89</v>
      </c>
      <c r="J175" s="100">
        <f t="shared" si="17"/>
        <v>0.22470000000000001</v>
      </c>
      <c r="K175" s="48">
        <f t="shared" si="18"/>
        <v>67.209999999999994</v>
      </c>
      <c r="L175" s="48">
        <f t="shared" si="19"/>
        <v>21.9</v>
      </c>
      <c r="M175" s="48">
        <f t="shared" si="20"/>
        <v>15458.3</v>
      </c>
      <c r="N175" s="48">
        <f t="shared" si="21"/>
        <v>5037</v>
      </c>
      <c r="O175" s="50">
        <f t="shared" si="22"/>
        <v>20495.3</v>
      </c>
      <c r="P175" s="50">
        <v>0</v>
      </c>
      <c r="Q175" s="76"/>
      <c r="R175" s="140">
        <f>IF((50*S10)&gt;200,200,(10*S9+50*S10))</f>
        <v>230</v>
      </c>
      <c r="S175" s="152">
        <v>54.879999999999995</v>
      </c>
      <c r="T175" s="153">
        <v>17.89</v>
      </c>
    </row>
    <row r="176" spans="2:20" ht="70">
      <c r="B176" s="5" t="s">
        <v>482</v>
      </c>
      <c r="C176" s="45" t="s">
        <v>135</v>
      </c>
      <c r="D176" s="45">
        <v>87251</v>
      </c>
      <c r="E176" s="6" t="s">
        <v>483</v>
      </c>
      <c r="F176" s="45" t="s">
        <v>121</v>
      </c>
      <c r="G176" s="46">
        <f t="shared" si="23"/>
        <v>170</v>
      </c>
      <c r="H176" s="46">
        <f>TRUNC(S176*(1-LOTE_01!$K$10),2)</f>
        <v>59.01</v>
      </c>
      <c r="I176" s="46">
        <f>TRUNC(T176*(1-LOTE_01!$K$10),2)</f>
        <v>8.68</v>
      </c>
      <c r="J176" s="100">
        <f t="shared" si="17"/>
        <v>0.22470000000000001</v>
      </c>
      <c r="K176" s="48">
        <f t="shared" si="18"/>
        <v>72.260000000000005</v>
      </c>
      <c r="L176" s="48">
        <f t="shared" si="19"/>
        <v>10.63</v>
      </c>
      <c r="M176" s="48">
        <f t="shared" si="20"/>
        <v>12284.2</v>
      </c>
      <c r="N176" s="48">
        <f t="shared" si="21"/>
        <v>1807.1</v>
      </c>
      <c r="O176" s="50">
        <f t="shared" si="22"/>
        <v>14091.3</v>
      </c>
      <c r="P176" s="50">
        <v>0</v>
      </c>
      <c r="Q176" s="76"/>
      <c r="R176" s="140">
        <f>IF((30*S10)&gt;100,100,(10*S9+30*S10))</f>
        <v>170</v>
      </c>
      <c r="S176" s="152">
        <v>59.01</v>
      </c>
      <c r="T176" s="153">
        <v>8.68</v>
      </c>
    </row>
    <row r="177" spans="2:20" ht="42">
      <c r="B177" s="5" t="s">
        <v>1752</v>
      </c>
      <c r="C177" s="45" t="s">
        <v>165</v>
      </c>
      <c r="D177" s="45" t="s">
        <v>1753</v>
      </c>
      <c r="E177" s="6" t="s">
        <v>1754</v>
      </c>
      <c r="F177" s="45" t="s">
        <v>168</v>
      </c>
      <c r="G177" s="46">
        <f t="shared" ref="G177" si="24">TRUNC(R177,2)</f>
        <v>550</v>
      </c>
      <c r="H177" s="46">
        <f>TRUNC(S177*(1-LOTE_01!$K$10),2)</f>
        <v>134.16999999999999</v>
      </c>
      <c r="I177" s="46">
        <f>TRUNC(T177*(1-LOTE_01!$K$10),2)</f>
        <v>6.21</v>
      </c>
      <c r="J177" s="100">
        <f t="shared" si="17"/>
        <v>0.22470000000000001</v>
      </c>
      <c r="K177" s="48">
        <f t="shared" si="18"/>
        <v>164.31</v>
      </c>
      <c r="L177" s="48">
        <f t="shared" si="19"/>
        <v>7.6</v>
      </c>
      <c r="M177" s="48">
        <f t="shared" si="20"/>
        <v>90370.5</v>
      </c>
      <c r="N177" s="48">
        <f t="shared" si="21"/>
        <v>4180</v>
      </c>
      <c r="O177" s="50">
        <f t="shared" si="22"/>
        <v>94550.5</v>
      </c>
      <c r="P177" s="50"/>
      <c r="Q177" s="76"/>
      <c r="R177" s="148">
        <f>50*(S9+S10)</f>
        <v>550</v>
      </c>
      <c r="S177" s="152">
        <v>134.16999999999999</v>
      </c>
      <c r="T177" s="153">
        <v>6.21</v>
      </c>
    </row>
    <row r="178" spans="2:20" ht="42">
      <c r="B178" s="5" t="s">
        <v>1755</v>
      </c>
      <c r="C178" s="45" t="s">
        <v>97</v>
      </c>
      <c r="D178" s="45" t="s">
        <v>1756</v>
      </c>
      <c r="E178" s="6" t="s">
        <v>1757</v>
      </c>
      <c r="F178" s="45" t="s">
        <v>121</v>
      </c>
      <c r="G178" s="46">
        <f t="shared" ref="G178" si="25">TRUNC(R178,2)</f>
        <v>550</v>
      </c>
      <c r="H178" s="46">
        <f>TRUNC(S178*(1-LOTE_01!$K$10),2)</f>
        <v>57.1</v>
      </c>
      <c r="I178" s="46">
        <f>TRUNC(T178*(1-LOTE_01!$K$10),2)</f>
        <v>28.49</v>
      </c>
      <c r="J178" s="100">
        <f t="shared" si="17"/>
        <v>0.22470000000000001</v>
      </c>
      <c r="K178" s="48">
        <f t="shared" si="18"/>
        <v>69.930000000000007</v>
      </c>
      <c r="L178" s="48">
        <f t="shared" si="19"/>
        <v>34.89</v>
      </c>
      <c r="M178" s="48">
        <f t="shared" si="20"/>
        <v>38461.5</v>
      </c>
      <c r="N178" s="48">
        <f t="shared" si="21"/>
        <v>19189.5</v>
      </c>
      <c r="O178" s="50">
        <f t="shared" si="22"/>
        <v>57651</v>
      </c>
      <c r="P178" s="50"/>
      <c r="Q178" s="76"/>
      <c r="R178" s="140">
        <f>50*(S9+S10)</f>
        <v>550</v>
      </c>
      <c r="S178" s="152">
        <v>57.1</v>
      </c>
      <c r="T178" s="153">
        <v>28.49</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266169.09999999998</v>
      </c>
      <c r="Q179" s="76"/>
      <c r="R179" s="154"/>
      <c r="S179" s="152" t="s">
        <v>22</v>
      </c>
      <c r="T179" s="153" t="s">
        <v>22</v>
      </c>
    </row>
    <row r="180" spans="2:20" ht="70">
      <c r="B180" s="5" t="s">
        <v>484</v>
      </c>
      <c r="C180" s="45" t="s">
        <v>97</v>
      </c>
      <c r="D180" s="45" t="s">
        <v>485</v>
      </c>
      <c r="E180" s="6" t="s">
        <v>486</v>
      </c>
      <c r="F180" s="45" t="s">
        <v>121</v>
      </c>
      <c r="G180" s="46">
        <f t="shared" si="23"/>
        <v>550</v>
      </c>
      <c r="H180" s="46">
        <f>TRUNC(S180*(1-LOTE_01!$K$10),2)</f>
        <v>14.09</v>
      </c>
      <c r="I180" s="46">
        <f>TRUNC(T180*(1-LOTE_01!$K$10),2)</f>
        <v>13.87</v>
      </c>
      <c r="J180" s="100">
        <f t="shared" si="17"/>
        <v>0.22470000000000001</v>
      </c>
      <c r="K180" s="48">
        <f t="shared" si="18"/>
        <v>17.25</v>
      </c>
      <c r="L180" s="48">
        <f t="shared" si="19"/>
        <v>16.98</v>
      </c>
      <c r="M180" s="48">
        <f t="shared" si="20"/>
        <v>9487.5</v>
      </c>
      <c r="N180" s="48">
        <f t="shared" si="21"/>
        <v>9339</v>
      </c>
      <c r="O180" s="50">
        <f t="shared" si="22"/>
        <v>18826.5</v>
      </c>
      <c r="P180" s="50">
        <v>0</v>
      </c>
      <c r="Q180" s="76"/>
      <c r="R180" s="140">
        <f>50*S9+50*S10</f>
        <v>550</v>
      </c>
      <c r="S180" s="152">
        <v>14.09</v>
      </c>
      <c r="T180" s="153">
        <v>13.87</v>
      </c>
    </row>
    <row r="181" spans="2:20" ht="42">
      <c r="B181" s="5" t="s">
        <v>487</v>
      </c>
      <c r="C181" s="45" t="s">
        <v>165</v>
      </c>
      <c r="D181" s="45" t="s">
        <v>488</v>
      </c>
      <c r="E181" s="6" t="s">
        <v>489</v>
      </c>
      <c r="F181" s="45" t="s">
        <v>168</v>
      </c>
      <c r="G181" s="46">
        <f t="shared" si="23"/>
        <v>1360</v>
      </c>
      <c r="H181" s="46">
        <f>TRUNC(S181*(1-LOTE_01!$K$10),2)</f>
        <v>119.77</v>
      </c>
      <c r="I181" s="46">
        <f>TRUNC(T181*(1-LOTE_01!$K$10),2)</f>
        <v>0</v>
      </c>
      <c r="J181" s="100">
        <f t="shared" si="17"/>
        <v>0.22470000000000001</v>
      </c>
      <c r="K181" s="48">
        <f t="shared" si="18"/>
        <v>146.68</v>
      </c>
      <c r="L181" s="48">
        <f t="shared" si="19"/>
        <v>0</v>
      </c>
      <c r="M181" s="48">
        <f t="shared" si="20"/>
        <v>199484.79999999999</v>
      </c>
      <c r="N181" s="48">
        <f t="shared" si="21"/>
        <v>0</v>
      </c>
      <c r="O181" s="50">
        <f t="shared" si="22"/>
        <v>199484.79999999999</v>
      </c>
      <c r="P181" s="50">
        <v>0</v>
      </c>
      <c r="Q181" s="76"/>
      <c r="R181" s="140">
        <f>20*S9+400*S10</f>
        <v>1360</v>
      </c>
      <c r="S181" s="152">
        <v>119.77</v>
      </c>
      <c r="T181" s="153">
        <v>0</v>
      </c>
    </row>
    <row r="182" spans="2:20" ht="28">
      <c r="B182" s="5" t="s">
        <v>490</v>
      </c>
      <c r="C182" s="45" t="s">
        <v>135</v>
      </c>
      <c r="D182" s="45">
        <v>96113</v>
      </c>
      <c r="E182" s="6" t="s">
        <v>491</v>
      </c>
      <c r="F182" s="45" t="s">
        <v>121</v>
      </c>
      <c r="G182" s="46">
        <f t="shared" si="23"/>
        <v>110</v>
      </c>
      <c r="H182" s="46">
        <f>TRUNC(S182*(1-LOTE_01!$K$10),2)</f>
        <v>30.14</v>
      </c>
      <c r="I182" s="46">
        <f>TRUNC(T182*(1-LOTE_01!$K$10),2)</f>
        <v>26.9</v>
      </c>
      <c r="J182" s="100">
        <f t="shared" si="17"/>
        <v>0.22470000000000001</v>
      </c>
      <c r="K182" s="48">
        <f t="shared" si="18"/>
        <v>36.909999999999997</v>
      </c>
      <c r="L182" s="48">
        <f t="shared" si="19"/>
        <v>32.94</v>
      </c>
      <c r="M182" s="48">
        <f t="shared" si="20"/>
        <v>4060.1</v>
      </c>
      <c r="N182" s="48">
        <f t="shared" si="21"/>
        <v>3623.4</v>
      </c>
      <c r="O182" s="50">
        <f t="shared" si="22"/>
        <v>7683.5</v>
      </c>
      <c r="P182" s="50">
        <v>0</v>
      </c>
      <c r="Q182" s="76"/>
      <c r="R182" s="140">
        <f>IF((10*S10)&gt;100,100,(10*S9+10*S10))</f>
        <v>110</v>
      </c>
      <c r="S182" s="152">
        <v>30.14</v>
      </c>
      <c r="T182" s="153">
        <v>26.9</v>
      </c>
    </row>
    <row r="183" spans="2:20" ht="42">
      <c r="B183" s="5" t="s">
        <v>492</v>
      </c>
      <c r="C183" s="45" t="s">
        <v>135</v>
      </c>
      <c r="D183" s="45">
        <v>99054</v>
      </c>
      <c r="E183" s="6" t="s">
        <v>493</v>
      </c>
      <c r="F183" s="45" t="s">
        <v>121</v>
      </c>
      <c r="G183" s="46">
        <f t="shared" si="23"/>
        <v>100</v>
      </c>
      <c r="H183" s="46">
        <f>TRUNC(S183*(1-LOTE_01!$K$10),2)</f>
        <v>33.700000000000003</v>
      </c>
      <c r="I183" s="46">
        <f>TRUNC(T183*(1-LOTE_01!$K$10),2)</f>
        <v>37</v>
      </c>
      <c r="J183" s="100">
        <f t="shared" si="17"/>
        <v>0.22470000000000001</v>
      </c>
      <c r="K183" s="48">
        <f t="shared" si="18"/>
        <v>41.27</v>
      </c>
      <c r="L183" s="48">
        <f t="shared" si="19"/>
        <v>45.31</v>
      </c>
      <c r="M183" s="48">
        <f t="shared" si="20"/>
        <v>4127</v>
      </c>
      <c r="N183" s="48">
        <f t="shared" si="21"/>
        <v>4531</v>
      </c>
      <c r="O183" s="50">
        <f t="shared" si="22"/>
        <v>8658</v>
      </c>
      <c r="P183" s="50">
        <v>0</v>
      </c>
      <c r="Q183" s="76"/>
      <c r="R183" s="140">
        <f>IF((20*S10+20*S9)&gt;100,100,(20*S10+20*S9))</f>
        <v>100</v>
      </c>
      <c r="S183" s="152">
        <v>33.700000000000003</v>
      </c>
      <c r="T183" s="153">
        <v>37</v>
      </c>
    </row>
    <row r="184" spans="2:20" ht="28">
      <c r="B184" s="5" t="s">
        <v>494</v>
      </c>
      <c r="C184" s="45" t="s">
        <v>135</v>
      </c>
      <c r="D184" s="45">
        <v>96120</v>
      </c>
      <c r="E184" s="6" t="s">
        <v>495</v>
      </c>
      <c r="F184" s="45" t="s">
        <v>187</v>
      </c>
      <c r="G184" s="46">
        <f t="shared" si="23"/>
        <v>220</v>
      </c>
      <c r="H184" s="46">
        <f>TRUNC(S184*(1-LOTE_01!$K$10),2)</f>
        <v>2.25</v>
      </c>
      <c r="I184" s="46">
        <f>TRUNC(T184*(1-LOTE_01!$K$10),2)</f>
        <v>1.57</v>
      </c>
      <c r="J184" s="100">
        <f t="shared" si="17"/>
        <v>0.22470000000000001</v>
      </c>
      <c r="K184" s="48">
        <f t="shared" si="18"/>
        <v>2.75</v>
      </c>
      <c r="L184" s="48">
        <f t="shared" si="19"/>
        <v>1.92</v>
      </c>
      <c r="M184" s="48">
        <f t="shared" si="20"/>
        <v>605</v>
      </c>
      <c r="N184" s="48">
        <f t="shared" si="21"/>
        <v>422.4</v>
      </c>
      <c r="O184" s="50">
        <f t="shared" si="22"/>
        <v>1027.4000000000001</v>
      </c>
      <c r="P184" s="50">
        <v>0</v>
      </c>
      <c r="Q184" s="76"/>
      <c r="R184" s="140">
        <f>IF((20*S10+20*S9)&gt;500,500,(20*S10+20*S9))</f>
        <v>220</v>
      </c>
      <c r="S184" s="152">
        <v>2.25</v>
      </c>
      <c r="T184" s="153">
        <v>1.57</v>
      </c>
    </row>
    <row r="185" spans="2:20" ht="56">
      <c r="B185" s="5" t="s">
        <v>496</v>
      </c>
      <c r="C185" s="45" t="s">
        <v>135</v>
      </c>
      <c r="D185" s="45">
        <v>96486</v>
      </c>
      <c r="E185" s="6" t="s">
        <v>497</v>
      </c>
      <c r="F185" s="45" t="s">
        <v>121</v>
      </c>
      <c r="G185" s="46">
        <f t="shared" si="23"/>
        <v>100</v>
      </c>
      <c r="H185" s="46">
        <f>TRUNC(S185*(1-LOTE_01!$K$10),2)</f>
        <v>57.08</v>
      </c>
      <c r="I185" s="46">
        <f>TRUNC(T185*(1-LOTE_01!$K$10),2)</f>
        <v>13.06</v>
      </c>
      <c r="J185" s="100">
        <f t="shared" si="17"/>
        <v>0.22470000000000001</v>
      </c>
      <c r="K185" s="48">
        <f t="shared" si="18"/>
        <v>69.900000000000006</v>
      </c>
      <c r="L185" s="48">
        <f t="shared" si="19"/>
        <v>15.99</v>
      </c>
      <c r="M185" s="48">
        <f t="shared" si="20"/>
        <v>6990</v>
      </c>
      <c r="N185" s="48">
        <f t="shared" si="21"/>
        <v>1599</v>
      </c>
      <c r="O185" s="50">
        <f t="shared" si="22"/>
        <v>8589</v>
      </c>
      <c r="P185" s="50">
        <v>0</v>
      </c>
      <c r="Q185" s="76"/>
      <c r="R185" s="140">
        <f>IF((20*S10+20*S9)&gt;100,100,(20*S10+20*S9))</f>
        <v>100</v>
      </c>
      <c r="S185" s="152">
        <v>57.08</v>
      </c>
      <c r="T185" s="153">
        <v>13.06</v>
      </c>
    </row>
    <row r="186" spans="2:20" ht="42">
      <c r="B186" s="5" t="s">
        <v>498</v>
      </c>
      <c r="C186" s="45" t="s">
        <v>135</v>
      </c>
      <c r="D186" s="45">
        <v>96114</v>
      </c>
      <c r="E186" s="6" t="s">
        <v>499</v>
      </c>
      <c r="F186" s="45" t="s">
        <v>121</v>
      </c>
      <c r="G186" s="46">
        <f t="shared" si="23"/>
        <v>110</v>
      </c>
      <c r="H186" s="46">
        <f>TRUNC(S186*(1-LOTE_01!$K$10),2)</f>
        <v>75.64</v>
      </c>
      <c r="I186" s="46">
        <f>TRUNC(T186*(1-LOTE_01!$K$10),2)</f>
        <v>19.940000000000001</v>
      </c>
      <c r="J186" s="100">
        <f t="shared" si="17"/>
        <v>0.22470000000000001</v>
      </c>
      <c r="K186" s="48">
        <f t="shared" si="18"/>
        <v>92.63</v>
      </c>
      <c r="L186" s="48">
        <f t="shared" si="19"/>
        <v>24.42</v>
      </c>
      <c r="M186" s="48">
        <f t="shared" si="20"/>
        <v>10189.299999999999</v>
      </c>
      <c r="N186" s="48">
        <f t="shared" si="21"/>
        <v>2686.2</v>
      </c>
      <c r="O186" s="50">
        <f t="shared" si="22"/>
        <v>12875.5</v>
      </c>
      <c r="P186" s="50">
        <v>0</v>
      </c>
      <c r="Q186" s="76"/>
      <c r="R186" s="140">
        <f>IF((10*S10)&gt;100,100,(10*S9+10*S10))</f>
        <v>110</v>
      </c>
      <c r="S186" s="152">
        <v>75.64</v>
      </c>
      <c r="T186" s="153">
        <v>19.940000000000001</v>
      </c>
    </row>
    <row r="187" spans="2:20" ht="42">
      <c r="B187" s="5" t="s">
        <v>500</v>
      </c>
      <c r="C187" s="45" t="s">
        <v>135</v>
      </c>
      <c r="D187" s="45">
        <v>96123</v>
      </c>
      <c r="E187" s="6" t="s">
        <v>501</v>
      </c>
      <c r="F187" s="45" t="s">
        <v>187</v>
      </c>
      <c r="G187" s="46">
        <f t="shared" si="23"/>
        <v>220</v>
      </c>
      <c r="H187" s="46">
        <f>TRUNC(S187*(1-LOTE_01!$K$10),2)</f>
        <v>24.9</v>
      </c>
      <c r="I187" s="46">
        <f>TRUNC(T187*(1-LOTE_01!$K$10),2)</f>
        <v>8.6</v>
      </c>
      <c r="J187" s="100">
        <f t="shared" si="17"/>
        <v>0.22470000000000001</v>
      </c>
      <c r="K187" s="48">
        <f t="shared" si="18"/>
        <v>30.49</v>
      </c>
      <c r="L187" s="48">
        <f t="shared" si="19"/>
        <v>10.53</v>
      </c>
      <c r="M187" s="48">
        <f t="shared" si="20"/>
        <v>6707.8</v>
      </c>
      <c r="N187" s="48">
        <f t="shared" si="21"/>
        <v>2316.6</v>
      </c>
      <c r="O187" s="50">
        <f t="shared" si="22"/>
        <v>9024.4</v>
      </c>
      <c r="P187" s="50">
        <v>0</v>
      </c>
      <c r="Q187" s="76"/>
      <c r="R187" s="140">
        <f>20*S10+20*S9</f>
        <v>220</v>
      </c>
      <c r="S187" s="152">
        <v>24.9</v>
      </c>
      <c r="T187" s="153">
        <v>8.6</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1657641.5</v>
      </c>
      <c r="Q188" s="76"/>
      <c r="R188" s="154"/>
      <c r="S188" s="152" t="s">
        <v>22</v>
      </c>
      <c r="T188" s="153" t="s">
        <v>22</v>
      </c>
    </row>
    <row r="189" spans="2:20" ht="84">
      <c r="B189" s="5" t="s">
        <v>502</v>
      </c>
      <c r="C189" s="45" t="s">
        <v>135</v>
      </c>
      <c r="D189" s="45">
        <v>87632</v>
      </c>
      <c r="E189" s="6" t="s">
        <v>503</v>
      </c>
      <c r="F189" s="45" t="s">
        <v>121</v>
      </c>
      <c r="G189" s="46">
        <f t="shared" si="23"/>
        <v>4400</v>
      </c>
      <c r="H189" s="46">
        <f>TRUNC(S189*(1-LOTE_01!$K$10),2)</f>
        <v>46.3</v>
      </c>
      <c r="I189" s="46">
        <f>TRUNC(T189*(1-LOTE_01!$K$10),2)</f>
        <v>15.97</v>
      </c>
      <c r="J189" s="100">
        <f t="shared" si="17"/>
        <v>0.22470000000000001</v>
      </c>
      <c r="K189" s="48">
        <f t="shared" si="18"/>
        <v>56.7</v>
      </c>
      <c r="L189" s="48">
        <f t="shared" si="19"/>
        <v>19.55</v>
      </c>
      <c r="M189" s="48">
        <f t="shared" si="20"/>
        <v>249480</v>
      </c>
      <c r="N189" s="48">
        <f t="shared" si="21"/>
        <v>86020</v>
      </c>
      <c r="O189" s="50">
        <f t="shared" si="22"/>
        <v>335500</v>
      </c>
      <c r="P189" s="50">
        <v>0</v>
      </c>
      <c r="Q189" s="76"/>
      <c r="R189" s="140">
        <f>400*S10+400*S9</f>
        <v>4400</v>
      </c>
      <c r="S189" s="152">
        <v>46.300000000000004</v>
      </c>
      <c r="T189" s="153">
        <v>15.97</v>
      </c>
    </row>
    <row r="190" spans="2:20" ht="56">
      <c r="B190" s="5" t="s">
        <v>504</v>
      </c>
      <c r="C190" s="45" t="s">
        <v>135</v>
      </c>
      <c r="D190" s="45">
        <v>101749</v>
      </c>
      <c r="E190" s="6" t="s">
        <v>1778</v>
      </c>
      <c r="F190" s="45" t="s">
        <v>121</v>
      </c>
      <c r="G190" s="46">
        <f t="shared" si="23"/>
        <v>1000</v>
      </c>
      <c r="H190" s="46">
        <f>TRUNC(S190*(1-LOTE_01!$K$10),2)</f>
        <v>51.42</v>
      </c>
      <c r="I190" s="46">
        <f>TRUNC(T190*(1-LOTE_01!$K$10),2)</f>
        <v>14.89</v>
      </c>
      <c r="J190" s="100">
        <f t="shared" si="17"/>
        <v>0.22470000000000001</v>
      </c>
      <c r="K190" s="48">
        <f t="shared" si="18"/>
        <v>62.97</v>
      </c>
      <c r="L190" s="48">
        <f t="shared" si="19"/>
        <v>18.23</v>
      </c>
      <c r="M190" s="48">
        <f t="shared" si="20"/>
        <v>62970</v>
      </c>
      <c r="N190" s="48">
        <f t="shared" si="21"/>
        <v>18230</v>
      </c>
      <c r="O190" s="50">
        <f t="shared" si="22"/>
        <v>81200</v>
      </c>
      <c r="P190" s="50">
        <v>0</v>
      </c>
      <c r="Q190" s="76"/>
      <c r="R190" s="140">
        <f>IF((50*S9+200*S10)&gt;1500,1500,(50*S9+200*S10))</f>
        <v>1000</v>
      </c>
      <c r="S190" s="152">
        <v>51.42</v>
      </c>
      <c r="T190" s="153">
        <v>14.89</v>
      </c>
    </row>
    <row r="191" spans="2:20" ht="126">
      <c r="B191" s="5" t="s">
        <v>505</v>
      </c>
      <c r="C191" s="45" t="s">
        <v>97</v>
      </c>
      <c r="D191" s="45" t="s">
        <v>506</v>
      </c>
      <c r="E191" s="6" t="s">
        <v>507</v>
      </c>
      <c r="F191" s="45" t="s">
        <v>121</v>
      </c>
      <c r="G191" s="46">
        <f t="shared" si="23"/>
        <v>2000</v>
      </c>
      <c r="H191" s="46">
        <f>TRUNC(S191*(1-LOTE_01!$K$10),2)</f>
        <v>241.96</v>
      </c>
      <c r="I191" s="46">
        <f>TRUNC(T191*(1-LOTE_01!$K$10),2)</f>
        <v>32.4</v>
      </c>
      <c r="J191" s="100">
        <f t="shared" si="17"/>
        <v>0.22470000000000001</v>
      </c>
      <c r="K191" s="48">
        <f t="shared" si="18"/>
        <v>296.32</v>
      </c>
      <c r="L191" s="48">
        <f t="shared" si="19"/>
        <v>39.68</v>
      </c>
      <c r="M191" s="48">
        <f t="shared" si="20"/>
        <v>592640</v>
      </c>
      <c r="N191" s="48">
        <f t="shared" si="21"/>
        <v>79360</v>
      </c>
      <c r="O191" s="50">
        <f t="shared" si="22"/>
        <v>672000</v>
      </c>
      <c r="P191" s="50">
        <v>0</v>
      </c>
      <c r="Q191" s="76"/>
      <c r="R191" s="141">
        <f>400*S10+100*S9</f>
        <v>2000</v>
      </c>
      <c r="S191" s="152">
        <v>241.96</v>
      </c>
      <c r="T191" s="153">
        <v>32.4</v>
      </c>
    </row>
    <row r="192" spans="2:20" ht="140">
      <c r="B192" s="5" t="s">
        <v>508</v>
      </c>
      <c r="C192" s="45" t="s">
        <v>97</v>
      </c>
      <c r="D192" s="45" t="s">
        <v>509</v>
      </c>
      <c r="E192" s="6" t="s">
        <v>510</v>
      </c>
      <c r="F192" s="45" t="s">
        <v>121</v>
      </c>
      <c r="G192" s="46">
        <f t="shared" si="23"/>
        <v>1010</v>
      </c>
      <c r="H192" s="46">
        <f>TRUNC(S192*(1-LOTE_01!$K$10),2)</f>
        <v>307.36</v>
      </c>
      <c r="I192" s="46">
        <f>TRUNC(T192*(1-LOTE_01!$K$10),2)</f>
        <v>32.4</v>
      </c>
      <c r="J192" s="100">
        <f t="shared" si="17"/>
        <v>0.22470000000000001</v>
      </c>
      <c r="K192" s="48">
        <f t="shared" si="18"/>
        <v>376.42</v>
      </c>
      <c r="L192" s="48">
        <f t="shared" si="19"/>
        <v>39.68</v>
      </c>
      <c r="M192" s="48">
        <f t="shared" si="20"/>
        <v>380184.2</v>
      </c>
      <c r="N192" s="48">
        <f t="shared" si="21"/>
        <v>40076.800000000003</v>
      </c>
      <c r="O192" s="50">
        <f t="shared" si="22"/>
        <v>420261</v>
      </c>
      <c r="P192" s="50">
        <v>0</v>
      </c>
      <c r="Q192" s="76"/>
      <c r="R192" s="141">
        <f>14*5*(S10)+100*S9</f>
        <v>1010</v>
      </c>
      <c r="S192" s="152">
        <v>307.36</v>
      </c>
      <c r="T192" s="153">
        <v>32.4</v>
      </c>
    </row>
    <row r="193" spans="2:20" ht="42">
      <c r="B193" s="5" t="s">
        <v>511</v>
      </c>
      <c r="C193" s="45" t="s">
        <v>135</v>
      </c>
      <c r="D193" s="45">
        <v>101736</v>
      </c>
      <c r="E193" s="6" t="s">
        <v>1779</v>
      </c>
      <c r="F193" s="45" t="s">
        <v>121</v>
      </c>
      <c r="G193" s="46">
        <f t="shared" si="23"/>
        <v>22</v>
      </c>
      <c r="H193" s="46">
        <f>TRUNC(S193*(1-LOTE_01!$K$10),2)</f>
        <v>106.11</v>
      </c>
      <c r="I193" s="46">
        <f>TRUNC(T193*(1-LOTE_01!$K$10),2)</f>
        <v>15.76</v>
      </c>
      <c r="J193" s="100">
        <f t="shared" si="17"/>
        <v>0.22470000000000001</v>
      </c>
      <c r="K193" s="48">
        <f t="shared" si="18"/>
        <v>129.94999999999999</v>
      </c>
      <c r="L193" s="48">
        <f t="shared" si="19"/>
        <v>19.3</v>
      </c>
      <c r="M193" s="48">
        <f t="shared" si="20"/>
        <v>2858.9</v>
      </c>
      <c r="N193" s="48">
        <f t="shared" si="21"/>
        <v>424.6</v>
      </c>
      <c r="O193" s="50">
        <f t="shared" si="22"/>
        <v>3283.5</v>
      </c>
      <c r="P193" s="50">
        <v>0</v>
      </c>
      <c r="Q193" s="76"/>
      <c r="R193" s="141">
        <f>IF(2*(S10+S9)&gt;50,500,2*(S9+S10))</f>
        <v>22</v>
      </c>
      <c r="S193" s="152">
        <v>106.11</v>
      </c>
      <c r="T193" s="153">
        <v>15.76</v>
      </c>
    </row>
    <row r="194" spans="2:20" ht="70">
      <c r="B194" s="5" t="s">
        <v>512</v>
      </c>
      <c r="C194" s="45" t="s">
        <v>135</v>
      </c>
      <c r="D194" s="45">
        <v>94995</v>
      </c>
      <c r="E194" s="6" t="s">
        <v>1780</v>
      </c>
      <c r="F194" s="45" t="s">
        <v>121</v>
      </c>
      <c r="G194" s="46">
        <f t="shared" si="23"/>
        <v>500</v>
      </c>
      <c r="H194" s="46">
        <f>TRUNC(S194*(1-LOTE_01!$K$10),2)</f>
        <v>200.52</v>
      </c>
      <c r="I194" s="46">
        <f>TRUNC(T194*(1-LOTE_01!$K$10),2)</f>
        <v>9.8000000000000007</v>
      </c>
      <c r="J194" s="100">
        <f t="shared" si="17"/>
        <v>0.22470000000000001</v>
      </c>
      <c r="K194" s="48">
        <f t="shared" si="18"/>
        <v>245.57</v>
      </c>
      <c r="L194" s="48">
        <f t="shared" si="19"/>
        <v>12</v>
      </c>
      <c r="M194" s="48">
        <f t="shared" si="20"/>
        <v>122785</v>
      </c>
      <c r="N194" s="48">
        <f t="shared" si="21"/>
        <v>6000</v>
      </c>
      <c r="O194" s="50">
        <f t="shared" si="22"/>
        <v>128785</v>
      </c>
      <c r="P194" s="50">
        <v>0</v>
      </c>
      <c r="Q194" s="76"/>
      <c r="R194" s="141">
        <f>IF(50*(S10+S9)&gt;500,500,50*(S9+S10))</f>
        <v>500</v>
      </c>
      <c r="S194" s="152">
        <v>200.51999999999998</v>
      </c>
      <c r="T194" s="153">
        <v>9.8000000000000007</v>
      </c>
    </row>
    <row r="195" spans="2:20" ht="28">
      <c r="B195" s="5" t="s">
        <v>513</v>
      </c>
      <c r="C195" s="45" t="s">
        <v>165</v>
      </c>
      <c r="D195" s="45" t="s">
        <v>514</v>
      </c>
      <c r="E195" s="6" t="s">
        <v>515</v>
      </c>
      <c r="F195" s="45" t="s">
        <v>168</v>
      </c>
      <c r="G195" s="46">
        <f t="shared" si="23"/>
        <v>1100</v>
      </c>
      <c r="H195" s="46">
        <f>TRUNC(S195*(1-LOTE_01!$K$10),2)</f>
        <v>5.27</v>
      </c>
      <c r="I195" s="46">
        <f>TRUNC(T195*(1-LOTE_01!$K$10),2)</f>
        <v>3.16</v>
      </c>
      <c r="J195" s="100">
        <f t="shared" si="17"/>
        <v>0.22470000000000001</v>
      </c>
      <c r="K195" s="48">
        <f t="shared" si="18"/>
        <v>6.45</v>
      </c>
      <c r="L195" s="48">
        <f t="shared" si="19"/>
        <v>3.87</v>
      </c>
      <c r="M195" s="48">
        <f t="shared" si="20"/>
        <v>7095</v>
      </c>
      <c r="N195" s="48">
        <f t="shared" si="21"/>
        <v>4257</v>
      </c>
      <c r="O195" s="50">
        <f t="shared" si="22"/>
        <v>11352</v>
      </c>
      <c r="P195" s="50">
        <v>0</v>
      </c>
      <c r="Q195" s="76"/>
      <c r="R195" s="140">
        <f>100*(S9+S10)</f>
        <v>1100</v>
      </c>
      <c r="S195" s="152">
        <v>5.27</v>
      </c>
      <c r="T195" s="153">
        <v>3.16</v>
      </c>
    </row>
    <row r="196" spans="2:20">
      <c r="B196" s="5" t="s">
        <v>516</v>
      </c>
      <c r="C196" s="45" t="s">
        <v>97</v>
      </c>
      <c r="D196" s="45" t="s">
        <v>517</v>
      </c>
      <c r="E196" s="6" t="s">
        <v>518</v>
      </c>
      <c r="F196" s="45" t="s">
        <v>519</v>
      </c>
      <c r="G196" s="46">
        <f t="shared" si="23"/>
        <v>1000</v>
      </c>
      <c r="H196" s="46">
        <f>TRUNC(S196*(1-LOTE_01!$K$10),2)</f>
        <v>2.56</v>
      </c>
      <c r="I196" s="46">
        <f>TRUNC(T196*(1-LOTE_01!$K$10),2)</f>
        <v>1.74</v>
      </c>
      <c r="J196" s="100">
        <f t="shared" si="17"/>
        <v>0.22470000000000001</v>
      </c>
      <c r="K196" s="48">
        <f t="shared" si="18"/>
        <v>3.13</v>
      </c>
      <c r="L196" s="48">
        <f t="shared" si="19"/>
        <v>2.13</v>
      </c>
      <c r="M196" s="48">
        <f t="shared" si="20"/>
        <v>3130</v>
      </c>
      <c r="N196" s="48">
        <f t="shared" si="21"/>
        <v>2130</v>
      </c>
      <c r="O196" s="50">
        <f t="shared" si="22"/>
        <v>5260</v>
      </c>
      <c r="P196" s="50">
        <v>0</v>
      </c>
      <c r="Q196" s="76"/>
      <c r="R196" s="140">
        <f>IF((200*S9+200*S10)&gt;1000,1000,(200*S9+200*S10))</f>
        <v>1000</v>
      </c>
      <c r="S196" s="152">
        <v>2.56</v>
      </c>
      <c r="T196" s="153">
        <v>1.74</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158009.9</v>
      </c>
      <c r="Q197" s="76"/>
      <c r="R197" s="154"/>
      <c r="S197" s="152" t="s">
        <v>22</v>
      </c>
      <c r="T197" s="153" t="s">
        <v>22</v>
      </c>
    </row>
    <row r="198" spans="2:20" ht="42">
      <c r="B198" s="5" t="s">
        <v>520</v>
      </c>
      <c r="C198" s="45" t="s">
        <v>135</v>
      </c>
      <c r="D198" s="45">
        <v>88648</v>
      </c>
      <c r="E198" s="6" t="s">
        <v>521</v>
      </c>
      <c r="F198" s="45" t="s">
        <v>187</v>
      </c>
      <c r="G198" s="46">
        <f t="shared" si="23"/>
        <v>110</v>
      </c>
      <c r="H198" s="46">
        <f>TRUNC(S198*(1-LOTE_01!$K$10),2)</f>
        <v>7.18</v>
      </c>
      <c r="I198" s="46">
        <f>TRUNC(T198*(1-LOTE_01!$K$10),2)</f>
        <v>2.2799999999999998</v>
      </c>
      <c r="J198" s="100">
        <f t="shared" si="17"/>
        <v>0.22470000000000001</v>
      </c>
      <c r="K198" s="48">
        <f t="shared" si="18"/>
        <v>8.7899999999999991</v>
      </c>
      <c r="L198" s="48">
        <f t="shared" si="19"/>
        <v>2.79</v>
      </c>
      <c r="M198" s="48">
        <f t="shared" si="20"/>
        <v>966.9</v>
      </c>
      <c r="N198" s="48">
        <f t="shared" si="21"/>
        <v>306.89999999999998</v>
      </c>
      <c r="O198" s="50">
        <f t="shared" si="22"/>
        <v>1273.8</v>
      </c>
      <c r="P198" s="50">
        <v>0</v>
      </c>
      <c r="Q198" s="76"/>
      <c r="R198" s="140">
        <f>IF((20*S10)&gt;100,100,(10*S9+10*S10))</f>
        <v>110</v>
      </c>
      <c r="S198" s="152">
        <v>7.1800000000000015</v>
      </c>
      <c r="T198" s="153">
        <v>2.2799999999999998</v>
      </c>
    </row>
    <row r="199" spans="2:20" ht="42">
      <c r="B199" s="5" t="s">
        <v>522</v>
      </c>
      <c r="C199" s="45" t="s">
        <v>135</v>
      </c>
      <c r="D199" s="45">
        <v>88650</v>
      </c>
      <c r="E199" s="6" t="s">
        <v>523</v>
      </c>
      <c r="F199" s="45" t="s">
        <v>187</v>
      </c>
      <c r="G199" s="46">
        <f t="shared" si="23"/>
        <v>655</v>
      </c>
      <c r="H199" s="46">
        <f>TRUNC(S199*(1-LOTE_01!$K$10),2)</f>
        <v>11.83</v>
      </c>
      <c r="I199" s="46">
        <f>TRUNC(T199*(1-LOTE_01!$K$10),2)</f>
        <v>2.73</v>
      </c>
      <c r="J199" s="100">
        <f t="shared" si="17"/>
        <v>0.22470000000000001</v>
      </c>
      <c r="K199" s="48">
        <f t="shared" si="18"/>
        <v>14.48</v>
      </c>
      <c r="L199" s="48">
        <f t="shared" si="19"/>
        <v>3.34</v>
      </c>
      <c r="M199" s="48">
        <f t="shared" si="20"/>
        <v>9484.4</v>
      </c>
      <c r="N199" s="48">
        <f t="shared" si="21"/>
        <v>2187.6999999999998</v>
      </c>
      <c r="O199" s="50">
        <f t="shared" si="22"/>
        <v>11672.1</v>
      </c>
      <c r="P199" s="50">
        <v>0</v>
      </c>
      <c r="Q199" s="76"/>
      <c r="R199" s="141">
        <f>85*S10+50*S9</f>
        <v>655</v>
      </c>
      <c r="S199" s="152">
        <v>11.83</v>
      </c>
      <c r="T199" s="153">
        <v>2.73</v>
      </c>
    </row>
    <row r="200" spans="2:20" ht="126">
      <c r="B200" s="5" t="s">
        <v>524</v>
      </c>
      <c r="C200" s="45" t="s">
        <v>97</v>
      </c>
      <c r="D200" s="45" t="s">
        <v>525</v>
      </c>
      <c r="E200" s="6" t="s">
        <v>526</v>
      </c>
      <c r="F200" s="45" t="s">
        <v>187</v>
      </c>
      <c r="G200" s="46">
        <f t="shared" si="23"/>
        <v>2200</v>
      </c>
      <c r="H200" s="46">
        <f>TRUNC(S200*(1-LOTE_01!$K$10),2)</f>
        <v>33.9</v>
      </c>
      <c r="I200" s="46">
        <f>TRUNC(T200*(1-LOTE_01!$K$10),2)</f>
        <v>2.57</v>
      </c>
      <c r="J200" s="100">
        <f t="shared" si="17"/>
        <v>0.22470000000000001</v>
      </c>
      <c r="K200" s="48">
        <f t="shared" si="18"/>
        <v>41.51</v>
      </c>
      <c r="L200" s="48">
        <f t="shared" si="19"/>
        <v>3.14</v>
      </c>
      <c r="M200" s="48">
        <f t="shared" si="20"/>
        <v>91322</v>
      </c>
      <c r="N200" s="48">
        <f t="shared" si="21"/>
        <v>6908</v>
      </c>
      <c r="O200" s="50">
        <f t="shared" si="22"/>
        <v>98230</v>
      </c>
      <c r="P200" s="50">
        <v>0</v>
      </c>
      <c r="Q200" s="76"/>
      <c r="R200" s="140">
        <f>200*(S10+S9)</f>
        <v>2200</v>
      </c>
      <c r="S200" s="152">
        <v>33.9</v>
      </c>
      <c r="T200" s="153">
        <v>2.57</v>
      </c>
    </row>
    <row r="201" spans="2:20" ht="42">
      <c r="B201" s="5" t="s">
        <v>527</v>
      </c>
      <c r="C201" s="45" t="s">
        <v>135</v>
      </c>
      <c r="D201" s="45">
        <v>101738</v>
      </c>
      <c r="E201" s="6" t="s">
        <v>1781</v>
      </c>
      <c r="F201" s="45" t="s">
        <v>187</v>
      </c>
      <c r="G201" s="46">
        <f t="shared" si="23"/>
        <v>50</v>
      </c>
      <c r="H201" s="46">
        <f>TRUNC(S201*(1-LOTE_01!$K$10),2)</f>
        <v>10.48</v>
      </c>
      <c r="I201" s="46">
        <f>TRUNC(T201*(1-LOTE_01!$K$10),2)</f>
        <v>8.77</v>
      </c>
      <c r="J201" s="100">
        <f t="shared" si="17"/>
        <v>0.22470000000000001</v>
      </c>
      <c r="K201" s="48">
        <f t="shared" si="18"/>
        <v>12.83</v>
      </c>
      <c r="L201" s="48">
        <f t="shared" si="19"/>
        <v>10.74</v>
      </c>
      <c r="M201" s="48">
        <f t="shared" si="20"/>
        <v>641.5</v>
      </c>
      <c r="N201" s="48">
        <f t="shared" si="21"/>
        <v>537</v>
      </c>
      <c r="O201" s="50">
        <f t="shared" si="22"/>
        <v>1178.5</v>
      </c>
      <c r="P201" s="50">
        <v>0</v>
      </c>
      <c r="Q201" s="76"/>
      <c r="R201" s="140">
        <f>IF((S9*5+20*S10)&gt;50,50,(5*S9+10*S10))</f>
        <v>50</v>
      </c>
      <c r="S201" s="152">
        <v>10.48</v>
      </c>
      <c r="T201" s="153">
        <v>8.77</v>
      </c>
    </row>
    <row r="202" spans="2:20" ht="28">
      <c r="B202" s="5" t="s">
        <v>528</v>
      </c>
      <c r="C202" s="45" t="s">
        <v>165</v>
      </c>
      <c r="D202" s="45" t="s">
        <v>529</v>
      </c>
      <c r="E202" s="6" t="s">
        <v>530</v>
      </c>
      <c r="F202" s="45" t="s">
        <v>531</v>
      </c>
      <c r="G202" s="46">
        <f t="shared" si="23"/>
        <v>50</v>
      </c>
      <c r="H202" s="46">
        <f>TRUNC(S202*(1-LOTE_01!$K$10),2)</f>
        <v>34.159999999999997</v>
      </c>
      <c r="I202" s="46">
        <f>TRUNC(T202*(1-LOTE_01!$K$10),2)</f>
        <v>1.4</v>
      </c>
      <c r="J202" s="100">
        <f t="shared" si="17"/>
        <v>0.22470000000000001</v>
      </c>
      <c r="K202" s="48">
        <f t="shared" si="18"/>
        <v>41.83</v>
      </c>
      <c r="L202" s="48">
        <f t="shared" si="19"/>
        <v>1.71</v>
      </c>
      <c r="M202" s="48">
        <f t="shared" si="20"/>
        <v>2091.5</v>
      </c>
      <c r="N202" s="48">
        <f t="shared" si="21"/>
        <v>85.5</v>
      </c>
      <c r="O202" s="50">
        <f t="shared" si="22"/>
        <v>2177</v>
      </c>
      <c r="P202" s="50">
        <v>0</v>
      </c>
      <c r="Q202" s="76"/>
      <c r="R202" s="140">
        <f>IF((S9*5+20*S10)&gt;50,50,(5*S9+10*S10))</f>
        <v>50</v>
      </c>
      <c r="S202" s="152">
        <v>34.159999999999997</v>
      </c>
      <c r="T202" s="153">
        <v>1.4</v>
      </c>
    </row>
    <row r="203" spans="2:20" ht="28">
      <c r="B203" s="5" t="s">
        <v>532</v>
      </c>
      <c r="C203" s="45" t="s">
        <v>135</v>
      </c>
      <c r="D203" s="45">
        <v>98685</v>
      </c>
      <c r="E203" s="6" t="s">
        <v>1782</v>
      </c>
      <c r="F203" s="45" t="s">
        <v>187</v>
      </c>
      <c r="G203" s="46">
        <f t="shared" si="23"/>
        <v>50</v>
      </c>
      <c r="H203" s="46">
        <f>TRUNC(S203*(1-LOTE_01!$K$10),2)</f>
        <v>143.09</v>
      </c>
      <c r="I203" s="46">
        <f>TRUNC(T203*(1-LOTE_01!$K$10),2)</f>
        <v>10.16</v>
      </c>
      <c r="J203" s="100">
        <f t="shared" si="17"/>
        <v>0.22470000000000001</v>
      </c>
      <c r="K203" s="48">
        <f t="shared" si="18"/>
        <v>175.24</v>
      </c>
      <c r="L203" s="48">
        <f t="shared" si="19"/>
        <v>12.44</v>
      </c>
      <c r="M203" s="48">
        <f t="shared" si="20"/>
        <v>8762</v>
      </c>
      <c r="N203" s="48">
        <f t="shared" si="21"/>
        <v>622</v>
      </c>
      <c r="O203" s="50">
        <f t="shared" si="22"/>
        <v>9384</v>
      </c>
      <c r="P203" s="50">
        <v>0</v>
      </c>
      <c r="Q203" s="76"/>
      <c r="R203" s="140">
        <f>IF((S9*5+20*S10)&gt;50,50,(5*S9+10*S10))</f>
        <v>50</v>
      </c>
      <c r="S203" s="152">
        <v>143.09</v>
      </c>
      <c r="T203" s="153">
        <v>10.16</v>
      </c>
    </row>
    <row r="204" spans="2:20" ht="28">
      <c r="B204" s="5" t="s">
        <v>533</v>
      </c>
      <c r="C204" s="45" t="s">
        <v>135</v>
      </c>
      <c r="D204" s="45">
        <v>98689</v>
      </c>
      <c r="E204" s="6" t="s">
        <v>1783</v>
      </c>
      <c r="F204" s="45" t="s">
        <v>187</v>
      </c>
      <c r="G204" s="46">
        <f t="shared" si="23"/>
        <v>50</v>
      </c>
      <c r="H204" s="46">
        <f>TRUNC(S204*(1-LOTE_01!$K$10),2)</f>
        <v>202.43</v>
      </c>
      <c r="I204" s="46">
        <f>TRUNC(T204*(1-LOTE_01!$K$10),2)</f>
        <v>19.21</v>
      </c>
      <c r="J204" s="100">
        <f t="shared" si="17"/>
        <v>0.22470000000000001</v>
      </c>
      <c r="K204" s="48">
        <f t="shared" si="18"/>
        <v>247.91</v>
      </c>
      <c r="L204" s="48">
        <f t="shared" si="19"/>
        <v>23.52</v>
      </c>
      <c r="M204" s="48">
        <f t="shared" si="20"/>
        <v>12395.5</v>
      </c>
      <c r="N204" s="48">
        <f t="shared" si="21"/>
        <v>1176</v>
      </c>
      <c r="O204" s="50">
        <f t="shared" si="22"/>
        <v>13571.5</v>
      </c>
      <c r="P204" s="50">
        <v>0</v>
      </c>
      <c r="Q204" s="76"/>
      <c r="R204" s="140">
        <f>IF((S9*5+20*S10)&gt;50,50,(5*S9+10*S10))</f>
        <v>50</v>
      </c>
      <c r="S204" s="152">
        <v>202.42999999999998</v>
      </c>
      <c r="T204" s="153">
        <v>19.21</v>
      </c>
    </row>
    <row r="205" spans="2:20" ht="28">
      <c r="B205" s="5" t="s">
        <v>534</v>
      </c>
      <c r="C205" s="45" t="s">
        <v>135</v>
      </c>
      <c r="D205" s="45">
        <v>98695</v>
      </c>
      <c r="E205" s="6" t="s">
        <v>1784</v>
      </c>
      <c r="F205" s="45" t="s">
        <v>187</v>
      </c>
      <c r="G205" s="46">
        <f t="shared" si="23"/>
        <v>50</v>
      </c>
      <c r="H205" s="46">
        <f>TRUNC(S205*(1-LOTE_01!$K$10),2)</f>
        <v>174.59</v>
      </c>
      <c r="I205" s="46">
        <f>TRUNC(T205*(1-LOTE_01!$K$10),2)</f>
        <v>19.010000000000002</v>
      </c>
      <c r="J205" s="100">
        <f t="shared" si="17"/>
        <v>0.22470000000000001</v>
      </c>
      <c r="K205" s="48">
        <f t="shared" si="18"/>
        <v>213.82</v>
      </c>
      <c r="L205" s="48">
        <f t="shared" si="19"/>
        <v>23.28</v>
      </c>
      <c r="M205" s="48">
        <f t="shared" si="20"/>
        <v>10691</v>
      </c>
      <c r="N205" s="48">
        <f t="shared" si="21"/>
        <v>1164</v>
      </c>
      <c r="O205" s="50">
        <f t="shared" si="22"/>
        <v>11855</v>
      </c>
      <c r="P205" s="50">
        <v>0</v>
      </c>
      <c r="Q205" s="76"/>
      <c r="R205" s="140">
        <f>IF((S9*5+20*S10)&gt;50,50,(5*S9+10*S10))</f>
        <v>50</v>
      </c>
      <c r="S205" s="152">
        <v>174.59</v>
      </c>
      <c r="T205" s="153">
        <v>19.010000000000002</v>
      </c>
    </row>
    <row r="206" spans="2:20" ht="28">
      <c r="B206" s="5" t="s">
        <v>535</v>
      </c>
      <c r="C206" s="45" t="s">
        <v>165</v>
      </c>
      <c r="D206" s="45" t="s">
        <v>536</v>
      </c>
      <c r="E206" s="6" t="s">
        <v>537</v>
      </c>
      <c r="F206" s="45" t="s">
        <v>531</v>
      </c>
      <c r="G206" s="46">
        <f t="shared" si="23"/>
        <v>50</v>
      </c>
      <c r="H206" s="46">
        <f>TRUNC(S206*(1-LOTE_01!$K$10),2)</f>
        <v>140.01</v>
      </c>
      <c r="I206" s="46">
        <f>TRUNC(T206*(1-LOTE_01!$K$10),2)</f>
        <v>1.55</v>
      </c>
      <c r="J206" s="100">
        <f t="shared" si="17"/>
        <v>0.22470000000000001</v>
      </c>
      <c r="K206" s="48">
        <f t="shared" si="18"/>
        <v>171.47</v>
      </c>
      <c r="L206" s="48">
        <f t="shared" si="19"/>
        <v>1.89</v>
      </c>
      <c r="M206" s="48">
        <f t="shared" si="20"/>
        <v>8573.5</v>
      </c>
      <c r="N206" s="48">
        <f t="shared" si="21"/>
        <v>94.5</v>
      </c>
      <c r="O206" s="50">
        <f t="shared" si="22"/>
        <v>8668</v>
      </c>
      <c r="P206" s="50">
        <v>0</v>
      </c>
      <c r="Q206" s="76"/>
      <c r="R206" s="140">
        <f>IF((S9*5+20*S10)&gt;50,50,(5*S9+10*S10))</f>
        <v>50</v>
      </c>
      <c r="S206" s="152">
        <v>140.01</v>
      </c>
      <c r="T206" s="153">
        <v>1.55</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1245835.3700000003</v>
      </c>
      <c r="Q207" s="76"/>
      <c r="R207" s="154"/>
      <c r="S207" s="152" t="s">
        <v>22</v>
      </c>
      <c r="T207" s="153" t="s">
        <v>22</v>
      </c>
    </row>
    <row r="208" spans="2:20" ht="42">
      <c r="B208" s="5" t="s">
        <v>538</v>
      </c>
      <c r="C208" s="45" t="s">
        <v>97</v>
      </c>
      <c r="D208" s="45" t="s">
        <v>539</v>
      </c>
      <c r="E208" s="6" t="s">
        <v>540</v>
      </c>
      <c r="F208" s="45" t="s">
        <v>104</v>
      </c>
      <c r="G208" s="46">
        <f t="shared" si="23"/>
        <v>20</v>
      </c>
      <c r="H208" s="46">
        <f>TRUNC(S208*(1-LOTE_01!$K$10),2)</f>
        <v>28.42</v>
      </c>
      <c r="I208" s="46">
        <f>TRUNC(T208*(1-LOTE_01!$K$10),2)</f>
        <v>70.239999999999995</v>
      </c>
      <c r="J208" s="100">
        <f t="shared" si="17"/>
        <v>0.22470000000000001</v>
      </c>
      <c r="K208" s="48">
        <f t="shared" ref="K208:K271" si="26">TRUNC(H208*(1+J208),2)</f>
        <v>34.799999999999997</v>
      </c>
      <c r="L208" s="48">
        <f t="shared" ref="L208:L271" si="27">TRUNC(I208*(1+J208),2)</f>
        <v>86.02</v>
      </c>
      <c r="M208" s="48">
        <f t="shared" ref="M208:M271" si="28">TRUNC(K208*G208,2)</f>
        <v>696</v>
      </c>
      <c r="N208" s="48">
        <f t="shared" ref="N208:N271" si="29">TRUNC(L208*G208,2)</f>
        <v>1720.4</v>
      </c>
      <c r="O208" s="50">
        <f t="shared" ref="O208:O271" si="30">TRUNC(M208+N208,2)</f>
        <v>2416.4</v>
      </c>
      <c r="P208" s="50">
        <v>0</v>
      </c>
      <c r="Q208" s="76"/>
      <c r="R208" s="140">
        <f>IF((2*S9+2*S10)&gt;20,20,(2*S9+2*S10))</f>
        <v>20</v>
      </c>
      <c r="S208" s="152">
        <v>28.42</v>
      </c>
      <c r="T208" s="153">
        <v>70.239999999999995</v>
      </c>
    </row>
    <row r="209" spans="2:20" ht="28">
      <c r="B209" s="5" t="s">
        <v>541</v>
      </c>
      <c r="C209" s="45" t="s">
        <v>97</v>
      </c>
      <c r="D209" s="45" t="s">
        <v>542</v>
      </c>
      <c r="E209" s="6" t="s">
        <v>543</v>
      </c>
      <c r="F209" s="45" t="s">
        <v>104</v>
      </c>
      <c r="G209" s="46">
        <f t="shared" si="23"/>
        <v>10</v>
      </c>
      <c r="H209" s="46">
        <f>TRUNC(S209*(1-LOTE_01!$K$10),2)</f>
        <v>0</v>
      </c>
      <c r="I209" s="46">
        <f>TRUNC(T209*(1-LOTE_01!$K$10),2)</f>
        <v>110.45</v>
      </c>
      <c r="J209" s="100">
        <f t="shared" si="17"/>
        <v>0.22470000000000001</v>
      </c>
      <c r="K209" s="48">
        <f t="shared" si="26"/>
        <v>0</v>
      </c>
      <c r="L209" s="48">
        <f t="shared" si="27"/>
        <v>135.26</v>
      </c>
      <c r="M209" s="48">
        <f t="shared" si="28"/>
        <v>0</v>
      </c>
      <c r="N209" s="48">
        <f t="shared" si="29"/>
        <v>1352.6</v>
      </c>
      <c r="O209" s="50">
        <f t="shared" si="30"/>
        <v>1352.6</v>
      </c>
      <c r="P209" s="50">
        <v>0</v>
      </c>
      <c r="Q209" s="76"/>
      <c r="R209" s="140">
        <f>IF((1*S9+1*S10)&gt;10,10,(1*S9+1*S10))</f>
        <v>10</v>
      </c>
      <c r="S209" s="152">
        <v>0</v>
      </c>
      <c r="T209" s="153">
        <v>110.45</v>
      </c>
    </row>
    <row r="210" spans="2:20" ht="42">
      <c r="B210" s="5" t="s">
        <v>544</v>
      </c>
      <c r="C210" s="45" t="s">
        <v>135</v>
      </c>
      <c r="D210" s="45">
        <v>102182</v>
      </c>
      <c r="E210" s="6" t="s">
        <v>1785</v>
      </c>
      <c r="F210" s="45" t="s">
        <v>210</v>
      </c>
      <c r="G210" s="46">
        <f t="shared" ref="G210:G273" si="31">TRUNC(R210,2)</f>
        <v>20</v>
      </c>
      <c r="H210" s="46">
        <f>TRUNC(S210*(1-LOTE_01!$K$10),2)</f>
        <v>1353.61</v>
      </c>
      <c r="I210" s="46">
        <f>TRUNC(T210*(1-LOTE_01!$K$10),2)</f>
        <v>62.44</v>
      </c>
      <c r="J210" s="100">
        <f t="shared" ref="J210:J273" si="32">$J$4</f>
        <v>0.22470000000000001</v>
      </c>
      <c r="K210" s="48">
        <f t="shared" si="26"/>
        <v>1657.76</v>
      </c>
      <c r="L210" s="48">
        <f t="shared" si="27"/>
        <v>76.47</v>
      </c>
      <c r="M210" s="48">
        <f t="shared" si="28"/>
        <v>33155.199999999997</v>
      </c>
      <c r="N210" s="48">
        <f t="shared" si="29"/>
        <v>1529.4</v>
      </c>
      <c r="O210" s="50">
        <f t="shared" si="30"/>
        <v>34684.6</v>
      </c>
      <c r="P210" s="50">
        <v>0</v>
      </c>
      <c r="Q210" s="76"/>
      <c r="R210" s="140">
        <f>IF((2*S9+2*S10)&gt;20,20,(2*S9+2*S10))</f>
        <v>20</v>
      </c>
      <c r="S210" s="152">
        <v>1353.61</v>
      </c>
      <c r="T210" s="153">
        <v>62.44</v>
      </c>
    </row>
    <row r="211" spans="2:20" ht="56">
      <c r="B211" s="5" t="s">
        <v>545</v>
      </c>
      <c r="C211" s="45" t="s">
        <v>135</v>
      </c>
      <c r="D211" s="45">
        <v>102183</v>
      </c>
      <c r="E211" s="6" t="s">
        <v>1786</v>
      </c>
      <c r="F211" s="45" t="s">
        <v>210</v>
      </c>
      <c r="G211" s="46">
        <f t="shared" si="31"/>
        <v>10</v>
      </c>
      <c r="H211" s="46">
        <f>TRUNC(S211*(1-LOTE_01!$K$10),2)</f>
        <v>2592.6799999999998</v>
      </c>
      <c r="I211" s="46">
        <f>TRUNC(T211*(1-LOTE_01!$K$10),2)</f>
        <v>127.58</v>
      </c>
      <c r="J211" s="100">
        <f t="shared" si="32"/>
        <v>0.22470000000000001</v>
      </c>
      <c r="K211" s="48">
        <f t="shared" si="26"/>
        <v>3175.25</v>
      </c>
      <c r="L211" s="48">
        <f t="shared" si="27"/>
        <v>156.24</v>
      </c>
      <c r="M211" s="48">
        <f t="shared" si="28"/>
        <v>31752.5</v>
      </c>
      <c r="N211" s="48">
        <f t="shared" si="29"/>
        <v>1562.4</v>
      </c>
      <c r="O211" s="50">
        <f t="shared" si="30"/>
        <v>33314.9</v>
      </c>
      <c r="P211" s="50">
        <v>0</v>
      </c>
      <c r="Q211" s="76"/>
      <c r="R211" s="140">
        <f>IF((1*S9+1*S10)&gt;10,10,(1*S9+1*S10))</f>
        <v>10</v>
      </c>
      <c r="S211" s="152">
        <v>2592.6800000000003</v>
      </c>
      <c r="T211" s="153">
        <v>127.58</v>
      </c>
    </row>
    <row r="212" spans="2:20" ht="56">
      <c r="B212" s="5" t="s">
        <v>546</v>
      </c>
      <c r="C212" s="45" t="s">
        <v>135</v>
      </c>
      <c r="D212" s="45">
        <v>102184</v>
      </c>
      <c r="E212" s="6" t="s">
        <v>1787</v>
      </c>
      <c r="F212" s="45" t="s">
        <v>210</v>
      </c>
      <c r="G212" s="46">
        <f t="shared" si="31"/>
        <v>10</v>
      </c>
      <c r="H212" s="46">
        <f>TRUNC(S212*(1-LOTE_01!$K$10),2)</f>
        <v>2038.55</v>
      </c>
      <c r="I212" s="46">
        <f>TRUNC(T212*(1-LOTE_01!$K$10),2)</f>
        <v>110.45</v>
      </c>
      <c r="J212" s="100">
        <f t="shared" si="32"/>
        <v>0.22470000000000001</v>
      </c>
      <c r="K212" s="48">
        <f t="shared" si="26"/>
        <v>2496.61</v>
      </c>
      <c r="L212" s="48">
        <f t="shared" si="27"/>
        <v>135.26</v>
      </c>
      <c r="M212" s="48">
        <f t="shared" si="28"/>
        <v>24966.1</v>
      </c>
      <c r="N212" s="48">
        <f t="shared" si="29"/>
        <v>1352.6</v>
      </c>
      <c r="O212" s="50">
        <f t="shared" si="30"/>
        <v>26318.7</v>
      </c>
      <c r="P212" s="50">
        <v>0</v>
      </c>
      <c r="Q212" s="76"/>
      <c r="R212" s="140">
        <f>IF((1*S9+1*S10)&gt;10,10,(1*S9+1*S10))</f>
        <v>10</v>
      </c>
      <c r="S212" s="152">
        <v>2038.55</v>
      </c>
      <c r="T212" s="153">
        <v>110.45</v>
      </c>
    </row>
    <row r="213" spans="2:20" ht="56">
      <c r="B213" s="5" t="s">
        <v>547</v>
      </c>
      <c r="C213" s="45" t="s">
        <v>135</v>
      </c>
      <c r="D213" s="45">
        <v>102185</v>
      </c>
      <c r="E213" s="6" t="s">
        <v>1788</v>
      </c>
      <c r="F213" s="45" t="s">
        <v>210</v>
      </c>
      <c r="G213" s="46">
        <f t="shared" si="31"/>
        <v>10</v>
      </c>
      <c r="H213" s="46">
        <f>TRUNC(S213*(1-LOTE_01!$K$10),2)</f>
        <v>4081.08</v>
      </c>
      <c r="I213" s="46">
        <f>TRUNC(T213*(1-LOTE_01!$K$10),2)</f>
        <v>229.31</v>
      </c>
      <c r="J213" s="100">
        <f t="shared" si="32"/>
        <v>0.22470000000000001</v>
      </c>
      <c r="K213" s="48">
        <f t="shared" si="26"/>
        <v>4998.09</v>
      </c>
      <c r="L213" s="48">
        <f t="shared" si="27"/>
        <v>280.83</v>
      </c>
      <c r="M213" s="48">
        <f t="shared" si="28"/>
        <v>49980.9</v>
      </c>
      <c r="N213" s="48">
        <f t="shared" si="29"/>
        <v>2808.3</v>
      </c>
      <c r="O213" s="50">
        <f t="shared" si="30"/>
        <v>52789.2</v>
      </c>
      <c r="P213" s="50">
        <v>0</v>
      </c>
      <c r="Q213" s="76"/>
      <c r="R213" s="140">
        <f>IF((1*S9+1*S10)&gt;10,10,(1*S9+1*S10))</f>
        <v>10</v>
      </c>
      <c r="S213" s="152">
        <v>4081.0800000000004</v>
      </c>
      <c r="T213" s="153">
        <v>229.31</v>
      </c>
    </row>
    <row r="214" spans="2:20" ht="28">
      <c r="B214" s="5" t="s">
        <v>548</v>
      </c>
      <c r="C214" s="45" t="s">
        <v>97</v>
      </c>
      <c r="D214" s="45" t="s">
        <v>549</v>
      </c>
      <c r="E214" s="6" t="s">
        <v>550</v>
      </c>
      <c r="F214" s="45" t="s">
        <v>104</v>
      </c>
      <c r="G214" s="46">
        <f t="shared" si="31"/>
        <v>22</v>
      </c>
      <c r="H214" s="46">
        <f>TRUNC(S214*(1-LOTE_01!$K$10),2)</f>
        <v>16.850000000000001</v>
      </c>
      <c r="I214" s="46">
        <f>TRUNC(T214*(1-LOTE_01!$K$10),2)</f>
        <v>47.46</v>
      </c>
      <c r="J214" s="100">
        <f t="shared" si="32"/>
        <v>0.22470000000000001</v>
      </c>
      <c r="K214" s="48">
        <f t="shared" si="26"/>
        <v>20.63</v>
      </c>
      <c r="L214" s="48">
        <f t="shared" si="27"/>
        <v>58.12</v>
      </c>
      <c r="M214" s="48">
        <f t="shared" si="28"/>
        <v>453.86</v>
      </c>
      <c r="N214" s="48">
        <f t="shared" si="29"/>
        <v>1278.6400000000001</v>
      </c>
      <c r="O214" s="50">
        <f t="shared" si="30"/>
        <v>1732.5</v>
      </c>
      <c r="P214" s="50">
        <v>0</v>
      </c>
      <c r="Q214" s="76"/>
      <c r="R214" s="140">
        <f>IF((2*S9+2*S10)&gt;50,50,(2*S9+2*S10))</f>
        <v>22</v>
      </c>
      <c r="S214" s="152">
        <v>16.850000000000001</v>
      </c>
      <c r="T214" s="153">
        <v>47.46</v>
      </c>
    </row>
    <row r="215" spans="2:20" ht="70">
      <c r="B215" s="5" t="s">
        <v>551</v>
      </c>
      <c r="C215" s="45" t="s">
        <v>135</v>
      </c>
      <c r="D215" s="45">
        <v>100695</v>
      </c>
      <c r="E215" s="6" t="s">
        <v>1789</v>
      </c>
      <c r="F215" s="45" t="s">
        <v>210</v>
      </c>
      <c r="G215" s="46">
        <f t="shared" si="31"/>
        <v>22</v>
      </c>
      <c r="H215" s="46">
        <f>TRUNC(S215*(1-LOTE_01!$K$10),2)</f>
        <v>23.42</v>
      </c>
      <c r="I215" s="46">
        <f>TRUNC(T215*(1-LOTE_01!$K$10),2)</f>
        <v>59.15</v>
      </c>
      <c r="J215" s="100">
        <f t="shared" si="32"/>
        <v>0.22470000000000001</v>
      </c>
      <c r="K215" s="48">
        <f t="shared" si="26"/>
        <v>28.68</v>
      </c>
      <c r="L215" s="48">
        <f t="shared" si="27"/>
        <v>72.44</v>
      </c>
      <c r="M215" s="48">
        <f t="shared" si="28"/>
        <v>630.96</v>
      </c>
      <c r="N215" s="48">
        <f t="shared" si="29"/>
        <v>1593.68</v>
      </c>
      <c r="O215" s="50">
        <f t="shared" si="30"/>
        <v>2224.64</v>
      </c>
      <c r="P215" s="50">
        <v>0</v>
      </c>
      <c r="Q215" s="76"/>
      <c r="R215" s="140">
        <f>IF((2*S9+2*S10)&gt;50,50,(2*S9+2*S10))</f>
        <v>22</v>
      </c>
      <c r="S215" s="152">
        <v>23.419999999999995</v>
      </c>
      <c r="T215" s="153">
        <v>59.15</v>
      </c>
    </row>
    <row r="216" spans="2:20" ht="70">
      <c r="B216" s="5" t="s">
        <v>552</v>
      </c>
      <c r="C216" s="45" t="s">
        <v>135</v>
      </c>
      <c r="D216" s="45">
        <v>100697</v>
      </c>
      <c r="E216" s="6" t="s">
        <v>1790</v>
      </c>
      <c r="F216" s="45" t="s">
        <v>210</v>
      </c>
      <c r="G216" s="46">
        <f t="shared" si="31"/>
        <v>22</v>
      </c>
      <c r="H216" s="46">
        <f>TRUNC(S216*(1-LOTE_01!$K$10),2)</f>
        <v>28.41</v>
      </c>
      <c r="I216" s="46">
        <f>TRUNC(T216*(1-LOTE_01!$K$10),2)</f>
        <v>72.41</v>
      </c>
      <c r="J216" s="100">
        <f t="shared" si="32"/>
        <v>0.22470000000000001</v>
      </c>
      <c r="K216" s="48">
        <f t="shared" si="26"/>
        <v>34.79</v>
      </c>
      <c r="L216" s="48">
        <f t="shared" si="27"/>
        <v>88.68</v>
      </c>
      <c r="M216" s="48">
        <f t="shared" si="28"/>
        <v>765.38</v>
      </c>
      <c r="N216" s="48">
        <f t="shared" si="29"/>
        <v>1950.96</v>
      </c>
      <c r="O216" s="50">
        <f t="shared" si="30"/>
        <v>2716.34</v>
      </c>
      <c r="P216" s="50">
        <v>0</v>
      </c>
      <c r="Q216" s="76"/>
      <c r="R216" s="140">
        <f>IF((2*S9+2*S10)&gt;50,50,(2*S9+2*S10))</f>
        <v>22</v>
      </c>
      <c r="S216" s="152">
        <v>28.409999999999997</v>
      </c>
      <c r="T216" s="153">
        <v>72.41</v>
      </c>
    </row>
    <row r="217" spans="2:20" ht="70">
      <c r="B217" s="5" t="s">
        <v>553</v>
      </c>
      <c r="C217" s="45" t="s">
        <v>135</v>
      </c>
      <c r="D217" s="45">
        <v>90820</v>
      </c>
      <c r="E217" s="6" t="s">
        <v>1791</v>
      </c>
      <c r="F217" s="45" t="s">
        <v>210</v>
      </c>
      <c r="G217" s="46">
        <f t="shared" si="31"/>
        <v>11</v>
      </c>
      <c r="H217" s="46">
        <f>TRUNC(S217*(1-LOTE_01!$K$10),2)</f>
        <v>431.83</v>
      </c>
      <c r="I217" s="46">
        <f>TRUNC(T217*(1-LOTE_01!$K$10),2)</f>
        <v>45.38</v>
      </c>
      <c r="J217" s="100">
        <f t="shared" si="32"/>
        <v>0.22470000000000001</v>
      </c>
      <c r="K217" s="48">
        <f t="shared" si="26"/>
        <v>528.86</v>
      </c>
      <c r="L217" s="48">
        <f t="shared" si="27"/>
        <v>55.57</v>
      </c>
      <c r="M217" s="48">
        <f t="shared" si="28"/>
        <v>5817.46</v>
      </c>
      <c r="N217" s="48">
        <f t="shared" si="29"/>
        <v>611.27</v>
      </c>
      <c r="O217" s="50">
        <f t="shared" si="30"/>
        <v>6428.73</v>
      </c>
      <c r="P217" s="50">
        <v>0</v>
      </c>
      <c r="Q217" s="76"/>
      <c r="R217" s="140">
        <f>IF((1*S9+1*S10)&gt;50,50,(1*S9+1*S10))</f>
        <v>11</v>
      </c>
      <c r="S217" s="152">
        <v>431.83</v>
      </c>
      <c r="T217" s="153">
        <v>45.38</v>
      </c>
    </row>
    <row r="218" spans="2:20" ht="70">
      <c r="B218" s="5" t="s">
        <v>554</v>
      </c>
      <c r="C218" s="45" t="s">
        <v>135</v>
      </c>
      <c r="D218" s="45">
        <v>90822</v>
      </c>
      <c r="E218" s="6" t="s">
        <v>1792</v>
      </c>
      <c r="F218" s="45" t="s">
        <v>210</v>
      </c>
      <c r="G218" s="46">
        <f t="shared" si="31"/>
        <v>22</v>
      </c>
      <c r="H218" s="46">
        <f>TRUNC(S218*(1-LOTE_01!$K$10),2)</f>
        <v>469.14</v>
      </c>
      <c r="I218" s="46">
        <f>TRUNC(T218*(1-LOTE_01!$K$10),2)</f>
        <v>54.74</v>
      </c>
      <c r="J218" s="100">
        <f t="shared" si="32"/>
        <v>0.22470000000000001</v>
      </c>
      <c r="K218" s="48">
        <f t="shared" si="26"/>
        <v>574.54999999999995</v>
      </c>
      <c r="L218" s="48">
        <f t="shared" si="27"/>
        <v>67.040000000000006</v>
      </c>
      <c r="M218" s="48">
        <f t="shared" si="28"/>
        <v>12640.1</v>
      </c>
      <c r="N218" s="48">
        <f t="shared" si="29"/>
        <v>1474.88</v>
      </c>
      <c r="O218" s="50">
        <f t="shared" si="30"/>
        <v>14114.98</v>
      </c>
      <c r="P218" s="50">
        <v>0</v>
      </c>
      <c r="Q218" s="76"/>
      <c r="R218" s="140">
        <f>IF((2*S9+2*S10)&gt;50,50,(2*S9+2*S10))</f>
        <v>22</v>
      </c>
      <c r="S218" s="152">
        <v>469.14</v>
      </c>
      <c r="T218" s="153">
        <v>54.74</v>
      </c>
    </row>
    <row r="219" spans="2:20" ht="70">
      <c r="B219" s="5" t="s">
        <v>555</v>
      </c>
      <c r="C219" s="45" t="s">
        <v>135</v>
      </c>
      <c r="D219" s="45">
        <v>90823</v>
      </c>
      <c r="E219" s="6" t="s">
        <v>1793</v>
      </c>
      <c r="F219" s="45" t="s">
        <v>210</v>
      </c>
      <c r="G219" s="46">
        <f t="shared" si="31"/>
        <v>22</v>
      </c>
      <c r="H219" s="46">
        <f>TRUNC(S219*(1-LOTE_01!$K$10),2)</f>
        <v>590.51</v>
      </c>
      <c r="I219" s="46">
        <f>TRUNC(T219*(1-LOTE_01!$K$10),2)</f>
        <v>59.33</v>
      </c>
      <c r="J219" s="100">
        <f t="shared" si="32"/>
        <v>0.22470000000000001</v>
      </c>
      <c r="K219" s="48">
        <f t="shared" si="26"/>
        <v>723.19</v>
      </c>
      <c r="L219" s="48">
        <f t="shared" si="27"/>
        <v>72.66</v>
      </c>
      <c r="M219" s="48">
        <f t="shared" si="28"/>
        <v>15910.18</v>
      </c>
      <c r="N219" s="48">
        <f t="shared" si="29"/>
        <v>1598.52</v>
      </c>
      <c r="O219" s="50">
        <f t="shared" si="30"/>
        <v>17508.7</v>
      </c>
      <c r="P219" s="50">
        <v>0</v>
      </c>
      <c r="Q219" s="76"/>
      <c r="R219" s="140">
        <f>IF((2*S9+2*S10)&gt;50,50,(2*S9+2*S10))</f>
        <v>22</v>
      </c>
      <c r="S219" s="152">
        <v>590.51</v>
      </c>
      <c r="T219" s="153">
        <v>59.33</v>
      </c>
    </row>
    <row r="220" spans="2:20" ht="28">
      <c r="B220" s="5" t="s">
        <v>556</v>
      </c>
      <c r="C220" s="45" t="s">
        <v>165</v>
      </c>
      <c r="D220" s="45" t="s">
        <v>557</v>
      </c>
      <c r="E220" s="6" t="s">
        <v>558</v>
      </c>
      <c r="F220" s="45" t="s">
        <v>559</v>
      </c>
      <c r="G220" s="46">
        <f t="shared" si="31"/>
        <v>22</v>
      </c>
      <c r="H220" s="46">
        <f>TRUNC(S220*(1-LOTE_01!$K$10),2)</f>
        <v>859.36</v>
      </c>
      <c r="I220" s="46">
        <f>TRUNC(T220*(1-LOTE_01!$K$10),2)</f>
        <v>175.04</v>
      </c>
      <c r="J220" s="100">
        <f t="shared" si="32"/>
        <v>0.22470000000000001</v>
      </c>
      <c r="K220" s="48">
        <f t="shared" si="26"/>
        <v>1052.45</v>
      </c>
      <c r="L220" s="48">
        <f t="shared" si="27"/>
        <v>214.37</v>
      </c>
      <c r="M220" s="48">
        <f t="shared" si="28"/>
        <v>23153.9</v>
      </c>
      <c r="N220" s="48">
        <f t="shared" si="29"/>
        <v>4716.1400000000003</v>
      </c>
      <c r="O220" s="50">
        <f t="shared" si="30"/>
        <v>27870.04</v>
      </c>
      <c r="P220" s="50">
        <v>0</v>
      </c>
      <c r="Q220" s="76"/>
      <c r="R220" s="140">
        <f>IF((2*S9+2*S10)&gt;50,50,(2*S9+2*S10))</f>
        <v>22</v>
      </c>
      <c r="S220" s="152">
        <v>859.36</v>
      </c>
      <c r="T220" s="153">
        <v>175.04</v>
      </c>
    </row>
    <row r="221" spans="2:20" ht="28">
      <c r="B221" s="5" t="s">
        <v>560</v>
      </c>
      <c r="C221" s="45" t="s">
        <v>165</v>
      </c>
      <c r="D221" s="45" t="s">
        <v>561</v>
      </c>
      <c r="E221" s="6" t="s">
        <v>562</v>
      </c>
      <c r="F221" s="45" t="s">
        <v>559</v>
      </c>
      <c r="G221" s="46">
        <f t="shared" si="31"/>
        <v>11</v>
      </c>
      <c r="H221" s="46">
        <f>TRUNC(S221*(1-LOTE_01!$K$10),2)</f>
        <v>1677.07</v>
      </c>
      <c r="I221" s="46">
        <f>TRUNC(T221*(1-LOTE_01!$K$10),2)</f>
        <v>175.04</v>
      </c>
      <c r="J221" s="100">
        <f t="shared" si="32"/>
        <v>0.22470000000000001</v>
      </c>
      <c r="K221" s="48">
        <f t="shared" si="26"/>
        <v>2053.9</v>
      </c>
      <c r="L221" s="48">
        <f t="shared" si="27"/>
        <v>214.37</v>
      </c>
      <c r="M221" s="48">
        <f t="shared" si="28"/>
        <v>22592.9</v>
      </c>
      <c r="N221" s="48">
        <f t="shared" si="29"/>
        <v>2358.0700000000002</v>
      </c>
      <c r="O221" s="50">
        <f t="shared" si="30"/>
        <v>24950.97</v>
      </c>
      <c r="P221" s="50">
        <v>0</v>
      </c>
      <c r="Q221" s="76"/>
      <c r="R221" s="140">
        <f>IF((1*S9+1*S10)&gt;20,20,(1*S9+1*S10))</f>
        <v>11</v>
      </c>
      <c r="S221" s="152">
        <v>1677.07</v>
      </c>
      <c r="T221" s="153">
        <v>175.04</v>
      </c>
    </row>
    <row r="222" spans="2:20" ht="98">
      <c r="B222" s="5" t="s">
        <v>563</v>
      </c>
      <c r="C222" s="45" t="s">
        <v>135</v>
      </c>
      <c r="D222" s="45">
        <v>90793</v>
      </c>
      <c r="E222" s="6" t="s">
        <v>1794</v>
      </c>
      <c r="F222" s="45" t="s">
        <v>210</v>
      </c>
      <c r="G222" s="46">
        <f t="shared" si="31"/>
        <v>20</v>
      </c>
      <c r="H222" s="46">
        <f>TRUNC(S222*(1-LOTE_01!$K$10),2)</f>
        <v>1630.54</v>
      </c>
      <c r="I222" s="46">
        <f>TRUNC(T222*(1-LOTE_01!$K$10),2)</f>
        <v>32.590000000000003</v>
      </c>
      <c r="J222" s="100">
        <f t="shared" si="32"/>
        <v>0.22470000000000001</v>
      </c>
      <c r="K222" s="48">
        <f t="shared" si="26"/>
        <v>1996.92</v>
      </c>
      <c r="L222" s="48">
        <f t="shared" si="27"/>
        <v>39.909999999999997</v>
      </c>
      <c r="M222" s="48">
        <f t="shared" si="28"/>
        <v>39938.400000000001</v>
      </c>
      <c r="N222" s="48">
        <f t="shared" si="29"/>
        <v>798.2</v>
      </c>
      <c r="O222" s="50">
        <f t="shared" si="30"/>
        <v>40736.6</v>
      </c>
      <c r="P222" s="50">
        <v>0</v>
      </c>
      <c r="Q222" s="76"/>
      <c r="R222" s="140">
        <f>IF((2*S9+2*S10)&gt;20,20,(2*S9+2*S10))</f>
        <v>20</v>
      </c>
      <c r="S222" s="152">
        <v>1630.5400000000002</v>
      </c>
      <c r="T222" s="153">
        <v>32.590000000000003</v>
      </c>
    </row>
    <row r="223" spans="2:20" ht="56">
      <c r="B223" s="5" t="s">
        <v>564</v>
      </c>
      <c r="C223" s="45" t="s">
        <v>97</v>
      </c>
      <c r="D223" s="45" t="s">
        <v>565</v>
      </c>
      <c r="E223" s="6" t="s">
        <v>566</v>
      </c>
      <c r="F223" s="45" t="s">
        <v>104</v>
      </c>
      <c r="G223" s="46">
        <f t="shared" si="31"/>
        <v>55</v>
      </c>
      <c r="H223" s="46">
        <f>TRUNC(S223*(1-LOTE_01!$K$10),2)</f>
        <v>1701.22</v>
      </c>
      <c r="I223" s="46">
        <f>TRUNC(T223*(1-LOTE_01!$K$10),2)</f>
        <v>53.04</v>
      </c>
      <c r="J223" s="100">
        <f t="shared" si="32"/>
        <v>0.22470000000000001</v>
      </c>
      <c r="K223" s="48">
        <f t="shared" si="26"/>
        <v>2083.48</v>
      </c>
      <c r="L223" s="48">
        <f t="shared" si="27"/>
        <v>64.95</v>
      </c>
      <c r="M223" s="48">
        <f t="shared" si="28"/>
        <v>114591.4</v>
      </c>
      <c r="N223" s="48">
        <f t="shared" si="29"/>
        <v>3572.25</v>
      </c>
      <c r="O223" s="50">
        <f t="shared" si="30"/>
        <v>118163.65</v>
      </c>
      <c r="P223" s="50">
        <v>0</v>
      </c>
      <c r="Q223" s="76"/>
      <c r="R223" s="140">
        <f>5*(S9+S10)</f>
        <v>55</v>
      </c>
      <c r="S223" s="152">
        <v>1701.22</v>
      </c>
      <c r="T223" s="153">
        <v>53.04</v>
      </c>
    </row>
    <row r="224" spans="2:20" ht="28">
      <c r="B224" s="5" t="s">
        <v>567</v>
      </c>
      <c r="C224" s="45" t="s">
        <v>97</v>
      </c>
      <c r="D224" s="45" t="s">
        <v>568</v>
      </c>
      <c r="E224" s="6" t="s">
        <v>569</v>
      </c>
      <c r="F224" s="45" t="s">
        <v>104</v>
      </c>
      <c r="G224" s="46">
        <f t="shared" si="31"/>
        <v>22</v>
      </c>
      <c r="H224" s="46">
        <f>TRUNC(S224*(1-LOTE_01!$K$10),2)</f>
        <v>290.43</v>
      </c>
      <c r="I224" s="46">
        <f>TRUNC(T224*(1-LOTE_01!$K$10),2)</f>
        <v>15.3</v>
      </c>
      <c r="J224" s="100">
        <f t="shared" si="32"/>
        <v>0.22470000000000001</v>
      </c>
      <c r="K224" s="48">
        <f t="shared" si="26"/>
        <v>355.68</v>
      </c>
      <c r="L224" s="48">
        <f t="shared" si="27"/>
        <v>18.73</v>
      </c>
      <c r="M224" s="48">
        <f t="shared" si="28"/>
        <v>7824.96</v>
      </c>
      <c r="N224" s="48">
        <f t="shared" si="29"/>
        <v>412.06</v>
      </c>
      <c r="O224" s="50">
        <f t="shared" si="30"/>
        <v>8237.02</v>
      </c>
      <c r="P224" s="50">
        <v>0</v>
      </c>
      <c r="Q224" s="76"/>
      <c r="R224" s="140">
        <f>IF((2*S9+2*S10)&gt;50,50,(2*S9+2*S10))</f>
        <v>22</v>
      </c>
      <c r="S224" s="152">
        <v>290.43</v>
      </c>
      <c r="T224" s="153">
        <v>15.3</v>
      </c>
    </row>
    <row r="225" spans="2:20" ht="42">
      <c r="B225" s="5" t="s">
        <v>570</v>
      </c>
      <c r="C225" s="45" t="s">
        <v>135</v>
      </c>
      <c r="D225" s="45">
        <v>100701</v>
      </c>
      <c r="E225" s="6" t="s">
        <v>1795</v>
      </c>
      <c r="F225" s="45" t="s">
        <v>121</v>
      </c>
      <c r="G225" s="46">
        <f t="shared" si="31"/>
        <v>61</v>
      </c>
      <c r="H225" s="46">
        <f>TRUNC(S225*(1-LOTE_01!$K$10),2)</f>
        <v>675.88</v>
      </c>
      <c r="I225" s="46">
        <f>TRUNC(T225*(1-LOTE_01!$K$10),2)</f>
        <v>16.260000000000002</v>
      </c>
      <c r="J225" s="100">
        <f t="shared" si="32"/>
        <v>0.22470000000000001</v>
      </c>
      <c r="K225" s="48">
        <f t="shared" si="26"/>
        <v>827.75</v>
      </c>
      <c r="L225" s="48">
        <f t="shared" si="27"/>
        <v>19.91</v>
      </c>
      <c r="M225" s="48">
        <f t="shared" si="28"/>
        <v>50492.75</v>
      </c>
      <c r="N225" s="48">
        <f t="shared" si="29"/>
        <v>1214.51</v>
      </c>
      <c r="O225" s="50">
        <f t="shared" si="30"/>
        <v>51707.26</v>
      </c>
      <c r="P225" s="50">
        <v>0</v>
      </c>
      <c r="Q225" s="76"/>
      <c r="R225" s="140">
        <f>IF((5*S9+7*S10)&gt;100,100,(5*S9+7*S10))</f>
        <v>61</v>
      </c>
      <c r="S225" s="152">
        <v>675.88</v>
      </c>
      <c r="T225" s="153">
        <v>16.260000000000002</v>
      </c>
    </row>
    <row r="226" spans="2:20" ht="42">
      <c r="B226" s="5" t="s">
        <v>571</v>
      </c>
      <c r="C226" s="45" t="s">
        <v>135</v>
      </c>
      <c r="D226" s="45">
        <v>90838</v>
      </c>
      <c r="E226" s="6" t="s">
        <v>1796</v>
      </c>
      <c r="F226" s="45" t="s">
        <v>210</v>
      </c>
      <c r="G226" s="46">
        <f t="shared" si="31"/>
        <v>10</v>
      </c>
      <c r="H226" s="46">
        <f>TRUNC(S226*(1-LOTE_01!$K$10),2)</f>
        <v>1582.7</v>
      </c>
      <c r="I226" s="46">
        <f>TRUNC(T226*(1-LOTE_01!$K$10),2)</f>
        <v>112.74</v>
      </c>
      <c r="J226" s="100">
        <f t="shared" si="32"/>
        <v>0.22470000000000001</v>
      </c>
      <c r="K226" s="48">
        <f t="shared" si="26"/>
        <v>1938.33</v>
      </c>
      <c r="L226" s="48">
        <f t="shared" si="27"/>
        <v>138.07</v>
      </c>
      <c r="M226" s="48">
        <f t="shared" si="28"/>
        <v>19383.3</v>
      </c>
      <c r="N226" s="48">
        <f t="shared" si="29"/>
        <v>1380.7</v>
      </c>
      <c r="O226" s="50">
        <f t="shared" si="30"/>
        <v>20764</v>
      </c>
      <c r="P226" s="50">
        <v>0</v>
      </c>
      <c r="Q226" s="76"/>
      <c r="R226" s="140">
        <f>IF((1*S9+1*S10)&gt;10,10,(1*S9+1*S10))</f>
        <v>10</v>
      </c>
      <c r="S226" s="152">
        <v>1582.7</v>
      </c>
      <c r="T226" s="153">
        <v>112.74</v>
      </c>
    </row>
    <row r="227" spans="2:20" ht="56">
      <c r="B227" s="5" t="s">
        <v>572</v>
      </c>
      <c r="C227" s="45" t="s">
        <v>135</v>
      </c>
      <c r="D227" s="45">
        <v>91341</v>
      </c>
      <c r="E227" s="6" t="s">
        <v>1797</v>
      </c>
      <c r="F227" s="45" t="s">
        <v>121</v>
      </c>
      <c r="G227" s="46">
        <f t="shared" si="31"/>
        <v>14</v>
      </c>
      <c r="H227" s="46">
        <f>TRUNC(S227*(1-LOTE_01!$K$10),2)</f>
        <v>702.41</v>
      </c>
      <c r="I227" s="46">
        <f>TRUNC(T227*(1-LOTE_01!$K$10),2)</f>
        <v>12.72</v>
      </c>
      <c r="J227" s="100">
        <f t="shared" si="32"/>
        <v>0.22470000000000001</v>
      </c>
      <c r="K227" s="48">
        <f t="shared" si="26"/>
        <v>860.24</v>
      </c>
      <c r="L227" s="48">
        <f t="shared" si="27"/>
        <v>15.57</v>
      </c>
      <c r="M227" s="48">
        <f t="shared" si="28"/>
        <v>12043.36</v>
      </c>
      <c r="N227" s="48">
        <f t="shared" si="29"/>
        <v>217.98</v>
      </c>
      <c r="O227" s="50">
        <f t="shared" si="30"/>
        <v>12261.34</v>
      </c>
      <c r="P227" s="50">
        <v>0</v>
      </c>
      <c r="Q227" s="76"/>
      <c r="R227" s="140">
        <f>IF((1*S9+2*S10)&gt;20,20,(1*S9+2*S10))</f>
        <v>14</v>
      </c>
      <c r="S227" s="152">
        <v>702.41</v>
      </c>
      <c r="T227" s="153">
        <v>12.72</v>
      </c>
    </row>
    <row r="228" spans="2:20" ht="56">
      <c r="B228" s="5" t="s">
        <v>573</v>
      </c>
      <c r="C228" s="45" t="s">
        <v>135</v>
      </c>
      <c r="D228" s="45">
        <v>100702</v>
      </c>
      <c r="E228" s="6" t="s">
        <v>1798</v>
      </c>
      <c r="F228" s="45" t="s">
        <v>121</v>
      </c>
      <c r="G228" s="46">
        <f t="shared" si="31"/>
        <v>50</v>
      </c>
      <c r="H228" s="46">
        <f>TRUNC(S228*(1-LOTE_01!$K$10),2)</f>
        <v>494.61</v>
      </c>
      <c r="I228" s="46">
        <f>TRUNC(T228*(1-LOTE_01!$K$10),2)</f>
        <v>9.32</v>
      </c>
      <c r="J228" s="100">
        <f t="shared" si="32"/>
        <v>0.22470000000000001</v>
      </c>
      <c r="K228" s="48">
        <f t="shared" si="26"/>
        <v>605.74</v>
      </c>
      <c r="L228" s="48">
        <f t="shared" si="27"/>
        <v>11.41</v>
      </c>
      <c r="M228" s="48">
        <f t="shared" si="28"/>
        <v>30287</v>
      </c>
      <c r="N228" s="48">
        <f t="shared" si="29"/>
        <v>570.5</v>
      </c>
      <c r="O228" s="50">
        <f t="shared" si="30"/>
        <v>30857.5</v>
      </c>
      <c r="P228" s="50">
        <v>0</v>
      </c>
      <c r="Q228" s="76"/>
      <c r="R228" s="140">
        <f>IF((10*S9+10*S10)&gt;50,50,(10*S9+10*S10))</f>
        <v>50</v>
      </c>
      <c r="S228" s="152">
        <v>494.61</v>
      </c>
      <c r="T228" s="153">
        <v>9.32</v>
      </c>
    </row>
    <row r="229" spans="2:20" ht="112">
      <c r="B229" s="5" t="s">
        <v>574</v>
      </c>
      <c r="C229" s="45" t="s">
        <v>135</v>
      </c>
      <c r="D229" s="45">
        <v>94569</v>
      </c>
      <c r="E229" s="6" t="s">
        <v>575</v>
      </c>
      <c r="F229" s="45" t="s">
        <v>121</v>
      </c>
      <c r="G229" s="46">
        <f t="shared" si="31"/>
        <v>50</v>
      </c>
      <c r="H229" s="46">
        <f>TRUNC(S229*(1-LOTE_01!$K$10),2)</f>
        <v>637.58000000000004</v>
      </c>
      <c r="I229" s="46">
        <f>TRUNC(T229*(1-LOTE_01!$K$10),2)</f>
        <v>32.99</v>
      </c>
      <c r="J229" s="100">
        <f t="shared" si="32"/>
        <v>0.22470000000000001</v>
      </c>
      <c r="K229" s="48">
        <f t="shared" si="26"/>
        <v>780.84</v>
      </c>
      <c r="L229" s="48">
        <f t="shared" si="27"/>
        <v>40.4</v>
      </c>
      <c r="M229" s="48">
        <f t="shared" si="28"/>
        <v>39042</v>
      </c>
      <c r="N229" s="48">
        <f t="shared" si="29"/>
        <v>2020</v>
      </c>
      <c r="O229" s="50">
        <f t="shared" si="30"/>
        <v>41062</v>
      </c>
      <c r="P229" s="50">
        <v>0</v>
      </c>
      <c r="Q229" s="76"/>
      <c r="R229" s="140">
        <f>IF((5*S9+5*S10)&gt;50,50,(5*S9+5*S10))</f>
        <v>50</v>
      </c>
      <c r="S229" s="152">
        <v>637.58000000000004</v>
      </c>
      <c r="T229" s="153">
        <v>32.99</v>
      </c>
    </row>
    <row r="230" spans="2:20" ht="140">
      <c r="B230" s="5" t="s">
        <v>576</v>
      </c>
      <c r="C230" s="45" t="s">
        <v>135</v>
      </c>
      <c r="D230" s="45">
        <v>94570</v>
      </c>
      <c r="E230" s="6" t="s">
        <v>577</v>
      </c>
      <c r="F230" s="45" t="s">
        <v>121</v>
      </c>
      <c r="G230" s="46">
        <f t="shared" si="31"/>
        <v>50</v>
      </c>
      <c r="H230" s="46">
        <f>TRUNC(S230*(1-LOTE_01!$K$10),2)</f>
        <v>344.24</v>
      </c>
      <c r="I230" s="46">
        <f>TRUNC(T230*(1-LOTE_01!$K$10),2)</f>
        <v>10.24</v>
      </c>
      <c r="J230" s="100">
        <f t="shared" si="32"/>
        <v>0.22470000000000001</v>
      </c>
      <c r="K230" s="48">
        <f t="shared" si="26"/>
        <v>421.59</v>
      </c>
      <c r="L230" s="48">
        <f t="shared" si="27"/>
        <v>12.54</v>
      </c>
      <c r="M230" s="48">
        <f t="shared" si="28"/>
        <v>21079.5</v>
      </c>
      <c r="N230" s="48">
        <f t="shared" si="29"/>
        <v>627</v>
      </c>
      <c r="O230" s="50">
        <f t="shared" si="30"/>
        <v>21706.5</v>
      </c>
      <c r="P230" s="50">
        <v>0</v>
      </c>
      <c r="Q230" s="76"/>
      <c r="R230" s="140">
        <f>IF((5*S9+5*S10)&gt;50,50,(5*S9+5*S10))</f>
        <v>50</v>
      </c>
      <c r="S230" s="152">
        <v>344.24</v>
      </c>
      <c r="T230" s="153">
        <v>10.24</v>
      </c>
    </row>
    <row r="231" spans="2:20" ht="98">
      <c r="B231" s="5" t="s">
        <v>578</v>
      </c>
      <c r="C231" s="45" t="s">
        <v>135</v>
      </c>
      <c r="D231" s="45">
        <v>100674</v>
      </c>
      <c r="E231" s="6" t="s">
        <v>579</v>
      </c>
      <c r="F231" s="45" t="s">
        <v>121</v>
      </c>
      <c r="G231" s="46">
        <f t="shared" si="31"/>
        <v>50</v>
      </c>
      <c r="H231" s="46">
        <f>TRUNC(S231*(1-LOTE_01!$K$10),2)</f>
        <v>743.58</v>
      </c>
      <c r="I231" s="46">
        <f>TRUNC(T231*(1-LOTE_01!$K$10),2)</f>
        <v>24.26</v>
      </c>
      <c r="J231" s="100">
        <f t="shared" si="32"/>
        <v>0.22470000000000001</v>
      </c>
      <c r="K231" s="48">
        <f t="shared" si="26"/>
        <v>910.66</v>
      </c>
      <c r="L231" s="48">
        <f t="shared" si="27"/>
        <v>29.71</v>
      </c>
      <c r="M231" s="48">
        <f t="shared" si="28"/>
        <v>45533</v>
      </c>
      <c r="N231" s="48">
        <f t="shared" si="29"/>
        <v>1485.5</v>
      </c>
      <c r="O231" s="50">
        <f t="shared" si="30"/>
        <v>47018.5</v>
      </c>
      <c r="P231" s="50">
        <v>0</v>
      </c>
      <c r="Q231" s="76"/>
      <c r="R231" s="140">
        <f>IF((5*S9+5*S10)&gt;50,50,(5*S9+5*S10))</f>
        <v>50</v>
      </c>
      <c r="S231" s="152">
        <v>743.58</v>
      </c>
      <c r="T231" s="153">
        <v>24.26</v>
      </c>
    </row>
    <row r="232" spans="2:20" ht="140">
      <c r="B232" s="5" t="s">
        <v>580</v>
      </c>
      <c r="C232" s="45" t="s">
        <v>135</v>
      </c>
      <c r="D232" s="45">
        <v>94573</v>
      </c>
      <c r="E232" s="6" t="s">
        <v>581</v>
      </c>
      <c r="F232" s="45" t="s">
        <v>121</v>
      </c>
      <c r="G232" s="46">
        <f t="shared" si="31"/>
        <v>50</v>
      </c>
      <c r="H232" s="46">
        <f>TRUNC(S232*(1-LOTE_01!$K$10),2)</f>
        <v>382.9</v>
      </c>
      <c r="I232" s="46">
        <f>TRUNC(T232*(1-LOTE_01!$K$10),2)</f>
        <v>10.18</v>
      </c>
      <c r="J232" s="100">
        <f t="shared" si="32"/>
        <v>0.22470000000000001</v>
      </c>
      <c r="K232" s="48">
        <f t="shared" si="26"/>
        <v>468.93</v>
      </c>
      <c r="L232" s="48">
        <f t="shared" si="27"/>
        <v>12.46</v>
      </c>
      <c r="M232" s="48">
        <f t="shared" si="28"/>
        <v>23446.5</v>
      </c>
      <c r="N232" s="48">
        <f t="shared" si="29"/>
        <v>623</v>
      </c>
      <c r="O232" s="50">
        <f t="shared" si="30"/>
        <v>24069.5</v>
      </c>
      <c r="P232" s="50">
        <v>0</v>
      </c>
      <c r="Q232" s="76"/>
      <c r="R232" s="140">
        <f>IF((5*S9+5*S10)&gt;50,50,(5*S9+5*S10))</f>
        <v>50</v>
      </c>
      <c r="S232" s="152">
        <v>382.9</v>
      </c>
      <c r="T232" s="153">
        <v>10.18</v>
      </c>
    </row>
    <row r="233" spans="2:20" ht="28">
      <c r="B233" s="5" t="s">
        <v>582</v>
      </c>
      <c r="C233" s="45" t="s">
        <v>165</v>
      </c>
      <c r="D233" s="45" t="s">
        <v>583</v>
      </c>
      <c r="E233" s="6" t="s">
        <v>584</v>
      </c>
      <c r="F233" s="45" t="s">
        <v>168</v>
      </c>
      <c r="G233" s="46">
        <f t="shared" si="31"/>
        <v>100</v>
      </c>
      <c r="H233" s="46">
        <f>TRUNC(S233*(1-LOTE_01!$K$10),2)</f>
        <v>568.49</v>
      </c>
      <c r="I233" s="46">
        <f>TRUNC(T233*(1-LOTE_01!$K$10),2)</f>
        <v>98.04</v>
      </c>
      <c r="J233" s="100">
        <f t="shared" si="32"/>
        <v>0.22470000000000001</v>
      </c>
      <c r="K233" s="48">
        <f t="shared" si="26"/>
        <v>696.22</v>
      </c>
      <c r="L233" s="48">
        <f t="shared" si="27"/>
        <v>120.06</v>
      </c>
      <c r="M233" s="48">
        <f t="shared" si="28"/>
        <v>69622</v>
      </c>
      <c r="N233" s="48">
        <f t="shared" si="29"/>
        <v>12006</v>
      </c>
      <c r="O233" s="50">
        <f t="shared" si="30"/>
        <v>81628</v>
      </c>
      <c r="P233" s="50">
        <v>0</v>
      </c>
      <c r="Q233" s="76"/>
      <c r="R233" s="140">
        <f>IF((20*S9+20*S10)&gt;100,100,(20*S9+20*S10))</f>
        <v>100</v>
      </c>
      <c r="S233" s="152">
        <v>568.49</v>
      </c>
      <c r="T233" s="153">
        <v>98.04</v>
      </c>
    </row>
    <row r="234" spans="2:20" ht="42">
      <c r="B234" s="5" t="s">
        <v>585</v>
      </c>
      <c r="C234" s="45" t="s">
        <v>135</v>
      </c>
      <c r="D234" s="45">
        <v>99861</v>
      </c>
      <c r="E234" s="6" t="s">
        <v>1799</v>
      </c>
      <c r="F234" s="45" t="s">
        <v>121</v>
      </c>
      <c r="G234" s="46">
        <f t="shared" si="31"/>
        <v>100</v>
      </c>
      <c r="H234" s="46">
        <f>TRUNC(S234*(1-LOTE_01!$K$10),2)</f>
        <v>307.51</v>
      </c>
      <c r="I234" s="46">
        <f>TRUNC(T234*(1-LOTE_01!$K$10),2)</f>
        <v>251.39</v>
      </c>
      <c r="J234" s="100">
        <f t="shared" si="32"/>
        <v>0.22470000000000001</v>
      </c>
      <c r="K234" s="48">
        <f t="shared" si="26"/>
        <v>376.6</v>
      </c>
      <c r="L234" s="48">
        <f t="shared" si="27"/>
        <v>307.87</v>
      </c>
      <c r="M234" s="48">
        <f t="shared" si="28"/>
        <v>37660</v>
      </c>
      <c r="N234" s="48">
        <f t="shared" si="29"/>
        <v>30787</v>
      </c>
      <c r="O234" s="50">
        <f t="shared" si="30"/>
        <v>68447</v>
      </c>
      <c r="P234" s="50">
        <v>0</v>
      </c>
      <c r="Q234" s="76"/>
      <c r="R234" s="140">
        <f>IF((20*S9+20*S10)&gt;100,100,(20*S9+20*S10))</f>
        <v>100</v>
      </c>
      <c r="S234" s="152">
        <v>307.51</v>
      </c>
      <c r="T234" s="153">
        <v>251.39</v>
      </c>
    </row>
    <row r="235" spans="2:20" ht="28">
      <c r="B235" s="5" t="s">
        <v>586</v>
      </c>
      <c r="C235" s="45" t="s">
        <v>97</v>
      </c>
      <c r="D235" s="45" t="s">
        <v>587</v>
      </c>
      <c r="E235" s="6" t="s">
        <v>588</v>
      </c>
      <c r="F235" s="45" t="s">
        <v>187</v>
      </c>
      <c r="G235" s="46">
        <f t="shared" si="31"/>
        <v>100</v>
      </c>
      <c r="H235" s="46">
        <f>TRUNC(S235*(1-LOTE_01!$K$10),2)</f>
        <v>408.76</v>
      </c>
      <c r="I235" s="46">
        <f>TRUNC(T235*(1-LOTE_01!$K$10),2)</f>
        <v>50.86</v>
      </c>
      <c r="J235" s="100">
        <f t="shared" si="32"/>
        <v>0.22470000000000001</v>
      </c>
      <c r="K235" s="48">
        <f t="shared" si="26"/>
        <v>500.6</v>
      </c>
      <c r="L235" s="48">
        <f t="shared" si="27"/>
        <v>62.28</v>
      </c>
      <c r="M235" s="48">
        <f t="shared" si="28"/>
        <v>50060</v>
      </c>
      <c r="N235" s="48">
        <f t="shared" si="29"/>
        <v>6228</v>
      </c>
      <c r="O235" s="50">
        <f t="shared" si="30"/>
        <v>56288</v>
      </c>
      <c r="P235" s="50">
        <v>0</v>
      </c>
      <c r="Q235" s="76"/>
      <c r="R235" s="140">
        <f>IF((10*S10+10*S9)&gt;100,100,(10*S10+10*S9))</f>
        <v>100</v>
      </c>
      <c r="S235" s="152">
        <v>408.76</v>
      </c>
      <c r="T235" s="153">
        <v>50.86</v>
      </c>
    </row>
    <row r="236" spans="2:20" ht="28">
      <c r="B236" s="5" t="s">
        <v>589</v>
      </c>
      <c r="C236" s="45" t="s">
        <v>165</v>
      </c>
      <c r="D236" s="45" t="s">
        <v>590</v>
      </c>
      <c r="E236" s="6" t="s">
        <v>591</v>
      </c>
      <c r="F236" s="45" t="s">
        <v>559</v>
      </c>
      <c r="G236" s="46">
        <f t="shared" si="31"/>
        <v>10</v>
      </c>
      <c r="H236" s="46">
        <f>TRUNC(S236*(1-LOTE_01!$K$10),2)</f>
        <v>1046.94</v>
      </c>
      <c r="I236" s="46">
        <f>TRUNC(T236*(1-LOTE_01!$K$10),2)</f>
        <v>19.61</v>
      </c>
      <c r="J236" s="100">
        <f t="shared" si="32"/>
        <v>0.22470000000000001</v>
      </c>
      <c r="K236" s="48">
        <f t="shared" si="26"/>
        <v>1282.18</v>
      </c>
      <c r="L236" s="48">
        <f t="shared" si="27"/>
        <v>24.01</v>
      </c>
      <c r="M236" s="48">
        <f t="shared" si="28"/>
        <v>12821.8</v>
      </c>
      <c r="N236" s="48">
        <f t="shared" si="29"/>
        <v>240.1</v>
      </c>
      <c r="O236" s="50">
        <f t="shared" si="30"/>
        <v>13061.9</v>
      </c>
      <c r="P236" s="50">
        <v>0</v>
      </c>
      <c r="Q236" s="76"/>
      <c r="R236" s="140">
        <f>IF((1*S9+1*S10)&gt;10,10,(1*S9+1*S10))</f>
        <v>10</v>
      </c>
      <c r="S236" s="152">
        <v>1046.94</v>
      </c>
      <c r="T236" s="153">
        <v>19.61</v>
      </c>
    </row>
    <row r="237" spans="2:20" ht="42">
      <c r="B237" s="5" t="s">
        <v>592</v>
      </c>
      <c r="C237" s="45" t="s">
        <v>97</v>
      </c>
      <c r="D237" s="45" t="s">
        <v>593</v>
      </c>
      <c r="E237" s="6" t="s">
        <v>594</v>
      </c>
      <c r="F237" s="45" t="s">
        <v>187</v>
      </c>
      <c r="G237" s="46">
        <f t="shared" si="31"/>
        <v>1100</v>
      </c>
      <c r="H237" s="46">
        <f>TRUNC(S237*(1-LOTE_01!$K$10),2)</f>
        <v>103.5</v>
      </c>
      <c r="I237" s="46">
        <f>TRUNC(T237*(1-LOTE_01!$K$10),2)</f>
        <v>99.11</v>
      </c>
      <c r="J237" s="100">
        <f t="shared" si="32"/>
        <v>0.22470000000000001</v>
      </c>
      <c r="K237" s="48">
        <f t="shared" si="26"/>
        <v>126.75</v>
      </c>
      <c r="L237" s="48">
        <f t="shared" si="27"/>
        <v>121.38</v>
      </c>
      <c r="M237" s="48">
        <f t="shared" si="28"/>
        <v>139425</v>
      </c>
      <c r="N237" s="48">
        <f t="shared" si="29"/>
        <v>133518</v>
      </c>
      <c r="O237" s="50">
        <f t="shared" si="30"/>
        <v>272943</v>
      </c>
      <c r="P237" s="50">
        <v>0</v>
      </c>
      <c r="Q237" s="76"/>
      <c r="R237" s="140">
        <f>IF((100*S9+100*S10)&gt;1500,1500,(100*S9+100*S10))</f>
        <v>1100</v>
      </c>
      <c r="S237" s="152">
        <v>103.5</v>
      </c>
      <c r="T237" s="153">
        <v>99.11</v>
      </c>
    </row>
    <row r="238" spans="2:20" ht="28">
      <c r="B238" s="5" t="s">
        <v>595</v>
      </c>
      <c r="C238" s="45" t="s">
        <v>165</v>
      </c>
      <c r="D238" s="45" t="s">
        <v>596</v>
      </c>
      <c r="E238" s="6" t="s">
        <v>597</v>
      </c>
      <c r="F238" s="45" t="s">
        <v>531</v>
      </c>
      <c r="G238" s="46">
        <f t="shared" si="31"/>
        <v>10</v>
      </c>
      <c r="H238" s="46">
        <f>TRUNC(S238*(1-LOTE_01!$K$10),2)</f>
        <v>134.28</v>
      </c>
      <c r="I238" s="46">
        <f>TRUNC(T238*(1-LOTE_01!$K$10),2)</f>
        <v>32.68</v>
      </c>
      <c r="J238" s="100">
        <f t="shared" si="32"/>
        <v>0.22470000000000001</v>
      </c>
      <c r="K238" s="48">
        <f t="shared" si="26"/>
        <v>164.45</v>
      </c>
      <c r="L238" s="48">
        <f t="shared" si="27"/>
        <v>40.020000000000003</v>
      </c>
      <c r="M238" s="48">
        <f t="shared" si="28"/>
        <v>1644.5</v>
      </c>
      <c r="N238" s="48">
        <f t="shared" si="29"/>
        <v>400.2</v>
      </c>
      <c r="O238" s="50">
        <f t="shared" si="30"/>
        <v>2044.7</v>
      </c>
      <c r="P238" s="50">
        <v>0</v>
      </c>
      <c r="Q238" s="76"/>
      <c r="R238" s="140">
        <f>IF((1*S9+1*S10)&gt;10,10,(1*S9+1*S10))</f>
        <v>10</v>
      </c>
      <c r="S238" s="152">
        <v>134.28</v>
      </c>
      <c r="T238" s="153">
        <v>32.68</v>
      </c>
    </row>
    <row r="239" spans="2:20" ht="28">
      <c r="B239" s="5" t="s">
        <v>598</v>
      </c>
      <c r="C239" s="45" t="s">
        <v>165</v>
      </c>
      <c r="D239" s="45" t="s">
        <v>599</v>
      </c>
      <c r="E239" s="6" t="s">
        <v>600</v>
      </c>
      <c r="F239" s="45" t="s">
        <v>559</v>
      </c>
      <c r="G239" s="46">
        <f t="shared" si="31"/>
        <v>10</v>
      </c>
      <c r="H239" s="46">
        <f>TRUNC(S239*(1-LOTE_01!$K$10),2)</f>
        <v>39.26</v>
      </c>
      <c r="I239" s="46">
        <f>TRUNC(T239*(1-LOTE_01!$K$10),2)</f>
        <v>2.0699999999999998</v>
      </c>
      <c r="J239" s="100">
        <f t="shared" si="32"/>
        <v>0.22470000000000001</v>
      </c>
      <c r="K239" s="48">
        <f t="shared" si="26"/>
        <v>48.08</v>
      </c>
      <c r="L239" s="48">
        <f t="shared" si="27"/>
        <v>2.5299999999999998</v>
      </c>
      <c r="M239" s="48">
        <f t="shared" si="28"/>
        <v>480.8</v>
      </c>
      <c r="N239" s="48">
        <f t="shared" si="29"/>
        <v>25.3</v>
      </c>
      <c r="O239" s="50">
        <f t="shared" si="30"/>
        <v>506.1</v>
      </c>
      <c r="P239" s="50">
        <v>0</v>
      </c>
      <c r="Q239" s="76"/>
      <c r="R239" s="140">
        <f>IF((1*S9+1*S10)&gt;10,10,(1*S9+1*S10))</f>
        <v>10</v>
      </c>
      <c r="S239" s="152">
        <v>39.26</v>
      </c>
      <c r="T239" s="153">
        <v>2.0699999999999998</v>
      </c>
    </row>
    <row r="240" spans="2:20" ht="28">
      <c r="B240" s="5" t="s">
        <v>601</v>
      </c>
      <c r="C240" s="45" t="s">
        <v>97</v>
      </c>
      <c r="D240" s="45" t="s">
        <v>602</v>
      </c>
      <c r="E240" s="6" t="s">
        <v>603</v>
      </c>
      <c r="F240" s="45" t="s">
        <v>121</v>
      </c>
      <c r="G240" s="46">
        <f t="shared" si="31"/>
        <v>50</v>
      </c>
      <c r="H240" s="46">
        <f>TRUNC(S240*(1-LOTE_01!$K$10),2)</f>
        <v>377.23</v>
      </c>
      <c r="I240" s="46">
        <f>TRUNC(T240*(1-LOTE_01!$K$10),2)</f>
        <v>367.69</v>
      </c>
      <c r="J240" s="100">
        <f t="shared" si="32"/>
        <v>0.22470000000000001</v>
      </c>
      <c r="K240" s="48">
        <f t="shared" si="26"/>
        <v>461.99</v>
      </c>
      <c r="L240" s="48">
        <f t="shared" si="27"/>
        <v>450.3</v>
      </c>
      <c r="M240" s="48">
        <f t="shared" si="28"/>
        <v>23099.5</v>
      </c>
      <c r="N240" s="48">
        <f t="shared" si="29"/>
        <v>22515</v>
      </c>
      <c r="O240" s="50">
        <f t="shared" si="30"/>
        <v>45614.5</v>
      </c>
      <c r="P240" s="50">
        <v>0</v>
      </c>
      <c r="Q240" s="76"/>
      <c r="R240" s="140">
        <f>IF((5*S9+5*S10)&gt;50,50,(5*S9+5*S10))</f>
        <v>50</v>
      </c>
      <c r="S240" s="152">
        <v>377.23</v>
      </c>
      <c r="T240" s="153">
        <v>367.69</v>
      </c>
    </row>
    <row r="241" spans="2:20" ht="28">
      <c r="B241" s="5" t="s">
        <v>604</v>
      </c>
      <c r="C241" s="45" t="s">
        <v>97</v>
      </c>
      <c r="D241" s="45" t="s">
        <v>605</v>
      </c>
      <c r="E241" s="6" t="s">
        <v>606</v>
      </c>
      <c r="F241" s="45" t="s">
        <v>187</v>
      </c>
      <c r="G241" s="46">
        <f t="shared" si="31"/>
        <v>500</v>
      </c>
      <c r="H241" s="46">
        <f>TRUNC(S241*(1-LOTE_01!$K$10),2)</f>
        <v>45.94</v>
      </c>
      <c r="I241" s="46">
        <f>TRUNC(T241*(1-LOTE_01!$K$10),2)</f>
        <v>19.87</v>
      </c>
      <c r="J241" s="100">
        <f t="shared" si="32"/>
        <v>0.22470000000000001</v>
      </c>
      <c r="K241" s="48">
        <f t="shared" si="26"/>
        <v>56.26</v>
      </c>
      <c r="L241" s="48">
        <f t="shared" si="27"/>
        <v>24.33</v>
      </c>
      <c r="M241" s="48">
        <f t="shared" si="28"/>
        <v>28130</v>
      </c>
      <c r="N241" s="48">
        <f t="shared" si="29"/>
        <v>12165</v>
      </c>
      <c r="O241" s="50">
        <f t="shared" si="30"/>
        <v>40295</v>
      </c>
      <c r="P241" s="50">
        <v>0</v>
      </c>
      <c r="Q241" s="76"/>
      <c r="R241" s="140">
        <f>IF((100*S10+100*S9)&gt;500,500,(100*S10+100*S9))</f>
        <v>500</v>
      </c>
      <c r="S241" s="152">
        <v>45.94</v>
      </c>
      <c r="T241" s="153">
        <v>19.87</v>
      </c>
    </row>
    <row r="242" spans="2:20">
      <c r="B242" s="101" t="s">
        <v>43</v>
      </c>
      <c r="C242" s="102" t="s">
        <v>21</v>
      </c>
      <c r="D242" s="102" t="s">
        <v>21</v>
      </c>
      <c r="E242" s="103" t="s">
        <v>46</v>
      </c>
      <c r="F242" s="102" t="s">
        <v>21</v>
      </c>
      <c r="G242" s="46">
        <f t="shared" si="31"/>
        <v>0</v>
      </c>
      <c r="H242" s="46"/>
      <c r="I242" s="46"/>
      <c r="J242" s="105"/>
      <c r="K242" s="48">
        <f t="shared" si="26"/>
        <v>0</v>
      </c>
      <c r="L242" s="48">
        <f t="shared" si="27"/>
        <v>0</v>
      </c>
      <c r="M242" s="48">
        <f t="shared" si="28"/>
        <v>0</v>
      </c>
      <c r="N242" s="48">
        <f t="shared" si="29"/>
        <v>0</v>
      </c>
      <c r="O242" s="50">
        <f t="shared" si="30"/>
        <v>0</v>
      </c>
      <c r="P242" s="104">
        <f>SUM(O243:O252)</f>
        <v>53787.38</v>
      </c>
      <c r="Q242" s="76"/>
      <c r="R242" s="154"/>
      <c r="S242" s="152" t="s">
        <v>22</v>
      </c>
      <c r="T242" s="153" t="s">
        <v>22</v>
      </c>
    </row>
    <row r="243" spans="2:20" ht="28">
      <c r="B243" s="5" t="s">
        <v>607</v>
      </c>
      <c r="C243" s="45" t="s">
        <v>135</v>
      </c>
      <c r="D243" s="45">
        <v>102188</v>
      </c>
      <c r="E243" s="6" t="s">
        <v>1800</v>
      </c>
      <c r="F243" s="45" t="s">
        <v>210</v>
      </c>
      <c r="G243" s="46">
        <f t="shared" si="31"/>
        <v>10</v>
      </c>
      <c r="H243" s="46">
        <f>TRUNC(S243*(1-LOTE_01!$K$10),2)</f>
        <v>688.93</v>
      </c>
      <c r="I243" s="46">
        <f>TRUNC(T243*(1-LOTE_01!$K$10),2)</f>
        <v>67.13</v>
      </c>
      <c r="J243" s="100">
        <f t="shared" si="32"/>
        <v>0.22470000000000001</v>
      </c>
      <c r="K243" s="48">
        <f t="shared" si="26"/>
        <v>843.73</v>
      </c>
      <c r="L243" s="48">
        <f t="shared" si="27"/>
        <v>82.21</v>
      </c>
      <c r="M243" s="48">
        <f t="shared" si="28"/>
        <v>8437.2999999999993</v>
      </c>
      <c r="N243" s="48">
        <f t="shared" si="29"/>
        <v>822.1</v>
      </c>
      <c r="O243" s="50">
        <f t="shared" si="30"/>
        <v>9259.4</v>
      </c>
      <c r="P243" s="50">
        <v>0</v>
      </c>
      <c r="Q243" s="76"/>
      <c r="R243" s="140">
        <f>IF((1*S9+1*S10)&gt;10,10,(1*S9+1*S10))</f>
        <v>10</v>
      </c>
      <c r="S243" s="152">
        <v>688.93</v>
      </c>
      <c r="T243" s="153">
        <v>67.13</v>
      </c>
    </row>
    <row r="244" spans="2:20" ht="98">
      <c r="B244" s="5" t="s">
        <v>608</v>
      </c>
      <c r="C244" s="45" t="s">
        <v>135</v>
      </c>
      <c r="D244" s="45">
        <v>102189</v>
      </c>
      <c r="E244" s="6" t="s">
        <v>1801</v>
      </c>
      <c r="F244" s="45" t="s">
        <v>210</v>
      </c>
      <c r="G244" s="46">
        <f t="shared" si="31"/>
        <v>10</v>
      </c>
      <c r="H244" s="46">
        <f>TRUNC(S244*(1-LOTE_01!$K$10),2)</f>
        <v>143.57</v>
      </c>
      <c r="I244" s="46">
        <f>TRUNC(T244*(1-LOTE_01!$K$10),2)</f>
        <v>70.010000000000005</v>
      </c>
      <c r="J244" s="100">
        <f t="shared" si="32"/>
        <v>0.22470000000000001</v>
      </c>
      <c r="K244" s="48">
        <f t="shared" si="26"/>
        <v>175.83</v>
      </c>
      <c r="L244" s="48">
        <f t="shared" si="27"/>
        <v>85.74</v>
      </c>
      <c r="M244" s="48">
        <f t="shared" si="28"/>
        <v>1758.3</v>
      </c>
      <c r="N244" s="48">
        <f t="shared" si="29"/>
        <v>857.4</v>
      </c>
      <c r="O244" s="50">
        <f t="shared" si="30"/>
        <v>2615.6999999999998</v>
      </c>
      <c r="P244" s="50">
        <v>0</v>
      </c>
      <c r="Q244" s="76"/>
      <c r="R244" s="140">
        <f>IF((1*S9+1*S10)&gt;10,10,(1*S9+1*S10))</f>
        <v>10</v>
      </c>
      <c r="S244" s="152">
        <v>143.57</v>
      </c>
      <c r="T244" s="153">
        <v>70.010000000000005</v>
      </c>
    </row>
    <row r="245" spans="2:20" ht="28">
      <c r="B245" s="5" t="s">
        <v>609</v>
      </c>
      <c r="C245" s="45" t="s">
        <v>135</v>
      </c>
      <c r="D245" s="45">
        <v>100705</v>
      </c>
      <c r="E245" s="6" t="s">
        <v>1802</v>
      </c>
      <c r="F245" s="45" t="s">
        <v>210</v>
      </c>
      <c r="G245" s="46">
        <f t="shared" si="31"/>
        <v>46</v>
      </c>
      <c r="H245" s="46">
        <f>TRUNC(S245*(1-LOTE_01!$K$10),2)</f>
        <v>52.41</v>
      </c>
      <c r="I245" s="46">
        <f>TRUNC(T245*(1-LOTE_01!$K$10),2)</f>
        <v>25.59</v>
      </c>
      <c r="J245" s="100">
        <f t="shared" si="32"/>
        <v>0.22470000000000001</v>
      </c>
      <c r="K245" s="48">
        <f t="shared" si="26"/>
        <v>64.180000000000007</v>
      </c>
      <c r="L245" s="48">
        <f t="shared" si="27"/>
        <v>31.34</v>
      </c>
      <c r="M245" s="48">
        <f t="shared" si="28"/>
        <v>2952.28</v>
      </c>
      <c r="N245" s="48">
        <f t="shared" si="29"/>
        <v>1441.64</v>
      </c>
      <c r="O245" s="50">
        <f t="shared" si="30"/>
        <v>4393.92</v>
      </c>
      <c r="P245" s="50">
        <v>0</v>
      </c>
      <c r="Q245" s="76"/>
      <c r="R245" s="140">
        <f>IF((5*2*S10+2*S9)&gt;50,50,(5*2*S10+2*S9))</f>
        <v>46</v>
      </c>
      <c r="S245" s="152">
        <v>52.41</v>
      </c>
      <c r="T245" s="153">
        <v>25.59</v>
      </c>
    </row>
    <row r="246" spans="2:20" ht="56">
      <c r="B246" s="5" t="s">
        <v>610</v>
      </c>
      <c r="C246" s="45" t="s">
        <v>135</v>
      </c>
      <c r="D246" s="45">
        <v>100709</v>
      </c>
      <c r="E246" s="6" t="s">
        <v>1803</v>
      </c>
      <c r="F246" s="45" t="s">
        <v>210</v>
      </c>
      <c r="G246" s="46">
        <f t="shared" si="31"/>
        <v>50</v>
      </c>
      <c r="H246" s="46">
        <f>TRUNC(S246*(1-LOTE_01!$K$10),2)</f>
        <v>28.94</v>
      </c>
      <c r="I246" s="46">
        <f>TRUNC(T246*(1-LOTE_01!$K$10),2)</f>
        <v>34.200000000000003</v>
      </c>
      <c r="J246" s="100">
        <f t="shared" si="32"/>
        <v>0.22470000000000001</v>
      </c>
      <c r="K246" s="48">
        <f t="shared" si="26"/>
        <v>35.44</v>
      </c>
      <c r="L246" s="48">
        <f t="shared" si="27"/>
        <v>41.88</v>
      </c>
      <c r="M246" s="48">
        <f t="shared" si="28"/>
        <v>1772</v>
      </c>
      <c r="N246" s="48">
        <f t="shared" si="29"/>
        <v>2094</v>
      </c>
      <c r="O246" s="50">
        <f t="shared" si="30"/>
        <v>3866</v>
      </c>
      <c r="P246" s="50">
        <v>0</v>
      </c>
      <c r="Q246" s="76"/>
      <c r="R246" s="140">
        <f>IF((3*2*S9+3*2*S10)&gt;50,50,(3*2*S9+3*2*S10))</f>
        <v>50</v>
      </c>
      <c r="S246" s="152">
        <v>28.939999999999998</v>
      </c>
      <c r="T246" s="153">
        <v>34.200000000000003</v>
      </c>
    </row>
    <row r="247" spans="2:20" ht="28">
      <c r="B247" s="5" t="s">
        <v>611</v>
      </c>
      <c r="C247" s="45" t="s">
        <v>97</v>
      </c>
      <c r="D247" s="45" t="s">
        <v>612</v>
      </c>
      <c r="E247" s="6" t="s">
        <v>613</v>
      </c>
      <c r="F247" s="45" t="s">
        <v>104</v>
      </c>
      <c r="G247" s="46">
        <f t="shared" si="31"/>
        <v>11</v>
      </c>
      <c r="H247" s="46">
        <f>TRUNC(S247*(1-LOTE_01!$K$10),2)</f>
        <v>292.44</v>
      </c>
      <c r="I247" s="46">
        <f>TRUNC(T247*(1-LOTE_01!$K$10),2)</f>
        <v>23.06</v>
      </c>
      <c r="J247" s="100">
        <f t="shared" si="32"/>
        <v>0.22470000000000001</v>
      </c>
      <c r="K247" s="48">
        <f t="shared" si="26"/>
        <v>358.15</v>
      </c>
      <c r="L247" s="48">
        <f t="shared" si="27"/>
        <v>28.24</v>
      </c>
      <c r="M247" s="48">
        <f t="shared" si="28"/>
        <v>3939.65</v>
      </c>
      <c r="N247" s="48">
        <f t="shared" si="29"/>
        <v>310.64</v>
      </c>
      <c r="O247" s="50">
        <f t="shared" si="30"/>
        <v>4250.29</v>
      </c>
      <c r="P247" s="50">
        <v>0</v>
      </c>
      <c r="Q247" s="76"/>
      <c r="R247" s="140">
        <f>IF((1*S9+1*S10)&gt;30,30,(1*S9+1*S10))</f>
        <v>11</v>
      </c>
      <c r="S247" s="152">
        <v>292.44</v>
      </c>
      <c r="T247" s="153">
        <v>23.06</v>
      </c>
    </row>
    <row r="248" spans="2:20" ht="70">
      <c r="B248" s="5" t="s">
        <v>614</v>
      </c>
      <c r="C248" s="45" t="s">
        <v>135</v>
      </c>
      <c r="D248" s="45">
        <v>91306</v>
      </c>
      <c r="E248" s="6" t="s">
        <v>1804</v>
      </c>
      <c r="F248" s="45" t="s">
        <v>210</v>
      </c>
      <c r="G248" s="46">
        <f t="shared" si="31"/>
        <v>25</v>
      </c>
      <c r="H248" s="46">
        <f>TRUNC(S248*(1-LOTE_01!$K$10),2)</f>
        <v>111.5</v>
      </c>
      <c r="I248" s="46">
        <f>TRUNC(T248*(1-LOTE_01!$K$10),2)</f>
        <v>25.05</v>
      </c>
      <c r="J248" s="100">
        <f t="shared" si="32"/>
        <v>0.22470000000000001</v>
      </c>
      <c r="K248" s="48">
        <f t="shared" si="26"/>
        <v>136.55000000000001</v>
      </c>
      <c r="L248" s="48">
        <f t="shared" si="27"/>
        <v>30.67</v>
      </c>
      <c r="M248" s="48">
        <f t="shared" si="28"/>
        <v>3413.75</v>
      </c>
      <c r="N248" s="48">
        <f t="shared" si="29"/>
        <v>766.75</v>
      </c>
      <c r="O248" s="50">
        <f t="shared" si="30"/>
        <v>4180.5</v>
      </c>
      <c r="P248" s="50">
        <v>0</v>
      </c>
      <c r="Q248" s="76"/>
      <c r="R248" s="140">
        <f>IF((2*S9+3*S10)&gt;30,30,(2*S9+3*S10))</f>
        <v>25</v>
      </c>
      <c r="S248" s="152">
        <v>111.50000000000001</v>
      </c>
      <c r="T248" s="153">
        <v>25.05</v>
      </c>
    </row>
    <row r="249" spans="2:20" ht="70">
      <c r="B249" s="5" t="s">
        <v>615</v>
      </c>
      <c r="C249" s="45" t="s">
        <v>135</v>
      </c>
      <c r="D249" s="45">
        <v>90831</v>
      </c>
      <c r="E249" s="6" t="s">
        <v>1805</v>
      </c>
      <c r="F249" s="45" t="s">
        <v>210</v>
      </c>
      <c r="G249" s="46">
        <f t="shared" si="31"/>
        <v>22</v>
      </c>
      <c r="H249" s="46">
        <f>TRUNC(S249*(1-LOTE_01!$K$10),2)</f>
        <v>111.5</v>
      </c>
      <c r="I249" s="46">
        <f>TRUNC(T249*(1-LOTE_01!$K$10),2)</f>
        <v>25.05</v>
      </c>
      <c r="J249" s="100">
        <f t="shared" si="32"/>
        <v>0.22470000000000001</v>
      </c>
      <c r="K249" s="48">
        <f t="shared" si="26"/>
        <v>136.55000000000001</v>
      </c>
      <c r="L249" s="48">
        <f t="shared" si="27"/>
        <v>30.67</v>
      </c>
      <c r="M249" s="48">
        <f t="shared" si="28"/>
        <v>3004.1</v>
      </c>
      <c r="N249" s="48">
        <f t="shared" si="29"/>
        <v>674.74</v>
      </c>
      <c r="O249" s="50">
        <f t="shared" si="30"/>
        <v>3678.84</v>
      </c>
      <c r="P249" s="50">
        <v>0</v>
      </c>
      <c r="Q249" s="76"/>
      <c r="R249" s="140">
        <f>IF((2*S9+2*S10)&gt;30,30,(2*S9+2*S10))</f>
        <v>22</v>
      </c>
      <c r="S249" s="152">
        <v>111.50000000000001</v>
      </c>
      <c r="T249" s="153">
        <v>25.05</v>
      </c>
    </row>
    <row r="250" spans="2:20" ht="70">
      <c r="B250" s="5" t="s">
        <v>616</v>
      </c>
      <c r="C250" s="45" t="s">
        <v>135</v>
      </c>
      <c r="D250" s="45">
        <v>90830</v>
      </c>
      <c r="E250" s="6" t="s">
        <v>1806</v>
      </c>
      <c r="F250" s="45" t="s">
        <v>210</v>
      </c>
      <c r="G250" s="46">
        <f t="shared" si="31"/>
        <v>11</v>
      </c>
      <c r="H250" s="46">
        <f>TRUNC(S250*(1-LOTE_01!$K$10),2)</f>
        <v>125.8</v>
      </c>
      <c r="I250" s="46">
        <f>TRUNC(T250*(1-LOTE_01!$K$10),2)</f>
        <v>32.97</v>
      </c>
      <c r="J250" s="100">
        <f t="shared" si="32"/>
        <v>0.22470000000000001</v>
      </c>
      <c r="K250" s="48">
        <f t="shared" si="26"/>
        <v>154.06</v>
      </c>
      <c r="L250" s="48">
        <f t="shared" si="27"/>
        <v>40.369999999999997</v>
      </c>
      <c r="M250" s="48">
        <f t="shared" si="28"/>
        <v>1694.66</v>
      </c>
      <c r="N250" s="48">
        <f t="shared" si="29"/>
        <v>444.07</v>
      </c>
      <c r="O250" s="50">
        <f t="shared" si="30"/>
        <v>2138.73</v>
      </c>
      <c r="P250" s="50">
        <v>0</v>
      </c>
      <c r="Q250" s="76"/>
      <c r="R250" s="140">
        <f>IF((1*S9+1*S10)&gt;30,30,(1*S9+1*S10))</f>
        <v>11</v>
      </c>
      <c r="S250" s="152">
        <v>125.80000000000001</v>
      </c>
      <c r="T250" s="153">
        <v>32.97</v>
      </c>
    </row>
    <row r="251" spans="2:20" ht="42">
      <c r="B251" s="5" t="s">
        <v>617</v>
      </c>
      <c r="C251" s="45" t="s">
        <v>97</v>
      </c>
      <c r="D251" s="45" t="s">
        <v>618</v>
      </c>
      <c r="E251" s="6" t="s">
        <v>619</v>
      </c>
      <c r="F251" s="45" t="s">
        <v>104</v>
      </c>
      <c r="G251" s="46">
        <f t="shared" si="31"/>
        <v>10</v>
      </c>
      <c r="H251" s="46">
        <f>TRUNC(S251*(1-LOTE_01!$K$10),2)</f>
        <v>115.44</v>
      </c>
      <c r="I251" s="46">
        <f>TRUNC(T251*(1-LOTE_01!$K$10),2)</f>
        <v>30.12</v>
      </c>
      <c r="J251" s="100">
        <f t="shared" si="32"/>
        <v>0.22470000000000001</v>
      </c>
      <c r="K251" s="48">
        <f t="shared" si="26"/>
        <v>141.37</v>
      </c>
      <c r="L251" s="48">
        <f t="shared" si="27"/>
        <v>36.880000000000003</v>
      </c>
      <c r="M251" s="48">
        <f t="shared" si="28"/>
        <v>1413.7</v>
      </c>
      <c r="N251" s="48">
        <f t="shared" si="29"/>
        <v>368.8</v>
      </c>
      <c r="O251" s="50">
        <f t="shared" si="30"/>
        <v>1782.5</v>
      </c>
      <c r="P251" s="50">
        <v>0</v>
      </c>
      <c r="Q251" s="76"/>
      <c r="R251" s="140">
        <f>IF((1*S9+1*S10)&gt;10,10,(1*S9+1*S10))</f>
        <v>10</v>
      </c>
      <c r="S251" s="152">
        <v>115.44</v>
      </c>
      <c r="T251" s="153">
        <v>30.12</v>
      </c>
    </row>
    <row r="252" spans="2:20" ht="84">
      <c r="B252" s="5" t="s">
        <v>620</v>
      </c>
      <c r="C252" s="45" t="s">
        <v>97</v>
      </c>
      <c r="D252" s="45" t="s">
        <v>621</v>
      </c>
      <c r="E252" s="7" t="s">
        <v>622</v>
      </c>
      <c r="F252" s="45" t="s">
        <v>104</v>
      </c>
      <c r="G252" s="46">
        <f t="shared" si="31"/>
        <v>10</v>
      </c>
      <c r="H252" s="46">
        <f>TRUNC(S252*(1-LOTE_01!$K$10),2)</f>
        <v>707.51</v>
      </c>
      <c r="I252" s="46">
        <f>TRUNC(T252*(1-LOTE_01!$K$10),2)</f>
        <v>731.34</v>
      </c>
      <c r="J252" s="100">
        <f t="shared" si="32"/>
        <v>0.22470000000000001</v>
      </c>
      <c r="K252" s="48">
        <f t="shared" si="26"/>
        <v>866.48</v>
      </c>
      <c r="L252" s="48">
        <f t="shared" si="27"/>
        <v>895.67</v>
      </c>
      <c r="M252" s="48">
        <f t="shared" si="28"/>
        <v>8664.7999999999993</v>
      </c>
      <c r="N252" s="48">
        <f t="shared" si="29"/>
        <v>8956.7000000000007</v>
      </c>
      <c r="O252" s="50">
        <f t="shared" si="30"/>
        <v>17621.5</v>
      </c>
      <c r="P252" s="50">
        <v>0</v>
      </c>
      <c r="Q252" s="76"/>
      <c r="R252" s="140">
        <f>IF((1*S9+1*S10)&gt;10,10,(1*S9+1*S10))</f>
        <v>10</v>
      </c>
      <c r="S252" s="152">
        <v>707.51</v>
      </c>
      <c r="T252" s="153">
        <v>731.34</v>
      </c>
    </row>
    <row r="253" spans="2:20">
      <c r="B253" s="101" t="s">
        <v>45</v>
      </c>
      <c r="C253" s="102" t="s">
        <v>21</v>
      </c>
      <c r="D253" s="102" t="s">
        <v>21</v>
      </c>
      <c r="E253" s="106" t="s">
        <v>86</v>
      </c>
      <c r="F253" s="102" t="s">
        <v>21</v>
      </c>
      <c r="G253" s="46">
        <f t="shared" si="31"/>
        <v>0</v>
      </c>
      <c r="H253" s="46"/>
      <c r="I253" s="46"/>
      <c r="J253" s="105"/>
      <c r="K253" s="48">
        <f t="shared" si="26"/>
        <v>0</v>
      </c>
      <c r="L253" s="48">
        <f t="shared" si="27"/>
        <v>0</v>
      </c>
      <c r="M253" s="48">
        <f t="shared" si="28"/>
        <v>0</v>
      </c>
      <c r="N253" s="48">
        <f t="shared" si="29"/>
        <v>0</v>
      </c>
      <c r="O253" s="50">
        <f t="shared" si="30"/>
        <v>0</v>
      </c>
      <c r="P253" s="104">
        <f>SUM(O254:O285)</f>
        <v>2023119.9999999998</v>
      </c>
      <c r="Q253" s="76"/>
      <c r="R253" s="154"/>
      <c r="S253" s="152" t="s">
        <v>22</v>
      </c>
      <c r="T253" s="153" t="s">
        <v>22</v>
      </c>
    </row>
    <row r="254" spans="2:20" ht="70">
      <c r="B254" s="5" t="s">
        <v>623</v>
      </c>
      <c r="C254" s="45" t="s">
        <v>97</v>
      </c>
      <c r="D254" s="45" t="s">
        <v>624</v>
      </c>
      <c r="E254" s="6" t="s">
        <v>625</v>
      </c>
      <c r="F254" s="45" t="s">
        <v>121</v>
      </c>
      <c r="G254" s="46">
        <f t="shared" si="31"/>
        <v>1000</v>
      </c>
      <c r="H254" s="46">
        <f>TRUNC(S254*(1-LOTE_01!$K$10),2)</f>
        <v>15.99</v>
      </c>
      <c r="I254" s="46">
        <f>TRUNC(T254*(1-LOTE_01!$K$10),2)</f>
        <v>3.79</v>
      </c>
      <c r="J254" s="100">
        <f t="shared" si="32"/>
        <v>0.22470000000000001</v>
      </c>
      <c r="K254" s="48">
        <f t="shared" si="26"/>
        <v>19.579999999999998</v>
      </c>
      <c r="L254" s="48">
        <f t="shared" si="27"/>
        <v>4.6399999999999997</v>
      </c>
      <c r="M254" s="48">
        <f t="shared" si="28"/>
        <v>19580</v>
      </c>
      <c r="N254" s="48">
        <f t="shared" si="29"/>
        <v>4640</v>
      </c>
      <c r="O254" s="50">
        <f t="shared" si="30"/>
        <v>24220</v>
      </c>
      <c r="P254" s="50">
        <v>0</v>
      </c>
      <c r="Q254" s="76"/>
      <c r="R254" s="140">
        <f>IF((50*S9+200*S10)&gt;2000,2000,(50*S9+200*S10))</f>
        <v>1000</v>
      </c>
      <c r="S254" s="152">
        <v>15.99</v>
      </c>
      <c r="T254" s="153">
        <v>3.79</v>
      </c>
    </row>
    <row r="255" spans="2:20" ht="84">
      <c r="B255" s="5" t="s">
        <v>626</v>
      </c>
      <c r="C255" s="45" t="s">
        <v>135</v>
      </c>
      <c r="D255" s="45">
        <v>92543</v>
      </c>
      <c r="E255" s="6" t="s">
        <v>1807</v>
      </c>
      <c r="F255" s="45" t="s">
        <v>121</v>
      </c>
      <c r="G255" s="46">
        <f t="shared" si="31"/>
        <v>680</v>
      </c>
      <c r="H255" s="46">
        <f>TRUNC(S255*(1-LOTE_01!$K$10),2)</f>
        <v>19.88</v>
      </c>
      <c r="I255" s="46">
        <f>TRUNC(T255*(1-LOTE_01!$K$10),2)</f>
        <v>4.8499999999999996</v>
      </c>
      <c r="J255" s="100">
        <f t="shared" si="32"/>
        <v>0.22470000000000001</v>
      </c>
      <c r="K255" s="48">
        <f t="shared" si="26"/>
        <v>24.34</v>
      </c>
      <c r="L255" s="48">
        <f t="shared" si="27"/>
        <v>5.93</v>
      </c>
      <c r="M255" s="48">
        <f t="shared" si="28"/>
        <v>16551.2</v>
      </c>
      <c r="N255" s="48">
        <f t="shared" si="29"/>
        <v>4032.4</v>
      </c>
      <c r="O255" s="50">
        <f t="shared" si="30"/>
        <v>20583.599999999999</v>
      </c>
      <c r="P255" s="50">
        <v>0</v>
      </c>
      <c r="Q255" s="76"/>
      <c r="R255" s="140">
        <f>IF((10*S9+200*S10)&gt;1000,1000,(10*S9+200*S10))</f>
        <v>680</v>
      </c>
      <c r="S255" s="152">
        <v>19.880000000000003</v>
      </c>
      <c r="T255" s="153">
        <v>4.8499999999999996</v>
      </c>
    </row>
    <row r="256" spans="2:20" ht="98">
      <c r="B256" s="5" t="s">
        <v>627</v>
      </c>
      <c r="C256" s="45" t="s">
        <v>135</v>
      </c>
      <c r="D256" s="45">
        <v>92580</v>
      </c>
      <c r="E256" s="6" t="s">
        <v>1808</v>
      </c>
      <c r="F256" s="45" t="s">
        <v>121</v>
      </c>
      <c r="G256" s="46">
        <f t="shared" si="31"/>
        <v>680</v>
      </c>
      <c r="H256" s="46">
        <f>TRUNC(S256*(1-LOTE_01!$K$10),2)</f>
        <v>42.6</v>
      </c>
      <c r="I256" s="46">
        <f>TRUNC(T256*(1-LOTE_01!$K$10),2)</f>
        <v>7.13</v>
      </c>
      <c r="J256" s="100">
        <f t="shared" si="32"/>
        <v>0.22470000000000001</v>
      </c>
      <c r="K256" s="48">
        <f t="shared" si="26"/>
        <v>52.17</v>
      </c>
      <c r="L256" s="48">
        <f t="shared" si="27"/>
        <v>8.73</v>
      </c>
      <c r="M256" s="48">
        <f t="shared" si="28"/>
        <v>35475.599999999999</v>
      </c>
      <c r="N256" s="48">
        <f t="shared" si="29"/>
        <v>5936.4</v>
      </c>
      <c r="O256" s="50">
        <f t="shared" si="30"/>
        <v>41412</v>
      </c>
      <c r="P256" s="50">
        <v>0</v>
      </c>
      <c r="Q256" s="76"/>
      <c r="R256" s="140">
        <f>IF((10*S9+200*S10)&gt;5000,5000,(10*S9+200*S10))</f>
        <v>680</v>
      </c>
      <c r="S256" s="152">
        <v>42.599999999999994</v>
      </c>
      <c r="T256" s="153">
        <v>7.13</v>
      </c>
    </row>
    <row r="257" spans="2:20" ht="84">
      <c r="B257" s="5" t="s">
        <v>628</v>
      </c>
      <c r="C257" s="45" t="s">
        <v>135</v>
      </c>
      <c r="D257" s="45">
        <v>94207</v>
      </c>
      <c r="E257" s="6" t="s">
        <v>629</v>
      </c>
      <c r="F257" s="45" t="s">
        <v>121</v>
      </c>
      <c r="G257" s="46">
        <f t="shared" si="31"/>
        <v>680</v>
      </c>
      <c r="H257" s="46">
        <f>TRUNC(S257*(1-LOTE_01!$K$10),2)</f>
        <v>56.45</v>
      </c>
      <c r="I257" s="46">
        <f>TRUNC(T257*(1-LOTE_01!$K$10),2)</f>
        <v>5.23</v>
      </c>
      <c r="J257" s="100">
        <f t="shared" si="32"/>
        <v>0.22470000000000001</v>
      </c>
      <c r="K257" s="48">
        <f t="shared" si="26"/>
        <v>69.13</v>
      </c>
      <c r="L257" s="48">
        <f t="shared" si="27"/>
        <v>6.4</v>
      </c>
      <c r="M257" s="48">
        <f t="shared" si="28"/>
        <v>47008.4</v>
      </c>
      <c r="N257" s="48">
        <f t="shared" si="29"/>
        <v>4352</v>
      </c>
      <c r="O257" s="50">
        <f t="shared" si="30"/>
        <v>51360.4</v>
      </c>
      <c r="P257" s="50">
        <v>0</v>
      </c>
      <c r="Q257" s="76"/>
      <c r="R257" s="140">
        <f>IF((10*S9+200*S10)&gt;1000,1000,(10*S9+200*S10))</f>
        <v>680</v>
      </c>
      <c r="S257" s="152">
        <v>56.45</v>
      </c>
      <c r="T257" s="153">
        <v>5.23</v>
      </c>
    </row>
    <row r="258" spans="2:20" ht="42">
      <c r="B258" s="5" t="s">
        <v>630</v>
      </c>
      <c r="C258" s="45" t="s">
        <v>135</v>
      </c>
      <c r="D258" s="45">
        <v>94216</v>
      </c>
      <c r="E258" s="6" t="s">
        <v>631</v>
      </c>
      <c r="F258" s="45" t="s">
        <v>121</v>
      </c>
      <c r="G258" s="46">
        <f t="shared" si="31"/>
        <v>680</v>
      </c>
      <c r="H258" s="46">
        <f>TRUNC(S258*(1-LOTE_01!$K$10),2)</f>
        <v>174.35</v>
      </c>
      <c r="I258" s="46">
        <f>TRUNC(T258*(1-LOTE_01!$K$10),2)</f>
        <v>2.36</v>
      </c>
      <c r="J258" s="100">
        <f t="shared" si="32"/>
        <v>0.22470000000000001</v>
      </c>
      <c r="K258" s="48">
        <f t="shared" si="26"/>
        <v>213.52</v>
      </c>
      <c r="L258" s="48">
        <f t="shared" si="27"/>
        <v>2.89</v>
      </c>
      <c r="M258" s="48">
        <f t="shared" si="28"/>
        <v>145193.60000000001</v>
      </c>
      <c r="N258" s="48">
        <f t="shared" si="29"/>
        <v>1965.2</v>
      </c>
      <c r="O258" s="50">
        <f t="shared" si="30"/>
        <v>147158.79999999999</v>
      </c>
      <c r="P258" s="50">
        <v>0</v>
      </c>
      <c r="Q258" s="76"/>
      <c r="R258" s="140">
        <f>IF((10*S9+200*S10)&gt;1000,1000,(10*S9+200*S10))</f>
        <v>680</v>
      </c>
      <c r="S258" s="152">
        <v>174.35</v>
      </c>
      <c r="T258" s="153">
        <v>2.36</v>
      </c>
    </row>
    <row r="259" spans="2:20" ht="42">
      <c r="B259" s="5" t="s">
        <v>632</v>
      </c>
      <c r="C259" s="45" t="s">
        <v>135</v>
      </c>
      <c r="D259" s="45">
        <v>94213</v>
      </c>
      <c r="E259" s="6" t="s">
        <v>633</v>
      </c>
      <c r="F259" s="45" t="s">
        <v>121</v>
      </c>
      <c r="G259" s="46">
        <f t="shared" si="31"/>
        <v>680</v>
      </c>
      <c r="H259" s="46">
        <f>TRUNC(S259*(1-LOTE_01!$K$10),2)</f>
        <v>58.67</v>
      </c>
      <c r="I259" s="46">
        <f>TRUNC(T259*(1-LOTE_01!$K$10),2)</f>
        <v>3.79</v>
      </c>
      <c r="J259" s="100">
        <f t="shared" si="32"/>
        <v>0.22470000000000001</v>
      </c>
      <c r="K259" s="48">
        <f t="shared" si="26"/>
        <v>71.849999999999994</v>
      </c>
      <c r="L259" s="48">
        <f t="shared" si="27"/>
        <v>4.6399999999999997</v>
      </c>
      <c r="M259" s="48">
        <f t="shared" si="28"/>
        <v>48858</v>
      </c>
      <c r="N259" s="48">
        <f t="shared" si="29"/>
        <v>3155.2</v>
      </c>
      <c r="O259" s="50">
        <f t="shared" si="30"/>
        <v>52013.2</v>
      </c>
      <c r="P259" s="50">
        <v>0</v>
      </c>
      <c r="Q259" s="76"/>
      <c r="R259" s="140">
        <f>IF((10*S9+200*S10)&gt;1000,1000,(10*S9+200*S10))</f>
        <v>680</v>
      </c>
      <c r="S259" s="152">
        <v>58.67</v>
      </c>
      <c r="T259" s="153">
        <v>3.79</v>
      </c>
    </row>
    <row r="260" spans="2:20" ht="56">
      <c r="B260" s="5" t="s">
        <v>634</v>
      </c>
      <c r="C260" s="45" t="s">
        <v>135</v>
      </c>
      <c r="D260" s="45">
        <v>94227</v>
      </c>
      <c r="E260" s="6" t="s">
        <v>635</v>
      </c>
      <c r="F260" s="45" t="s">
        <v>187</v>
      </c>
      <c r="G260" s="46">
        <f t="shared" si="31"/>
        <v>500</v>
      </c>
      <c r="H260" s="46">
        <f>TRUNC(S260*(1-LOTE_01!$K$10),2)</f>
        <v>46.78</v>
      </c>
      <c r="I260" s="46">
        <f>TRUNC(T260*(1-LOTE_01!$K$10),2)</f>
        <v>9.94</v>
      </c>
      <c r="J260" s="100">
        <f t="shared" si="32"/>
        <v>0.22470000000000001</v>
      </c>
      <c r="K260" s="48">
        <f t="shared" si="26"/>
        <v>57.29</v>
      </c>
      <c r="L260" s="48">
        <f t="shared" si="27"/>
        <v>12.17</v>
      </c>
      <c r="M260" s="48">
        <f t="shared" si="28"/>
        <v>28645</v>
      </c>
      <c r="N260" s="48">
        <f t="shared" si="29"/>
        <v>6085</v>
      </c>
      <c r="O260" s="50">
        <f t="shared" si="30"/>
        <v>34730</v>
      </c>
      <c r="P260" s="50">
        <v>0</v>
      </c>
      <c r="Q260" s="76"/>
      <c r="R260" s="140">
        <f>IF((50*S10+50*S9)&gt;500,500,(50*S10+50*S9))</f>
        <v>500</v>
      </c>
      <c r="S260" s="152">
        <v>46.78</v>
      </c>
      <c r="T260" s="153">
        <v>9.94</v>
      </c>
    </row>
    <row r="261" spans="2:20" ht="56">
      <c r="B261" s="5" t="s">
        <v>636</v>
      </c>
      <c r="C261" s="45" t="s">
        <v>135</v>
      </c>
      <c r="D261" s="45">
        <v>94228</v>
      </c>
      <c r="E261" s="6" t="s">
        <v>637</v>
      </c>
      <c r="F261" s="45" t="s">
        <v>187</v>
      </c>
      <c r="G261" s="46">
        <f t="shared" si="31"/>
        <v>310</v>
      </c>
      <c r="H261" s="46">
        <f>TRUNC(S261*(1-LOTE_01!$K$10),2)</f>
        <v>63.47</v>
      </c>
      <c r="I261" s="46">
        <f>TRUNC(T261*(1-LOTE_01!$K$10),2)</f>
        <v>13.55</v>
      </c>
      <c r="J261" s="100">
        <f t="shared" si="32"/>
        <v>0.22470000000000001</v>
      </c>
      <c r="K261" s="48">
        <f t="shared" si="26"/>
        <v>77.73</v>
      </c>
      <c r="L261" s="48">
        <f t="shared" si="27"/>
        <v>16.59</v>
      </c>
      <c r="M261" s="48">
        <f t="shared" si="28"/>
        <v>24096.3</v>
      </c>
      <c r="N261" s="48">
        <f t="shared" si="29"/>
        <v>5142.8999999999996</v>
      </c>
      <c r="O261" s="50">
        <f t="shared" si="30"/>
        <v>29239.200000000001</v>
      </c>
      <c r="P261" s="50">
        <v>0</v>
      </c>
      <c r="Q261" s="76"/>
      <c r="R261" s="140">
        <f>IF((50*S10+20*S9)&gt;500,500,(50*S10+20*S9))</f>
        <v>310</v>
      </c>
      <c r="S261" s="152">
        <v>63.47</v>
      </c>
      <c r="T261" s="153">
        <v>13.55</v>
      </c>
    </row>
    <row r="262" spans="2:20" ht="56">
      <c r="B262" s="5" t="s">
        <v>638</v>
      </c>
      <c r="C262" s="45" t="s">
        <v>135</v>
      </c>
      <c r="D262" s="45">
        <v>94229</v>
      </c>
      <c r="E262" s="6" t="s">
        <v>639</v>
      </c>
      <c r="F262" s="45" t="s">
        <v>187</v>
      </c>
      <c r="G262" s="46">
        <f t="shared" si="31"/>
        <v>310</v>
      </c>
      <c r="H262" s="46">
        <f>TRUNC(S262*(1-LOTE_01!$K$10),2)</f>
        <v>123.96</v>
      </c>
      <c r="I262" s="46">
        <f>TRUNC(T262*(1-LOTE_01!$K$10),2)</f>
        <v>24.19</v>
      </c>
      <c r="J262" s="100">
        <f t="shared" si="32"/>
        <v>0.22470000000000001</v>
      </c>
      <c r="K262" s="48">
        <f t="shared" si="26"/>
        <v>151.81</v>
      </c>
      <c r="L262" s="48">
        <f t="shared" si="27"/>
        <v>29.62</v>
      </c>
      <c r="M262" s="48">
        <f t="shared" si="28"/>
        <v>47061.1</v>
      </c>
      <c r="N262" s="48">
        <f t="shared" si="29"/>
        <v>9182.2000000000007</v>
      </c>
      <c r="O262" s="50">
        <f t="shared" si="30"/>
        <v>56243.3</v>
      </c>
      <c r="P262" s="50">
        <v>0</v>
      </c>
      <c r="Q262" s="76"/>
      <c r="R262" s="140">
        <f>IF((50*S10+20*S9)&gt;500,500,(50*S10+20*S9))</f>
        <v>310</v>
      </c>
      <c r="S262" s="152">
        <v>123.96000000000001</v>
      </c>
      <c r="T262" s="153">
        <v>24.19</v>
      </c>
    </row>
    <row r="263" spans="2:20" ht="56">
      <c r="B263" s="5" t="s">
        <v>640</v>
      </c>
      <c r="C263" s="45" t="s">
        <v>135</v>
      </c>
      <c r="D263" s="45">
        <v>94223</v>
      </c>
      <c r="E263" s="6" t="s">
        <v>641</v>
      </c>
      <c r="F263" s="45" t="s">
        <v>187</v>
      </c>
      <c r="G263" s="46">
        <f t="shared" si="31"/>
        <v>500</v>
      </c>
      <c r="H263" s="46">
        <f>TRUNC(S263*(1-LOTE_01!$K$10),2)</f>
        <v>100.75</v>
      </c>
      <c r="I263" s="46">
        <f>TRUNC(T263*(1-LOTE_01!$K$10),2)</f>
        <v>2.61</v>
      </c>
      <c r="J263" s="100">
        <f t="shared" si="32"/>
        <v>0.22470000000000001</v>
      </c>
      <c r="K263" s="48">
        <f t="shared" si="26"/>
        <v>123.38</v>
      </c>
      <c r="L263" s="48">
        <f t="shared" si="27"/>
        <v>3.19</v>
      </c>
      <c r="M263" s="48">
        <f t="shared" si="28"/>
        <v>61690</v>
      </c>
      <c r="N263" s="48">
        <f t="shared" si="29"/>
        <v>1595</v>
      </c>
      <c r="O263" s="50">
        <f t="shared" si="30"/>
        <v>63285</v>
      </c>
      <c r="P263" s="50">
        <v>0</v>
      </c>
      <c r="Q263" s="76"/>
      <c r="R263" s="140">
        <f>IF((50*S10+50*S9)&gt;500,500,(50*S10+50*S9))</f>
        <v>500</v>
      </c>
      <c r="S263" s="152">
        <v>100.75</v>
      </c>
      <c r="T263" s="153">
        <v>2.61</v>
      </c>
    </row>
    <row r="264" spans="2:20" ht="28">
      <c r="B264" s="5" t="s">
        <v>642</v>
      </c>
      <c r="C264" s="45" t="s">
        <v>165</v>
      </c>
      <c r="D264" s="45" t="s">
        <v>643</v>
      </c>
      <c r="E264" s="6" t="s">
        <v>644</v>
      </c>
      <c r="F264" s="45" t="s">
        <v>531</v>
      </c>
      <c r="G264" s="46">
        <f t="shared" si="31"/>
        <v>500</v>
      </c>
      <c r="H264" s="46">
        <f>TRUNC(S264*(1-LOTE_01!$K$10),2)</f>
        <v>103.57</v>
      </c>
      <c r="I264" s="46">
        <f>TRUNC(T264*(1-LOTE_01!$K$10),2)</f>
        <v>4.1399999999999997</v>
      </c>
      <c r="J264" s="100">
        <f t="shared" si="32"/>
        <v>0.22470000000000001</v>
      </c>
      <c r="K264" s="48">
        <f t="shared" si="26"/>
        <v>126.84</v>
      </c>
      <c r="L264" s="48">
        <f t="shared" si="27"/>
        <v>5.07</v>
      </c>
      <c r="M264" s="48">
        <f t="shared" si="28"/>
        <v>63420</v>
      </c>
      <c r="N264" s="48">
        <f t="shared" si="29"/>
        <v>2535</v>
      </c>
      <c r="O264" s="50">
        <f t="shared" si="30"/>
        <v>65955</v>
      </c>
      <c r="P264" s="50">
        <v>0</v>
      </c>
      <c r="Q264" s="76"/>
      <c r="R264" s="140">
        <f>IF((50*S10+50*S9)&gt;500,500,(50*S10+50*S9))</f>
        <v>500</v>
      </c>
      <c r="S264" s="152">
        <v>103.57</v>
      </c>
      <c r="T264" s="153">
        <v>4.1399999999999997</v>
      </c>
    </row>
    <row r="265" spans="2:20" ht="28">
      <c r="B265" s="5" t="s">
        <v>645</v>
      </c>
      <c r="C265" s="45" t="s">
        <v>97</v>
      </c>
      <c r="D265" s="45" t="s">
        <v>646</v>
      </c>
      <c r="E265" s="6" t="s">
        <v>647</v>
      </c>
      <c r="F265" s="45" t="s">
        <v>187</v>
      </c>
      <c r="G265" s="46">
        <f t="shared" si="31"/>
        <v>500</v>
      </c>
      <c r="H265" s="46">
        <f>TRUNC(S265*(1-LOTE_01!$K$10),2)</f>
        <v>61.03</v>
      </c>
      <c r="I265" s="46">
        <f>TRUNC(T265*(1-LOTE_01!$K$10),2)</f>
        <v>4.74</v>
      </c>
      <c r="J265" s="100">
        <f t="shared" si="32"/>
        <v>0.22470000000000001</v>
      </c>
      <c r="K265" s="48">
        <f t="shared" si="26"/>
        <v>74.739999999999995</v>
      </c>
      <c r="L265" s="48">
        <f t="shared" si="27"/>
        <v>5.8</v>
      </c>
      <c r="M265" s="48">
        <f t="shared" si="28"/>
        <v>37370</v>
      </c>
      <c r="N265" s="48">
        <f t="shared" si="29"/>
        <v>2900</v>
      </c>
      <c r="O265" s="50">
        <f t="shared" si="30"/>
        <v>40270</v>
      </c>
      <c r="P265" s="50">
        <v>0</v>
      </c>
      <c r="Q265" s="76"/>
      <c r="R265" s="140">
        <f>IF((50*S10+50*S9)&gt;500,500,(50*S10+50*S9))</f>
        <v>500</v>
      </c>
      <c r="S265" s="152">
        <v>61.03</v>
      </c>
      <c r="T265" s="153">
        <v>4.74</v>
      </c>
    </row>
    <row r="266" spans="2:20" ht="56">
      <c r="B266" s="5" t="s">
        <v>648</v>
      </c>
      <c r="C266" s="45" t="s">
        <v>135</v>
      </c>
      <c r="D266" s="45">
        <v>100327</v>
      </c>
      <c r="E266" s="6" t="s">
        <v>649</v>
      </c>
      <c r="F266" s="45" t="s">
        <v>187</v>
      </c>
      <c r="G266" s="46">
        <f t="shared" si="31"/>
        <v>500</v>
      </c>
      <c r="H266" s="46">
        <f>TRUNC(S266*(1-LOTE_01!$K$10),2)</f>
        <v>46.77</v>
      </c>
      <c r="I266" s="46">
        <f>TRUNC(T266*(1-LOTE_01!$K$10),2)</f>
        <v>8.39</v>
      </c>
      <c r="J266" s="100">
        <f t="shared" si="32"/>
        <v>0.22470000000000001</v>
      </c>
      <c r="K266" s="48">
        <f t="shared" si="26"/>
        <v>57.27</v>
      </c>
      <c r="L266" s="48">
        <f t="shared" si="27"/>
        <v>10.27</v>
      </c>
      <c r="M266" s="48">
        <f t="shared" si="28"/>
        <v>28635</v>
      </c>
      <c r="N266" s="48">
        <f t="shared" si="29"/>
        <v>5135</v>
      </c>
      <c r="O266" s="50">
        <f t="shared" si="30"/>
        <v>33770</v>
      </c>
      <c r="P266" s="50">
        <v>0</v>
      </c>
      <c r="Q266" s="76"/>
      <c r="R266" s="140">
        <f>IF((50*S10+50*S9)&gt;500,500,(50*S10+50*S9))</f>
        <v>500</v>
      </c>
      <c r="S266" s="152">
        <v>46.769999999999996</v>
      </c>
      <c r="T266" s="153">
        <v>8.39</v>
      </c>
    </row>
    <row r="267" spans="2:20" ht="56">
      <c r="B267" s="5" t="s">
        <v>650</v>
      </c>
      <c r="C267" s="45" t="s">
        <v>135</v>
      </c>
      <c r="D267" s="45">
        <v>100435</v>
      </c>
      <c r="E267" s="6" t="s">
        <v>651</v>
      </c>
      <c r="F267" s="45" t="s">
        <v>187</v>
      </c>
      <c r="G267" s="46">
        <f t="shared" si="31"/>
        <v>500</v>
      </c>
      <c r="H267" s="46">
        <f>TRUNC(S267*(1-LOTE_01!$K$10),2)</f>
        <v>80.400000000000006</v>
      </c>
      <c r="I267" s="46">
        <f>TRUNC(T267*(1-LOTE_01!$K$10),2)</f>
        <v>5.44</v>
      </c>
      <c r="J267" s="100">
        <f t="shared" si="32"/>
        <v>0.22470000000000001</v>
      </c>
      <c r="K267" s="48">
        <f t="shared" si="26"/>
        <v>98.46</v>
      </c>
      <c r="L267" s="48">
        <f t="shared" si="27"/>
        <v>6.66</v>
      </c>
      <c r="M267" s="48">
        <f t="shared" si="28"/>
        <v>49230</v>
      </c>
      <c r="N267" s="48">
        <f t="shared" si="29"/>
        <v>3330</v>
      </c>
      <c r="O267" s="50">
        <f t="shared" si="30"/>
        <v>52560</v>
      </c>
      <c r="P267" s="50">
        <v>0</v>
      </c>
      <c r="Q267" s="76"/>
      <c r="R267" s="140">
        <f>IF((50*S10+50*S9)&gt;500,500,(50*S10+50*S9))</f>
        <v>500</v>
      </c>
      <c r="S267" s="152">
        <v>80.400000000000006</v>
      </c>
      <c r="T267" s="153">
        <v>5.44</v>
      </c>
    </row>
    <row r="268" spans="2:20" ht="42">
      <c r="B268" s="5" t="s">
        <v>652</v>
      </c>
      <c r="C268" s="45" t="s">
        <v>135</v>
      </c>
      <c r="D268" s="45">
        <v>94231</v>
      </c>
      <c r="E268" s="6" t="s">
        <v>653</v>
      </c>
      <c r="F268" s="45" t="s">
        <v>187</v>
      </c>
      <c r="G268" s="46">
        <f t="shared" si="31"/>
        <v>500</v>
      </c>
      <c r="H268" s="46">
        <f>TRUNC(S268*(1-LOTE_01!$K$10),2)</f>
        <v>42.09</v>
      </c>
      <c r="I268" s="46">
        <f>TRUNC(T268*(1-LOTE_01!$K$10),2)</f>
        <v>7.05</v>
      </c>
      <c r="J268" s="100">
        <f t="shared" si="32"/>
        <v>0.22470000000000001</v>
      </c>
      <c r="K268" s="48">
        <f t="shared" si="26"/>
        <v>51.54</v>
      </c>
      <c r="L268" s="48">
        <f t="shared" si="27"/>
        <v>8.6300000000000008</v>
      </c>
      <c r="M268" s="48">
        <f t="shared" si="28"/>
        <v>25770</v>
      </c>
      <c r="N268" s="48">
        <f t="shared" si="29"/>
        <v>4315</v>
      </c>
      <c r="O268" s="50">
        <f t="shared" si="30"/>
        <v>30085</v>
      </c>
      <c r="P268" s="50">
        <v>0</v>
      </c>
      <c r="Q268" s="76"/>
      <c r="R268" s="140">
        <f>IF((50*S10+50*S9)&gt;500,500,(50*S10+50*S9))</f>
        <v>500</v>
      </c>
      <c r="S268" s="152">
        <v>42.09</v>
      </c>
      <c r="T268" s="153">
        <v>7.05</v>
      </c>
    </row>
    <row r="269" spans="2:20" ht="28">
      <c r="B269" s="5" t="s">
        <v>654</v>
      </c>
      <c r="C269" s="45" t="s">
        <v>97</v>
      </c>
      <c r="D269" s="45" t="s">
        <v>655</v>
      </c>
      <c r="E269" s="6" t="s">
        <v>656</v>
      </c>
      <c r="F269" s="45" t="s">
        <v>161</v>
      </c>
      <c r="G269" s="46">
        <f t="shared" si="31"/>
        <v>14</v>
      </c>
      <c r="H269" s="46">
        <f>TRUNC(S269*(1-LOTE_01!$K$10),2)</f>
        <v>4323.46</v>
      </c>
      <c r="I269" s="46">
        <f>TRUNC(T269*(1-LOTE_01!$K$10),2)</f>
        <v>935.43</v>
      </c>
      <c r="J269" s="100">
        <f t="shared" si="32"/>
        <v>0.22470000000000001</v>
      </c>
      <c r="K269" s="48">
        <f t="shared" si="26"/>
        <v>5294.94</v>
      </c>
      <c r="L269" s="48">
        <f t="shared" si="27"/>
        <v>1145.6199999999999</v>
      </c>
      <c r="M269" s="48">
        <f t="shared" si="28"/>
        <v>74129.16</v>
      </c>
      <c r="N269" s="48">
        <f t="shared" si="29"/>
        <v>16038.68</v>
      </c>
      <c r="O269" s="50">
        <f t="shared" si="30"/>
        <v>90167.84</v>
      </c>
      <c r="P269" s="50">
        <v>0</v>
      </c>
      <c r="Q269" s="76"/>
      <c r="R269" s="140">
        <f>IF((S9+2*S10)&gt;50,50,(S9+2*S10))</f>
        <v>14</v>
      </c>
      <c r="S269" s="152">
        <v>4323.46</v>
      </c>
      <c r="T269" s="153">
        <v>935.43</v>
      </c>
    </row>
    <row r="270" spans="2:20" ht="56">
      <c r="B270" s="5" t="s">
        <v>657</v>
      </c>
      <c r="C270" s="45" t="s">
        <v>135</v>
      </c>
      <c r="D270" s="45">
        <v>98562</v>
      </c>
      <c r="E270" s="6" t="s">
        <v>658</v>
      </c>
      <c r="F270" s="45" t="s">
        <v>121</v>
      </c>
      <c r="G270" s="46">
        <f t="shared" si="31"/>
        <v>550</v>
      </c>
      <c r="H270" s="46">
        <f>TRUNC(S270*(1-LOTE_01!$K$10),2)</f>
        <v>32.979999999999997</v>
      </c>
      <c r="I270" s="46">
        <f>TRUNC(T270*(1-LOTE_01!$K$10),2)</f>
        <v>29.08</v>
      </c>
      <c r="J270" s="100">
        <f t="shared" si="32"/>
        <v>0.22470000000000001</v>
      </c>
      <c r="K270" s="48">
        <f t="shared" si="26"/>
        <v>40.39</v>
      </c>
      <c r="L270" s="48">
        <f t="shared" si="27"/>
        <v>35.61</v>
      </c>
      <c r="M270" s="48">
        <f t="shared" si="28"/>
        <v>22214.5</v>
      </c>
      <c r="N270" s="48">
        <f t="shared" si="29"/>
        <v>19585.5</v>
      </c>
      <c r="O270" s="50">
        <f t="shared" si="30"/>
        <v>41800</v>
      </c>
      <c r="P270" s="50">
        <v>0</v>
      </c>
      <c r="Q270" s="76"/>
      <c r="R270" s="140">
        <f>50*S9+50*S10</f>
        <v>550</v>
      </c>
      <c r="S270" s="152">
        <v>32.980000000000004</v>
      </c>
      <c r="T270" s="153">
        <v>29.08</v>
      </c>
    </row>
    <row r="271" spans="2:20" ht="56">
      <c r="B271" s="5" t="s">
        <v>659</v>
      </c>
      <c r="C271" s="45" t="s">
        <v>135</v>
      </c>
      <c r="D271" s="45">
        <v>98555</v>
      </c>
      <c r="E271" s="6" t="s">
        <v>660</v>
      </c>
      <c r="F271" s="45" t="s">
        <v>121</v>
      </c>
      <c r="G271" s="46">
        <f t="shared" si="31"/>
        <v>1100</v>
      </c>
      <c r="H271" s="46">
        <f>TRUNC(S271*(1-LOTE_01!$K$10),2)</f>
        <v>21.37</v>
      </c>
      <c r="I271" s="46">
        <f>TRUNC(T271*(1-LOTE_01!$K$10),2)</f>
        <v>16.36</v>
      </c>
      <c r="J271" s="100">
        <f t="shared" si="32"/>
        <v>0.22470000000000001</v>
      </c>
      <c r="K271" s="48">
        <f t="shared" si="26"/>
        <v>26.17</v>
      </c>
      <c r="L271" s="48">
        <f t="shared" si="27"/>
        <v>20.03</v>
      </c>
      <c r="M271" s="48">
        <f t="shared" si="28"/>
        <v>28787</v>
      </c>
      <c r="N271" s="48">
        <f t="shared" si="29"/>
        <v>22033</v>
      </c>
      <c r="O271" s="50">
        <f t="shared" si="30"/>
        <v>50820</v>
      </c>
      <c r="P271" s="50">
        <v>0</v>
      </c>
      <c r="Q271" s="76"/>
      <c r="R271" s="140">
        <f>100*S9+100*S10</f>
        <v>1100</v>
      </c>
      <c r="S271" s="152">
        <v>21.369999999999997</v>
      </c>
      <c r="T271" s="153">
        <v>16.36</v>
      </c>
    </row>
    <row r="272" spans="2:20" ht="70">
      <c r="B272" s="5" t="s">
        <v>661</v>
      </c>
      <c r="C272" s="45" t="s">
        <v>135</v>
      </c>
      <c r="D272" s="45">
        <v>98556</v>
      </c>
      <c r="E272" s="6" t="s">
        <v>1809</v>
      </c>
      <c r="F272" s="45" t="s">
        <v>121</v>
      </c>
      <c r="G272" s="46">
        <f t="shared" si="31"/>
        <v>1100</v>
      </c>
      <c r="H272" s="46">
        <f>TRUNC(S272*(1-LOTE_01!$K$10),2)</f>
        <v>40.21</v>
      </c>
      <c r="I272" s="46">
        <f>TRUNC(T272*(1-LOTE_01!$K$10),2)</f>
        <v>26.33</v>
      </c>
      <c r="J272" s="100">
        <f t="shared" si="32"/>
        <v>0.22470000000000001</v>
      </c>
      <c r="K272" s="48">
        <f t="shared" ref="K272:K335" si="33">TRUNC(H272*(1+J272),2)</f>
        <v>49.24</v>
      </c>
      <c r="L272" s="48">
        <f t="shared" ref="L272:L335" si="34">TRUNC(I272*(1+J272),2)</f>
        <v>32.24</v>
      </c>
      <c r="M272" s="48">
        <f t="shared" ref="M272:M335" si="35">TRUNC(K272*G272,2)</f>
        <v>54164</v>
      </c>
      <c r="N272" s="48">
        <f t="shared" ref="N272:N335" si="36">TRUNC(L272*G272,2)</f>
        <v>35464</v>
      </c>
      <c r="O272" s="50">
        <f t="shared" ref="O272:O335" si="37">TRUNC(M272+N272,2)</f>
        <v>89628</v>
      </c>
      <c r="P272" s="50">
        <v>0</v>
      </c>
      <c r="Q272" s="76"/>
      <c r="R272" s="140">
        <f>100*S9+100*S10</f>
        <v>1100</v>
      </c>
      <c r="S272" s="152">
        <v>40.210000000000008</v>
      </c>
      <c r="T272" s="153">
        <v>26.33</v>
      </c>
    </row>
    <row r="273" spans="2:20" ht="56">
      <c r="B273" s="5" t="s">
        <v>662</v>
      </c>
      <c r="C273" s="45" t="s">
        <v>135</v>
      </c>
      <c r="D273" s="45">
        <v>98547</v>
      </c>
      <c r="E273" s="6" t="s">
        <v>663</v>
      </c>
      <c r="F273" s="45" t="s">
        <v>121</v>
      </c>
      <c r="G273" s="46">
        <f t="shared" si="31"/>
        <v>1100</v>
      </c>
      <c r="H273" s="46">
        <f>TRUNC(S273*(1-LOTE_01!$K$10),2)</f>
        <v>176.51</v>
      </c>
      <c r="I273" s="46">
        <f>TRUNC(T273*(1-LOTE_01!$K$10),2)</f>
        <v>38.03</v>
      </c>
      <c r="J273" s="100">
        <f t="shared" si="32"/>
        <v>0.22470000000000001</v>
      </c>
      <c r="K273" s="48">
        <f t="shared" si="33"/>
        <v>216.17</v>
      </c>
      <c r="L273" s="48">
        <f t="shared" si="34"/>
        <v>46.57</v>
      </c>
      <c r="M273" s="48">
        <f t="shared" si="35"/>
        <v>237787</v>
      </c>
      <c r="N273" s="48">
        <f t="shared" si="36"/>
        <v>51227</v>
      </c>
      <c r="O273" s="50">
        <f t="shared" si="37"/>
        <v>289014</v>
      </c>
      <c r="P273" s="50">
        <v>0</v>
      </c>
      <c r="Q273" s="76"/>
      <c r="R273" s="140">
        <f>100*S9+100*S10</f>
        <v>1100</v>
      </c>
      <c r="S273" s="152">
        <v>176.51</v>
      </c>
      <c r="T273" s="153">
        <v>38.03</v>
      </c>
    </row>
    <row r="274" spans="2:20" ht="42">
      <c r="B274" s="5" t="s">
        <v>664</v>
      </c>
      <c r="C274" s="45" t="s">
        <v>135</v>
      </c>
      <c r="D274" s="45">
        <v>98553</v>
      </c>
      <c r="E274" s="6" t="s">
        <v>665</v>
      </c>
      <c r="F274" s="45" t="s">
        <v>121</v>
      </c>
      <c r="G274" s="46">
        <f t="shared" ref="G274:G337" si="38">TRUNC(R274,2)</f>
        <v>1100</v>
      </c>
      <c r="H274" s="46">
        <f>TRUNC(S274*(1-LOTE_01!$K$10),2)</f>
        <v>212.4</v>
      </c>
      <c r="I274" s="46">
        <f>TRUNC(T274*(1-LOTE_01!$K$10),2)</f>
        <v>14.37</v>
      </c>
      <c r="J274" s="100">
        <f t="shared" ref="J274:J337" si="39">$J$4</f>
        <v>0.22470000000000001</v>
      </c>
      <c r="K274" s="48">
        <f t="shared" si="33"/>
        <v>260.12</v>
      </c>
      <c r="L274" s="48">
        <f t="shared" si="34"/>
        <v>17.59</v>
      </c>
      <c r="M274" s="48">
        <f t="shared" si="35"/>
        <v>286132</v>
      </c>
      <c r="N274" s="48">
        <f t="shared" si="36"/>
        <v>19349</v>
      </c>
      <c r="O274" s="50">
        <f t="shared" si="37"/>
        <v>305481</v>
      </c>
      <c r="P274" s="50">
        <v>0</v>
      </c>
      <c r="Q274" s="76"/>
      <c r="R274" s="140">
        <f>100*S9+100*S10</f>
        <v>1100</v>
      </c>
      <c r="S274" s="152">
        <v>212.4</v>
      </c>
      <c r="T274" s="153">
        <v>14.37</v>
      </c>
    </row>
    <row r="275" spans="2:20" ht="42">
      <c r="B275" s="5" t="s">
        <v>666</v>
      </c>
      <c r="C275" s="45" t="s">
        <v>135</v>
      </c>
      <c r="D275" s="45">
        <v>98557</v>
      </c>
      <c r="E275" s="6" t="s">
        <v>667</v>
      </c>
      <c r="F275" s="45" t="s">
        <v>121</v>
      </c>
      <c r="G275" s="46">
        <f t="shared" si="38"/>
        <v>1100</v>
      </c>
      <c r="H275" s="46">
        <f>TRUNC(S275*(1-LOTE_01!$K$10),2)</f>
        <v>44.94</v>
      </c>
      <c r="I275" s="46">
        <f>TRUNC(T275*(1-LOTE_01!$K$10),2)</f>
        <v>11.9</v>
      </c>
      <c r="J275" s="100">
        <f t="shared" si="39"/>
        <v>0.22470000000000001</v>
      </c>
      <c r="K275" s="48">
        <f t="shared" si="33"/>
        <v>55.03</v>
      </c>
      <c r="L275" s="48">
        <f t="shared" si="34"/>
        <v>14.57</v>
      </c>
      <c r="M275" s="48">
        <f t="shared" si="35"/>
        <v>60533</v>
      </c>
      <c r="N275" s="48">
        <f t="shared" si="36"/>
        <v>16027</v>
      </c>
      <c r="O275" s="50">
        <f t="shared" si="37"/>
        <v>76560</v>
      </c>
      <c r="P275" s="50">
        <v>0</v>
      </c>
      <c r="Q275" s="76"/>
      <c r="R275" s="140">
        <f>100*S9+100*S10</f>
        <v>1100</v>
      </c>
      <c r="S275" s="152">
        <v>44.940000000000005</v>
      </c>
      <c r="T275" s="153">
        <v>11.9</v>
      </c>
    </row>
    <row r="276" spans="2:20" ht="42">
      <c r="B276" s="5" t="s">
        <v>668</v>
      </c>
      <c r="C276" s="45" t="s">
        <v>135</v>
      </c>
      <c r="D276" s="45">
        <v>98554</v>
      </c>
      <c r="E276" s="6" t="s">
        <v>669</v>
      </c>
      <c r="F276" s="45" t="s">
        <v>121</v>
      </c>
      <c r="G276" s="46">
        <f t="shared" si="38"/>
        <v>1100</v>
      </c>
      <c r="H276" s="46">
        <f>TRUNC(S276*(1-LOTE_01!$K$10),2)</f>
        <v>44.93</v>
      </c>
      <c r="I276" s="46">
        <f>TRUNC(T276*(1-LOTE_01!$K$10),2)</f>
        <v>16.14</v>
      </c>
      <c r="J276" s="100">
        <f t="shared" si="39"/>
        <v>0.22470000000000001</v>
      </c>
      <c r="K276" s="48">
        <f t="shared" si="33"/>
        <v>55.02</v>
      </c>
      <c r="L276" s="48">
        <f t="shared" si="34"/>
        <v>19.760000000000002</v>
      </c>
      <c r="M276" s="48">
        <f t="shared" si="35"/>
        <v>60522</v>
      </c>
      <c r="N276" s="48">
        <f t="shared" si="36"/>
        <v>21736</v>
      </c>
      <c r="O276" s="50">
        <f t="shared" si="37"/>
        <v>82258</v>
      </c>
      <c r="P276" s="50">
        <v>0</v>
      </c>
      <c r="Q276" s="76"/>
      <c r="R276" s="140">
        <f>100*S9+100*S10</f>
        <v>1100</v>
      </c>
      <c r="S276" s="152">
        <v>44.93</v>
      </c>
      <c r="T276" s="153">
        <v>16.14</v>
      </c>
    </row>
    <row r="277" spans="2:20" ht="28">
      <c r="B277" s="5" t="s">
        <v>670</v>
      </c>
      <c r="C277" s="45" t="s">
        <v>165</v>
      </c>
      <c r="D277" s="45" t="s">
        <v>671</v>
      </c>
      <c r="E277" s="6" t="s">
        <v>672</v>
      </c>
      <c r="F277" s="45" t="s">
        <v>531</v>
      </c>
      <c r="G277" s="46">
        <f t="shared" si="38"/>
        <v>550</v>
      </c>
      <c r="H277" s="46">
        <f>TRUNC(S277*(1-LOTE_01!$K$10),2)</f>
        <v>21.32</v>
      </c>
      <c r="I277" s="46">
        <f>TRUNC(T277*(1-LOTE_01!$K$10),2)</f>
        <v>5.0599999999999996</v>
      </c>
      <c r="J277" s="100">
        <f t="shared" si="39"/>
        <v>0.22470000000000001</v>
      </c>
      <c r="K277" s="48">
        <f t="shared" si="33"/>
        <v>26.11</v>
      </c>
      <c r="L277" s="48">
        <f t="shared" si="34"/>
        <v>6.19</v>
      </c>
      <c r="M277" s="48">
        <f t="shared" si="35"/>
        <v>14360.5</v>
      </c>
      <c r="N277" s="48">
        <f t="shared" si="36"/>
        <v>3404.5</v>
      </c>
      <c r="O277" s="50">
        <f t="shared" si="37"/>
        <v>17765</v>
      </c>
      <c r="P277" s="50">
        <v>0</v>
      </c>
      <c r="Q277" s="76"/>
      <c r="R277" s="140">
        <f>50*S9+50*S10</f>
        <v>550</v>
      </c>
      <c r="S277" s="152">
        <v>21.32</v>
      </c>
      <c r="T277" s="153">
        <v>5.0599999999999996</v>
      </c>
    </row>
    <row r="278" spans="2:20" ht="42">
      <c r="B278" s="5" t="s">
        <v>673</v>
      </c>
      <c r="C278" s="45" t="s">
        <v>165</v>
      </c>
      <c r="D278" s="45" t="s">
        <v>674</v>
      </c>
      <c r="E278" s="6" t="s">
        <v>675</v>
      </c>
      <c r="F278" s="45" t="s">
        <v>168</v>
      </c>
      <c r="G278" s="46">
        <f t="shared" si="38"/>
        <v>550</v>
      </c>
      <c r="H278" s="46">
        <f>TRUNC(S278*(1-LOTE_01!$K$10),2)</f>
        <v>58.37</v>
      </c>
      <c r="I278" s="46">
        <f>TRUNC(T278*(1-LOTE_01!$K$10),2)</f>
        <v>12.02</v>
      </c>
      <c r="J278" s="100">
        <f t="shared" si="39"/>
        <v>0.22470000000000001</v>
      </c>
      <c r="K278" s="48">
        <f t="shared" si="33"/>
        <v>71.48</v>
      </c>
      <c r="L278" s="48">
        <f t="shared" si="34"/>
        <v>14.72</v>
      </c>
      <c r="M278" s="48">
        <f t="shared" si="35"/>
        <v>39314</v>
      </c>
      <c r="N278" s="48">
        <f t="shared" si="36"/>
        <v>8096</v>
      </c>
      <c r="O278" s="50">
        <f t="shared" si="37"/>
        <v>47410</v>
      </c>
      <c r="P278" s="50">
        <v>0</v>
      </c>
      <c r="Q278" s="76"/>
      <c r="R278" s="140">
        <f>50*S9+50*S10</f>
        <v>550</v>
      </c>
      <c r="S278" s="152">
        <v>58.37</v>
      </c>
      <c r="T278" s="153">
        <v>12.02</v>
      </c>
    </row>
    <row r="279" spans="2:20" ht="42">
      <c r="B279" s="5" t="s">
        <v>676</v>
      </c>
      <c r="C279" s="45" t="s">
        <v>165</v>
      </c>
      <c r="D279" s="45" t="s">
        <v>677</v>
      </c>
      <c r="E279" s="6" t="s">
        <v>678</v>
      </c>
      <c r="F279" s="45" t="s">
        <v>168</v>
      </c>
      <c r="G279" s="46">
        <f t="shared" si="38"/>
        <v>550</v>
      </c>
      <c r="H279" s="46">
        <f>TRUNC(S279*(1-LOTE_01!$K$10),2)</f>
        <v>128.43</v>
      </c>
      <c r="I279" s="46">
        <f>TRUNC(T279*(1-LOTE_01!$K$10),2)</f>
        <v>83.39</v>
      </c>
      <c r="J279" s="100">
        <f t="shared" si="39"/>
        <v>0.22470000000000001</v>
      </c>
      <c r="K279" s="48">
        <f t="shared" si="33"/>
        <v>157.28</v>
      </c>
      <c r="L279" s="48">
        <f t="shared" si="34"/>
        <v>102.12</v>
      </c>
      <c r="M279" s="48">
        <f t="shared" si="35"/>
        <v>86504</v>
      </c>
      <c r="N279" s="48">
        <f t="shared" si="36"/>
        <v>56166</v>
      </c>
      <c r="O279" s="50">
        <f t="shared" si="37"/>
        <v>142670</v>
      </c>
      <c r="P279" s="50">
        <v>0</v>
      </c>
      <c r="Q279" s="76"/>
      <c r="R279" s="140">
        <f>50*S9+50*S10</f>
        <v>550</v>
      </c>
      <c r="S279" s="152">
        <v>128.43</v>
      </c>
      <c r="T279" s="153">
        <v>83.39</v>
      </c>
    </row>
    <row r="280" spans="2:20" ht="28">
      <c r="B280" s="5" t="s">
        <v>679</v>
      </c>
      <c r="C280" s="45" t="s">
        <v>165</v>
      </c>
      <c r="D280" s="45" t="s">
        <v>680</v>
      </c>
      <c r="E280" s="6" t="s">
        <v>681</v>
      </c>
      <c r="F280" s="45" t="s">
        <v>168</v>
      </c>
      <c r="G280" s="46">
        <f t="shared" si="38"/>
        <v>550</v>
      </c>
      <c r="H280" s="46">
        <f>TRUNC(S280*(1-LOTE_01!$K$10),2)</f>
        <v>29.58</v>
      </c>
      <c r="I280" s="46">
        <f>TRUNC(T280*(1-LOTE_01!$K$10),2)</f>
        <v>10.54</v>
      </c>
      <c r="J280" s="100">
        <f t="shared" si="39"/>
        <v>0.22470000000000001</v>
      </c>
      <c r="K280" s="48">
        <f t="shared" si="33"/>
        <v>36.22</v>
      </c>
      <c r="L280" s="48">
        <f t="shared" si="34"/>
        <v>12.9</v>
      </c>
      <c r="M280" s="48">
        <f t="shared" si="35"/>
        <v>19921</v>
      </c>
      <c r="N280" s="48">
        <f t="shared" si="36"/>
        <v>7095</v>
      </c>
      <c r="O280" s="50">
        <f t="shared" si="37"/>
        <v>27016</v>
      </c>
      <c r="P280" s="50">
        <v>0</v>
      </c>
      <c r="Q280" s="76"/>
      <c r="R280" s="140">
        <f>50*S9+50*S10</f>
        <v>550</v>
      </c>
      <c r="S280" s="152">
        <v>29.58</v>
      </c>
      <c r="T280" s="153">
        <v>10.54</v>
      </c>
    </row>
    <row r="281" spans="2:20" ht="42">
      <c r="B281" s="5" t="s">
        <v>682</v>
      </c>
      <c r="C281" s="45" t="s">
        <v>97</v>
      </c>
      <c r="D281" s="45" t="s">
        <v>683</v>
      </c>
      <c r="E281" s="6" t="s">
        <v>684</v>
      </c>
      <c r="F281" s="45" t="s">
        <v>104</v>
      </c>
      <c r="G281" s="46">
        <f t="shared" si="38"/>
        <v>44</v>
      </c>
      <c r="H281" s="46">
        <f>TRUNC(S281*(1-LOTE_01!$K$10),2)</f>
        <v>21.52</v>
      </c>
      <c r="I281" s="46">
        <f>TRUNC(T281*(1-LOTE_01!$K$10),2)</f>
        <v>1.63</v>
      </c>
      <c r="J281" s="100">
        <f t="shared" si="39"/>
        <v>0.22470000000000001</v>
      </c>
      <c r="K281" s="48">
        <f t="shared" si="33"/>
        <v>26.35</v>
      </c>
      <c r="L281" s="48">
        <f t="shared" si="34"/>
        <v>1.99</v>
      </c>
      <c r="M281" s="48">
        <f t="shared" si="35"/>
        <v>1159.4000000000001</v>
      </c>
      <c r="N281" s="48">
        <f t="shared" si="36"/>
        <v>87.56</v>
      </c>
      <c r="O281" s="50">
        <f t="shared" si="37"/>
        <v>1246.96</v>
      </c>
      <c r="P281" s="50">
        <v>0</v>
      </c>
      <c r="Q281" s="76"/>
      <c r="R281" s="140">
        <f>IF((4*S10+4*S9)&gt;50,50,(4*S10+4*S9))</f>
        <v>44</v>
      </c>
      <c r="S281" s="152">
        <v>21.52</v>
      </c>
      <c r="T281" s="153">
        <v>1.63</v>
      </c>
    </row>
    <row r="282" spans="2:20" ht="42">
      <c r="B282" s="5" t="s">
        <v>685</v>
      </c>
      <c r="C282" s="45" t="s">
        <v>97</v>
      </c>
      <c r="D282" s="45" t="s">
        <v>686</v>
      </c>
      <c r="E282" s="6" t="s">
        <v>687</v>
      </c>
      <c r="F282" s="45" t="s">
        <v>121</v>
      </c>
      <c r="G282" s="46">
        <f t="shared" si="38"/>
        <v>1000</v>
      </c>
      <c r="H282" s="46">
        <f>TRUNC(S282*(1-LOTE_01!$K$10),2)</f>
        <v>3.64</v>
      </c>
      <c r="I282" s="46">
        <f>TRUNC(T282*(1-LOTE_01!$K$10),2)</f>
        <v>3.27</v>
      </c>
      <c r="J282" s="100">
        <f t="shared" si="39"/>
        <v>0.22470000000000001</v>
      </c>
      <c r="K282" s="48">
        <f t="shared" si="33"/>
        <v>4.45</v>
      </c>
      <c r="L282" s="48">
        <f t="shared" si="34"/>
        <v>4</v>
      </c>
      <c r="M282" s="48">
        <f t="shared" si="35"/>
        <v>4450</v>
      </c>
      <c r="N282" s="48">
        <f t="shared" si="36"/>
        <v>4000</v>
      </c>
      <c r="O282" s="50">
        <f t="shared" si="37"/>
        <v>8450</v>
      </c>
      <c r="P282" s="50">
        <v>0</v>
      </c>
      <c r="Q282" s="76"/>
      <c r="R282" s="140">
        <f>IF((100*S9+100*S10)&gt;1000,1000,(100*S9+100*S10))</f>
        <v>1000</v>
      </c>
      <c r="S282" s="152">
        <v>3.64</v>
      </c>
      <c r="T282" s="153">
        <v>3.27</v>
      </c>
    </row>
    <row r="283" spans="2:20" ht="28">
      <c r="B283" s="5" t="s">
        <v>688</v>
      </c>
      <c r="C283" s="45" t="s">
        <v>97</v>
      </c>
      <c r="D283" s="45" t="s">
        <v>689</v>
      </c>
      <c r="E283" s="6" t="s">
        <v>690</v>
      </c>
      <c r="F283" s="45" t="s">
        <v>187</v>
      </c>
      <c r="G283" s="46">
        <f t="shared" si="38"/>
        <v>500</v>
      </c>
      <c r="H283" s="46">
        <f>TRUNC(S283*(1-LOTE_01!$K$10),2)</f>
        <v>0.48</v>
      </c>
      <c r="I283" s="46">
        <f>TRUNC(T283*(1-LOTE_01!$K$10),2)</f>
        <v>1.63</v>
      </c>
      <c r="J283" s="100">
        <f t="shared" si="39"/>
        <v>0.22470000000000001</v>
      </c>
      <c r="K283" s="48">
        <f t="shared" si="33"/>
        <v>0.57999999999999996</v>
      </c>
      <c r="L283" s="48">
        <f t="shared" si="34"/>
        <v>1.99</v>
      </c>
      <c r="M283" s="48">
        <f t="shared" si="35"/>
        <v>290</v>
      </c>
      <c r="N283" s="48">
        <f t="shared" si="36"/>
        <v>995</v>
      </c>
      <c r="O283" s="50">
        <f t="shared" si="37"/>
        <v>1285</v>
      </c>
      <c r="P283" s="50">
        <v>0</v>
      </c>
      <c r="Q283" s="76"/>
      <c r="R283" s="140">
        <f>IF((50*S10+50*S9)&gt;500,500,(50*S10+50*S9))</f>
        <v>500</v>
      </c>
      <c r="S283" s="152">
        <v>0.48</v>
      </c>
      <c r="T283" s="153">
        <v>1.63</v>
      </c>
    </row>
    <row r="284" spans="2:20" ht="28">
      <c r="B284" s="5" t="s">
        <v>691</v>
      </c>
      <c r="C284" s="45" t="s">
        <v>97</v>
      </c>
      <c r="D284" s="45" t="s">
        <v>692</v>
      </c>
      <c r="E284" s="6" t="s">
        <v>693</v>
      </c>
      <c r="F284" s="45" t="s">
        <v>104</v>
      </c>
      <c r="G284" s="46">
        <f t="shared" si="38"/>
        <v>110</v>
      </c>
      <c r="H284" s="46">
        <f>TRUNC(S284*(1-LOTE_01!$K$10),2)</f>
        <v>6.93</v>
      </c>
      <c r="I284" s="46">
        <f>TRUNC(T284*(1-LOTE_01!$K$10),2)</f>
        <v>19.84</v>
      </c>
      <c r="J284" s="100">
        <f t="shared" si="39"/>
        <v>0.22470000000000001</v>
      </c>
      <c r="K284" s="48">
        <f t="shared" si="33"/>
        <v>8.48</v>
      </c>
      <c r="L284" s="48">
        <f t="shared" si="34"/>
        <v>24.29</v>
      </c>
      <c r="M284" s="48">
        <f t="shared" si="35"/>
        <v>932.8</v>
      </c>
      <c r="N284" s="48">
        <f t="shared" si="36"/>
        <v>2671.9</v>
      </c>
      <c r="O284" s="50">
        <f t="shared" si="37"/>
        <v>3604.7</v>
      </c>
      <c r="P284" s="50">
        <v>0</v>
      </c>
      <c r="Q284" s="76"/>
      <c r="R284" s="140">
        <f>10*S9+10*S10</f>
        <v>110</v>
      </c>
      <c r="S284" s="152">
        <v>6.93</v>
      </c>
      <c r="T284" s="153">
        <v>19.84</v>
      </c>
    </row>
    <row r="285" spans="2:20" ht="28">
      <c r="B285" s="5" t="s">
        <v>694</v>
      </c>
      <c r="C285" s="45" t="s">
        <v>97</v>
      </c>
      <c r="D285" s="45" t="s">
        <v>695</v>
      </c>
      <c r="E285" s="6" t="s">
        <v>696</v>
      </c>
      <c r="F285" s="45" t="s">
        <v>104</v>
      </c>
      <c r="G285" s="46">
        <f t="shared" si="38"/>
        <v>50</v>
      </c>
      <c r="H285" s="46">
        <f>TRUNC(S285*(1-LOTE_01!$K$10),2)</f>
        <v>54.55</v>
      </c>
      <c r="I285" s="46">
        <f>TRUNC(T285*(1-LOTE_01!$K$10),2)</f>
        <v>28.06</v>
      </c>
      <c r="J285" s="100">
        <f t="shared" si="39"/>
        <v>0.22470000000000001</v>
      </c>
      <c r="K285" s="48">
        <f t="shared" si="33"/>
        <v>66.8</v>
      </c>
      <c r="L285" s="48">
        <f t="shared" si="34"/>
        <v>34.36</v>
      </c>
      <c r="M285" s="48">
        <f t="shared" si="35"/>
        <v>3340</v>
      </c>
      <c r="N285" s="48">
        <f t="shared" si="36"/>
        <v>1718</v>
      </c>
      <c r="O285" s="50">
        <f t="shared" si="37"/>
        <v>5058</v>
      </c>
      <c r="P285" s="50">
        <v>0</v>
      </c>
      <c r="Q285" s="76"/>
      <c r="R285" s="140">
        <f>IF((5*S9+5*S10)&gt;50,50,(5*S9+5*S10))</f>
        <v>50</v>
      </c>
      <c r="S285" s="152">
        <v>54.55</v>
      </c>
      <c r="T285" s="153">
        <v>28.06</v>
      </c>
    </row>
    <row r="286" spans="2:20">
      <c r="B286" s="101" t="s">
        <v>47</v>
      </c>
      <c r="C286" s="102" t="s">
        <v>21</v>
      </c>
      <c r="D286" s="102" t="s">
        <v>21</v>
      </c>
      <c r="E286" s="103" t="s">
        <v>51</v>
      </c>
      <c r="F286" s="102" t="s">
        <v>21</v>
      </c>
      <c r="G286" s="46">
        <f t="shared" si="38"/>
        <v>0</v>
      </c>
      <c r="H286" s="46"/>
      <c r="I286" s="46"/>
      <c r="J286" s="105"/>
      <c r="K286" s="48">
        <f t="shared" si="33"/>
        <v>0</v>
      </c>
      <c r="L286" s="48">
        <f t="shared" si="34"/>
        <v>0</v>
      </c>
      <c r="M286" s="48">
        <f t="shared" si="35"/>
        <v>0</v>
      </c>
      <c r="N286" s="48">
        <f t="shared" si="36"/>
        <v>0</v>
      </c>
      <c r="O286" s="50">
        <f t="shared" si="37"/>
        <v>0</v>
      </c>
      <c r="P286" s="104">
        <f>SUM(O287:O310)</f>
        <v>454233.58999999985</v>
      </c>
      <c r="Q286" s="76"/>
      <c r="R286" s="154"/>
      <c r="S286" s="152" t="s">
        <v>22</v>
      </c>
      <c r="T286" s="153" t="s">
        <v>22</v>
      </c>
    </row>
    <row r="287" spans="2:20" ht="42">
      <c r="B287" s="5" t="s">
        <v>697</v>
      </c>
      <c r="C287" s="45" t="s">
        <v>135</v>
      </c>
      <c r="D287" s="45">
        <v>101094</v>
      </c>
      <c r="E287" s="6" t="s">
        <v>1810</v>
      </c>
      <c r="F287" s="45" t="s">
        <v>187</v>
      </c>
      <c r="G287" s="46">
        <f t="shared" si="38"/>
        <v>220</v>
      </c>
      <c r="H287" s="46">
        <f>TRUNC(S287*(1-LOTE_01!$K$10),2)</f>
        <v>199.07</v>
      </c>
      <c r="I287" s="46">
        <f>TRUNC(T287*(1-LOTE_01!$K$10),2)</f>
        <v>16.579999999999998</v>
      </c>
      <c r="J287" s="100">
        <f t="shared" si="39"/>
        <v>0.22470000000000001</v>
      </c>
      <c r="K287" s="48">
        <f t="shared" si="33"/>
        <v>243.8</v>
      </c>
      <c r="L287" s="48">
        <f t="shared" si="34"/>
        <v>20.3</v>
      </c>
      <c r="M287" s="48">
        <f t="shared" si="35"/>
        <v>53636</v>
      </c>
      <c r="N287" s="48">
        <f t="shared" si="36"/>
        <v>4466</v>
      </c>
      <c r="O287" s="50">
        <f t="shared" si="37"/>
        <v>58102</v>
      </c>
      <c r="P287" s="50">
        <v>0</v>
      </c>
      <c r="Q287" s="76"/>
      <c r="R287" s="140">
        <f>20*S9+20*S10</f>
        <v>220</v>
      </c>
      <c r="S287" s="152">
        <v>199.07</v>
      </c>
      <c r="T287" s="153">
        <v>16.579999999999998</v>
      </c>
    </row>
    <row r="288" spans="2:20" ht="28">
      <c r="B288" s="5" t="s">
        <v>698</v>
      </c>
      <c r="C288" s="45" t="s">
        <v>97</v>
      </c>
      <c r="D288" s="45" t="s">
        <v>699</v>
      </c>
      <c r="E288" s="6" t="s">
        <v>700</v>
      </c>
      <c r="F288" s="45" t="s">
        <v>187</v>
      </c>
      <c r="G288" s="46">
        <f t="shared" si="38"/>
        <v>324.5</v>
      </c>
      <c r="H288" s="46">
        <f>TRUNC(S288*(1-LOTE_01!$K$10),2)</f>
        <v>140.77000000000001</v>
      </c>
      <c r="I288" s="46">
        <f>TRUNC(T288*(1-LOTE_01!$K$10),2)</f>
        <v>22.34</v>
      </c>
      <c r="J288" s="100">
        <f t="shared" si="39"/>
        <v>0.22470000000000001</v>
      </c>
      <c r="K288" s="48">
        <f t="shared" si="33"/>
        <v>172.4</v>
      </c>
      <c r="L288" s="48">
        <f t="shared" si="34"/>
        <v>27.35</v>
      </c>
      <c r="M288" s="48">
        <f t="shared" si="35"/>
        <v>55943.8</v>
      </c>
      <c r="N288" s="48">
        <f t="shared" si="36"/>
        <v>8875.07</v>
      </c>
      <c r="O288" s="50">
        <f t="shared" si="37"/>
        <v>64818.87</v>
      </c>
      <c r="P288" s="50">
        <v>0</v>
      </c>
      <c r="Q288" s="76"/>
      <c r="R288" s="140">
        <f>((28+17+33+40)*0.25)*(S9+S10)</f>
        <v>324.5</v>
      </c>
      <c r="S288" s="152">
        <v>140.77000000000001</v>
      </c>
      <c r="T288" s="153">
        <v>22.34</v>
      </c>
    </row>
    <row r="289" spans="2:20" ht="28">
      <c r="B289" s="5" t="s">
        <v>701</v>
      </c>
      <c r="C289" s="45" t="s">
        <v>97</v>
      </c>
      <c r="D289" s="45" t="s">
        <v>702</v>
      </c>
      <c r="E289" s="6" t="s">
        <v>703</v>
      </c>
      <c r="F289" s="45" t="s">
        <v>187</v>
      </c>
      <c r="G289" s="46">
        <f t="shared" si="38"/>
        <v>352</v>
      </c>
      <c r="H289" s="46">
        <f>TRUNC(S289*(1-LOTE_01!$K$10),2)</f>
        <v>153.69</v>
      </c>
      <c r="I289" s="46">
        <f>TRUNC(T289*(1-LOTE_01!$K$10),2)</f>
        <v>22.34</v>
      </c>
      <c r="J289" s="100">
        <f t="shared" si="39"/>
        <v>0.22470000000000001</v>
      </c>
      <c r="K289" s="48">
        <f t="shared" si="33"/>
        <v>188.22</v>
      </c>
      <c r="L289" s="48">
        <f t="shared" si="34"/>
        <v>27.35</v>
      </c>
      <c r="M289" s="48">
        <f t="shared" si="35"/>
        <v>66253.440000000002</v>
      </c>
      <c r="N289" s="48">
        <f t="shared" si="36"/>
        <v>9627.2000000000007</v>
      </c>
      <c r="O289" s="50">
        <f t="shared" si="37"/>
        <v>75880.639999999999</v>
      </c>
      <c r="P289" s="50">
        <v>0</v>
      </c>
      <c r="Q289" s="76"/>
      <c r="R289" s="140">
        <f>((17+22+60+29)*0.25)*(S9+S10)</f>
        <v>352</v>
      </c>
      <c r="S289" s="152">
        <v>153.69</v>
      </c>
      <c r="T289" s="153">
        <v>22.34</v>
      </c>
    </row>
    <row r="290" spans="2:20" ht="28">
      <c r="B290" s="5" t="s">
        <v>704</v>
      </c>
      <c r="C290" s="45" t="s">
        <v>165</v>
      </c>
      <c r="D290" s="45" t="s">
        <v>705</v>
      </c>
      <c r="E290" s="6" t="s">
        <v>706</v>
      </c>
      <c r="F290" s="45" t="s">
        <v>168</v>
      </c>
      <c r="G290" s="46">
        <f t="shared" si="38"/>
        <v>220</v>
      </c>
      <c r="H290" s="46">
        <f>TRUNC(S290*(1-LOTE_01!$K$10),2)</f>
        <v>127.77</v>
      </c>
      <c r="I290" s="46">
        <f>TRUNC(T290*(1-LOTE_01!$K$10),2)</f>
        <v>22.39</v>
      </c>
      <c r="J290" s="100">
        <f t="shared" si="39"/>
        <v>0.22470000000000001</v>
      </c>
      <c r="K290" s="48">
        <f t="shared" si="33"/>
        <v>156.47</v>
      </c>
      <c r="L290" s="48">
        <f t="shared" si="34"/>
        <v>27.42</v>
      </c>
      <c r="M290" s="48">
        <f t="shared" si="35"/>
        <v>34423.4</v>
      </c>
      <c r="N290" s="48">
        <f t="shared" si="36"/>
        <v>6032.4</v>
      </c>
      <c r="O290" s="50">
        <f t="shared" si="37"/>
        <v>40455.800000000003</v>
      </c>
      <c r="P290" s="50">
        <v>0</v>
      </c>
      <c r="Q290" s="76"/>
      <c r="R290" s="140">
        <f>20*S9+20*S10</f>
        <v>220</v>
      </c>
      <c r="S290" s="152">
        <v>127.77</v>
      </c>
      <c r="T290" s="153">
        <v>22.39</v>
      </c>
    </row>
    <row r="291" spans="2:20" ht="42">
      <c r="B291" s="5" t="s">
        <v>707</v>
      </c>
      <c r="C291" s="45" t="s">
        <v>135</v>
      </c>
      <c r="D291" s="45">
        <v>104658</v>
      </c>
      <c r="E291" s="6" t="s">
        <v>708</v>
      </c>
      <c r="F291" s="45" t="s">
        <v>121</v>
      </c>
      <c r="G291" s="46">
        <f t="shared" si="38"/>
        <v>220</v>
      </c>
      <c r="H291" s="46">
        <f>TRUNC(S291*(1-LOTE_01!$K$10),2)</f>
        <v>230.55</v>
      </c>
      <c r="I291" s="46">
        <f>TRUNC(T291*(1-LOTE_01!$K$10),2)</f>
        <v>39.06</v>
      </c>
      <c r="J291" s="100">
        <f t="shared" si="39"/>
        <v>0.22470000000000001</v>
      </c>
      <c r="K291" s="48">
        <f t="shared" si="33"/>
        <v>282.35000000000002</v>
      </c>
      <c r="L291" s="48">
        <f t="shared" si="34"/>
        <v>47.83</v>
      </c>
      <c r="M291" s="48">
        <f t="shared" si="35"/>
        <v>62117</v>
      </c>
      <c r="N291" s="48">
        <f t="shared" si="36"/>
        <v>10522.6</v>
      </c>
      <c r="O291" s="50">
        <f t="shared" si="37"/>
        <v>72639.600000000006</v>
      </c>
      <c r="P291" s="50">
        <v>0</v>
      </c>
      <c r="Q291" s="76"/>
      <c r="R291" s="140">
        <f>20*S9+20*S10</f>
        <v>220</v>
      </c>
      <c r="S291" s="152">
        <v>230.55</v>
      </c>
      <c r="T291" s="153">
        <v>39.06</v>
      </c>
    </row>
    <row r="292" spans="2:20" ht="84">
      <c r="B292" s="5" t="s">
        <v>709</v>
      </c>
      <c r="C292" s="45" t="s">
        <v>97</v>
      </c>
      <c r="D292" s="45" t="s">
        <v>710</v>
      </c>
      <c r="E292" s="6" t="s">
        <v>711</v>
      </c>
      <c r="F292" s="45" t="s">
        <v>104</v>
      </c>
      <c r="G292" s="46">
        <f t="shared" si="38"/>
        <v>11</v>
      </c>
      <c r="H292" s="46">
        <f>TRUNC(S292*(1-LOTE_01!$K$10),2)</f>
        <v>201.93</v>
      </c>
      <c r="I292" s="46">
        <f>TRUNC(T292*(1-LOTE_01!$K$10),2)</f>
        <v>3.27</v>
      </c>
      <c r="J292" s="100">
        <f t="shared" si="39"/>
        <v>0.22470000000000001</v>
      </c>
      <c r="K292" s="48">
        <f t="shared" si="33"/>
        <v>247.3</v>
      </c>
      <c r="L292" s="48">
        <f t="shared" si="34"/>
        <v>4</v>
      </c>
      <c r="M292" s="48">
        <f t="shared" si="35"/>
        <v>2720.3</v>
      </c>
      <c r="N292" s="48">
        <f t="shared" si="36"/>
        <v>44</v>
      </c>
      <c r="O292" s="50">
        <f t="shared" si="37"/>
        <v>2764.3</v>
      </c>
      <c r="P292" s="50">
        <v>0</v>
      </c>
      <c r="Q292" s="76"/>
      <c r="R292" s="140">
        <f>1*S9+1*S10</f>
        <v>11</v>
      </c>
      <c r="S292" s="152">
        <v>201.93</v>
      </c>
      <c r="T292" s="153">
        <v>3.27</v>
      </c>
    </row>
    <row r="293" spans="2:20" ht="56">
      <c r="B293" s="5" t="s">
        <v>712</v>
      </c>
      <c r="C293" s="45" t="s">
        <v>97</v>
      </c>
      <c r="D293" s="45" t="s">
        <v>713</v>
      </c>
      <c r="E293" s="6" t="s">
        <v>714</v>
      </c>
      <c r="F293" s="45" t="s">
        <v>104</v>
      </c>
      <c r="G293" s="46">
        <f t="shared" si="38"/>
        <v>55</v>
      </c>
      <c r="H293" s="46">
        <f>TRUNC(S293*(1-LOTE_01!$K$10),2)</f>
        <v>14.24</v>
      </c>
      <c r="I293" s="46">
        <f>TRUNC(T293*(1-LOTE_01!$K$10),2)</f>
        <v>0.81</v>
      </c>
      <c r="J293" s="100">
        <f t="shared" si="39"/>
        <v>0.22470000000000001</v>
      </c>
      <c r="K293" s="48">
        <f t="shared" si="33"/>
        <v>17.43</v>
      </c>
      <c r="L293" s="48">
        <f t="shared" si="34"/>
        <v>0.99</v>
      </c>
      <c r="M293" s="48">
        <f t="shared" si="35"/>
        <v>958.65</v>
      </c>
      <c r="N293" s="48">
        <f t="shared" si="36"/>
        <v>54.45</v>
      </c>
      <c r="O293" s="50">
        <f t="shared" si="37"/>
        <v>1013.1</v>
      </c>
      <c r="P293" s="50">
        <v>0</v>
      </c>
      <c r="Q293" s="76"/>
      <c r="R293" s="140">
        <f>5*S9+5*S10</f>
        <v>55</v>
      </c>
      <c r="S293" s="152">
        <v>14.24</v>
      </c>
      <c r="T293" s="153">
        <v>0.81</v>
      </c>
    </row>
    <row r="294" spans="2:20" ht="70">
      <c r="B294" s="5" t="s">
        <v>715</v>
      </c>
      <c r="C294" s="45" t="s">
        <v>97</v>
      </c>
      <c r="D294" s="45" t="s">
        <v>716</v>
      </c>
      <c r="E294" s="6" t="s">
        <v>717</v>
      </c>
      <c r="F294" s="45" t="s">
        <v>104</v>
      </c>
      <c r="G294" s="46">
        <f t="shared" si="38"/>
        <v>22</v>
      </c>
      <c r="H294" s="46">
        <f>TRUNC(S294*(1-LOTE_01!$K$10),2)</f>
        <v>225.49</v>
      </c>
      <c r="I294" s="46">
        <f>TRUNC(T294*(1-LOTE_01!$K$10),2)</f>
        <v>3.27</v>
      </c>
      <c r="J294" s="100">
        <f t="shared" si="39"/>
        <v>0.22470000000000001</v>
      </c>
      <c r="K294" s="48">
        <f t="shared" si="33"/>
        <v>276.14999999999998</v>
      </c>
      <c r="L294" s="48">
        <f t="shared" si="34"/>
        <v>4</v>
      </c>
      <c r="M294" s="48">
        <f t="shared" si="35"/>
        <v>6075.3</v>
      </c>
      <c r="N294" s="48">
        <f t="shared" si="36"/>
        <v>88</v>
      </c>
      <c r="O294" s="50">
        <f t="shared" si="37"/>
        <v>6163.3</v>
      </c>
      <c r="P294" s="50">
        <v>0</v>
      </c>
      <c r="Q294" s="76"/>
      <c r="R294" s="140">
        <f>2*S9+2*S10</f>
        <v>22</v>
      </c>
      <c r="S294" s="152">
        <v>225.49</v>
      </c>
      <c r="T294" s="153">
        <v>3.27</v>
      </c>
    </row>
    <row r="295" spans="2:20" ht="56">
      <c r="B295" s="5" t="s">
        <v>718</v>
      </c>
      <c r="C295" s="45" t="s">
        <v>97</v>
      </c>
      <c r="D295" s="45" t="s">
        <v>719</v>
      </c>
      <c r="E295" s="6" t="s">
        <v>720</v>
      </c>
      <c r="F295" s="45" t="s">
        <v>104</v>
      </c>
      <c r="G295" s="46">
        <f t="shared" si="38"/>
        <v>22</v>
      </c>
      <c r="H295" s="46">
        <f>TRUNC(S295*(1-LOTE_01!$K$10),2)</f>
        <v>26.45</v>
      </c>
      <c r="I295" s="46">
        <f>TRUNC(T295*(1-LOTE_01!$K$10),2)</f>
        <v>4.71</v>
      </c>
      <c r="J295" s="100">
        <f t="shared" si="39"/>
        <v>0.22470000000000001</v>
      </c>
      <c r="K295" s="48">
        <f t="shared" si="33"/>
        <v>32.39</v>
      </c>
      <c r="L295" s="48">
        <f t="shared" si="34"/>
        <v>5.76</v>
      </c>
      <c r="M295" s="48">
        <f t="shared" si="35"/>
        <v>712.58</v>
      </c>
      <c r="N295" s="48">
        <f t="shared" si="36"/>
        <v>126.72</v>
      </c>
      <c r="O295" s="50">
        <f t="shared" si="37"/>
        <v>839.3</v>
      </c>
      <c r="P295" s="50">
        <v>0</v>
      </c>
      <c r="Q295" s="76"/>
      <c r="R295" s="140">
        <f>2*S9+2*S10</f>
        <v>22</v>
      </c>
      <c r="S295" s="152">
        <v>26.45</v>
      </c>
      <c r="T295" s="153">
        <v>4.71</v>
      </c>
    </row>
    <row r="296" spans="2:20" ht="42">
      <c r="B296" s="5" t="s">
        <v>721</v>
      </c>
      <c r="C296" s="45" t="s">
        <v>97</v>
      </c>
      <c r="D296" s="45" t="s">
        <v>722</v>
      </c>
      <c r="E296" s="6" t="s">
        <v>723</v>
      </c>
      <c r="F296" s="45" t="s">
        <v>104</v>
      </c>
      <c r="G296" s="46">
        <f t="shared" si="38"/>
        <v>22</v>
      </c>
      <c r="H296" s="46">
        <f>TRUNC(S296*(1-LOTE_01!$K$10),2)</f>
        <v>42.91</v>
      </c>
      <c r="I296" s="46">
        <f>TRUNC(T296*(1-LOTE_01!$K$10),2)</f>
        <v>4.71</v>
      </c>
      <c r="J296" s="100">
        <f t="shared" si="39"/>
        <v>0.22470000000000001</v>
      </c>
      <c r="K296" s="48">
        <f t="shared" si="33"/>
        <v>52.55</v>
      </c>
      <c r="L296" s="48">
        <f t="shared" si="34"/>
        <v>5.76</v>
      </c>
      <c r="M296" s="48">
        <f t="shared" si="35"/>
        <v>1156.0999999999999</v>
      </c>
      <c r="N296" s="48">
        <f t="shared" si="36"/>
        <v>126.72</v>
      </c>
      <c r="O296" s="50">
        <f t="shared" si="37"/>
        <v>1282.82</v>
      </c>
      <c r="P296" s="50">
        <v>0</v>
      </c>
      <c r="Q296" s="76"/>
      <c r="R296" s="140">
        <f>2*S9+2*S10</f>
        <v>22</v>
      </c>
      <c r="S296" s="152">
        <v>42.91</v>
      </c>
      <c r="T296" s="153">
        <v>4.71</v>
      </c>
    </row>
    <row r="297" spans="2:20" ht="56">
      <c r="B297" s="5" t="s">
        <v>724</v>
      </c>
      <c r="C297" s="45" t="s">
        <v>135</v>
      </c>
      <c r="D297" s="45">
        <v>100868</v>
      </c>
      <c r="E297" s="6" t="s">
        <v>1811</v>
      </c>
      <c r="F297" s="45" t="s">
        <v>210</v>
      </c>
      <c r="G297" s="46">
        <f t="shared" si="38"/>
        <v>11</v>
      </c>
      <c r="H297" s="46">
        <f>TRUNC(S297*(1-LOTE_01!$K$10),2)</f>
        <v>286.12</v>
      </c>
      <c r="I297" s="46">
        <f>TRUNC(T297*(1-LOTE_01!$K$10),2)</f>
        <v>28.15</v>
      </c>
      <c r="J297" s="100">
        <f t="shared" si="39"/>
        <v>0.22470000000000001</v>
      </c>
      <c r="K297" s="48">
        <f t="shared" si="33"/>
        <v>350.41</v>
      </c>
      <c r="L297" s="48">
        <f t="shared" si="34"/>
        <v>34.47</v>
      </c>
      <c r="M297" s="48">
        <f t="shared" si="35"/>
        <v>3854.51</v>
      </c>
      <c r="N297" s="48">
        <f t="shared" si="36"/>
        <v>379.17</v>
      </c>
      <c r="O297" s="50">
        <f t="shared" si="37"/>
        <v>4233.68</v>
      </c>
      <c r="P297" s="50">
        <v>0</v>
      </c>
      <c r="Q297" s="76"/>
      <c r="R297" s="140">
        <f>1*S9+1*S10</f>
        <v>11</v>
      </c>
      <c r="S297" s="152">
        <v>286.12</v>
      </c>
      <c r="T297" s="153">
        <v>28.15</v>
      </c>
    </row>
    <row r="298" spans="2:20" ht="56">
      <c r="B298" s="5" t="s">
        <v>725</v>
      </c>
      <c r="C298" s="45" t="s">
        <v>135</v>
      </c>
      <c r="D298" s="45">
        <v>100871</v>
      </c>
      <c r="E298" s="6" t="s">
        <v>1812</v>
      </c>
      <c r="F298" s="45" t="s">
        <v>210</v>
      </c>
      <c r="G298" s="46">
        <f t="shared" si="38"/>
        <v>11</v>
      </c>
      <c r="H298" s="46">
        <f>TRUNC(S298*(1-LOTE_01!$K$10),2)</f>
        <v>313.23</v>
      </c>
      <c r="I298" s="46">
        <f>TRUNC(T298*(1-LOTE_01!$K$10),2)</f>
        <v>27.27</v>
      </c>
      <c r="J298" s="100">
        <f t="shared" si="39"/>
        <v>0.22470000000000001</v>
      </c>
      <c r="K298" s="48">
        <f t="shared" si="33"/>
        <v>383.61</v>
      </c>
      <c r="L298" s="48">
        <f t="shared" si="34"/>
        <v>33.39</v>
      </c>
      <c r="M298" s="48">
        <f t="shared" si="35"/>
        <v>4219.71</v>
      </c>
      <c r="N298" s="48">
        <f t="shared" si="36"/>
        <v>367.29</v>
      </c>
      <c r="O298" s="50">
        <f t="shared" si="37"/>
        <v>4587</v>
      </c>
      <c r="P298" s="50">
        <v>0</v>
      </c>
      <c r="Q298" s="76"/>
      <c r="R298" s="140">
        <f>1*S9+1*S10</f>
        <v>11</v>
      </c>
      <c r="S298" s="152">
        <v>313.23</v>
      </c>
      <c r="T298" s="153">
        <v>27.27</v>
      </c>
    </row>
    <row r="299" spans="2:20" ht="56">
      <c r="B299" s="5" t="s">
        <v>726</v>
      </c>
      <c r="C299" s="45" t="s">
        <v>135</v>
      </c>
      <c r="D299" s="45">
        <v>100866</v>
      </c>
      <c r="E299" s="6" t="s">
        <v>1813</v>
      </c>
      <c r="F299" s="45" t="s">
        <v>210</v>
      </c>
      <c r="G299" s="46">
        <f t="shared" si="38"/>
        <v>22</v>
      </c>
      <c r="H299" s="46">
        <f>TRUNC(S299*(1-LOTE_01!$K$10),2)</f>
        <v>259.43</v>
      </c>
      <c r="I299" s="46">
        <f>TRUNC(T299*(1-LOTE_01!$K$10),2)</f>
        <v>28.02</v>
      </c>
      <c r="J299" s="100">
        <f t="shared" si="39"/>
        <v>0.22470000000000001</v>
      </c>
      <c r="K299" s="48">
        <f t="shared" si="33"/>
        <v>317.72000000000003</v>
      </c>
      <c r="L299" s="48">
        <f t="shared" si="34"/>
        <v>34.31</v>
      </c>
      <c r="M299" s="48">
        <f t="shared" si="35"/>
        <v>6989.84</v>
      </c>
      <c r="N299" s="48">
        <f t="shared" si="36"/>
        <v>754.82</v>
      </c>
      <c r="O299" s="50">
        <f t="shared" si="37"/>
        <v>7744.66</v>
      </c>
      <c r="P299" s="50">
        <v>0</v>
      </c>
      <c r="Q299" s="76"/>
      <c r="R299" s="140">
        <f>2*S9+2*S10</f>
        <v>22</v>
      </c>
      <c r="S299" s="152">
        <v>259.43</v>
      </c>
      <c r="T299" s="153">
        <v>28.02</v>
      </c>
    </row>
    <row r="300" spans="2:20" ht="112">
      <c r="B300" s="5" t="s">
        <v>727</v>
      </c>
      <c r="C300" s="45" t="s">
        <v>97</v>
      </c>
      <c r="D300" s="45" t="s">
        <v>728</v>
      </c>
      <c r="E300" s="6" t="s">
        <v>729</v>
      </c>
      <c r="F300" s="45" t="s">
        <v>104</v>
      </c>
      <c r="G300" s="46">
        <f t="shared" si="38"/>
        <v>10</v>
      </c>
      <c r="H300" s="46">
        <f>TRUNC(S300*(1-LOTE_01!$K$10),2)</f>
        <v>546.16</v>
      </c>
      <c r="I300" s="46">
        <f>TRUNC(T300*(1-LOTE_01!$K$10),2)</f>
        <v>7.08</v>
      </c>
      <c r="J300" s="100">
        <f t="shared" si="39"/>
        <v>0.22470000000000001</v>
      </c>
      <c r="K300" s="48">
        <f t="shared" si="33"/>
        <v>668.88</v>
      </c>
      <c r="L300" s="48">
        <f t="shared" si="34"/>
        <v>8.67</v>
      </c>
      <c r="M300" s="48">
        <f t="shared" si="35"/>
        <v>6688.8</v>
      </c>
      <c r="N300" s="48">
        <f t="shared" si="36"/>
        <v>86.7</v>
      </c>
      <c r="O300" s="50">
        <f t="shared" si="37"/>
        <v>6775.5</v>
      </c>
      <c r="P300" s="50">
        <v>0</v>
      </c>
      <c r="Q300" s="76"/>
      <c r="R300" s="140">
        <f>IF((1*S9+1*S10)&gt;10,10,(1*S9+1*S10))</f>
        <v>10</v>
      </c>
      <c r="S300" s="152">
        <v>546.16</v>
      </c>
      <c r="T300" s="153">
        <v>7.08</v>
      </c>
    </row>
    <row r="301" spans="2:20" ht="42">
      <c r="B301" s="5" t="s">
        <v>730</v>
      </c>
      <c r="C301" s="45" t="s">
        <v>97</v>
      </c>
      <c r="D301" s="45" t="s">
        <v>731</v>
      </c>
      <c r="E301" s="6" t="s">
        <v>732</v>
      </c>
      <c r="F301" s="45" t="s">
        <v>104</v>
      </c>
      <c r="G301" s="46">
        <f t="shared" si="38"/>
        <v>11</v>
      </c>
      <c r="H301" s="46">
        <f>TRUNC(S301*(1-LOTE_01!$K$10),2)</f>
        <v>790</v>
      </c>
      <c r="I301" s="46">
        <f>TRUNC(T301*(1-LOTE_01!$K$10),2)</f>
        <v>0</v>
      </c>
      <c r="J301" s="100">
        <f t="shared" si="39"/>
        <v>0.22470000000000001</v>
      </c>
      <c r="K301" s="48">
        <f t="shared" si="33"/>
        <v>967.51</v>
      </c>
      <c r="L301" s="48">
        <f t="shared" si="34"/>
        <v>0</v>
      </c>
      <c r="M301" s="48">
        <f t="shared" si="35"/>
        <v>10642.61</v>
      </c>
      <c r="N301" s="48">
        <f t="shared" si="36"/>
        <v>0</v>
      </c>
      <c r="O301" s="50">
        <f t="shared" si="37"/>
        <v>10642.61</v>
      </c>
      <c r="P301" s="50">
        <v>0</v>
      </c>
      <c r="Q301" s="76"/>
      <c r="R301" s="140">
        <f>1*S9+1*S10</f>
        <v>11</v>
      </c>
      <c r="S301" s="152">
        <v>790</v>
      </c>
      <c r="T301" s="153">
        <v>0</v>
      </c>
    </row>
    <row r="302" spans="2:20" ht="42">
      <c r="B302" s="5" t="s">
        <v>733</v>
      </c>
      <c r="C302" s="45" t="s">
        <v>97</v>
      </c>
      <c r="D302" s="45" t="s">
        <v>734</v>
      </c>
      <c r="E302" s="6" t="s">
        <v>735</v>
      </c>
      <c r="F302" s="45" t="s">
        <v>104</v>
      </c>
      <c r="G302" s="46">
        <f t="shared" si="38"/>
        <v>10</v>
      </c>
      <c r="H302" s="46">
        <f>TRUNC(S302*(1-LOTE_01!$K$10),2)</f>
        <v>2668.79</v>
      </c>
      <c r="I302" s="46">
        <f>TRUNC(T302*(1-LOTE_01!$K$10),2)</f>
        <v>0</v>
      </c>
      <c r="J302" s="100">
        <f t="shared" si="39"/>
        <v>0.22470000000000001</v>
      </c>
      <c r="K302" s="48">
        <f t="shared" si="33"/>
        <v>3268.46</v>
      </c>
      <c r="L302" s="48">
        <f t="shared" si="34"/>
        <v>0</v>
      </c>
      <c r="M302" s="48">
        <f t="shared" si="35"/>
        <v>32684.6</v>
      </c>
      <c r="N302" s="48">
        <f t="shared" si="36"/>
        <v>0</v>
      </c>
      <c r="O302" s="50">
        <f t="shared" si="37"/>
        <v>32684.6</v>
      </c>
      <c r="P302" s="50">
        <v>0</v>
      </c>
      <c r="Q302" s="76"/>
      <c r="R302" s="140">
        <f>IF((1*S9+1*S10)&gt;10,10,(1*S9+1*S10))</f>
        <v>10</v>
      </c>
      <c r="S302" s="152">
        <v>2668.79</v>
      </c>
      <c r="T302" s="153">
        <v>0</v>
      </c>
    </row>
    <row r="303" spans="2:20">
      <c r="B303" s="5" t="s">
        <v>736</v>
      </c>
      <c r="C303" s="45" t="s">
        <v>97</v>
      </c>
      <c r="D303" s="45" t="s">
        <v>737</v>
      </c>
      <c r="E303" s="6" t="s">
        <v>738</v>
      </c>
      <c r="F303" s="45" t="s">
        <v>104</v>
      </c>
      <c r="G303" s="46">
        <f t="shared" si="38"/>
        <v>10</v>
      </c>
      <c r="H303" s="46">
        <f>TRUNC(S303*(1-LOTE_01!$K$10),2)</f>
        <v>1474.7</v>
      </c>
      <c r="I303" s="46">
        <f>TRUNC(T303*(1-LOTE_01!$K$10),2)</f>
        <v>3.27</v>
      </c>
      <c r="J303" s="100">
        <f t="shared" si="39"/>
        <v>0.22470000000000001</v>
      </c>
      <c r="K303" s="48">
        <f t="shared" si="33"/>
        <v>1806.06</v>
      </c>
      <c r="L303" s="48">
        <f t="shared" si="34"/>
        <v>4</v>
      </c>
      <c r="M303" s="48">
        <f t="shared" si="35"/>
        <v>18060.599999999999</v>
      </c>
      <c r="N303" s="48">
        <f t="shared" si="36"/>
        <v>40</v>
      </c>
      <c r="O303" s="50">
        <f t="shared" si="37"/>
        <v>18100.599999999999</v>
      </c>
      <c r="P303" s="50">
        <v>0</v>
      </c>
      <c r="Q303" s="76"/>
      <c r="R303" s="140">
        <f>IF((1*S9+1*S10)&gt;10,10,(1*S9+1*S10))</f>
        <v>10</v>
      </c>
      <c r="S303" s="152">
        <v>1474.7</v>
      </c>
      <c r="T303" s="153">
        <v>3.27</v>
      </c>
    </row>
    <row r="304" spans="2:20" ht="42">
      <c r="B304" s="5" t="s">
        <v>739</v>
      </c>
      <c r="C304" s="45" t="s">
        <v>97</v>
      </c>
      <c r="D304" s="45" t="s">
        <v>740</v>
      </c>
      <c r="E304" s="6" t="s">
        <v>741</v>
      </c>
      <c r="F304" s="45" t="s">
        <v>104</v>
      </c>
      <c r="G304" s="46">
        <f t="shared" si="38"/>
        <v>44</v>
      </c>
      <c r="H304" s="46">
        <f>TRUNC(S304*(1-LOTE_01!$K$10),2)</f>
        <v>66.3</v>
      </c>
      <c r="I304" s="46">
        <f>TRUNC(T304*(1-LOTE_01!$K$10),2)</f>
        <v>0</v>
      </c>
      <c r="J304" s="100">
        <f t="shared" si="39"/>
        <v>0.22470000000000001</v>
      </c>
      <c r="K304" s="48">
        <f t="shared" si="33"/>
        <v>81.19</v>
      </c>
      <c r="L304" s="48">
        <f t="shared" si="34"/>
        <v>0</v>
      </c>
      <c r="M304" s="48">
        <f t="shared" si="35"/>
        <v>3572.36</v>
      </c>
      <c r="N304" s="48">
        <f t="shared" si="36"/>
        <v>0</v>
      </c>
      <c r="O304" s="50">
        <f t="shared" si="37"/>
        <v>3572.36</v>
      </c>
      <c r="P304" s="50">
        <v>0</v>
      </c>
      <c r="Q304" s="76"/>
      <c r="R304" s="140">
        <f>4*S9+4*S10</f>
        <v>44</v>
      </c>
      <c r="S304" s="152">
        <v>66.3</v>
      </c>
      <c r="T304" s="153">
        <v>0</v>
      </c>
    </row>
    <row r="305" spans="2:20" ht="84">
      <c r="B305" s="5" t="s">
        <v>742</v>
      </c>
      <c r="C305" s="45" t="s">
        <v>97</v>
      </c>
      <c r="D305" s="45" t="s">
        <v>743</v>
      </c>
      <c r="E305" s="6" t="s">
        <v>744</v>
      </c>
      <c r="F305" s="45" t="s">
        <v>104</v>
      </c>
      <c r="G305" s="46">
        <f t="shared" si="38"/>
        <v>10</v>
      </c>
      <c r="H305" s="46">
        <f>TRUNC(S305*(1-LOTE_01!$K$10),2)</f>
        <v>75.489999999999995</v>
      </c>
      <c r="I305" s="46">
        <f>TRUNC(T305*(1-LOTE_01!$K$10),2)</f>
        <v>3.27</v>
      </c>
      <c r="J305" s="100">
        <f t="shared" si="39"/>
        <v>0.22470000000000001</v>
      </c>
      <c r="K305" s="48">
        <f t="shared" si="33"/>
        <v>92.45</v>
      </c>
      <c r="L305" s="48">
        <f t="shared" si="34"/>
        <v>4</v>
      </c>
      <c r="M305" s="48">
        <f t="shared" si="35"/>
        <v>924.5</v>
      </c>
      <c r="N305" s="48">
        <f t="shared" si="36"/>
        <v>40</v>
      </c>
      <c r="O305" s="50">
        <f t="shared" si="37"/>
        <v>964.5</v>
      </c>
      <c r="P305" s="50">
        <v>0</v>
      </c>
      <c r="Q305" s="76"/>
      <c r="R305" s="140">
        <f>IF((1*S9+1*S10)&gt;10,10,(1*S9+1*S10))</f>
        <v>10</v>
      </c>
      <c r="S305" s="152">
        <v>75.489999999999995</v>
      </c>
      <c r="T305" s="153">
        <v>3.27</v>
      </c>
    </row>
    <row r="306" spans="2:20" ht="98">
      <c r="B306" s="5" t="s">
        <v>745</v>
      </c>
      <c r="C306" s="45" t="s">
        <v>97</v>
      </c>
      <c r="D306" s="45" t="s">
        <v>746</v>
      </c>
      <c r="E306" s="6" t="s">
        <v>747</v>
      </c>
      <c r="F306" s="45" t="s">
        <v>104</v>
      </c>
      <c r="G306" s="46">
        <f t="shared" si="38"/>
        <v>11</v>
      </c>
      <c r="H306" s="46">
        <f>TRUNC(S306*(1-LOTE_01!$K$10),2)</f>
        <v>64.39</v>
      </c>
      <c r="I306" s="46">
        <f>TRUNC(T306*(1-LOTE_01!$K$10),2)</f>
        <v>0</v>
      </c>
      <c r="J306" s="100">
        <f t="shared" si="39"/>
        <v>0.22470000000000001</v>
      </c>
      <c r="K306" s="48">
        <f t="shared" si="33"/>
        <v>78.849999999999994</v>
      </c>
      <c r="L306" s="48">
        <f t="shared" si="34"/>
        <v>0</v>
      </c>
      <c r="M306" s="48">
        <f t="shared" si="35"/>
        <v>867.35</v>
      </c>
      <c r="N306" s="48">
        <f t="shared" si="36"/>
        <v>0</v>
      </c>
      <c r="O306" s="50">
        <f t="shared" si="37"/>
        <v>867.35</v>
      </c>
      <c r="P306" s="50">
        <v>0</v>
      </c>
      <c r="Q306" s="76"/>
      <c r="R306" s="140">
        <f>S9+S10</f>
        <v>11</v>
      </c>
      <c r="S306" s="152">
        <v>64.39</v>
      </c>
      <c r="T306" s="153">
        <v>0</v>
      </c>
    </row>
    <row r="307" spans="2:20" ht="84">
      <c r="B307" s="5" t="s">
        <v>748</v>
      </c>
      <c r="C307" s="45" t="s">
        <v>97</v>
      </c>
      <c r="D307" s="45" t="s">
        <v>749</v>
      </c>
      <c r="E307" s="6" t="s">
        <v>750</v>
      </c>
      <c r="F307" s="45" t="s">
        <v>104</v>
      </c>
      <c r="G307" s="46">
        <f t="shared" si="38"/>
        <v>10</v>
      </c>
      <c r="H307" s="46">
        <f>TRUNC(S307*(1-LOTE_01!$K$10),2)</f>
        <v>723.02</v>
      </c>
      <c r="I307" s="46">
        <f>TRUNC(T307*(1-LOTE_01!$K$10),2)</f>
        <v>26.78</v>
      </c>
      <c r="J307" s="100">
        <f t="shared" si="39"/>
        <v>0.22470000000000001</v>
      </c>
      <c r="K307" s="48">
        <f t="shared" si="33"/>
        <v>885.48</v>
      </c>
      <c r="L307" s="48">
        <f t="shared" si="34"/>
        <v>32.79</v>
      </c>
      <c r="M307" s="48">
        <f t="shared" si="35"/>
        <v>8854.7999999999993</v>
      </c>
      <c r="N307" s="48">
        <f t="shared" si="36"/>
        <v>327.9</v>
      </c>
      <c r="O307" s="50">
        <f t="shared" si="37"/>
        <v>9182.7000000000007</v>
      </c>
      <c r="P307" s="50">
        <v>0</v>
      </c>
      <c r="Q307" s="76"/>
      <c r="R307" s="140">
        <f>IF((1*S9+1*S10)&gt;10,10,(1*S9+1*S10))</f>
        <v>10</v>
      </c>
      <c r="S307" s="152">
        <v>723.02</v>
      </c>
      <c r="T307" s="153">
        <v>26.78</v>
      </c>
    </row>
    <row r="308" spans="2:20" ht="70">
      <c r="B308" s="5" t="s">
        <v>751</v>
      </c>
      <c r="C308" s="45" t="s">
        <v>97</v>
      </c>
      <c r="D308" s="45" t="s">
        <v>752</v>
      </c>
      <c r="E308" s="6" t="s">
        <v>753</v>
      </c>
      <c r="F308" s="45" t="s">
        <v>104</v>
      </c>
      <c r="G308" s="46">
        <f t="shared" si="38"/>
        <v>10</v>
      </c>
      <c r="H308" s="46">
        <f>TRUNC(S308*(1-LOTE_01!$K$10),2)</f>
        <v>301.22000000000003</v>
      </c>
      <c r="I308" s="46">
        <f>TRUNC(T308*(1-LOTE_01!$K$10),2)</f>
        <v>11.86</v>
      </c>
      <c r="J308" s="100">
        <f t="shared" si="39"/>
        <v>0.22470000000000001</v>
      </c>
      <c r="K308" s="48">
        <f t="shared" si="33"/>
        <v>368.9</v>
      </c>
      <c r="L308" s="48">
        <f t="shared" si="34"/>
        <v>14.52</v>
      </c>
      <c r="M308" s="48">
        <f t="shared" si="35"/>
        <v>3689</v>
      </c>
      <c r="N308" s="48">
        <f t="shared" si="36"/>
        <v>145.19999999999999</v>
      </c>
      <c r="O308" s="50">
        <f t="shared" si="37"/>
        <v>3834.2</v>
      </c>
      <c r="P308" s="50">
        <v>0</v>
      </c>
      <c r="Q308" s="76"/>
      <c r="R308" s="140">
        <f>IF((1*S9+1*S10)&gt;10,10,(1*S9+1*S10))</f>
        <v>10</v>
      </c>
      <c r="S308" s="152">
        <v>301.22000000000003</v>
      </c>
      <c r="T308" s="153">
        <v>11.86</v>
      </c>
    </row>
    <row r="309" spans="2:20" ht="28">
      <c r="B309" s="5" t="s">
        <v>754</v>
      </c>
      <c r="C309" s="45" t="s">
        <v>97</v>
      </c>
      <c r="D309" s="45" t="s">
        <v>755</v>
      </c>
      <c r="E309" s="6" t="s">
        <v>756</v>
      </c>
      <c r="F309" s="45" t="s">
        <v>187</v>
      </c>
      <c r="G309" s="46">
        <f t="shared" si="38"/>
        <v>50</v>
      </c>
      <c r="H309" s="46">
        <f>TRUNC(S309*(1-LOTE_01!$K$10),2)</f>
        <v>276.8</v>
      </c>
      <c r="I309" s="46">
        <f>TRUNC(T309*(1-LOTE_01!$K$10),2)</f>
        <v>39.97</v>
      </c>
      <c r="J309" s="100">
        <f t="shared" si="39"/>
        <v>0.22470000000000001</v>
      </c>
      <c r="K309" s="48">
        <f t="shared" si="33"/>
        <v>338.99</v>
      </c>
      <c r="L309" s="48">
        <f t="shared" si="34"/>
        <v>48.95</v>
      </c>
      <c r="M309" s="48">
        <f t="shared" si="35"/>
        <v>16949.5</v>
      </c>
      <c r="N309" s="48">
        <f t="shared" si="36"/>
        <v>2447.5</v>
      </c>
      <c r="O309" s="50">
        <f t="shared" si="37"/>
        <v>19397</v>
      </c>
      <c r="P309" s="50">
        <v>0</v>
      </c>
      <c r="Q309" s="76"/>
      <c r="R309" s="140">
        <f>IF((10*S9+10*S10)&gt;50,50,(10*S9+10*S10))</f>
        <v>50</v>
      </c>
      <c r="S309" s="152">
        <v>276.8</v>
      </c>
      <c r="T309" s="153">
        <v>39.97</v>
      </c>
    </row>
    <row r="310" spans="2:20" ht="84">
      <c r="B310" s="5" t="s">
        <v>757</v>
      </c>
      <c r="C310" s="45" t="s">
        <v>97</v>
      </c>
      <c r="D310" s="45" t="s">
        <v>758</v>
      </c>
      <c r="E310" s="6" t="s">
        <v>759</v>
      </c>
      <c r="F310" s="45" t="s">
        <v>104</v>
      </c>
      <c r="G310" s="46">
        <f t="shared" si="38"/>
        <v>10</v>
      </c>
      <c r="H310" s="46">
        <f>TRUNC(S310*(1-LOTE_01!$K$10),2)</f>
        <v>612.16</v>
      </c>
      <c r="I310" s="46">
        <f>TRUNC(T310*(1-LOTE_01!$K$10),2)</f>
        <v>15.52</v>
      </c>
      <c r="J310" s="100">
        <f t="shared" si="39"/>
        <v>0.22470000000000001</v>
      </c>
      <c r="K310" s="48">
        <f t="shared" si="33"/>
        <v>749.71</v>
      </c>
      <c r="L310" s="48">
        <f t="shared" si="34"/>
        <v>19</v>
      </c>
      <c r="M310" s="48">
        <f t="shared" si="35"/>
        <v>7497.1</v>
      </c>
      <c r="N310" s="48">
        <f t="shared" si="36"/>
        <v>190</v>
      </c>
      <c r="O310" s="50">
        <f t="shared" si="37"/>
        <v>7687.1</v>
      </c>
      <c r="P310" s="50">
        <v>0</v>
      </c>
      <c r="Q310" s="76"/>
      <c r="R310" s="140">
        <f>IF((1*S9+1*S10)&gt;10,10,(1*S9+1*S10))</f>
        <v>10</v>
      </c>
      <c r="S310" s="152">
        <v>612.16</v>
      </c>
      <c r="T310" s="153">
        <v>15.52</v>
      </c>
    </row>
    <row r="311" spans="2:20">
      <c r="B311" s="101" t="s">
        <v>48</v>
      </c>
      <c r="C311" s="102" t="s">
        <v>21</v>
      </c>
      <c r="D311" s="102" t="s">
        <v>21</v>
      </c>
      <c r="E311" s="103" t="s">
        <v>53</v>
      </c>
      <c r="F311" s="102" t="s">
        <v>21</v>
      </c>
      <c r="G311" s="46">
        <f t="shared" si="38"/>
        <v>0</v>
      </c>
      <c r="H311" s="46"/>
      <c r="I311" s="46"/>
      <c r="J311" s="105"/>
      <c r="K311" s="48">
        <f t="shared" si="33"/>
        <v>0</v>
      </c>
      <c r="L311" s="48">
        <f t="shared" si="34"/>
        <v>0</v>
      </c>
      <c r="M311" s="48">
        <f t="shared" si="35"/>
        <v>0</v>
      </c>
      <c r="N311" s="48">
        <f t="shared" si="36"/>
        <v>0</v>
      </c>
      <c r="O311" s="50">
        <f t="shared" si="37"/>
        <v>0</v>
      </c>
      <c r="P311" s="104">
        <f>SUM(O312:O332)</f>
        <v>2528476.9500000002</v>
      </c>
      <c r="Q311" s="76"/>
      <c r="R311" s="154"/>
      <c r="S311" s="152" t="s">
        <v>22</v>
      </c>
      <c r="T311" s="153" t="s">
        <v>22</v>
      </c>
    </row>
    <row r="312" spans="2:20" ht="28">
      <c r="B312" s="5" t="s">
        <v>760</v>
      </c>
      <c r="C312" s="45" t="s">
        <v>165</v>
      </c>
      <c r="D312" s="45" t="s">
        <v>761</v>
      </c>
      <c r="E312" s="6" t="s">
        <v>762</v>
      </c>
      <c r="F312" s="45" t="s">
        <v>168</v>
      </c>
      <c r="G312" s="46">
        <f t="shared" si="38"/>
        <v>5940</v>
      </c>
      <c r="H312" s="46">
        <f>TRUNC(S312*(1-LOTE_01!$K$10),2)</f>
        <v>0</v>
      </c>
      <c r="I312" s="46">
        <f>TRUNC(T312*(1-LOTE_01!$K$10),2)</f>
        <v>15.18</v>
      </c>
      <c r="J312" s="100">
        <f t="shared" si="39"/>
        <v>0.22470000000000001</v>
      </c>
      <c r="K312" s="48">
        <f t="shared" si="33"/>
        <v>0</v>
      </c>
      <c r="L312" s="48">
        <f t="shared" si="34"/>
        <v>18.59</v>
      </c>
      <c r="M312" s="48">
        <f t="shared" si="35"/>
        <v>0</v>
      </c>
      <c r="N312" s="48">
        <f t="shared" si="36"/>
        <v>110424.6</v>
      </c>
      <c r="O312" s="50">
        <f t="shared" si="37"/>
        <v>110424.6</v>
      </c>
      <c r="P312" s="50">
        <v>0</v>
      </c>
      <c r="Q312" s="76"/>
      <c r="R312" s="140">
        <f>90*6*(S9+S10)</f>
        <v>5940</v>
      </c>
      <c r="S312" s="152">
        <v>0</v>
      </c>
      <c r="T312" s="153">
        <v>15.18</v>
      </c>
    </row>
    <row r="313" spans="2:20" ht="28">
      <c r="B313" s="5" t="s">
        <v>763</v>
      </c>
      <c r="C313" s="45" t="s">
        <v>165</v>
      </c>
      <c r="D313" s="45" t="s">
        <v>764</v>
      </c>
      <c r="E313" s="6" t="s">
        <v>765</v>
      </c>
      <c r="F313" s="45" t="s">
        <v>168</v>
      </c>
      <c r="G313" s="46">
        <f t="shared" si="38"/>
        <v>460</v>
      </c>
      <c r="H313" s="46">
        <f>TRUNC(S313*(1-LOTE_01!$K$10),2)</f>
        <v>34.31</v>
      </c>
      <c r="I313" s="46">
        <f>TRUNC(T313*(1-LOTE_01!$K$10),2)</f>
        <v>20.87</v>
      </c>
      <c r="J313" s="100">
        <f t="shared" si="39"/>
        <v>0.22470000000000001</v>
      </c>
      <c r="K313" s="48">
        <f t="shared" si="33"/>
        <v>42.01</v>
      </c>
      <c r="L313" s="48">
        <f t="shared" si="34"/>
        <v>25.55</v>
      </c>
      <c r="M313" s="48">
        <f t="shared" si="35"/>
        <v>19324.599999999999</v>
      </c>
      <c r="N313" s="48">
        <f t="shared" si="36"/>
        <v>11753</v>
      </c>
      <c r="O313" s="50">
        <f t="shared" si="37"/>
        <v>31077.599999999999</v>
      </c>
      <c r="P313" s="50">
        <v>0</v>
      </c>
      <c r="Q313" s="76"/>
      <c r="R313" s="140">
        <f>50*S9+20*(S10)</f>
        <v>460</v>
      </c>
      <c r="S313" s="152">
        <v>34.31</v>
      </c>
      <c r="T313" s="153">
        <v>20.87</v>
      </c>
    </row>
    <row r="314" spans="2:20" ht="28">
      <c r="B314" s="5" t="s">
        <v>766</v>
      </c>
      <c r="C314" s="45" t="s">
        <v>135</v>
      </c>
      <c r="D314" s="45">
        <v>100717</v>
      </c>
      <c r="E314" s="6" t="s">
        <v>767</v>
      </c>
      <c r="F314" s="45" t="s">
        <v>121</v>
      </c>
      <c r="G314" s="46">
        <f t="shared" si="38"/>
        <v>3000</v>
      </c>
      <c r="H314" s="46">
        <f>TRUNC(S314*(1-LOTE_01!$K$10),2)</f>
        <v>3.88</v>
      </c>
      <c r="I314" s="46">
        <f>TRUNC(T314*(1-LOTE_01!$K$10),2)</f>
        <v>6.96</v>
      </c>
      <c r="J314" s="100">
        <f t="shared" si="39"/>
        <v>0.22470000000000001</v>
      </c>
      <c r="K314" s="48">
        <f t="shared" si="33"/>
        <v>4.75</v>
      </c>
      <c r="L314" s="48">
        <f t="shared" si="34"/>
        <v>8.52</v>
      </c>
      <c r="M314" s="48">
        <f t="shared" si="35"/>
        <v>14250</v>
      </c>
      <c r="N314" s="48">
        <f t="shared" si="36"/>
        <v>25560</v>
      </c>
      <c r="O314" s="50">
        <f t="shared" si="37"/>
        <v>39810</v>
      </c>
      <c r="P314" s="50">
        <v>0</v>
      </c>
      <c r="Q314" s="76"/>
      <c r="R314" s="140">
        <f>R330</f>
        <v>3000</v>
      </c>
      <c r="S314" s="152">
        <v>3.88</v>
      </c>
      <c r="T314" s="153">
        <v>6.96</v>
      </c>
    </row>
    <row r="315" spans="2:20" ht="28">
      <c r="B315" s="5" t="s">
        <v>768</v>
      </c>
      <c r="C315" s="45" t="s">
        <v>135</v>
      </c>
      <c r="D315" s="45">
        <v>102197</v>
      </c>
      <c r="E315" s="6" t="s">
        <v>769</v>
      </c>
      <c r="F315" s="45" t="s">
        <v>121</v>
      </c>
      <c r="G315" s="46">
        <f t="shared" si="38"/>
        <v>680</v>
      </c>
      <c r="H315" s="46">
        <f>TRUNC(S315*(1-LOTE_01!$K$10),2)</f>
        <v>21.38</v>
      </c>
      <c r="I315" s="46">
        <f>TRUNC(T315*(1-LOTE_01!$K$10),2)</f>
        <v>6.51</v>
      </c>
      <c r="J315" s="100">
        <f t="shared" si="39"/>
        <v>0.22470000000000001</v>
      </c>
      <c r="K315" s="48">
        <f t="shared" si="33"/>
        <v>26.18</v>
      </c>
      <c r="L315" s="48">
        <f t="shared" si="34"/>
        <v>7.97</v>
      </c>
      <c r="M315" s="48">
        <f t="shared" si="35"/>
        <v>17802.400000000001</v>
      </c>
      <c r="N315" s="48">
        <f t="shared" si="36"/>
        <v>5419.6</v>
      </c>
      <c r="O315" s="50">
        <f t="shared" si="37"/>
        <v>23222</v>
      </c>
      <c r="P315" s="50">
        <v>0</v>
      </c>
      <c r="Q315" s="76"/>
      <c r="R315" s="140">
        <f>R256</f>
        <v>680</v>
      </c>
      <c r="S315" s="152">
        <v>21.380000000000003</v>
      </c>
      <c r="T315" s="153">
        <v>6.51</v>
      </c>
    </row>
    <row r="316" spans="2:20" ht="70">
      <c r="B316" s="5" t="s">
        <v>770</v>
      </c>
      <c r="C316" s="45" t="s">
        <v>135</v>
      </c>
      <c r="D316" s="45">
        <v>88412</v>
      </c>
      <c r="E316" s="6" t="s">
        <v>771</v>
      </c>
      <c r="F316" s="45" t="s">
        <v>121</v>
      </c>
      <c r="G316" s="46">
        <f t="shared" si="38"/>
        <v>16500</v>
      </c>
      <c r="H316" s="46">
        <f>TRUNC(S316*(1-LOTE_01!$K$10),2)</f>
        <v>3.53</v>
      </c>
      <c r="I316" s="46">
        <f>TRUNC(T316*(1-LOTE_01!$K$10),2)</f>
        <v>0.83</v>
      </c>
      <c r="J316" s="100">
        <f t="shared" si="39"/>
        <v>0.22470000000000001</v>
      </c>
      <c r="K316" s="48">
        <f t="shared" si="33"/>
        <v>4.32</v>
      </c>
      <c r="L316" s="48">
        <f t="shared" si="34"/>
        <v>1.01</v>
      </c>
      <c r="M316" s="48">
        <f t="shared" si="35"/>
        <v>71280</v>
      </c>
      <c r="N316" s="48">
        <f t="shared" si="36"/>
        <v>16665</v>
      </c>
      <c r="O316" s="50">
        <f t="shared" si="37"/>
        <v>87945</v>
      </c>
      <c r="P316" s="50">
        <v>0</v>
      </c>
      <c r="Q316" s="76"/>
      <c r="R316" s="140">
        <f>1500*S9+1500*S10</f>
        <v>16500</v>
      </c>
      <c r="S316" s="152">
        <v>3.5300000000000002</v>
      </c>
      <c r="T316" s="153">
        <v>0.83</v>
      </c>
    </row>
    <row r="317" spans="2:20" ht="42">
      <c r="B317" s="5" t="s">
        <v>772</v>
      </c>
      <c r="C317" s="45" t="s">
        <v>135</v>
      </c>
      <c r="D317" s="45">
        <v>88484</v>
      </c>
      <c r="E317" s="6" t="s">
        <v>773</v>
      </c>
      <c r="F317" s="45" t="s">
        <v>121</v>
      </c>
      <c r="G317" s="46">
        <f t="shared" si="38"/>
        <v>16500</v>
      </c>
      <c r="H317" s="46">
        <f>TRUNC(S317*(1-LOTE_01!$K$10),2)</f>
        <v>2.95</v>
      </c>
      <c r="I317" s="46">
        <f>TRUNC(T317*(1-LOTE_01!$K$10),2)</f>
        <v>2.69</v>
      </c>
      <c r="J317" s="100">
        <f t="shared" si="39"/>
        <v>0.22470000000000001</v>
      </c>
      <c r="K317" s="48">
        <f t="shared" si="33"/>
        <v>3.61</v>
      </c>
      <c r="L317" s="48">
        <f t="shared" si="34"/>
        <v>3.29</v>
      </c>
      <c r="M317" s="48">
        <f t="shared" si="35"/>
        <v>59565</v>
      </c>
      <c r="N317" s="48">
        <f t="shared" si="36"/>
        <v>54285</v>
      </c>
      <c r="O317" s="50">
        <f t="shared" si="37"/>
        <v>113850</v>
      </c>
      <c r="P317" s="50">
        <v>0</v>
      </c>
      <c r="Q317" s="76"/>
      <c r="R317" s="140">
        <f>1500*S9+1500*S10</f>
        <v>16500</v>
      </c>
      <c r="S317" s="152">
        <v>2.9499999999999997</v>
      </c>
      <c r="T317" s="153">
        <v>2.69</v>
      </c>
    </row>
    <row r="318" spans="2:20" ht="42">
      <c r="B318" s="5" t="s">
        <v>774</v>
      </c>
      <c r="C318" s="45" t="s">
        <v>135</v>
      </c>
      <c r="D318" s="45">
        <v>88485</v>
      </c>
      <c r="E318" s="6" t="s">
        <v>775</v>
      </c>
      <c r="F318" s="45" t="s">
        <v>121</v>
      </c>
      <c r="G318" s="46">
        <f t="shared" si="38"/>
        <v>16500</v>
      </c>
      <c r="H318" s="46">
        <f>TRUNC(S318*(1-LOTE_01!$K$10),2)</f>
        <v>2.63</v>
      </c>
      <c r="I318" s="46">
        <f>TRUNC(T318*(1-LOTE_01!$K$10),2)</f>
        <v>1.94</v>
      </c>
      <c r="J318" s="100">
        <f t="shared" si="39"/>
        <v>0.22470000000000001</v>
      </c>
      <c r="K318" s="48">
        <f t="shared" si="33"/>
        <v>3.22</v>
      </c>
      <c r="L318" s="48">
        <f t="shared" si="34"/>
        <v>2.37</v>
      </c>
      <c r="M318" s="48">
        <f t="shared" si="35"/>
        <v>53130</v>
      </c>
      <c r="N318" s="48">
        <f t="shared" si="36"/>
        <v>39105</v>
      </c>
      <c r="O318" s="50">
        <f t="shared" si="37"/>
        <v>92235</v>
      </c>
      <c r="P318" s="50">
        <v>0</v>
      </c>
      <c r="Q318" s="76"/>
      <c r="R318" s="140">
        <f>1500*S9+1500*S10</f>
        <v>16500</v>
      </c>
      <c r="S318" s="152">
        <v>2.6300000000000003</v>
      </c>
      <c r="T318" s="153">
        <v>1.94</v>
      </c>
    </row>
    <row r="319" spans="2:20" ht="42">
      <c r="B319" s="5" t="s">
        <v>776</v>
      </c>
      <c r="C319" s="45" t="s">
        <v>135</v>
      </c>
      <c r="D319" s="45">
        <v>88495</v>
      </c>
      <c r="E319" s="6" t="s">
        <v>777</v>
      </c>
      <c r="F319" s="45" t="s">
        <v>121</v>
      </c>
      <c r="G319" s="46">
        <f t="shared" si="38"/>
        <v>16500</v>
      </c>
      <c r="H319" s="46">
        <f>TRUNC(S319*(1-LOTE_01!$K$10),2)</f>
        <v>5.59</v>
      </c>
      <c r="I319" s="46">
        <f>TRUNC(T319*(1-LOTE_01!$K$10),2)</f>
        <v>7.06</v>
      </c>
      <c r="J319" s="100">
        <f t="shared" si="39"/>
        <v>0.22470000000000001</v>
      </c>
      <c r="K319" s="48">
        <f t="shared" si="33"/>
        <v>6.84</v>
      </c>
      <c r="L319" s="48">
        <f t="shared" si="34"/>
        <v>8.64</v>
      </c>
      <c r="M319" s="48">
        <f t="shared" si="35"/>
        <v>112860</v>
      </c>
      <c r="N319" s="48">
        <f t="shared" si="36"/>
        <v>142560</v>
      </c>
      <c r="O319" s="50">
        <f t="shared" si="37"/>
        <v>255420</v>
      </c>
      <c r="P319" s="50">
        <v>0</v>
      </c>
      <c r="Q319" s="76"/>
      <c r="R319" s="140">
        <f>R316</f>
        <v>16500</v>
      </c>
      <c r="S319" s="152">
        <v>5.5900000000000007</v>
      </c>
      <c r="T319" s="153">
        <v>7.06</v>
      </c>
    </row>
    <row r="320" spans="2:20" ht="42">
      <c r="B320" s="5" t="s">
        <v>778</v>
      </c>
      <c r="C320" s="45" t="s">
        <v>135</v>
      </c>
      <c r="D320" s="45">
        <v>88497</v>
      </c>
      <c r="E320" s="6" t="s">
        <v>779</v>
      </c>
      <c r="F320" s="45" t="s">
        <v>121</v>
      </c>
      <c r="G320" s="46">
        <f t="shared" si="38"/>
        <v>16500</v>
      </c>
      <c r="H320" s="46">
        <f>TRUNC(S320*(1-LOTE_01!$K$10),2)</f>
        <v>9.2100000000000009</v>
      </c>
      <c r="I320" s="46">
        <f>TRUNC(T320*(1-LOTE_01!$K$10),2)</f>
        <v>10.36</v>
      </c>
      <c r="J320" s="100">
        <f t="shared" si="39"/>
        <v>0.22470000000000001</v>
      </c>
      <c r="K320" s="48">
        <f t="shared" si="33"/>
        <v>11.27</v>
      </c>
      <c r="L320" s="48">
        <f t="shared" si="34"/>
        <v>12.68</v>
      </c>
      <c r="M320" s="48">
        <f t="shared" si="35"/>
        <v>185955</v>
      </c>
      <c r="N320" s="48">
        <f t="shared" si="36"/>
        <v>209220</v>
      </c>
      <c r="O320" s="50">
        <f t="shared" si="37"/>
        <v>395175</v>
      </c>
      <c r="P320" s="50">
        <v>0</v>
      </c>
      <c r="Q320" s="76"/>
      <c r="R320" s="140">
        <f>R316</f>
        <v>16500</v>
      </c>
      <c r="S320" s="152">
        <v>9.2100000000000009</v>
      </c>
      <c r="T320" s="153">
        <v>10.36</v>
      </c>
    </row>
    <row r="321" spans="2:20" ht="42">
      <c r="B321" s="5" t="s">
        <v>780</v>
      </c>
      <c r="C321" s="45" t="s">
        <v>135</v>
      </c>
      <c r="D321" s="45">
        <v>88494</v>
      </c>
      <c r="E321" s="6" t="s">
        <v>781</v>
      </c>
      <c r="F321" s="45" t="s">
        <v>121</v>
      </c>
      <c r="G321" s="46">
        <f t="shared" si="38"/>
        <v>4125</v>
      </c>
      <c r="H321" s="46">
        <f>TRUNC(S321*(1-LOTE_01!$K$10),2)</f>
        <v>8.65</v>
      </c>
      <c r="I321" s="46">
        <f>TRUNC(T321*(1-LOTE_01!$K$10),2)</f>
        <v>14.55</v>
      </c>
      <c r="J321" s="100">
        <f t="shared" si="39"/>
        <v>0.22470000000000001</v>
      </c>
      <c r="K321" s="48">
        <f t="shared" si="33"/>
        <v>10.59</v>
      </c>
      <c r="L321" s="48">
        <f t="shared" si="34"/>
        <v>17.809999999999999</v>
      </c>
      <c r="M321" s="48">
        <f t="shared" si="35"/>
        <v>43683.75</v>
      </c>
      <c r="N321" s="48">
        <f t="shared" si="36"/>
        <v>73466.25</v>
      </c>
      <c r="O321" s="50">
        <f t="shared" si="37"/>
        <v>117150</v>
      </c>
      <c r="P321" s="50">
        <v>0</v>
      </c>
      <c r="Q321" s="76"/>
      <c r="R321" s="140">
        <f>R316/4</f>
        <v>4125</v>
      </c>
      <c r="S321" s="152">
        <v>8.6499999999999986</v>
      </c>
      <c r="T321" s="153">
        <v>14.55</v>
      </c>
    </row>
    <row r="322" spans="2:20" ht="42">
      <c r="B322" s="5" t="s">
        <v>782</v>
      </c>
      <c r="C322" s="45" t="s">
        <v>135</v>
      </c>
      <c r="D322" s="45">
        <v>88496</v>
      </c>
      <c r="E322" s="6" t="s">
        <v>783</v>
      </c>
      <c r="F322" s="45" t="s">
        <v>121</v>
      </c>
      <c r="G322" s="46">
        <f t="shared" si="38"/>
        <v>4125</v>
      </c>
      <c r="H322" s="46">
        <f>TRUNC(S322*(1-LOTE_01!$K$10),2)</f>
        <v>13.7</v>
      </c>
      <c r="I322" s="46">
        <f>TRUNC(T322*(1-LOTE_01!$K$10),2)</f>
        <v>21.36</v>
      </c>
      <c r="J322" s="100">
        <f t="shared" si="39"/>
        <v>0.22470000000000001</v>
      </c>
      <c r="K322" s="48">
        <f t="shared" si="33"/>
        <v>16.77</v>
      </c>
      <c r="L322" s="48">
        <f t="shared" si="34"/>
        <v>26.15</v>
      </c>
      <c r="M322" s="48">
        <f t="shared" si="35"/>
        <v>69176.25</v>
      </c>
      <c r="N322" s="48">
        <f t="shared" si="36"/>
        <v>107868.75</v>
      </c>
      <c r="O322" s="50">
        <f t="shared" si="37"/>
        <v>177045</v>
      </c>
      <c r="P322" s="50">
        <v>0</v>
      </c>
      <c r="Q322" s="76"/>
      <c r="R322" s="140">
        <f>R316/4</f>
        <v>4125</v>
      </c>
      <c r="S322" s="152">
        <v>13.700000000000003</v>
      </c>
      <c r="T322" s="153">
        <v>21.36</v>
      </c>
    </row>
    <row r="323" spans="2:20" ht="56">
      <c r="B323" s="5" t="s">
        <v>784</v>
      </c>
      <c r="C323" s="45" t="s">
        <v>135</v>
      </c>
      <c r="D323" s="45">
        <v>96132</v>
      </c>
      <c r="E323" s="6" t="s">
        <v>785</v>
      </c>
      <c r="F323" s="45" t="s">
        <v>121</v>
      </c>
      <c r="G323" s="46">
        <f t="shared" si="38"/>
        <v>16500</v>
      </c>
      <c r="H323" s="46">
        <f>TRUNC(S323*(1-LOTE_01!$K$10),2)</f>
        <v>11.94</v>
      </c>
      <c r="I323" s="46">
        <f>TRUNC(T323*(1-LOTE_01!$K$10),2)</f>
        <v>7.73</v>
      </c>
      <c r="J323" s="100">
        <f t="shared" si="39"/>
        <v>0.22470000000000001</v>
      </c>
      <c r="K323" s="48">
        <f t="shared" si="33"/>
        <v>14.62</v>
      </c>
      <c r="L323" s="48">
        <f t="shared" si="34"/>
        <v>9.4600000000000009</v>
      </c>
      <c r="M323" s="48">
        <f t="shared" si="35"/>
        <v>241230</v>
      </c>
      <c r="N323" s="48">
        <f t="shared" si="36"/>
        <v>156090</v>
      </c>
      <c r="O323" s="50">
        <f t="shared" si="37"/>
        <v>397320</v>
      </c>
      <c r="P323" s="50">
        <v>0</v>
      </c>
      <c r="Q323" s="76"/>
      <c r="R323" s="140">
        <f>R316</f>
        <v>16500</v>
      </c>
      <c r="S323" s="152">
        <v>11.940000000000001</v>
      </c>
      <c r="T323" s="153">
        <v>7.73</v>
      </c>
    </row>
    <row r="324" spans="2:20" ht="42">
      <c r="B324" s="5" t="s">
        <v>786</v>
      </c>
      <c r="C324" s="45" t="s">
        <v>135</v>
      </c>
      <c r="D324" s="45">
        <v>88489</v>
      </c>
      <c r="E324" s="6" t="s">
        <v>787</v>
      </c>
      <c r="F324" s="45" t="s">
        <v>121</v>
      </c>
      <c r="G324" s="46">
        <f t="shared" si="38"/>
        <v>16500</v>
      </c>
      <c r="H324" s="46">
        <f>TRUNC(S324*(1-LOTE_01!$K$10),2)</f>
        <v>10.07</v>
      </c>
      <c r="I324" s="46">
        <f>TRUNC(T324*(1-LOTE_01!$K$10),2)</f>
        <v>5</v>
      </c>
      <c r="J324" s="100">
        <f t="shared" si="39"/>
        <v>0.22470000000000001</v>
      </c>
      <c r="K324" s="48">
        <f t="shared" si="33"/>
        <v>12.33</v>
      </c>
      <c r="L324" s="48">
        <f t="shared" si="34"/>
        <v>6.12</v>
      </c>
      <c r="M324" s="48">
        <f t="shared" si="35"/>
        <v>203445</v>
      </c>
      <c r="N324" s="48">
        <f t="shared" si="36"/>
        <v>100980</v>
      </c>
      <c r="O324" s="50">
        <f t="shared" si="37"/>
        <v>304425</v>
      </c>
      <c r="P324" s="50">
        <v>0</v>
      </c>
      <c r="Q324" s="76"/>
      <c r="R324" s="140">
        <f>R316</f>
        <v>16500</v>
      </c>
      <c r="S324" s="152">
        <v>10.07</v>
      </c>
      <c r="T324" s="153">
        <v>5</v>
      </c>
    </row>
    <row r="325" spans="2:20" ht="56">
      <c r="B325" s="5" t="s">
        <v>788</v>
      </c>
      <c r="C325" s="45" t="s">
        <v>135</v>
      </c>
      <c r="D325" s="45">
        <v>102491</v>
      </c>
      <c r="E325" s="6" t="s">
        <v>789</v>
      </c>
      <c r="F325" s="45" t="s">
        <v>121</v>
      </c>
      <c r="G325" s="46">
        <f t="shared" si="38"/>
        <v>1650</v>
      </c>
      <c r="H325" s="46">
        <f>TRUNC(S325*(1-LOTE_01!$K$10),2)</f>
        <v>15.5</v>
      </c>
      <c r="I325" s="46">
        <f>TRUNC(T325*(1-LOTE_01!$K$10),2)</f>
        <v>8.77</v>
      </c>
      <c r="J325" s="100">
        <f t="shared" si="39"/>
        <v>0.22470000000000001</v>
      </c>
      <c r="K325" s="48">
        <f t="shared" si="33"/>
        <v>18.98</v>
      </c>
      <c r="L325" s="48">
        <f t="shared" si="34"/>
        <v>10.74</v>
      </c>
      <c r="M325" s="48">
        <f t="shared" si="35"/>
        <v>31317</v>
      </c>
      <c r="N325" s="48">
        <f t="shared" si="36"/>
        <v>17721</v>
      </c>
      <c r="O325" s="50">
        <f t="shared" si="37"/>
        <v>49038</v>
      </c>
      <c r="P325" s="50">
        <v>0</v>
      </c>
      <c r="Q325" s="76"/>
      <c r="R325" s="140">
        <f>150*S9+150*S10</f>
        <v>1650</v>
      </c>
      <c r="S325" s="152">
        <v>15.5</v>
      </c>
      <c r="T325" s="153">
        <v>8.77</v>
      </c>
    </row>
    <row r="326" spans="2:20" ht="56">
      <c r="B326" s="5" t="s">
        <v>790</v>
      </c>
      <c r="C326" s="45" t="s">
        <v>135</v>
      </c>
      <c r="D326" s="45">
        <v>102513</v>
      </c>
      <c r="E326" s="6" t="s">
        <v>791</v>
      </c>
      <c r="F326" s="45" t="s">
        <v>121</v>
      </c>
      <c r="G326" s="46">
        <f t="shared" si="38"/>
        <v>440</v>
      </c>
      <c r="H326" s="46">
        <f>TRUNC(S326*(1-LOTE_01!$K$10),2)</f>
        <v>24.92</v>
      </c>
      <c r="I326" s="46">
        <f>TRUNC(T326*(1-LOTE_01!$K$10),2)</f>
        <v>29.84</v>
      </c>
      <c r="J326" s="100">
        <f t="shared" si="39"/>
        <v>0.22470000000000001</v>
      </c>
      <c r="K326" s="48">
        <f t="shared" si="33"/>
        <v>30.51</v>
      </c>
      <c r="L326" s="48">
        <f t="shared" si="34"/>
        <v>36.54</v>
      </c>
      <c r="M326" s="48">
        <f t="shared" si="35"/>
        <v>13424.4</v>
      </c>
      <c r="N326" s="48">
        <f t="shared" si="36"/>
        <v>16077.6</v>
      </c>
      <c r="O326" s="50">
        <f t="shared" si="37"/>
        <v>29502</v>
      </c>
      <c r="P326" s="50">
        <v>0</v>
      </c>
      <c r="Q326" s="76"/>
      <c r="R326" s="140">
        <f>40*S9+40*S10</f>
        <v>440</v>
      </c>
      <c r="S326" s="152">
        <v>24.919999999999998</v>
      </c>
      <c r="T326" s="153">
        <v>29.84</v>
      </c>
    </row>
    <row r="327" spans="2:20" ht="42">
      <c r="B327" s="5" t="s">
        <v>792</v>
      </c>
      <c r="C327" s="45" t="s">
        <v>135</v>
      </c>
      <c r="D327" s="45">
        <v>102501</v>
      </c>
      <c r="E327" s="6" t="s">
        <v>793</v>
      </c>
      <c r="F327" s="45" t="s">
        <v>121</v>
      </c>
      <c r="G327" s="46">
        <f t="shared" si="38"/>
        <v>165</v>
      </c>
      <c r="H327" s="46">
        <f>TRUNC(S327*(1-LOTE_01!$K$10),2)</f>
        <v>15.58</v>
      </c>
      <c r="I327" s="46">
        <f>TRUNC(T327*(1-LOTE_01!$K$10),2)</f>
        <v>13.6</v>
      </c>
      <c r="J327" s="100">
        <f t="shared" si="39"/>
        <v>0.22470000000000001</v>
      </c>
      <c r="K327" s="48">
        <f t="shared" si="33"/>
        <v>19.079999999999998</v>
      </c>
      <c r="L327" s="48">
        <f t="shared" si="34"/>
        <v>16.649999999999999</v>
      </c>
      <c r="M327" s="48">
        <f t="shared" si="35"/>
        <v>3148.2</v>
      </c>
      <c r="N327" s="48">
        <f t="shared" si="36"/>
        <v>2747.25</v>
      </c>
      <c r="O327" s="50">
        <f t="shared" si="37"/>
        <v>5895.45</v>
      </c>
      <c r="P327" s="50">
        <v>0</v>
      </c>
      <c r="Q327" s="76"/>
      <c r="R327" s="140">
        <f>15*S9+15*S10</f>
        <v>165</v>
      </c>
      <c r="S327" s="152">
        <v>15.58</v>
      </c>
      <c r="T327" s="153">
        <v>13.6</v>
      </c>
    </row>
    <row r="328" spans="2:20" ht="98">
      <c r="B328" s="5" t="s">
        <v>794</v>
      </c>
      <c r="C328" s="45" t="s">
        <v>135</v>
      </c>
      <c r="D328" s="45">
        <v>100726</v>
      </c>
      <c r="E328" s="6" t="s">
        <v>795</v>
      </c>
      <c r="F328" s="45" t="s">
        <v>121</v>
      </c>
      <c r="G328" s="46">
        <f t="shared" si="38"/>
        <v>3000</v>
      </c>
      <c r="H328" s="46">
        <f>TRUNC(S328*(1-LOTE_01!$K$10),2)</f>
        <v>13.3</v>
      </c>
      <c r="I328" s="46">
        <f>TRUNC(T328*(1-LOTE_01!$K$10),2)</f>
        <v>15.81</v>
      </c>
      <c r="J328" s="100">
        <f t="shared" si="39"/>
        <v>0.22470000000000001</v>
      </c>
      <c r="K328" s="48">
        <f t="shared" si="33"/>
        <v>16.28</v>
      </c>
      <c r="L328" s="48">
        <f t="shared" si="34"/>
        <v>19.36</v>
      </c>
      <c r="M328" s="48">
        <f t="shared" si="35"/>
        <v>48840</v>
      </c>
      <c r="N328" s="48">
        <f t="shared" si="36"/>
        <v>58080</v>
      </c>
      <c r="O328" s="50">
        <f t="shared" si="37"/>
        <v>106920</v>
      </c>
      <c r="P328" s="50">
        <v>0</v>
      </c>
      <c r="Q328" s="76"/>
      <c r="R328" s="140">
        <f>300*S9+200*S10</f>
        <v>3000</v>
      </c>
      <c r="S328" s="152">
        <v>13.299999999999999</v>
      </c>
      <c r="T328" s="153">
        <v>15.81</v>
      </c>
    </row>
    <row r="329" spans="2:20" ht="28">
      <c r="B329" s="5" t="s">
        <v>796</v>
      </c>
      <c r="C329" s="45" t="s">
        <v>135</v>
      </c>
      <c r="D329" s="45">
        <v>102234</v>
      </c>
      <c r="E329" s="6" t="s">
        <v>797</v>
      </c>
      <c r="F329" s="45" t="s">
        <v>121</v>
      </c>
      <c r="G329" s="46">
        <f t="shared" si="38"/>
        <v>680</v>
      </c>
      <c r="H329" s="46">
        <f>TRUNC(S329*(1-LOTE_01!$K$10),2)</f>
        <v>17.34</v>
      </c>
      <c r="I329" s="46">
        <f>TRUNC(T329*(1-LOTE_01!$K$10),2)</f>
        <v>11.3</v>
      </c>
      <c r="J329" s="100">
        <f t="shared" si="39"/>
        <v>0.22470000000000001</v>
      </c>
      <c r="K329" s="48">
        <f t="shared" si="33"/>
        <v>21.23</v>
      </c>
      <c r="L329" s="48">
        <f t="shared" si="34"/>
        <v>13.83</v>
      </c>
      <c r="M329" s="48">
        <f t="shared" si="35"/>
        <v>14436.4</v>
      </c>
      <c r="N329" s="48">
        <f t="shared" si="36"/>
        <v>9404.4</v>
      </c>
      <c r="O329" s="50">
        <f t="shared" si="37"/>
        <v>23840.799999999999</v>
      </c>
      <c r="P329" s="50">
        <v>0</v>
      </c>
      <c r="Q329" s="76"/>
      <c r="R329" s="140">
        <f>IF((10*S9+200*S10)&gt;5000,5000,(10*S9+200*S10))</f>
        <v>680</v>
      </c>
      <c r="S329" s="152">
        <v>17.34</v>
      </c>
      <c r="T329" s="153">
        <v>11.3</v>
      </c>
    </row>
    <row r="330" spans="2:20" ht="84">
      <c r="B330" s="5" t="s">
        <v>798</v>
      </c>
      <c r="C330" s="45" t="s">
        <v>135</v>
      </c>
      <c r="D330" s="45">
        <v>100749</v>
      </c>
      <c r="E330" s="6" t="s">
        <v>799</v>
      </c>
      <c r="F330" s="45" t="s">
        <v>121</v>
      </c>
      <c r="G330" s="46">
        <f t="shared" si="38"/>
        <v>3000</v>
      </c>
      <c r="H330" s="46">
        <f>TRUNC(S330*(1-LOTE_01!$K$10),2)</f>
        <v>13.41</v>
      </c>
      <c r="I330" s="46">
        <f>TRUNC(T330*(1-LOTE_01!$K$10),2)</f>
        <v>12.29</v>
      </c>
      <c r="J330" s="100">
        <f t="shared" si="39"/>
        <v>0.22470000000000001</v>
      </c>
      <c r="K330" s="48">
        <f t="shared" si="33"/>
        <v>16.420000000000002</v>
      </c>
      <c r="L330" s="48">
        <f t="shared" si="34"/>
        <v>15.05</v>
      </c>
      <c r="M330" s="48">
        <f t="shared" si="35"/>
        <v>49260</v>
      </c>
      <c r="N330" s="48">
        <f t="shared" si="36"/>
        <v>45150</v>
      </c>
      <c r="O330" s="50">
        <f t="shared" si="37"/>
        <v>94410</v>
      </c>
      <c r="P330" s="50">
        <v>0</v>
      </c>
      <c r="Q330" s="76"/>
      <c r="R330" s="140">
        <f>300*S9+200*S10</f>
        <v>3000</v>
      </c>
      <c r="S330" s="152">
        <v>13.41</v>
      </c>
      <c r="T330" s="153">
        <v>12.29</v>
      </c>
    </row>
    <row r="331" spans="2:20" ht="70">
      <c r="B331" s="5" t="s">
        <v>800</v>
      </c>
      <c r="C331" s="45" t="s">
        <v>135</v>
      </c>
      <c r="D331" s="45">
        <v>88429</v>
      </c>
      <c r="E331" s="6" t="s">
        <v>801</v>
      </c>
      <c r="F331" s="45" t="s">
        <v>121</v>
      </c>
      <c r="G331" s="46">
        <f t="shared" si="38"/>
        <v>550</v>
      </c>
      <c r="H331" s="46">
        <f>TRUNC(S331*(1-LOTE_01!$K$10),2)</f>
        <v>28.5</v>
      </c>
      <c r="I331" s="46">
        <f>TRUNC(T331*(1-LOTE_01!$K$10),2)</f>
        <v>14.96</v>
      </c>
      <c r="J331" s="100">
        <f t="shared" si="39"/>
        <v>0.22470000000000001</v>
      </c>
      <c r="K331" s="48">
        <f t="shared" si="33"/>
        <v>34.9</v>
      </c>
      <c r="L331" s="48">
        <f t="shared" si="34"/>
        <v>18.32</v>
      </c>
      <c r="M331" s="48">
        <f t="shared" si="35"/>
        <v>19195</v>
      </c>
      <c r="N331" s="48">
        <f t="shared" si="36"/>
        <v>10076</v>
      </c>
      <c r="O331" s="50">
        <f t="shared" si="37"/>
        <v>29271</v>
      </c>
      <c r="P331" s="50">
        <v>0</v>
      </c>
      <c r="Q331" s="76"/>
      <c r="R331" s="140">
        <f>50*(S9+S10)</f>
        <v>550</v>
      </c>
      <c r="S331" s="152">
        <v>28.5</v>
      </c>
      <c r="T331" s="153">
        <v>14.96</v>
      </c>
    </row>
    <row r="332" spans="2:20" ht="56">
      <c r="B332" s="5" t="s">
        <v>802</v>
      </c>
      <c r="C332" s="45" t="s">
        <v>97</v>
      </c>
      <c r="D332" s="45" t="s">
        <v>803</v>
      </c>
      <c r="E332" s="6" t="s">
        <v>804</v>
      </c>
      <c r="F332" s="45" t="s">
        <v>121</v>
      </c>
      <c r="G332" s="46">
        <f t="shared" si="38"/>
        <v>550</v>
      </c>
      <c r="H332" s="46">
        <f>TRUNC(S332*(1-LOTE_01!$K$10),2)</f>
        <v>51.36</v>
      </c>
      <c r="I332" s="46">
        <f>TRUNC(T332*(1-LOTE_01!$K$10),2)</f>
        <v>14.71</v>
      </c>
      <c r="J332" s="100">
        <f t="shared" si="39"/>
        <v>0.22470000000000001</v>
      </c>
      <c r="K332" s="48">
        <f t="shared" si="33"/>
        <v>62.9</v>
      </c>
      <c r="L332" s="48">
        <f t="shared" si="34"/>
        <v>18.010000000000002</v>
      </c>
      <c r="M332" s="48">
        <f t="shared" si="35"/>
        <v>34595</v>
      </c>
      <c r="N332" s="48">
        <f t="shared" si="36"/>
        <v>9905.5</v>
      </c>
      <c r="O332" s="50">
        <f t="shared" si="37"/>
        <v>44500.5</v>
      </c>
      <c r="P332" s="50">
        <v>0</v>
      </c>
      <c r="Q332" s="76"/>
      <c r="R332" s="140">
        <f>50*(S9+S10)</f>
        <v>550</v>
      </c>
      <c r="S332" s="152">
        <v>51.36</v>
      </c>
      <c r="T332" s="153">
        <v>14.71</v>
      </c>
    </row>
    <row r="333" spans="2:20">
      <c r="B333" s="101" t="s">
        <v>49</v>
      </c>
      <c r="C333" s="102" t="s">
        <v>21</v>
      </c>
      <c r="D333" s="102" t="s">
        <v>21</v>
      </c>
      <c r="E333" s="103" t="s">
        <v>55</v>
      </c>
      <c r="F333" s="102" t="s">
        <v>21</v>
      </c>
      <c r="G333" s="46">
        <f t="shared" si="38"/>
        <v>0</v>
      </c>
      <c r="H333" s="46"/>
      <c r="I333" s="46"/>
      <c r="J333" s="105"/>
      <c r="K333" s="48">
        <f t="shared" si="33"/>
        <v>0</v>
      </c>
      <c r="L333" s="48">
        <f t="shared" si="34"/>
        <v>0</v>
      </c>
      <c r="M333" s="48">
        <f t="shared" si="35"/>
        <v>0</v>
      </c>
      <c r="N333" s="48">
        <f t="shared" si="36"/>
        <v>0</v>
      </c>
      <c r="O333" s="50">
        <f t="shared" si="37"/>
        <v>0</v>
      </c>
      <c r="P333" s="104">
        <f>SUM(O334:O494)</f>
        <v>3679400.5099999988</v>
      </c>
      <c r="Q333" s="76"/>
      <c r="R333" s="154"/>
      <c r="S333" s="152" t="s">
        <v>22</v>
      </c>
      <c r="T333" s="153" t="s">
        <v>22</v>
      </c>
    </row>
    <row r="334" spans="2:20" ht="28">
      <c r="B334" s="101" t="s">
        <v>805</v>
      </c>
      <c r="C334" s="102" t="s">
        <v>21</v>
      </c>
      <c r="D334" s="102" t="s">
        <v>21</v>
      </c>
      <c r="E334" s="103" t="s">
        <v>806</v>
      </c>
      <c r="F334" s="102" t="s">
        <v>21</v>
      </c>
      <c r="G334" s="46">
        <f t="shared" si="38"/>
        <v>0</v>
      </c>
      <c r="H334" s="46"/>
      <c r="I334" s="46"/>
      <c r="J334" s="105"/>
      <c r="K334" s="48">
        <f t="shared" si="33"/>
        <v>0</v>
      </c>
      <c r="L334" s="48">
        <f t="shared" si="34"/>
        <v>0</v>
      </c>
      <c r="M334" s="48">
        <f t="shared" si="35"/>
        <v>0</v>
      </c>
      <c r="N334" s="48">
        <f t="shared" si="36"/>
        <v>0</v>
      </c>
      <c r="O334" s="50">
        <f t="shared" si="37"/>
        <v>0</v>
      </c>
      <c r="P334" s="50">
        <v>0</v>
      </c>
      <c r="Q334" s="76"/>
      <c r="R334" s="154"/>
      <c r="S334" s="152" t="s">
        <v>22</v>
      </c>
      <c r="T334" s="153" t="s">
        <v>22</v>
      </c>
    </row>
    <row r="335" spans="2:20" ht="56">
      <c r="B335" s="5" t="s">
        <v>807</v>
      </c>
      <c r="C335" s="45" t="s">
        <v>135</v>
      </c>
      <c r="D335" s="45">
        <v>90443</v>
      </c>
      <c r="E335" s="6" t="s">
        <v>808</v>
      </c>
      <c r="F335" s="45" t="s">
        <v>187</v>
      </c>
      <c r="G335" s="46">
        <f t="shared" si="38"/>
        <v>330</v>
      </c>
      <c r="H335" s="46">
        <f>TRUNC(S335*(1-LOTE_01!$K$10),2)</f>
        <v>2.09</v>
      </c>
      <c r="I335" s="46">
        <f>TRUNC(T335*(1-LOTE_01!$K$10),2)</f>
        <v>6.72</v>
      </c>
      <c r="J335" s="100">
        <f t="shared" si="39"/>
        <v>0.22470000000000001</v>
      </c>
      <c r="K335" s="48">
        <f t="shared" si="33"/>
        <v>2.5499999999999998</v>
      </c>
      <c r="L335" s="48">
        <f t="shared" si="34"/>
        <v>8.2200000000000006</v>
      </c>
      <c r="M335" s="48">
        <f t="shared" si="35"/>
        <v>841.5</v>
      </c>
      <c r="N335" s="48">
        <f t="shared" si="36"/>
        <v>2712.6</v>
      </c>
      <c r="O335" s="50">
        <f t="shared" si="37"/>
        <v>3554.1</v>
      </c>
      <c r="P335" s="50">
        <v>0</v>
      </c>
      <c r="Q335" s="76"/>
      <c r="R335" s="140">
        <f>30*S9+30*S10</f>
        <v>330</v>
      </c>
      <c r="S335" s="152">
        <v>2.0900000000000007</v>
      </c>
      <c r="T335" s="153">
        <v>6.72</v>
      </c>
    </row>
    <row r="336" spans="2:20" ht="70">
      <c r="B336" s="5" t="s">
        <v>809</v>
      </c>
      <c r="C336" s="45" t="s">
        <v>135</v>
      </c>
      <c r="D336" s="45">
        <v>90444</v>
      </c>
      <c r="E336" s="6" t="s">
        <v>810</v>
      </c>
      <c r="F336" s="45" t="s">
        <v>187</v>
      </c>
      <c r="G336" s="46">
        <f t="shared" si="38"/>
        <v>100</v>
      </c>
      <c r="H336" s="46">
        <f>TRUNC(S336*(1-LOTE_01!$K$10),2)</f>
        <v>3.74</v>
      </c>
      <c r="I336" s="46">
        <f>TRUNC(T336*(1-LOTE_01!$K$10),2)</f>
        <v>12.03</v>
      </c>
      <c r="J336" s="100">
        <f t="shared" si="39"/>
        <v>0.22470000000000001</v>
      </c>
      <c r="K336" s="48">
        <f t="shared" ref="K336:K399" si="40">TRUNC(H336*(1+J336),2)</f>
        <v>4.58</v>
      </c>
      <c r="L336" s="48">
        <f t="shared" ref="L336:L399" si="41">TRUNC(I336*(1+J336),2)</f>
        <v>14.73</v>
      </c>
      <c r="M336" s="48">
        <f t="shared" ref="M336:M399" si="42">TRUNC(K336*G336,2)</f>
        <v>458</v>
      </c>
      <c r="N336" s="48">
        <f t="shared" ref="N336:N399" si="43">TRUNC(L336*G336,2)</f>
        <v>1473</v>
      </c>
      <c r="O336" s="50">
        <f t="shared" ref="O336:O399" si="44">TRUNC(M336+N336,2)</f>
        <v>1931</v>
      </c>
      <c r="P336" s="50">
        <v>0</v>
      </c>
      <c r="Q336" s="76"/>
      <c r="R336" s="140">
        <f>IF((5*S9+30*S10)&gt;100,100,(5*S9+30*S10))</f>
        <v>100</v>
      </c>
      <c r="S336" s="152">
        <v>3.74</v>
      </c>
      <c r="T336" s="153">
        <v>12.03</v>
      </c>
    </row>
    <row r="337" spans="2:20" ht="42">
      <c r="B337" s="5" t="s">
        <v>811</v>
      </c>
      <c r="C337" s="45" t="s">
        <v>135</v>
      </c>
      <c r="D337" s="45">
        <v>104795</v>
      </c>
      <c r="E337" s="6" t="s">
        <v>812</v>
      </c>
      <c r="F337" s="45" t="s">
        <v>187</v>
      </c>
      <c r="G337" s="46">
        <f t="shared" si="38"/>
        <v>5500</v>
      </c>
      <c r="H337" s="46">
        <f>TRUNC(S337*(1-LOTE_01!$K$10),2)</f>
        <v>0.45</v>
      </c>
      <c r="I337" s="46">
        <f>TRUNC(T337*(1-LOTE_01!$K$10),2)</f>
        <v>1.06</v>
      </c>
      <c r="J337" s="100">
        <f t="shared" si="39"/>
        <v>0.22470000000000001</v>
      </c>
      <c r="K337" s="48">
        <f t="shared" si="40"/>
        <v>0.55000000000000004</v>
      </c>
      <c r="L337" s="48">
        <f t="shared" si="41"/>
        <v>1.29</v>
      </c>
      <c r="M337" s="48">
        <f t="shared" si="42"/>
        <v>3025</v>
      </c>
      <c r="N337" s="48">
        <f t="shared" si="43"/>
        <v>7095</v>
      </c>
      <c r="O337" s="50">
        <f t="shared" si="44"/>
        <v>10120</v>
      </c>
      <c r="P337" s="50">
        <v>0</v>
      </c>
      <c r="Q337" s="76"/>
      <c r="R337" s="140">
        <f>500*S9+500*S10</f>
        <v>5500</v>
      </c>
      <c r="S337" s="152">
        <v>0.44999999999999996</v>
      </c>
      <c r="T337" s="153">
        <v>1.06</v>
      </c>
    </row>
    <row r="338" spans="2:20" ht="56">
      <c r="B338" s="5" t="s">
        <v>813</v>
      </c>
      <c r="C338" s="45" t="s">
        <v>135</v>
      </c>
      <c r="D338" s="45">
        <v>104792</v>
      </c>
      <c r="E338" s="6" t="s">
        <v>814</v>
      </c>
      <c r="F338" s="45" t="s">
        <v>187</v>
      </c>
      <c r="G338" s="46">
        <f t="shared" ref="G338:G401" si="45">TRUNC(R338,2)</f>
        <v>5500</v>
      </c>
      <c r="H338" s="46">
        <f>TRUNC(S338*(1-LOTE_01!$K$10),2)</f>
        <v>0.14000000000000001</v>
      </c>
      <c r="I338" s="46">
        <f>TRUNC(T338*(1-LOTE_01!$K$10),2)</f>
        <v>0.3</v>
      </c>
      <c r="J338" s="100">
        <f t="shared" ref="J338:J401" si="46">$J$4</f>
        <v>0.22470000000000001</v>
      </c>
      <c r="K338" s="48">
        <f t="shared" si="40"/>
        <v>0.17</v>
      </c>
      <c r="L338" s="48">
        <f t="shared" si="41"/>
        <v>0.36</v>
      </c>
      <c r="M338" s="48">
        <f t="shared" si="42"/>
        <v>935</v>
      </c>
      <c r="N338" s="48">
        <f t="shared" si="43"/>
        <v>1980</v>
      </c>
      <c r="O338" s="50">
        <f t="shared" si="44"/>
        <v>2915</v>
      </c>
      <c r="P338" s="50">
        <v>0</v>
      </c>
      <c r="Q338" s="76"/>
      <c r="R338" s="140">
        <f>500*S9+500*S10</f>
        <v>5500</v>
      </c>
      <c r="S338" s="152">
        <v>0.14000000000000001</v>
      </c>
      <c r="T338" s="153">
        <v>0.3</v>
      </c>
    </row>
    <row r="339" spans="2:20" ht="42">
      <c r="B339" s="5" t="s">
        <v>815</v>
      </c>
      <c r="C339" s="45" t="s">
        <v>135</v>
      </c>
      <c r="D339" s="45">
        <v>97661</v>
      </c>
      <c r="E339" s="6" t="s">
        <v>816</v>
      </c>
      <c r="F339" s="45" t="s">
        <v>187</v>
      </c>
      <c r="G339" s="46">
        <f t="shared" si="45"/>
        <v>550</v>
      </c>
      <c r="H339" s="46">
        <f>TRUNC(S339*(1-LOTE_01!$K$10),2)</f>
        <v>0.25</v>
      </c>
      <c r="I339" s="46">
        <f>TRUNC(T339*(1-LOTE_01!$K$10),2)</f>
        <v>0.54</v>
      </c>
      <c r="J339" s="100">
        <f t="shared" si="46"/>
        <v>0.22470000000000001</v>
      </c>
      <c r="K339" s="48">
        <f t="shared" si="40"/>
        <v>0.3</v>
      </c>
      <c r="L339" s="48">
        <f t="shared" si="41"/>
        <v>0.66</v>
      </c>
      <c r="M339" s="48">
        <f t="shared" si="42"/>
        <v>165</v>
      </c>
      <c r="N339" s="48">
        <f t="shared" si="43"/>
        <v>363</v>
      </c>
      <c r="O339" s="50">
        <f t="shared" si="44"/>
        <v>528</v>
      </c>
      <c r="P339" s="50">
        <v>0</v>
      </c>
      <c r="Q339" s="76"/>
      <c r="R339" s="140">
        <f>50*S9+50*S10</f>
        <v>550</v>
      </c>
      <c r="S339" s="152">
        <v>0.25</v>
      </c>
      <c r="T339" s="153">
        <v>0.54</v>
      </c>
    </row>
    <row r="340" spans="2:20" ht="28">
      <c r="B340" s="5" t="s">
        <v>817</v>
      </c>
      <c r="C340" s="45" t="s">
        <v>97</v>
      </c>
      <c r="D340" s="45" t="s">
        <v>818</v>
      </c>
      <c r="E340" s="6" t="s">
        <v>819</v>
      </c>
      <c r="F340" s="45" t="s">
        <v>187</v>
      </c>
      <c r="G340" s="46">
        <f t="shared" si="45"/>
        <v>1100</v>
      </c>
      <c r="H340" s="46">
        <f>TRUNC(S340*(1-LOTE_01!$K$10),2)</f>
        <v>0.28999999999999998</v>
      </c>
      <c r="I340" s="46">
        <f>TRUNC(T340*(1-LOTE_01!$K$10),2)</f>
        <v>0.83</v>
      </c>
      <c r="J340" s="100">
        <f t="shared" si="46"/>
        <v>0.22470000000000001</v>
      </c>
      <c r="K340" s="48">
        <f t="shared" si="40"/>
        <v>0.35</v>
      </c>
      <c r="L340" s="48">
        <f t="shared" si="41"/>
        <v>1.01</v>
      </c>
      <c r="M340" s="48">
        <f t="shared" si="42"/>
        <v>385</v>
      </c>
      <c r="N340" s="48">
        <f t="shared" si="43"/>
        <v>1111</v>
      </c>
      <c r="O340" s="50">
        <f t="shared" si="44"/>
        <v>1496</v>
      </c>
      <c r="P340" s="50">
        <v>0</v>
      </c>
      <c r="Q340" s="76"/>
      <c r="R340" s="140">
        <f>100*S9+100*S10</f>
        <v>1100</v>
      </c>
      <c r="S340" s="152">
        <v>0.28999999999999998</v>
      </c>
      <c r="T340" s="153">
        <v>0.83</v>
      </c>
    </row>
    <row r="341" spans="2:20" ht="42">
      <c r="B341" s="5" t="s">
        <v>820</v>
      </c>
      <c r="C341" s="45" t="s">
        <v>97</v>
      </c>
      <c r="D341" s="45" t="s">
        <v>821</v>
      </c>
      <c r="E341" s="6" t="s">
        <v>822</v>
      </c>
      <c r="F341" s="45" t="s">
        <v>104</v>
      </c>
      <c r="G341" s="46">
        <f t="shared" si="45"/>
        <v>33</v>
      </c>
      <c r="H341" s="46">
        <f>TRUNC(S341*(1-LOTE_01!$K$10),2)</f>
        <v>50.31</v>
      </c>
      <c r="I341" s="46">
        <f>TRUNC(T341*(1-LOTE_01!$K$10),2)</f>
        <v>20.46</v>
      </c>
      <c r="J341" s="100">
        <f t="shared" si="46"/>
        <v>0.22470000000000001</v>
      </c>
      <c r="K341" s="48">
        <f t="shared" si="40"/>
        <v>61.61</v>
      </c>
      <c r="L341" s="48">
        <f t="shared" si="41"/>
        <v>25.05</v>
      </c>
      <c r="M341" s="48">
        <f t="shared" si="42"/>
        <v>2033.13</v>
      </c>
      <c r="N341" s="48">
        <f t="shared" si="43"/>
        <v>826.65</v>
      </c>
      <c r="O341" s="50">
        <f t="shared" si="44"/>
        <v>2859.78</v>
      </c>
      <c r="P341" s="50">
        <v>0</v>
      </c>
      <c r="Q341" s="76"/>
      <c r="R341" s="140">
        <f>3*(S9+S10)</f>
        <v>33</v>
      </c>
      <c r="S341" s="152">
        <v>50.31</v>
      </c>
      <c r="T341" s="153">
        <v>20.46</v>
      </c>
    </row>
    <row r="342" spans="2:20" ht="28">
      <c r="B342" s="5" t="s">
        <v>823</v>
      </c>
      <c r="C342" s="45" t="s">
        <v>165</v>
      </c>
      <c r="D342" s="45" t="s">
        <v>824</v>
      </c>
      <c r="E342" s="6" t="s">
        <v>825</v>
      </c>
      <c r="F342" s="45" t="s">
        <v>559</v>
      </c>
      <c r="G342" s="46">
        <f t="shared" si="45"/>
        <v>140</v>
      </c>
      <c r="H342" s="46">
        <f>TRUNC(S342*(1-LOTE_01!$K$10),2)</f>
        <v>277.07</v>
      </c>
      <c r="I342" s="46">
        <f>TRUNC(T342*(1-LOTE_01!$K$10),2)</f>
        <v>134.61000000000001</v>
      </c>
      <c r="J342" s="100">
        <f t="shared" si="46"/>
        <v>0.22470000000000001</v>
      </c>
      <c r="K342" s="48">
        <f t="shared" si="40"/>
        <v>339.32</v>
      </c>
      <c r="L342" s="48">
        <f t="shared" si="41"/>
        <v>164.85</v>
      </c>
      <c r="M342" s="48">
        <f t="shared" si="42"/>
        <v>47504.800000000003</v>
      </c>
      <c r="N342" s="48">
        <f t="shared" si="43"/>
        <v>23079</v>
      </c>
      <c r="O342" s="50">
        <f t="shared" si="44"/>
        <v>70583.8</v>
      </c>
      <c r="P342" s="50">
        <v>0</v>
      </c>
      <c r="Q342" s="76"/>
      <c r="R342" s="140">
        <f>IF((10*S9+20*S10)&gt;500,500,(10*S9+20*S10))</f>
        <v>140</v>
      </c>
      <c r="S342" s="152">
        <v>277.07</v>
      </c>
      <c r="T342" s="153">
        <v>134.61000000000001</v>
      </c>
    </row>
    <row r="343" spans="2:20" ht="42">
      <c r="B343" s="5" t="s">
        <v>826</v>
      </c>
      <c r="C343" s="45" t="s">
        <v>165</v>
      </c>
      <c r="D343" s="45" t="s">
        <v>827</v>
      </c>
      <c r="E343" s="6" t="s">
        <v>828</v>
      </c>
      <c r="F343" s="45" t="s">
        <v>559</v>
      </c>
      <c r="G343" s="46">
        <f t="shared" si="45"/>
        <v>55</v>
      </c>
      <c r="H343" s="46">
        <f>TRUNC(S343*(1-LOTE_01!$K$10),2)</f>
        <v>166.48</v>
      </c>
      <c r="I343" s="46">
        <f>TRUNC(T343*(1-LOTE_01!$K$10),2)</f>
        <v>79.680000000000007</v>
      </c>
      <c r="J343" s="100">
        <f t="shared" si="46"/>
        <v>0.22470000000000001</v>
      </c>
      <c r="K343" s="48">
        <f t="shared" si="40"/>
        <v>203.88</v>
      </c>
      <c r="L343" s="48">
        <f t="shared" si="41"/>
        <v>97.58</v>
      </c>
      <c r="M343" s="48">
        <f t="shared" si="42"/>
        <v>11213.4</v>
      </c>
      <c r="N343" s="48">
        <f t="shared" si="43"/>
        <v>5366.9</v>
      </c>
      <c r="O343" s="50">
        <f t="shared" si="44"/>
        <v>16580.3</v>
      </c>
      <c r="P343" s="50">
        <v>0</v>
      </c>
      <c r="Q343" s="76"/>
      <c r="R343" s="140">
        <f>IF((5*S9+5*S10)&gt;200,200,(5*S9+5*S10))</f>
        <v>55</v>
      </c>
      <c r="S343" s="152">
        <v>166.48</v>
      </c>
      <c r="T343" s="153">
        <v>79.680000000000007</v>
      </c>
    </row>
    <row r="344" spans="2:20" ht="28">
      <c r="B344" s="5" t="s">
        <v>829</v>
      </c>
      <c r="C344" s="45" t="s">
        <v>165</v>
      </c>
      <c r="D344" s="45" t="s">
        <v>830</v>
      </c>
      <c r="E344" s="6" t="s">
        <v>831</v>
      </c>
      <c r="F344" s="45" t="s">
        <v>559</v>
      </c>
      <c r="G344" s="46">
        <f t="shared" si="45"/>
        <v>140</v>
      </c>
      <c r="H344" s="46">
        <f>TRUNC(S344*(1-LOTE_01!$K$10),2)</f>
        <v>258.11</v>
      </c>
      <c r="I344" s="46">
        <f>TRUNC(T344*(1-LOTE_01!$K$10),2)</f>
        <v>151.78</v>
      </c>
      <c r="J344" s="100">
        <f t="shared" si="46"/>
        <v>0.22470000000000001</v>
      </c>
      <c r="K344" s="48">
        <f t="shared" si="40"/>
        <v>316.10000000000002</v>
      </c>
      <c r="L344" s="48">
        <f t="shared" si="41"/>
        <v>185.88</v>
      </c>
      <c r="M344" s="48">
        <f t="shared" si="42"/>
        <v>44254</v>
      </c>
      <c r="N344" s="48">
        <f t="shared" si="43"/>
        <v>26023.200000000001</v>
      </c>
      <c r="O344" s="50">
        <f t="shared" si="44"/>
        <v>70277.2</v>
      </c>
      <c r="P344" s="50">
        <v>0</v>
      </c>
      <c r="Q344" s="76"/>
      <c r="R344" s="140">
        <f>IF((10*S9+20*S10)&gt;200,200,(10*S9+20*S10))</f>
        <v>140</v>
      </c>
      <c r="S344" s="152">
        <v>258.11</v>
      </c>
      <c r="T344" s="153">
        <v>151.78</v>
      </c>
    </row>
    <row r="345" spans="2:20" ht="28">
      <c r="B345" s="5" t="s">
        <v>832</v>
      </c>
      <c r="C345" s="45" t="s">
        <v>97</v>
      </c>
      <c r="D345" s="45" t="s">
        <v>833</v>
      </c>
      <c r="E345" s="6" t="s">
        <v>834</v>
      </c>
      <c r="F345" s="45" t="s">
        <v>104</v>
      </c>
      <c r="G345" s="46">
        <f t="shared" si="45"/>
        <v>110</v>
      </c>
      <c r="H345" s="46">
        <f>TRUNC(S345*(1-LOTE_01!$K$10),2)</f>
        <v>54.28</v>
      </c>
      <c r="I345" s="46">
        <f>TRUNC(T345*(1-LOTE_01!$K$10),2)</f>
        <v>13.5</v>
      </c>
      <c r="J345" s="100">
        <f t="shared" si="46"/>
        <v>0.22470000000000001</v>
      </c>
      <c r="K345" s="48">
        <f t="shared" si="40"/>
        <v>66.47</v>
      </c>
      <c r="L345" s="48">
        <f t="shared" si="41"/>
        <v>16.53</v>
      </c>
      <c r="M345" s="48">
        <f t="shared" si="42"/>
        <v>7311.7</v>
      </c>
      <c r="N345" s="48">
        <f t="shared" si="43"/>
        <v>1818.3</v>
      </c>
      <c r="O345" s="50">
        <f t="shared" si="44"/>
        <v>9130</v>
      </c>
      <c r="P345" s="50">
        <v>0</v>
      </c>
      <c r="Q345" s="76"/>
      <c r="R345" s="140">
        <f>IF((10*S9+10*S10)&gt;200,200,(10*S9+10*S10))</f>
        <v>110</v>
      </c>
      <c r="S345" s="152">
        <v>54.28</v>
      </c>
      <c r="T345" s="153">
        <v>13.5</v>
      </c>
    </row>
    <row r="346" spans="2:20" ht="70">
      <c r="B346" s="5" t="s">
        <v>835</v>
      </c>
      <c r="C346" s="45" t="s">
        <v>135</v>
      </c>
      <c r="D346" s="45">
        <v>91863</v>
      </c>
      <c r="E346" s="6" t="s">
        <v>836</v>
      </c>
      <c r="F346" s="45" t="s">
        <v>187</v>
      </c>
      <c r="G346" s="46">
        <f t="shared" si="45"/>
        <v>460</v>
      </c>
      <c r="H346" s="46">
        <f>TRUNC(S346*(1-LOTE_01!$K$10),2)</f>
        <v>8.42</v>
      </c>
      <c r="I346" s="46">
        <f>TRUNC(T346*(1-LOTE_01!$K$10),2)</f>
        <v>5.13</v>
      </c>
      <c r="J346" s="100">
        <f t="shared" si="46"/>
        <v>0.22470000000000001</v>
      </c>
      <c r="K346" s="48">
        <f t="shared" si="40"/>
        <v>10.31</v>
      </c>
      <c r="L346" s="48">
        <f t="shared" si="41"/>
        <v>6.28</v>
      </c>
      <c r="M346" s="48">
        <f t="shared" si="42"/>
        <v>4742.6000000000004</v>
      </c>
      <c r="N346" s="48">
        <f t="shared" si="43"/>
        <v>2888.8</v>
      </c>
      <c r="O346" s="50">
        <f t="shared" si="44"/>
        <v>7631.4</v>
      </c>
      <c r="P346" s="50">
        <v>0</v>
      </c>
      <c r="Q346" s="76"/>
      <c r="R346" s="140">
        <f>IF((20*S9+100*S10)&gt;1000,1000,(20*S9+100*S10))</f>
        <v>460</v>
      </c>
      <c r="S346" s="152">
        <v>8.4200000000000017</v>
      </c>
      <c r="T346" s="153">
        <v>5.13</v>
      </c>
    </row>
    <row r="347" spans="2:20" ht="70">
      <c r="B347" s="5" t="s">
        <v>837</v>
      </c>
      <c r="C347" s="45" t="s">
        <v>135</v>
      </c>
      <c r="D347" s="45">
        <v>91864</v>
      </c>
      <c r="E347" s="6" t="s">
        <v>838</v>
      </c>
      <c r="F347" s="45" t="s">
        <v>187</v>
      </c>
      <c r="G347" s="46">
        <f t="shared" si="45"/>
        <v>460</v>
      </c>
      <c r="H347" s="46">
        <f>TRUNC(S347*(1-LOTE_01!$K$10),2)</f>
        <v>12.48</v>
      </c>
      <c r="I347" s="46">
        <f>TRUNC(T347*(1-LOTE_01!$K$10),2)</f>
        <v>6.02</v>
      </c>
      <c r="J347" s="100">
        <f t="shared" si="46"/>
        <v>0.22470000000000001</v>
      </c>
      <c r="K347" s="48">
        <f t="shared" si="40"/>
        <v>15.28</v>
      </c>
      <c r="L347" s="48">
        <f t="shared" si="41"/>
        <v>7.37</v>
      </c>
      <c r="M347" s="48">
        <f t="shared" si="42"/>
        <v>7028.8</v>
      </c>
      <c r="N347" s="48">
        <f t="shared" si="43"/>
        <v>3390.2</v>
      </c>
      <c r="O347" s="50">
        <f t="shared" si="44"/>
        <v>10419</v>
      </c>
      <c r="P347" s="50">
        <v>0</v>
      </c>
      <c r="Q347" s="76"/>
      <c r="R347" s="140">
        <f>IF((20*S9+100*S10)&gt;500,500,(20*S9+100*S10))</f>
        <v>460</v>
      </c>
      <c r="S347" s="152">
        <v>12.48</v>
      </c>
      <c r="T347" s="153">
        <v>6.02</v>
      </c>
    </row>
    <row r="348" spans="2:20" ht="56">
      <c r="B348" s="5" t="s">
        <v>839</v>
      </c>
      <c r="C348" s="45" t="s">
        <v>135</v>
      </c>
      <c r="D348" s="45">
        <v>91926</v>
      </c>
      <c r="E348" s="6" t="s">
        <v>840</v>
      </c>
      <c r="F348" s="45" t="s">
        <v>187</v>
      </c>
      <c r="G348" s="46">
        <f t="shared" si="45"/>
        <v>6600</v>
      </c>
      <c r="H348" s="46">
        <f>TRUNC(S348*(1-LOTE_01!$K$10),2)</f>
        <v>4.21</v>
      </c>
      <c r="I348" s="46">
        <f>TRUNC(T348*(1-LOTE_01!$K$10),2)</f>
        <v>1.35</v>
      </c>
      <c r="J348" s="100">
        <f t="shared" si="46"/>
        <v>0.22470000000000001</v>
      </c>
      <c r="K348" s="48">
        <f t="shared" si="40"/>
        <v>5.15</v>
      </c>
      <c r="L348" s="48">
        <f t="shared" si="41"/>
        <v>1.65</v>
      </c>
      <c r="M348" s="48">
        <f t="shared" si="42"/>
        <v>33990</v>
      </c>
      <c r="N348" s="48">
        <f t="shared" si="43"/>
        <v>10890</v>
      </c>
      <c r="O348" s="50">
        <f t="shared" si="44"/>
        <v>44880</v>
      </c>
      <c r="P348" s="50">
        <v>0</v>
      </c>
      <c r="Q348" s="76"/>
      <c r="R348" s="140">
        <f>600*S9+600*S10</f>
        <v>6600</v>
      </c>
      <c r="S348" s="152">
        <v>4.2099999999999991</v>
      </c>
      <c r="T348" s="153">
        <v>1.35</v>
      </c>
    </row>
    <row r="349" spans="2:20" ht="56">
      <c r="B349" s="5" t="s">
        <v>841</v>
      </c>
      <c r="C349" s="45" t="s">
        <v>135</v>
      </c>
      <c r="D349" s="45">
        <v>91924</v>
      </c>
      <c r="E349" s="6" t="s">
        <v>842</v>
      </c>
      <c r="F349" s="45" t="s">
        <v>187</v>
      </c>
      <c r="G349" s="46">
        <f t="shared" si="45"/>
        <v>6600</v>
      </c>
      <c r="H349" s="46">
        <f>TRUNC(S349*(1-LOTE_01!$K$10),2)</f>
        <v>2.73</v>
      </c>
      <c r="I349" s="46">
        <f>TRUNC(T349*(1-LOTE_01!$K$10),2)</f>
        <v>1.06</v>
      </c>
      <c r="J349" s="100">
        <f t="shared" si="46"/>
        <v>0.22470000000000001</v>
      </c>
      <c r="K349" s="48">
        <f t="shared" si="40"/>
        <v>3.34</v>
      </c>
      <c r="L349" s="48">
        <f t="shared" si="41"/>
        <v>1.29</v>
      </c>
      <c r="M349" s="48">
        <f t="shared" si="42"/>
        <v>22044</v>
      </c>
      <c r="N349" s="48">
        <f t="shared" si="43"/>
        <v>8514</v>
      </c>
      <c r="O349" s="50">
        <f t="shared" si="44"/>
        <v>30558</v>
      </c>
      <c r="P349" s="50">
        <v>0</v>
      </c>
      <c r="Q349" s="76"/>
      <c r="R349" s="140">
        <f>600*S9+600*S10</f>
        <v>6600</v>
      </c>
      <c r="S349" s="152">
        <v>2.73</v>
      </c>
      <c r="T349" s="153">
        <v>1.06</v>
      </c>
    </row>
    <row r="350" spans="2:20" ht="56">
      <c r="B350" s="5" t="s">
        <v>843</v>
      </c>
      <c r="C350" s="45" t="s">
        <v>135</v>
      </c>
      <c r="D350" s="45">
        <v>91928</v>
      </c>
      <c r="E350" s="6" t="s">
        <v>844</v>
      </c>
      <c r="F350" s="45" t="s">
        <v>187</v>
      </c>
      <c r="G350" s="46">
        <f t="shared" si="45"/>
        <v>2200</v>
      </c>
      <c r="H350" s="46">
        <f>TRUNC(S350*(1-LOTE_01!$K$10),2)</f>
        <v>6.85</v>
      </c>
      <c r="I350" s="46">
        <f>TRUNC(T350*(1-LOTE_01!$K$10),2)</f>
        <v>1.83</v>
      </c>
      <c r="J350" s="100">
        <f t="shared" si="46"/>
        <v>0.22470000000000001</v>
      </c>
      <c r="K350" s="48">
        <f t="shared" si="40"/>
        <v>8.3800000000000008</v>
      </c>
      <c r="L350" s="48">
        <f t="shared" si="41"/>
        <v>2.2400000000000002</v>
      </c>
      <c r="M350" s="48">
        <f t="shared" si="42"/>
        <v>18436</v>
      </c>
      <c r="N350" s="48">
        <f t="shared" si="43"/>
        <v>4928</v>
      </c>
      <c r="O350" s="50">
        <f t="shared" si="44"/>
        <v>23364</v>
      </c>
      <c r="P350" s="50">
        <v>0</v>
      </c>
      <c r="Q350" s="76"/>
      <c r="R350" s="140">
        <f>200*S9+200*S10</f>
        <v>2200</v>
      </c>
      <c r="S350" s="152">
        <v>6.85</v>
      </c>
      <c r="T350" s="153">
        <v>1.83</v>
      </c>
    </row>
    <row r="351" spans="2:20" ht="56">
      <c r="B351" s="5" t="s">
        <v>845</v>
      </c>
      <c r="C351" s="45" t="s">
        <v>135</v>
      </c>
      <c r="D351" s="45">
        <v>91952</v>
      </c>
      <c r="E351" s="6" t="s">
        <v>846</v>
      </c>
      <c r="F351" s="45" t="s">
        <v>210</v>
      </c>
      <c r="G351" s="46">
        <f t="shared" si="45"/>
        <v>275</v>
      </c>
      <c r="H351" s="46">
        <f>TRUNC(S351*(1-LOTE_01!$K$10),2)</f>
        <v>13.17</v>
      </c>
      <c r="I351" s="46">
        <f>TRUNC(T351*(1-LOTE_01!$K$10),2)</f>
        <v>9.86</v>
      </c>
      <c r="J351" s="100">
        <f t="shared" si="46"/>
        <v>0.22470000000000001</v>
      </c>
      <c r="K351" s="48">
        <f t="shared" si="40"/>
        <v>16.12</v>
      </c>
      <c r="L351" s="48">
        <f t="shared" si="41"/>
        <v>12.07</v>
      </c>
      <c r="M351" s="48">
        <f t="shared" si="42"/>
        <v>4433</v>
      </c>
      <c r="N351" s="48">
        <f t="shared" si="43"/>
        <v>3319.25</v>
      </c>
      <c r="O351" s="50">
        <f t="shared" si="44"/>
        <v>7752.25</v>
      </c>
      <c r="P351" s="50">
        <v>0</v>
      </c>
      <c r="Q351" s="76"/>
      <c r="R351" s="140">
        <f>25*S9+25*S10</f>
        <v>275</v>
      </c>
      <c r="S351" s="152">
        <v>13.170000000000002</v>
      </c>
      <c r="T351" s="153">
        <v>9.86</v>
      </c>
    </row>
    <row r="352" spans="2:20" ht="56">
      <c r="B352" s="5" t="s">
        <v>847</v>
      </c>
      <c r="C352" s="45" t="s">
        <v>135</v>
      </c>
      <c r="D352" s="45">
        <v>91959</v>
      </c>
      <c r="E352" s="6" t="s">
        <v>848</v>
      </c>
      <c r="F352" s="45" t="s">
        <v>210</v>
      </c>
      <c r="G352" s="46">
        <f t="shared" si="45"/>
        <v>110</v>
      </c>
      <c r="H352" s="46">
        <f>TRUNC(S352*(1-LOTE_01!$K$10),2)</f>
        <v>33.54</v>
      </c>
      <c r="I352" s="46">
        <f>TRUNC(T352*(1-LOTE_01!$K$10),2)</f>
        <v>22.57</v>
      </c>
      <c r="J352" s="100">
        <f t="shared" si="46"/>
        <v>0.22470000000000001</v>
      </c>
      <c r="K352" s="48">
        <f t="shared" si="40"/>
        <v>41.07</v>
      </c>
      <c r="L352" s="48">
        <f t="shared" si="41"/>
        <v>27.64</v>
      </c>
      <c r="M352" s="48">
        <f t="shared" si="42"/>
        <v>4517.7</v>
      </c>
      <c r="N352" s="48">
        <f t="shared" si="43"/>
        <v>3040.4</v>
      </c>
      <c r="O352" s="50">
        <f t="shared" si="44"/>
        <v>7558.1</v>
      </c>
      <c r="P352" s="50">
        <v>0</v>
      </c>
      <c r="Q352" s="76"/>
      <c r="R352" s="140">
        <f>10*S9+10*S10</f>
        <v>110</v>
      </c>
      <c r="S352" s="152">
        <v>33.54</v>
      </c>
      <c r="T352" s="153">
        <v>22.57</v>
      </c>
    </row>
    <row r="353" spans="2:20" ht="56">
      <c r="B353" s="5" t="s">
        <v>849</v>
      </c>
      <c r="C353" s="45" t="s">
        <v>135</v>
      </c>
      <c r="D353" s="45">
        <v>91967</v>
      </c>
      <c r="E353" s="6" t="s">
        <v>850</v>
      </c>
      <c r="F353" s="45" t="s">
        <v>210</v>
      </c>
      <c r="G353" s="46">
        <f t="shared" si="45"/>
        <v>110</v>
      </c>
      <c r="H353" s="46">
        <f>TRUNC(S353*(1-LOTE_01!$K$10),2)</f>
        <v>45.77</v>
      </c>
      <c r="I353" s="46">
        <f>TRUNC(T353*(1-LOTE_01!$K$10),2)</f>
        <v>29.82</v>
      </c>
      <c r="J353" s="100">
        <f t="shared" si="46"/>
        <v>0.22470000000000001</v>
      </c>
      <c r="K353" s="48">
        <f t="shared" si="40"/>
        <v>56.05</v>
      </c>
      <c r="L353" s="48">
        <f t="shared" si="41"/>
        <v>36.520000000000003</v>
      </c>
      <c r="M353" s="48">
        <f t="shared" si="42"/>
        <v>6165.5</v>
      </c>
      <c r="N353" s="48">
        <f t="shared" si="43"/>
        <v>4017.2</v>
      </c>
      <c r="O353" s="50">
        <f t="shared" si="44"/>
        <v>10182.700000000001</v>
      </c>
      <c r="P353" s="50">
        <v>0</v>
      </c>
      <c r="Q353" s="76"/>
      <c r="R353" s="140">
        <f>10*S9+10*S10</f>
        <v>110</v>
      </c>
      <c r="S353" s="152">
        <v>45.77</v>
      </c>
      <c r="T353" s="153">
        <v>29.82</v>
      </c>
    </row>
    <row r="354" spans="2:20" ht="56">
      <c r="B354" s="5" t="s">
        <v>851</v>
      </c>
      <c r="C354" s="45" t="s">
        <v>135</v>
      </c>
      <c r="D354" s="45">
        <v>92005</v>
      </c>
      <c r="E354" s="6" t="s">
        <v>852</v>
      </c>
      <c r="F354" s="45" t="s">
        <v>210</v>
      </c>
      <c r="G354" s="46">
        <f t="shared" si="45"/>
        <v>140</v>
      </c>
      <c r="H354" s="46">
        <f>TRUNC(S354*(1-LOTE_01!$K$10),2)</f>
        <v>44.92</v>
      </c>
      <c r="I354" s="46">
        <f>TRUNC(T354*(1-LOTE_01!$K$10),2)</f>
        <v>29.81</v>
      </c>
      <c r="J354" s="100">
        <f t="shared" si="46"/>
        <v>0.22470000000000001</v>
      </c>
      <c r="K354" s="48">
        <f t="shared" si="40"/>
        <v>55.01</v>
      </c>
      <c r="L354" s="48">
        <f t="shared" si="41"/>
        <v>36.5</v>
      </c>
      <c r="M354" s="48">
        <f t="shared" si="42"/>
        <v>7701.4</v>
      </c>
      <c r="N354" s="48">
        <f t="shared" si="43"/>
        <v>5110</v>
      </c>
      <c r="O354" s="50">
        <f t="shared" si="44"/>
        <v>12811.4</v>
      </c>
      <c r="P354" s="50">
        <v>0</v>
      </c>
      <c r="Q354" s="76"/>
      <c r="R354" s="140">
        <f>IF((10*S9+20*S10)&gt;500,500,(10*S9+20*S10))</f>
        <v>140</v>
      </c>
      <c r="S354" s="152">
        <v>44.92</v>
      </c>
      <c r="T354" s="153">
        <v>29.81</v>
      </c>
    </row>
    <row r="355" spans="2:20" ht="56">
      <c r="B355" s="5" t="s">
        <v>853</v>
      </c>
      <c r="C355" s="45" t="s">
        <v>135</v>
      </c>
      <c r="D355" s="45">
        <v>92008</v>
      </c>
      <c r="E355" s="6" t="s">
        <v>854</v>
      </c>
      <c r="F355" s="45" t="s">
        <v>210</v>
      </c>
      <c r="G355" s="46">
        <f t="shared" si="45"/>
        <v>140</v>
      </c>
      <c r="H355" s="46">
        <f>TRUNC(S355*(1-LOTE_01!$K$10),2)</f>
        <v>36.5</v>
      </c>
      <c r="I355" s="46">
        <f>TRUNC(T355*(1-LOTE_01!$K$10),2)</f>
        <v>23.38</v>
      </c>
      <c r="J355" s="100">
        <f t="shared" si="46"/>
        <v>0.22470000000000001</v>
      </c>
      <c r="K355" s="48">
        <f t="shared" si="40"/>
        <v>44.7</v>
      </c>
      <c r="L355" s="48">
        <f t="shared" si="41"/>
        <v>28.63</v>
      </c>
      <c r="M355" s="48">
        <f t="shared" si="42"/>
        <v>6258</v>
      </c>
      <c r="N355" s="48">
        <f t="shared" si="43"/>
        <v>4008.2</v>
      </c>
      <c r="O355" s="50">
        <f t="shared" si="44"/>
        <v>10266.200000000001</v>
      </c>
      <c r="P355" s="50">
        <v>0</v>
      </c>
      <c r="Q355" s="76"/>
      <c r="R355" s="140">
        <f>IF((10*S9+20*S10)&gt;500,500,(10*S9+20*S10))</f>
        <v>140</v>
      </c>
      <c r="S355" s="152">
        <v>36.5</v>
      </c>
      <c r="T355" s="153">
        <v>23.38</v>
      </c>
    </row>
    <row r="356" spans="2:20" ht="56">
      <c r="B356" s="5" t="s">
        <v>855</v>
      </c>
      <c r="C356" s="45" t="s">
        <v>135</v>
      </c>
      <c r="D356" s="45">
        <v>92000</v>
      </c>
      <c r="E356" s="6" t="s">
        <v>856</v>
      </c>
      <c r="F356" s="45" t="s">
        <v>210</v>
      </c>
      <c r="G356" s="46">
        <f t="shared" si="45"/>
        <v>330</v>
      </c>
      <c r="H356" s="46">
        <f>TRUNC(S356*(1-LOTE_01!$K$10),2)</f>
        <v>22.8</v>
      </c>
      <c r="I356" s="46">
        <f>TRUNC(T356*(1-LOTE_01!$K$10),2)</f>
        <v>15.75</v>
      </c>
      <c r="J356" s="100">
        <f t="shared" si="46"/>
        <v>0.22470000000000001</v>
      </c>
      <c r="K356" s="48">
        <f t="shared" si="40"/>
        <v>27.92</v>
      </c>
      <c r="L356" s="48">
        <f t="shared" si="41"/>
        <v>19.28</v>
      </c>
      <c r="M356" s="48">
        <f t="shared" si="42"/>
        <v>9213.6</v>
      </c>
      <c r="N356" s="48">
        <f t="shared" si="43"/>
        <v>6362.4</v>
      </c>
      <c r="O356" s="50">
        <f t="shared" si="44"/>
        <v>15576</v>
      </c>
      <c r="P356" s="50">
        <v>0</v>
      </c>
      <c r="Q356" s="76"/>
      <c r="R356" s="140">
        <f>30*S9+30*S10</f>
        <v>330</v>
      </c>
      <c r="S356" s="152">
        <v>22.799999999999997</v>
      </c>
      <c r="T356" s="153">
        <v>15.75</v>
      </c>
    </row>
    <row r="357" spans="2:20" ht="42">
      <c r="B357" s="5" t="s">
        <v>857</v>
      </c>
      <c r="C357" s="45" t="s">
        <v>97</v>
      </c>
      <c r="D357" s="45" t="s">
        <v>858</v>
      </c>
      <c r="E357" s="6" t="s">
        <v>859</v>
      </c>
      <c r="F357" s="45" t="s">
        <v>104</v>
      </c>
      <c r="G357" s="46">
        <f t="shared" si="45"/>
        <v>390</v>
      </c>
      <c r="H357" s="46">
        <f>TRUNC(S357*(1-LOTE_01!$K$10),2)</f>
        <v>11.51</v>
      </c>
      <c r="I357" s="46">
        <f>TRUNC(T357*(1-LOTE_01!$K$10),2)</f>
        <v>24.99</v>
      </c>
      <c r="J357" s="100">
        <f t="shared" si="46"/>
        <v>0.22470000000000001</v>
      </c>
      <c r="K357" s="48">
        <f t="shared" si="40"/>
        <v>14.09</v>
      </c>
      <c r="L357" s="48">
        <f t="shared" si="41"/>
        <v>30.6</v>
      </c>
      <c r="M357" s="48">
        <f t="shared" si="42"/>
        <v>5495.1</v>
      </c>
      <c r="N357" s="48">
        <f t="shared" si="43"/>
        <v>11934</v>
      </c>
      <c r="O357" s="50">
        <f t="shared" si="44"/>
        <v>17429.099999999999</v>
      </c>
      <c r="P357" s="50">
        <v>0</v>
      </c>
      <c r="Q357" s="76"/>
      <c r="R357" s="140">
        <f>30*S9+50*S10</f>
        <v>390</v>
      </c>
      <c r="S357" s="152">
        <v>11.51</v>
      </c>
      <c r="T357" s="153">
        <v>24.99</v>
      </c>
    </row>
    <row r="358" spans="2:20" ht="28">
      <c r="B358" s="5" t="s">
        <v>860</v>
      </c>
      <c r="C358" s="45" t="s">
        <v>97</v>
      </c>
      <c r="D358" s="45" t="s">
        <v>861</v>
      </c>
      <c r="E358" s="6" t="s">
        <v>862</v>
      </c>
      <c r="F358" s="45" t="s">
        <v>104</v>
      </c>
      <c r="G358" s="46">
        <f t="shared" si="45"/>
        <v>50</v>
      </c>
      <c r="H358" s="46">
        <f>TRUNC(S358*(1-LOTE_01!$K$10),2)</f>
        <v>37.51</v>
      </c>
      <c r="I358" s="46">
        <f>TRUNC(T358*(1-LOTE_01!$K$10),2)</f>
        <v>18.739999999999998</v>
      </c>
      <c r="J358" s="100">
        <f t="shared" si="46"/>
        <v>0.22470000000000001</v>
      </c>
      <c r="K358" s="48">
        <f t="shared" si="40"/>
        <v>45.93</v>
      </c>
      <c r="L358" s="48">
        <f t="shared" si="41"/>
        <v>22.95</v>
      </c>
      <c r="M358" s="48">
        <f t="shared" si="42"/>
        <v>2296.5</v>
      </c>
      <c r="N358" s="48">
        <f t="shared" si="43"/>
        <v>1147.5</v>
      </c>
      <c r="O358" s="50">
        <f t="shared" si="44"/>
        <v>3444</v>
      </c>
      <c r="P358" s="50">
        <v>0</v>
      </c>
      <c r="Q358" s="76"/>
      <c r="R358" s="140">
        <f>IF((10*S9+10*S10)&gt;50,50,(10*S9+10*S10))</f>
        <v>50</v>
      </c>
      <c r="S358" s="152">
        <v>37.51</v>
      </c>
      <c r="T358" s="153">
        <v>18.739999999999998</v>
      </c>
    </row>
    <row r="359" spans="2:20" ht="84">
      <c r="B359" s="5" t="s">
        <v>863</v>
      </c>
      <c r="C359" s="45" t="s">
        <v>97</v>
      </c>
      <c r="D359" s="45" t="s">
        <v>864</v>
      </c>
      <c r="E359" s="6" t="s">
        <v>865</v>
      </c>
      <c r="F359" s="45" t="s">
        <v>104</v>
      </c>
      <c r="G359" s="46">
        <f t="shared" si="45"/>
        <v>200</v>
      </c>
      <c r="H359" s="46">
        <f>TRUNC(S359*(1-LOTE_01!$K$10),2)</f>
        <v>190.78</v>
      </c>
      <c r="I359" s="46">
        <f>TRUNC(T359*(1-LOTE_01!$K$10),2)</f>
        <v>37.49</v>
      </c>
      <c r="J359" s="100">
        <f t="shared" si="46"/>
        <v>0.22470000000000001</v>
      </c>
      <c r="K359" s="48">
        <f t="shared" si="40"/>
        <v>233.64</v>
      </c>
      <c r="L359" s="48">
        <f t="shared" si="41"/>
        <v>45.91</v>
      </c>
      <c r="M359" s="48">
        <f t="shared" si="42"/>
        <v>46728</v>
      </c>
      <c r="N359" s="48">
        <f t="shared" si="43"/>
        <v>9182</v>
      </c>
      <c r="O359" s="50">
        <f t="shared" si="44"/>
        <v>55910</v>
      </c>
      <c r="P359" s="50">
        <v>0</v>
      </c>
      <c r="Q359" s="76"/>
      <c r="R359" s="140">
        <f>IF((20*S9+20*S10)&gt;200,200,(20*S9+20*S10))</f>
        <v>200</v>
      </c>
      <c r="S359" s="152">
        <v>190.78</v>
      </c>
      <c r="T359" s="153">
        <v>37.49</v>
      </c>
    </row>
    <row r="360" spans="2:20" ht="98">
      <c r="B360" s="5" t="s">
        <v>866</v>
      </c>
      <c r="C360" s="45" t="s">
        <v>97</v>
      </c>
      <c r="D360" s="45" t="s">
        <v>867</v>
      </c>
      <c r="E360" s="6" t="s">
        <v>868</v>
      </c>
      <c r="F360" s="45" t="s">
        <v>104</v>
      </c>
      <c r="G360" s="46">
        <f t="shared" si="45"/>
        <v>22</v>
      </c>
      <c r="H360" s="46">
        <f>TRUNC(S360*(1-LOTE_01!$K$10),2)</f>
        <v>266.5</v>
      </c>
      <c r="I360" s="46">
        <f>TRUNC(T360*(1-LOTE_01!$K$10),2)</f>
        <v>83.93</v>
      </c>
      <c r="J360" s="100">
        <f t="shared" si="46"/>
        <v>0.22470000000000001</v>
      </c>
      <c r="K360" s="48">
        <f t="shared" si="40"/>
        <v>326.38</v>
      </c>
      <c r="L360" s="48">
        <f t="shared" si="41"/>
        <v>102.78</v>
      </c>
      <c r="M360" s="48">
        <f t="shared" si="42"/>
        <v>7180.36</v>
      </c>
      <c r="N360" s="48">
        <f t="shared" si="43"/>
        <v>2261.16</v>
      </c>
      <c r="O360" s="50">
        <f t="shared" si="44"/>
        <v>9441.52</v>
      </c>
      <c r="P360" s="50">
        <v>0</v>
      </c>
      <c r="Q360" s="76"/>
      <c r="R360" s="140">
        <f>IF((2*S9+2*S10)&gt;50,100,(2*S9+2*S10))</f>
        <v>22</v>
      </c>
      <c r="S360" s="152">
        <v>266.5</v>
      </c>
      <c r="T360" s="153">
        <v>83.93</v>
      </c>
    </row>
    <row r="361" spans="2:20" ht="56">
      <c r="B361" s="5" t="s">
        <v>869</v>
      </c>
      <c r="C361" s="45" t="s">
        <v>135</v>
      </c>
      <c r="D361" s="45">
        <v>97607</v>
      </c>
      <c r="E361" s="6" t="s">
        <v>870</v>
      </c>
      <c r="F361" s="45" t="s">
        <v>210</v>
      </c>
      <c r="G361" s="46">
        <f t="shared" si="45"/>
        <v>50</v>
      </c>
      <c r="H361" s="46">
        <f>TRUNC(S361*(1-LOTE_01!$K$10),2)</f>
        <v>79.63</v>
      </c>
      <c r="I361" s="46">
        <f>TRUNC(T361*(1-LOTE_01!$K$10),2)</f>
        <v>15.1</v>
      </c>
      <c r="J361" s="100">
        <f t="shared" si="46"/>
        <v>0.22470000000000001</v>
      </c>
      <c r="K361" s="48">
        <f t="shared" si="40"/>
        <v>97.52</v>
      </c>
      <c r="L361" s="48">
        <f t="shared" si="41"/>
        <v>18.489999999999998</v>
      </c>
      <c r="M361" s="48">
        <f t="shared" si="42"/>
        <v>4876</v>
      </c>
      <c r="N361" s="48">
        <f t="shared" si="43"/>
        <v>924.5</v>
      </c>
      <c r="O361" s="50">
        <f t="shared" si="44"/>
        <v>5800.5</v>
      </c>
      <c r="P361" s="50">
        <v>0</v>
      </c>
      <c r="Q361" s="76"/>
      <c r="R361" s="140">
        <f>IF((5*S9+5*S10)&gt;50,50,(5*S9+5*S10))</f>
        <v>50</v>
      </c>
      <c r="S361" s="152">
        <v>79.63000000000001</v>
      </c>
      <c r="T361" s="153">
        <v>15.1</v>
      </c>
    </row>
    <row r="362" spans="2:20" ht="28">
      <c r="B362" s="5" t="s">
        <v>871</v>
      </c>
      <c r="C362" s="45" t="s">
        <v>165</v>
      </c>
      <c r="D362" s="45" t="s">
        <v>872</v>
      </c>
      <c r="E362" s="6" t="s">
        <v>873</v>
      </c>
      <c r="F362" s="45" t="s">
        <v>559</v>
      </c>
      <c r="G362" s="46">
        <f t="shared" si="45"/>
        <v>50</v>
      </c>
      <c r="H362" s="46">
        <f>TRUNC(S362*(1-LOTE_01!$K$10),2)</f>
        <v>348.26</v>
      </c>
      <c r="I362" s="46">
        <f>TRUNC(T362*(1-LOTE_01!$K$10),2)</f>
        <v>51.5</v>
      </c>
      <c r="J362" s="100">
        <f t="shared" si="46"/>
        <v>0.22470000000000001</v>
      </c>
      <c r="K362" s="48">
        <f t="shared" si="40"/>
        <v>426.51</v>
      </c>
      <c r="L362" s="48">
        <f t="shared" si="41"/>
        <v>63.07</v>
      </c>
      <c r="M362" s="48">
        <f t="shared" si="42"/>
        <v>21325.5</v>
      </c>
      <c r="N362" s="48">
        <f t="shared" si="43"/>
        <v>3153.5</v>
      </c>
      <c r="O362" s="50">
        <f t="shared" si="44"/>
        <v>24479</v>
      </c>
      <c r="P362" s="50">
        <v>0</v>
      </c>
      <c r="Q362" s="76"/>
      <c r="R362" s="140">
        <f>IF((5*S9+5*S10)&gt;50,50,(5*S9+5*S10))</f>
        <v>50</v>
      </c>
      <c r="S362" s="152">
        <v>348.26</v>
      </c>
      <c r="T362" s="153">
        <v>51.5</v>
      </c>
    </row>
    <row r="363" spans="2:20" ht="42">
      <c r="B363" s="5" t="s">
        <v>874</v>
      </c>
      <c r="C363" s="45" t="s">
        <v>135</v>
      </c>
      <c r="D363" s="45">
        <v>100903</v>
      </c>
      <c r="E363" s="6" t="s">
        <v>875</v>
      </c>
      <c r="F363" s="45" t="s">
        <v>210</v>
      </c>
      <c r="G363" s="46">
        <f t="shared" si="45"/>
        <v>500</v>
      </c>
      <c r="H363" s="46">
        <f>TRUNC(S363*(1-LOTE_01!$K$10),2)</f>
        <v>21.06</v>
      </c>
      <c r="I363" s="46">
        <f>TRUNC(T363*(1-LOTE_01!$K$10),2)</f>
        <v>11.64</v>
      </c>
      <c r="J363" s="100">
        <f t="shared" si="46"/>
        <v>0.22470000000000001</v>
      </c>
      <c r="K363" s="48">
        <f t="shared" si="40"/>
        <v>25.79</v>
      </c>
      <c r="L363" s="48">
        <f t="shared" si="41"/>
        <v>14.25</v>
      </c>
      <c r="M363" s="48">
        <f t="shared" si="42"/>
        <v>12895</v>
      </c>
      <c r="N363" s="48">
        <f t="shared" si="43"/>
        <v>7125</v>
      </c>
      <c r="O363" s="50">
        <f t="shared" si="44"/>
        <v>20020</v>
      </c>
      <c r="P363" s="50">
        <v>0</v>
      </c>
      <c r="Q363" s="76"/>
      <c r="R363" s="140">
        <f>IF((100*S9+100*S10)&gt;500,500,(100*S9+100*S10))</f>
        <v>500</v>
      </c>
      <c r="S363" s="152">
        <v>21.060000000000002</v>
      </c>
      <c r="T363" s="153">
        <v>11.64</v>
      </c>
    </row>
    <row r="364" spans="2:20" ht="56">
      <c r="B364" s="5" t="s">
        <v>876</v>
      </c>
      <c r="C364" s="45" t="s">
        <v>135</v>
      </c>
      <c r="D364" s="45">
        <v>97599</v>
      </c>
      <c r="E364" s="6" t="s">
        <v>877</v>
      </c>
      <c r="F364" s="45" t="s">
        <v>210</v>
      </c>
      <c r="G364" s="46">
        <f t="shared" si="45"/>
        <v>100</v>
      </c>
      <c r="H364" s="46">
        <f>TRUNC(S364*(1-LOTE_01!$K$10),2)</f>
        <v>16.579999999999998</v>
      </c>
      <c r="I364" s="46">
        <f>TRUNC(T364*(1-LOTE_01!$K$10),2)</f>
        <v>5.23</v>
      </c>
      <c r="J364" s="100">
        <f t="shared" si="46"/>
        <v>0.22470000000000001</v>
      </c>
      <c r="K364" s="48">
        <f t="shared" si="40"/>
        <v>20.3</v>
      </c>
      <c r="L364" s="48">
        <f t="shared" si="41"/>
        <v>6.4</v>
      </c>
      <c r="M364" s="48">
        <f t="shared" si="42"/>
        <v>2030</v>
      </c>
      <c r="N364" s="48">
        <f t="shared" si="43"/>
        <v>640</v>
      </c>
      <c r="O364" s="50">
        <f t="shared" si="44"/>
        <v>2670</v>
      </c>
      <c r="P364" s="50">
        <v>0</v>
      </c>
      <c r="Q364" s="76"/>
      <c r="R364" s="140">
        <f>IF((20*S9+20*S10)&gt;100,100,(20*S9+20*S10))</f>
        <v>100</v>
      </c>
      <c r="S364" s="152">
        <v>16.579999999999998</v>
      </c>
      <c r="T364" s="153">
        <v>5.23</v>
      </c>
    </row>
    <row r="365" spans="2:20" ht="28">
      <c r="B365" s="5" t="s">
        <v>878</v>
      </c>
      <c r="C365" s="45" t="s">
        <v>97</v>
      </c>
      <c r="D365" s="45" t="s">
        <v>879</v>
      </c>
      <c r="E365" s="6" t="s">
        <v>880</v>
      </c>
      <c r="F365" s="45" t="s">
        <v>881</v>
      </c>
      <c r="G365" s="46">
        <f t="shared" si="45"/>
        <v>605</v>
      </c>
      <c r="H365" s="46">
        <f>TRUNC(S365*(1-LOTE_01!$K$10),2)</f>
        <v>114.07</v>
      </c>
      <c r="I365" s="46">
        <f>TRUNC(T365*(1-LOTE_01!$K$10),2)</f>
        <v>37.49</v>
      </c>
      <c r="J365" s="100">
        <f t="shared" si="46"/>
        <v>0.22470000000000001</v>
      </c>
      <c r="K365" s="48">
        <f t="shared" si="40"/>
        <v>139.69999999999999</v>
      </c>
      <c r="L365" s="48">
        <f t="shared" si="41"/>
        <v>45.91</v>
      </c>
      <c r="M365" s="48">
        <f t="shared" si="42"/>
        <v>84518.5</v>
      </c>
      <c r="N365" s="48">
        <f t="shared" si="43"/>
        <v>27775.55</v>
      </c>
      <c r="O365" s="50">
        <f t="shared" si="44"/>
        <v>112294.05</v>
      </c>
      <c r="P365" s="50">
        <v>0</v>
      </c>
      <c r="Q365" s="76"/>
      <c r="R365" s="141">
        <f>(6+6+3+2+2+6+4+2+2+4+6+6+6)*(S9+S10)</f>
        <v>605</v>
      </c>
      <c r="S365" s="152">
        <v>114.07</v>
      </c>
      <c r="T365" s="153">
        <v>37.49</v>
      </c>
    </row>
    <row r="366" spans="2:20" ht="28">
      <c r="B366" s="5" t="s">
        <v>882</v>
      </c>
      <c r="C366" s="45" t="s">
        <v>97</v>
      </c>
      <c r="D366" s="45" t="s">
        <v>883</v>
      </c>
      <c r="E366" s="6" t="s">
        <v>884</v>
      </c>
      <c r="F366" s="45" t="s">
        <v>104</v>
      </c>
      <c r="G366" s="46">
        <f t="shared" si="45"/>
        <v>363</v>
      </c>
      <c r="H366" s="46">
        <f>TRUNC(S366*(1-LOTE_01!$K$10),2)</f>
        <v>113.07</v>
      </c>
      <c r="I366" s="46">
        <f>TRUNC(T366*(1-LOTE_01!$K$10),2)</f>
        <v>37.49</v>
      </c>
      <c r="J366" s="100">
        <f t="shared" si="46"/>
        <v>0.22470000000000001</v>
      </c>
      <c r="K366" s="48">
        <f t="shared" si="40"/>
        <v>138.47</v>
      </c>
      <c r="L366" s="48">
        <f t="shared" si="41"/>
        <v>45.91</v>
      </c>
      <c r="M366" s="48">
        <f t="shared" si="42"/>
        <v>50264.61</v>
      </c>
      <c r="N366" s="48">
        <f t="shared" si="43"/>
        <v>16665.330000000002</v>
      </c>
      <c r="O366" s="50">
        <f t="shared" si="44"/>
        <v>66929.94</v>
      </c>
      <c r="P366" s="50">
        <v>0</v>
      </c>
      <c r="Q366" s="76"/>
      <c r="R366" s="141">
        <f>(3+9+14+7)*(S9+S10)</f>
        <v>363</v>
      </c>
      <c r="S366" s="152">
        <v>113.07</v>
      </c>
      <c r="T366" s="153">
        <v>37.49</v>
      </c>
    </row>
    <row r="367" spans="2:20" ht="42">
      <c r="B367" s="5" t="s">
        <v>885</v>
      </c>
      <c r="C367" s="45" t="s">
        <v>97</v>
      </c>
      <c r="D367" s="45" t="s">
        <v>886</v>
      </c>
      <c r="E367" s="6" t="s">
        <v>887</v>
      </c>
      <c r="F367" s="45" t="s">
        <v>104</v>
      </c>
      <c r="G367" s="46">
        <f t="shared" si="45"/>
        <v>110</v>
      </c>
      <c r="H367" s="46">
        <f>TRUNC(S367*(1-LOTE_01!$K$10),2)</f>
        <v>113.07</v>
      </c>
      <c r="I367" s="46">
        <f>TRUNC(T367*(1-LOTE_01!$K$10),2)</f>
        <v>37.49</v>
      </c>
      <c r="J367" s="100">
        <f t="shared" si="46"/>
        <v>0.22470000000000001</v>
      </c>
      <c r="K367" s="48">
        <f t="shared" si="40"/>
        <v>138.47</v>
      </c>
      <c r="L367" s="48">
        <f t="shared" si="41"/>
        <v>45.91</v>
      </c>
      <c r="M367" s="48">
        <f t="shared" si="42"/>
        <v>15231.7</v>
      </c>
      <c r="N367" s="48">
        <f t="shared" si="43"/>
        <v>5050.1000000000004</v>
      </c>
      <c r="O367" s="50">
        <f t="shared" si="44"/>
        <v>20281.8</v>
      </c>
      <c r="P367" s="50">
        <v>0</v>
      </c>
      <c r="Q367" s="76"/>
      <c r="R367" s="141">
        <f>10*(S9+S10)</f>
        <v>110</v>
      </c>
      <c r="S367" s="152">
        <v>113.07</v>
      </c>
      <c r="T367" s="153">
        <v>37.49</v>
      </c>
    </row>
    <row r="368" spans="2:20" ht="28">
      <c r="B368" s="5" t="s">
        <v>888</v>
      </c>
      <c r="C368" s="45" t="s">
        <v>97</v>
      </c>
      <c r="D368" s="45" t="s">
        <v>889</v>
      </c>
      <c r="E368" s="6" t="s">
        <v>890</v>
      </c>
      <c r="F368" s="45" t="s">
        <v>104</v>
      </c>
      <c r="G368" s="46">
        <f t="shared" si="45"/>
        <v>220</v>
      </c>
      <c r="H368" s="46">
        <f>TRUNC(S368*(1-LOTE_01!$K$10),2)</f>
        <v>2030.85</v>
      </c>
      <c r="I368" s="46">
        <f>TRUNC(T368*(1-LOTE_01!$K$10),2)</f>
        <v>41.66</v>
      </c>
      <c r="J368" s="100">
        <f t="shared" si="46"/>
        <v>0.22470000000000001</v>
      </c>
      <c r="K368" s="48">
        <f t="shared" si="40"/>
        <v>2487.1799999999998</v>
      </c>
      <c r="L368" s="48">
        <f t="shared" si="41"/>
        <v>51.02</v>
      </c>
      <c r="M368" s="48">
        <f t="shared" si="42"/>
        <v>547179.6</v>
      </c>
      <c r="N368" s="48">
        <f t="shared" si="43"/>
        <v>11224.4</v>
      </c>
      <c r="O368" s="50">
        <f t="shared" si="44"/>
        <v>558404</v>
      </c>
      <c r="P368" s="50">
        <v>0</v>
      </c>
      <c r="Q368" s="76"/>
      <c r="R368" s="141">
        <f>20*(S9+S10)</f>
        <v>220</v>
      </c>
      <c r="S368" s="152">
        <v>2030.85</v>
      </c>
      <c r="T368" s="153">
        <v>41.66</v>
      </c>
    </row>
    <row r="369" spans="2:20" ht="28">
      <c r="B369" s="5" t="s">
        <v>891</v>
      </c>
      <c r="C369" s="45" t="s">
        <v>97</v>
      </c>
      <c r="D369" s="45" t="s">
        <v>892</v>
      </c>
      <c r="E369" s="6" t="s">
        <v>893</v>
      </c>
      <c r="F369" s="45" t="s">
        <v>104</v>
      </c>
      <c r="G369" s="46">
        <f t="shared" si="45"/>
        <v>132</v>
      </c>
      <c r="H369" s="46">
        <f>TRUNC(S369*(1-LOTE_01!$K$10),2)</f>
        <v>1894.17</v>
      </c>
      <c r="I369" s="46">
        <f>TRUNC(T369*(1-LOTE_01!$K$10),2)</f>
        <v>41.66</v>
      </c>
      <c r="J369" s="100">
        <f t="shared" si="46"/>
        <v>0.22470000000000001</v>
      </c>
      <c r="K369" s="48">
        <f t="shared" si="40"/>
        <v>2319.7800000000002</v>
      </c>
      <c r="L369" s="48">
        <f t="shared" si="41"/>
        <v>51.02</v>
      </c>
      <c r="M369" s="48">
        <f t="shared" si="42"/>
        <v>306210.96000000002</v>
      </c>
      <c r="N369" s="48">
        <f t="shared" si="43"/>
        <v>6734.64</v>
      </c>
      <c r="O369" s="50">
        <f t="shared" si="44"/>
        <v>312945.59999999998</v>
      </c>
      <c r="P369" s="50">
        <v>0</v>
      </c>
      <c r="Q369" s="76"/>
      <c r="R369" s="141">
        <f>12*(S9+S10)</f>
        <v>132</v>
      </c>
      <c r="S369" s="152">
        <v>1894.17</v>
      </c>
      <c r="T369" s="153">
        <v>41.66</v>
      </c>
    </row>
    <row r="370" spans="2:20" ht="28">
      <c r="B370" s="5" t="s">
        <v>894</v>
      </c>
      <c r="C370" s="45" t="s">
        <v>97</v>
      </c>
      <c r="D370" s="45" t="s">
        <v>895</v>
      </c>
      <c r="E370" s="6" t="s">
        <v>896</v>
      </c>
      <c r="F370" s="45" t="s">
        <v>104</v>
      </c>
      <c r="G370" s="46">
        <f t="shared" si="45"/>
        <v>352</v>
      </c>
      <c r="H370" s="46">
        <f>TRUNC(S370*(1-LOTE_01!$K$10),2)</f>
        <v>864</v>
      </c>
      <c r="I370" s="46">
        <f>TRUNC(T370*(1-LOTE_01!$K$10),2)</f>
        <v>41.66</v>
      </c>
      <c r="J370" s="100">
        <f t="shared" si="46"/>
        <v>0.22470000000000001</v>
      </c>
      <c r="K370" s="48">
        <f t="shared" si="40"/>
        <v>1058.1400000000001</v>
      </c>
      <c r="L370" s="48">
        <f t="shared" si="41"/>
        <v>51.02</v>
      </c>
      <c r="M370" s="48">
        <f t="shared" si="42"/>
        <v>372465.28</v>
      </c>
      <c r="N370" s="48">
        <f t="shared" si="43"/>
        <v>17959.04</v>
      </c>
      <c r="O370" s="50">
        <f t="shared" si="44"/>
        <v>390424.32000000001</v>
      </c>
      <c r="P370" s="50">
        <v>0</v>
      </c>
      <c r="Q370" s="76"/>
      <c r="R370" s="141">
        <f>(19+13)*(S9+S10)</f>
        <v>352</v>
      </c>
      <c r="S370" s="152">
        <v>864</v>
      </c>
      <c r="T370" s="153">
        <v>41.66</v>
      </c>
    </row>
    <row r="371" spans="2:20" ht="56">
      <c r="B371" s="5" t="s">
        <v>897</v>
      </c>
      <c r="C371" s="45" t="s">
        <v>97</v>
      </c>
      <c r="D371" s="45" t="s">
        <v>898</v>
      </c>
      <c r="E371" s="6" t="s">
        <v>899</v>
      </c>
      <c r="F371" s="45" t="s">
        <v>104</v>
      </c>
      <c r="G371" s="46">
        <f t="shared" si="45"/>
        <v>157.85</v>
      </c>
      <c r="H371" s="46">
        <f>TRUNC(S371*(1-LOTE_01!$K$10),2)</f>
        <v>155.74</v>
      </c>
      <c r="I371" s="46">
        <f>TRUNC(T371*(1-LOTE_01!$K$10),2)</f>
        <v>45.82</v>
      </c>
      <c r="J371" s="100">
        <f t="shared" si="46"/>
        <v>0.22470000000000001</v>
      </c>
      <c r="K371" s="48">
        <f t="shared" si="40"/>
        <v>190.73</v>
      </c>
      <c r="L371" s="48">
        <f t="shared" si="41"/>
        <v>56.11</v>
      </c>
      <c r="M371" s="48">
        <f t="shared" si="42"/>
        <v>30106.73</v>
      </c>
      <c r="N371" s="48">
        <f t="shared" si="43"/>
        <v>8856.9599999999991</v>
      </c>
      <c r="O371" s="50">
        <f t="shared" si="44"/>
        <v>38963.69</v>
      </c>
      <c r="P371" s="50">
        <v>0</v>
      </c>
      <c r="Q371" s="76"/>
      <c r="R371" s="141">
        <f>(4+4.85+5.5)*(S9+S10)</f>
        <v>157.85</v>
      </c>
      <c r="S371" s="152">
        <v>155.74</v>
      </c>
      <c r="T371" s="153">
        <v>45.82</v>
      </c>
    </row>
    <row r="372" spans="2:20" ht="28">
      <c r="B372" s="5" t="s">
        <v>900</v>
      </c>
      <c r="C372" s="45" t="s">
        <v>97</v>
      </c>
      <c r="D372" s="45" t="s">
        <v>901</v>
      </c>
      <c r="E372" s="6" t="s">
        <v>902</v>
      </c>
      <c r="F372" s="45" t="s">
        <v>187</v>
      </c>
      <c r="G372" s="46">
        <f t="shared" si="45"/>
        <v>157.85</v>
      </c>
      <c r="H372" s="46">
        <f>TRUNC(S372*(1-LOTE_01!$K$10),2)</f>
        <v>56.5</v>
      </c>
      <c r="I372" s="46">
        <f>TRUNC(T372*(1-LOTE_01!$K$10),2)</f>
        <v>19.98</v>
      </c>
      <c r="J372" s="100">
        <f t="shared" si="46"/>
        <v>0.22470000000000001</v>
      </c>
      <c r="K372" s="48">
        <f t="shared" si="40"/>
        <v>69.19</v>
      </c>
      <c r="L372" s="48">
        <f t="shared" si="41"/>
        <v>24.46</v>
      </c>
      <c r="M372" s="48">
        <f t="shared" si="42"/>
        <v>10921.64</v>
      </c>
      <c r="N372" s="48">
        <f t="shared" si="43"/>
        <v>3861.01</v>
      </c>
      <c r="O372" s="50">
        <f t="shared" si="44"/>
        <v>14782.65</v>
      </c>
      <c r="P372" s="50">
        <v>0</v>
      </c>
      <c r="Q372" s="76"/>
      <c r="R372" s="141">
        <f>R371</f>
        <v>157.85</v>
      </c>
      <c r="S372" s="152">
        <v>56.5</v>
      </c>
      <c r="T372" s="153">
        <v>19.98</v>
      </c>
    </row>
    <row r="373" spans="2:20" ht="42">
      <c r="B373" s="5" t="s">
        <v>903</v>
      </c>
      <c r="C373" s="45" t="s">
        <v>97</v>
      </c>
      <c r="D373" s="45" t="s">
        <v>904</v>
      </c>
      <c r="E373" s="6" t="s">
        <v>905</v>
      </c>
      <c r="F373" s="45" t="s">
        <v>104</v>
      </c>
      <c r="G373" s="46">
        <f t="shared" si="45"/>
        <v>44</v>
      </c>
      <c r="H373" s="46">
        <f>TRUNC(S373*(1-LOTE_01!$K$10),2)</f>
        <v>261.97000000000003</v>
      </c>
      <c r="I373" s="46">
        <f>TRUNC(T373*(1-LOTE_01!$K$10),2)</f>
        <v>8.33</v>
      </c>
      <c r="J373" s="100">
        <f t="shared" si="46"/>
        <v>0.22470000000000001</v>
      </c>
      <c r="K373" s="48">
        <f t="shared" si="40"/>
        <v>320.83</v>
      </c>
      <c r="L373" s="48">
        <f t="shared" si="41"/>
        <v>10.199999999999999</v>
      </c>
      <c r="M373" s="48">
        <f t="shared" si="42"/>
        <v>14116.52</v>
      </c>
      <c r="N373" s="48">
        <f t="shared" si="43"/>
        <v>448.8</v>
      </c>
      <c r="O373" s="50">
        <f t="shared" si="44"/>
        <v>14565.32</v>
      </c>
      <c r="P373" s="50">
        <v>0</v>
      </c>
      <c r="Q373" s="76"/>
      <c r="R373" s="140">
        <f>4*S9+4*S10</f>
        <v>44</v>
      </c>
      <c r="S373" s="152">
        <v>261.97000000000003</v>
      </c>
      <c r="T373" s="153">
        <v>8.33</v>
      </c>
    </row>
    <row r="374" spans="2:20" ht="28">
      <c r="B374" s="5" t="s">
        <v>906</v>
      </c>
      <c r="C374" s="45" t="s">
        <v>97</v>
      </c>
      <c r="D374" s="45" t="s">
        <v>907</v>
      </c>
      <c r="E374" s="6" t="s">
        <v>908</v>
      </c>
      <c r="F374" s="45" t="s">
        <v>104</v>
      </c>
      <c r="G374" s="46">
        <f t="shared" si="45"/>
        <v>44</v>
      </c>
      <c r="H374" s="46">
        <f>TRUNC(S374*(1-LOTE_01!$K$10),2)</f>
        <v>234.97</v>
      </c>
      <c r="I374" s="46">
        <f>TRUNC(T374*(1-LOTE_01!$K$10),2)</f>
        <v>8.33</v>
      </c>
      <c r="J374" s="100">
        <f t="shared" si="46"/>
        <v>0.22470000000000001</v>
      </c>
      <c r="K374" s="48">
        <f t="shared" si="40"/>
        <v>287.76</v>
      </c>
      <c r="L374" s="48">
        <f t="shared" si="41"/>
        <v>10.199999999999999</v>
      </c>
      <c r="M374" s="48">
        <f t="shared" si="42"/>
        <v>12661.44</v>
      </c>
      <c r="N374" s="48">
        <f t="shared" si="43"/>
        <v>448.8</v>
      </c>
      <c r="O374" s="50">
        <f t="shared" si="44"/>
        <v>13110.24</v>
      </c>
      <c r="P374" s="50">
        <v>0</v>
      </c>
      <c r="Q374" s="76"/>
      <c r="R374" s="140">
        <f>4*S9+4*S10</f>
        <v>44</v>
      </c>
      <c r="S374" s="152">
        <v>234.97</v>
      </c>
      <c r="T374" s="153">
        <v>8.33</v>
      </c>
    </row>
    <row r="375" spans="2:20" ht="42">
      <c r="B375" s="101" t="s">
        <v>909</v>
      </c>
      <c r="C375" s="102" t="s">
        <v>21</v>
      </c>
      <c r="D375" s="102" t="s">
        <v>21</v>
      </c>
      <c r="E375" s="103" t="s">
        <v>910</v>
      </c>
      <c r="F375" s="102" t="s">
        <v>21</v>
      </c>
      <c r="G375" s="46">
        <f t="shared" si="45"/>
        <v>0</v>
      </c>
      <c r="H375" s="46"/>
      <c r="I375" s="46"/>
      <c r="J375" s="105"/>
      <c r="K375" s="48">
        <f t="shared" si="40"/>
        <v>0</v>
      </c>
      <c r="L375" s="48">
        <f t="shared" si="41"/>
        <v>0</v>
      </c>
      <c r="M375" s="48">
        <f t="shared" si="42"/>
        <v>0</v>
      </c>
      <c r="N375" s="48">
        <f t="shared" si="43"/>
        <v>0</v>
      </c>
      <c r="O375" s="50">
        <f t="shared" si="44"/>
        <v>0</v>
      </c>
      <c r="P375" s="50">
        <v>0</v>
      </c>
      <c r="Q375" s="76"/>
      <c r="R375" s="154"/>
      <c r="S375" s="152" t="s">
        <v>22</v>
      </c>
      <c r="T375" s="153" t="s">
        <v>22</v>
      </c>
    </row>
    <row r="376" spans="2:20" ht="56">
      <c r="B376" s="5" t="s">
        <v>911</v>
      </c>
      <c r="C376" s="45" t="s">
        <v>135</v>
      </c>
      <c r="D376" s="45">
        <v>93661</v>
      </c>
      <c r="E376" s="6" t="s">
        <v>912</v>
      </c>
      <c r="F376" s="45" t="s">
        <v>210</v>
      </c>
      <c r="G376" s="46">
        <f t="shared" si="45"/>
        <v>22</v>
      </c>
      <c r="H376" s="46">
        <f>TRUNC(S376*(1-LOTE_01!$K$10),2)</f>
        <v>59.09</v>
      </c>
      <c r="I376" s="46">
        <f>TRUNC(T376*(1-LOTE_01!$K$10),2)</f>
        <v>3.08</v>
      </c>
      <c r="J376" s="100">
        <f t="shared" si="46"/>
        <v>0.22470000000000001</v>
      </c>
      <c r="K376" s="48">
        <f t="shared" si="40"/>
        <v>72.36</v>
      </c>
      <c r="L376" s="48">
        <f t="shared" si="41"/>
        <v>3.77</v>
      </c>
      <c r="M376" s="48">
        <f t="shared" si="42"/>
        <v>1591.92</v>
      </c>
      <c r="N376" s="48">
        <f t="shared" si="43"/>
        <v>82.94</v>
      </c>
      <c r="O376" s="50">
        <f t="shared" si="44"/>
        <v>1674.86</v>
      </c>
      <c r="P376" s="50">
        <v>0</v>
      </c>
      <c r="Q376" s="76"/>
      <c r="R376" s="140">
        <f>2*S9+2*S10</f>
        <v>22</v>
      </c>
      <c r="S376" s="152">
        <v>59.09</v>
      </c>
      <c r="T376" s="153">
        <v>3.08</v>
      </c>
    </row>
    <row r="377" spans="2:20" ht="56">
      <c r="B377" s="5" t="s">
        <v>913</v>
      </c>
      <c r="C377" s="45" t="s">
        <v>135</v>
      </c>
      <c r="D377" s="45">
        <v>93662</v>
      </c>
      <c r="E377" s="6" t="s">
        <v>914</v>
      </c>
      <c r="F377" s="45" t="s">
        <v>210</v>
      </c>
      <c r="G377" s="46">
        <f t="shared" si="45"/>
        <v>22</v>
      </c>
      <c r="H377" s="46">
        <f>TRUNC(S377*(1-LOTE_01!$K$10),2)</f>
        <v>60.03</v>
      </c>
      <c r="I377" s="46">
        <f>TRUNC(T377*(1-LOTE_01!$K$10),2)</f>
        <v>4.0599999999999996</v>
      </c>
      <c r="J377" s="100">
        <f t="shared" si="46"/>
        <v>0.22470000000000001</v>
      </c>
      <c r="K377" s="48">
        <f t="shared" si="40"/>
        <v>73.510000000000005</v>
      </c>
      <c r="L377" s="48">
        <f t="shared" si="41"/>
        <v>4.97</v>
      </c>
      <c r="M377" s="48">
        <f t="shared" si="42"/>
        <v>1617.22</v>
      </c>
      <c r="N377" s="48">
        <f t="shared" si="43"/>
        <v>109.34</v>
      </c>
      <c r="O377" s="50">
        <f t="shared" si="44"/>
        <v>1726.56</v>
      </c>
      <c r="P377" s="50">
        <v>0</v>
      </c>
      <c r="Q377" s="76"/>
      <c r="R377" s="140">
        <f>2*S9+2*S10</f>
        <v>22</v>
      </c>
      <c r="S377" s="152">
        <v>60.03</v>
      </c>
      <c r="T377" s="153">
        <v>4.0599999999999996</v>
      </c>
    </row>
    <row r="378" spans="2:20" ht="56">
      <c r="B378" s="5" t="s">
        <v>915</v>
      </c>
      <c r="C378" s="45" t="s">
        <v>135</v>
      </c>
      <c r="D378" s="45">
        <v>93663</v>
      </c>
      <c r="E378" s="6" t="s">
        <v>916</v>
      </c>
      <c r="F378" s="45" t="s">
        <v>210</v>
      </c>
      <c r="G378" s="46">
        <f t="shared" si="45"/>
        <v>50</v>
      </c>
      <c r="H378" s="46">
        <f>TRUNC(S378*(1-LOTE_01!$K$10),2)</f>
        <v>60.51</v>
      </c>
      <c r="I378" s="46">
        <f>TRUNC(T378*(1-LOTE_01!$K$10),2)</f>
        <v>5.56</v>
      </c>
      <c r="J378" s="100">
        <f t="shared" si="46"/>
        <v>0.22470000000000001</v>
      </c>
      <c r="K378" s="48">
        <f t="shared" si="40"/>
        <v>74.099999999999994</v>
      </c>
      <c r="L378" s="48">
        <f t="shared" si="41"/>
        <v>6.8</v>
      </c>
      <c r="M378" s="48">
        <f t="shared" si="42"/>
        <v>3705</v>
      </c>
      <c r="N378" s="48">
        <f t="shared" si="43"/>
        <v>340</v>
      </c>
      <c r="O378" s="50">
        <f t="shared" si="44"/>
        <v>4045</v>
      </c>
      <c r="P378" s="50">
        <v>0</v>
      </c>
      <c r="Q378" s="76"/>
      <c r="R378" s="140">
        <f>IF((10*S9+10*S10)&gt;50,50,(10*S9+10*S10))</f>
        <v>50</v>
      </c>
      <c r="S378" s="152">
        <v>60.509999999999991</v>
      </c>
      <c r="T378" s="153">
        <v>5.56</v>
      </c>
    </row>
    <row r="379" spans="2:20" ht="56">
      <c r="B379" s="5" t="s">
        <v>917</v>
      </c>
      <c r="C379" s="45" t="s">
        <v>135</v>
      </c>
      <c r="D379" s="45">
        <v>101896</v>
      </c>
      <c r="E379" s="6" t="s">
        <v>918</v>
      </c>
      <c r="F379" s="45" t="s">
        <v>210</v>
      </c>
      <c r="G379" s="46">
        <f t="shared" si="45"/>
        <v>5</v>
      </c>
      <c r="H379" s="46">
        <f>TRUNC(S379*(1-LOTE_01!$K$10),2)</f>
        <v>638.84</v>
      </c>
      <c r="I379" s="46">
        <f>TRUNC(T379*(1-LOTE_01!$K$10),2)</f>
        <v>53.29</v>
      </c>
      <c r="J379" s="100">
        <f t="shared" si="46"/>
        <v>0.22470000000000001</v>
      </c>
      <c r="K379" s="48">
        <f t="shared" si="40"/>
        <v>782.38</v>
      </c>
      <c r="L379" s="48">
        <f t="shared" si="41"/>
        <v>65.260000000000005</v>
      </c>
      <c r="M379" s="48">
        <f t="shared" si="42"/>
        <v>3911.9</v>
      </c>
      <c r="N379" s="48">
        <f t="shared" si="43"/>
        <v>326.3</v>
      </c>
      <c r="O379" s="50">
        <f t="shared" si="44"/>
        <v>4238.2</v>
      </c>
      <c r="P379" s="50">
        <v>0</v>
      </c>
      <c r="Q379" s="76"/>
      <c r="R379" s="140">
        <f>IF((1*S9+1*S10)&gt;5,5,(1*S9+1*S10))</f>
        <v>5</v>
      </c>
      <c r="S379" s="152">
        <v>638.84</v>
      </c>
      <c r="T379" s="153">
        <v>53.29</v>
      </c>
    </row>
    <row r="380" spans="2:20" ht="42">
      <c r="B380" s="5" t="s">
        <v>919</v>
      </c>
      <c r="C380" s="45" t="s">
        <v>165</v>
      </c>
      <c r="D380" s="45" t="s">
        <v>920</v>
      </c>
      <c r="E380" s="6" t="s">
        <v>921</v>
      </c>
      <c r="F380" s="45" t="s">
        <v>559</v>
      </c>
      <c r="G380" s="46">
        <f t="shared" si="45"/>
        <v>5</v>
      </c>
      <c r="H380" s="46">
        <f>TRUNC(S380*(1-LOTE_01!$K$10),2)</f>
        <v>1854.99</v>
      </c>
      <c r="I380" s="46">
        <f>TRUNC(T380*(1-LOTE_01!$K$10),2)</f>
        <v>68.67</v>
      </c>
      <c r="J380" s="100">
        <f t="shared" si="46"/>
        <v>0.22470000000000001</v>
      </c>
      <c r="K380" s="48">
        <f t="shared" si="40"/>
        <v>2271.8000000000002</v>
      </c>
      <c r="L380" s="48">
        <f t="shared" si="41"/>
        <v>84.1</v>
      </c>
      <c r="M380" s="48">
        <f t="shared" si="42"/>
        <v>11359</v>
      </c>
      <c r="N380" s="48">
        <f t="shared" si="43"/>
        <v>420.5</v>
      </c>
      <c r="O380" s="50">
        <f t="shared" si="44"/>
        <v>11779.5</v>
      </c>
      <c r="P380" s="50">
        <v>0</v>
      </c>
      <c r="Q380" s="76"/>
      <c r="R380" s="140">
        <f>IF((1*S9+1*S10)&gt;5,5,(1*S9+1*S10))</f>
        <v>5</v>
      </c>
      <c r="S380" s="152">
        <v>1854.99</v>
      </c>
      <c r="T380" s="153">
        <v>68.67</v>
      </c>
    </row>
    <row r="381" spans="2:20" ht="56">
      <c r="B381" s="5" t="s">
        <v>922</v>
      </c>
      <c r="C381" s="45" t="s">
        <v>97</v>
      </c>
      <c r="D381" s="45" t="s">
        <v>923</v>
      </c>
      <c r="E381" s="6" t="s">
        <v>924</v>
      </c>
      <c r="F381" s="45" t="s">
        <v>925</v>
      </c>
      <c r="G381" s="46">
        <f t="shared" si="45"/>
        <v>200</v>
      </c>
      <c r="H381" s="46">
        <f>TRUNC(S381*(1-LOTE_01!$K$10),2)</f>
        <v>51.48</v>
      </c>
      <c r="I381" s="46">
        <f>TRUNC(T381*(1-LOTE_01!$K$10),2)</f>
        <v>12.49</v>
      </c>
      <c r="J381" s="100">
        <f t="shared" si="46"/>
        <v>0.22470000000000001</v>
      </c>
      <c r="K381" s="48">
        <f t="shared" si="40"/>
        <v>63.04</v>
      </c>
      <c r="L381" s="48">
        <f t="shared" si="41"/>
        <v>15.29</v>
      </c>
      <c r="M381" s="48">
        <f t="shared" si="42"/>
        <v>12608</v>
      </c>
      <c r="N381" s="48">
        <f t="shared" si="43"/>
        <v>3058</v>
      </c>
      <c r="O381" s="50">
        <f t="shared" si="44"/>
        <v>15666</v>
      </c>
      <c r="P381" s="50">
        <v>0</v>
      </c>
      <c r="Q381" s="76"/>
      <c r="R381" s="140">
        <f>IF((20*S9+20*S10)&gt;200,200,(20*S9+20*S10))</f>
        <v>200</v>
      </c>
      <c r="S381" s="152">
        <v>51.48</v>
      </c>
      <c r="T381" s="153">
        <v>12.49</v>
      </c>
    </row>
    <row r="382" spans="2:20" ht="70">
      <c r="B382" s="5" t="s">
        <v>926</v>
      </c>
      <c r="C382" s="45" t="s">
        <v>135</v>
      </c>
      <c r="D382" s="45">
        <v>91867</v>
      </c>
      <c r="E382" s="6" t="s">
        <v>927</v>
      </c>
      <c r="F382" s="45" t="s">
        <v>187</v>
      </c>
      <c r="G382" s="46">
        <f t="shared" si="45"/>
        <v>500</v>
      </c>
      <c r="H382" s="46">
        <f>TRUNC(S382*(1-LOTE_01!$K$10),2)</f>
        <v>8.09</v>
      </c>
      <c r="I382" s="46">
        <f>TRUNC(T382*(1-LOTE_01!$K$10),2)</f>
        <v>4.0599999999999996</v>
      </c>
      <c r="J382" s="100">
        <f t="shared" si="46"/>
        <v>0.22470000000000001</v>
      </c>
      <c r="K382" s="48">
        <f t="shared" si="40"/>
        <v>9.9</v>
      </c>
      <c r="L382" s="48">
        <f t="shared" si="41"/>
        <v>4.97</v>
      </c>
      <c r="M382" s="48">
        <f t="shared" si="42"/>
        <v>4950</v>
      </c>
      <c r="N382" s="48">
        <f t="shared" si="43"/>
        <v>2485</v>
      </c>
      <c r="O382" s="50">
        <f t="shared" si="44"/>
        <v>7435</v>
      </c>
      <c r="P382" s="50">
        <v>0</v>
      </c>
      <c r="Q382" s="76"/>
      <c r="R382" s="140">
        <f>IF((50*S9+50*S10)&gt;500,500,(50*S9+50*S10))</f>
        <v>500</v>
      </c>
      <c r="S382" s="152">
        <v>8.09</v>
      </c>
      <c r="T382" s="153">
        <v>4.0599999999999996</v>
      </c>
    </row>
    <row r="383" spans="2:20" ht="70">
      <c r="B383" s="5" t="s">
        <v>928</v>
      </c>
      <c r="C383" s="45" t="s">
        <v>135</v>
      </c>
      <c r="D383" s="45">
        <v>91864</v>
      </c>
      <c r="E383" s="6" t="s">
        <v>838</v>
      </c>
      <c r="F383" s="45" t="s">
        <v>187</v>
      </c>
      <c r="G383" s="46">
        <f t="shared" si="45"/>
        <v>100</v>
      </c>
      <c r="H383" s="46">
        <f>TRUNC(S383*(1-LOTE_01!$K$10),2)</f>
        <v>12.48</v>
      </c>
      <c r="I383" s="46">
        <f>TRUNC(T383*(1-LOTE_01!$K$10),2)</f>
        <v>6.02</v>
      </c>
      <c r="J383" s="100">
        <f t="shared" si="46"/>
        <v>0.22470000000000001</v>
      </c>
      <c r="K383" s="48">
        <f t="shared" si="40"/>
        <v>15.28</v>
      </c>
      <c r="L383" s="48">
        <f t="shared" si="41"/>
        <v>7.37</v>
      </c>
      <c r="M383" s="48">
        <f t="shared" si="42"/>
        <v>1528</v>
      </c>
      <c r="N383" s="48">
        <f t="shared" si="43"/>
        <v>737</v>
      </c>
      <c r="O383" s="50">
        <f t="shared" si="44"/>
        <v>2265</v>
      </c>
      <c r="P383" s="50">
        <v>0</v>
      </c>
      <c r="Q383" s="76"/>
      <c r="R383" s="140">
        <f>IF((20*S9+20*S10)&gt;100,100,(20*S9+20*S10))</f>
        <v>100</v>
      </c>
      <c r="S383" s="152">
        <v>12.48</v>
      </c>
      <c r="T383" s="153">
        <v>6.02</v>
      </c>
    </row>
    <row r="384" spans="2:20" ht="42">
      <c r="B384" s="5" t="s">
        <v>929</v>
      </c>
      <c r="C384" s="45" t="s">
        <v>165</v>
      </c>
      <c r="D384" s="45" t="s">
        <v>930</v>
      </c>
      <c r="E384" s="6" t="s">
        <v>931</v>
      </c>
      <c r="F384" s="45" t="s">
        <v>531</v>
      </c>
      <c r="G384" s="46">
        <f t="shared" si="45"/>
        <v>200</v>
      </c>
      <c r="H384" s="46">
        <f>TRUNC(S384*(1-LOTE_01!$K$10),2)</f>
        <v>42.69</v>
      </c>
      <c r="I384" s="46">
        <f>TRUNC(T384*(1-LOTE_01!$K$10),2)</f>
        <v>16.600000000000001</v>
      </c>
      <c r="J384" s="100">
        <f t="shared" si="46"/>
        <v>0.22470000000000001</v>
      </c>
      <c r="K384" s="48">
        <f t="shared" si="40"/>
        <v>52.28</v>
      </c>
      <c r="L384" s="48">
        <f t="shared" si="41"/>
        <v>20.329999999999998</v>
      </c>
      <c r="M384" s="48">
        <f t="shared" si="42"/>
        <v>10456</v>
      </c>
      <c r="N384" s="48">
        <f t="shared" si="43"/>
        <v>4066</v>
      </c>
      <c r="O384" s="50">
        <f t="shared" si="44"/>
        <v>14522</v>
      </c>
      <c r="P384" s="50">
        <v>0</v>
      </c>
      <c r="Q384" s="76"/>
      <c r="R384" s="140">
        <f>IF((20*S9+20*S10)&gt;200,200,(20*S9+20*S10))</f>
        <v>200</v>
      </c>
      <c r="S384" s="152">
        <v>42.69</v>
      </c>
      <c r="T384" s="153">
        <v>16.600000000000001</v>
      </c>
    </row>
    <row r="385" spans="2:20" ht="56">
      <c r="B385" s="5" t="s">
        <v>932</v>
      </c>
      <c r="C385" s="45" t="s">
        <v>135</v>
      </c>
      <c r="D385" s="45">
        <v>95778</v>
      </c>
      <c r="E385" s="6" t="s">
        <v>1814</v>
      </c>
      <c r="F385" s="45" t="s">
        <v>210</v>
      </c>
      <c r="G385" s="46">
        <f t="shared" si="45"/>
        <v>100</v>
      </c>
      <c r="H385" s="46">
        <f>TRUNC(S385*(1-LOTE_01!$K$10),2)</f>
        <v>19.96</v>
      </c>
      <c r="I385" s="46">
        <f>TRUNC(T385*(1-LOTE_01!$K$10),2)</f>
        <v>11.51</v>
      </c>
      <c r="J385" s="100">
        <f t="shared" si="46"/>
        <v>0.22470000000000001</v>
      </c>
      <c r="K385" s="48">
        <f t="shared" si="40"/>
        <v>24.44</v>
      </c>
      <c r="L385" s="48">
        <f t="shared" si="41"/>
        <v>14.09</v>
      </c>
      <c r="M385" s="48">
        <f t="shared" si="42"/>
        <v>2444</v>
      </c>
      <c r="N385" s="48">
        <f t="shared" si="43"/>
        <v>1409</v>
      </c>
      <c r="O385" s="50">
        <f t="shared" si="44"/>
        <v>3853</v>
      </c>
      <c r="P385" s="50">
        <v>0</v>
      </c>
      <c r="Q385" s="76"/>
      <c r="R385" s="140">
        <f>IF((10*S9+15*S10)&gt;100,100,(10*S9+15*S10))</f>
        <v>100</v>
      </c>
      <c r="S385" s="152">
        <v>19.96</v>
      </c>
      <c r="T385" s="153">
        <v>11.51</v>
      </c>
    </row>
    <row r="386" spans="2:20" ht="56">
      <c r="B386" s="5" t="s">
        <v>933</v>
      </c>
      <c r="C386" s="45" t="s">
        <v>135</v>
      </c>
      <c r="D386" s="45">
        <v>95780</v>
      </c>
      <c r="E386" s="6" t="s">
        <v>1815</v>
      </c>
      <c r="F386" s="45" t="s">
        <v>210</v>
      </c>
      <c r="G386" s="46">
        <f t="shared" si="45"/>
        <v>100</v>
      </c>
      <c r="H386" s="46">
        <f>TRUNC(S386*(1-LOTE_01!$K$10),2)</f>
        <v>21.62</v>
      </c>
      <c r="I386" s="46">
        <f>TRUNC(T386*(1-LOTE_01!$K$10),2)</f>
        <v>10.16</v>
      </c>
      <c r="J386" s="100">
        <f t="shared" si="46"/>
        <v>0.22470000000000001</v>
      </c>
      <c r="K386" s="48">
        <f t="shared" si="40"/>
        <v>26.47</v>
      </c>
      <c r="L386" s="48">
        <f t="shared" si="41"/>
        <v>12.44</v>
      </c>
      <c r="M386" s="48">
        <f t="shared" si="42"/>
        <v>2647</v>
      </c>
      <c r="N386" s="48">
        <f t="shared" si="43"/>
        <v>1244</v>
      </c>
      <c r="O386" s="50">
        <f t="shared" si="44"/>
        <v>3891</v>
      </c>
      <c r="P386" s="50">
        <v>0</v>
      </c>
      <c r="Q386" s="76"/>
      <c r="R386" s="140">
        <f>IF((10*S9+15*S10)&gt;100,100,(10*S9+15*S10))</f>
        <v>100</v>
      </c>
      <c r="S386" s="152">
        <v>21.62</v>
      </c>
      <c r="T386" s="153">
        <v>10.16</v>
      </c>
    </row>
    <row r="387" spans="2:20" ht="56">
      <c r="B387" s="5" t="s">
        <v>934</v>
      </c>
      <c r="C387" s="45" t="s">
        <v>135</v>
      </c>
      <c r="D387" s="45">
        <v>91944</v>
      </c>
      <c r="E387" s="6" t="s">
        <v>935</v>
      </c>
      <c r="F387" s="45" t="s">
        <v>210</v>
      </c>
      <c r="G387" s="46">
        <f t="shared" si="45"/>
        <v>100</v>
      </c>
      <c r="H387" s="46">
        <f>TRUNC(S387*(1-LOTE_01!$K$10),2)</f>
        <v>7.71</v>
      </c>
      <c r="I387" s="46">
        <f>TRUNC(T387*(1-LOTE_01!$K$10),2)</f>
        <v>7.52</v>
      </c>
      <c r="J387" s="100">
        <f t="shared" si="46"/>
        <v>0.22470000000000001</v>
      </c>
      <c r="K387" s="48">
        <f t="shared" si="40"/>
        <v>9.44</v>
      </c>
      <c r="L387" s="48">
        <f t="shared" si="41"/>
        <v>9.1999999999999993</v>
      </c>
      <c r="M387" s="48">
        <f t="shared" si="42"/>
        <v>944</v>
      </c>
      <c r="N387" s="48">
        <f t="shared" si="43"/>
        <v>920</v>
      </c>
      <c r="O387" s="50">
        <f t="shared" si="44"/>
        <v>1864</v>
      </c>
      <c r="P387" s="50">
        <v>0</v>
      </c>
      <c r="Q387" s="76"/>
      <c r="R387" s="140">
        <f>IF((10*S9+15*S10)&gt;100,100,(10*S9+15*S10))</f>
        <v>100</v>
      </c>
      <c r="S387" s="152">
        <v>7.7100000000000009</v>
      </c>
      <c r="T387" s="153">
        <v>7.52</v>
      </c>
    </row>
    <row r="388" spans="2:20" ht="56">
      <c r="B388" s="5" t="s">
        <v>936</v>
      </c>
      <c r="C388" s="45" t="s">
        <v>135</v>
      </c>
      <c r="D388" s="45">
        <v>91926</v>
      </c>
      <c r="E388" s="6" t="s">
        <v>840</v>
      </c>
      <c r="F388" s="45" t="s">
        <v>187</v>
      </c>
      <c r="G388" s="46">
        <f t="shared" si="45"/>
        <v>2000</v>
      </c>
      <c r="H388" s="46">
        <f>TRUNC(S388*(1-LOTE_01!$K$10),2)</f>
        <v>4.21</v>
      </c>
      <c r="I388" s="46">
        <f>TRUNC(T388*(1-LOTE_01!$K$10),2)</f>
        <v>1.35</v>
      </c>
      <c r="J388" s="100">
        <f t="shared" si="46"/>
        <v>0.22470000000000001</v>
      </c>
      <c r="K388" s="48">
        <f t="shared" si="40"/>
        <v>5.15</v>
      </c>
      <c r="L388" s="48">
        <f t="shared" si="41"/>
        <v>1.65</v>
      </c>
      <c r="M388" s="48">
        <f t="shared" si="42"/>
        <v>10300</v>
      </c>
      <c r="N388" s="48">
        <f t="shared" si="43"/>
        <v>3300</v>
      </c>
      <c r="O388" s="50">
        <f t="shared" si="44"/>
        <v>13600</v>
      </c>
      <c r="P388" s="50">
        <v>0</v>
      </c>
      <c r="Q388" s="76"/>
      <c r="R388" s="140">
        <f>100*S9+400*S10</f>
        <v>2000</v>
      </c>
      <c r="S388" s="152">
        <v>4.2099999999999991</v>
      </c>
      <c r="T388" s="153">
        <v>1.35</v>
      </c>
    </row>
    <row r="389" spans="2:20" ht="56">
      <c r="B389" s="5" t="s">
        <v>937</v>
      </c>
      <c r="C389" s="45" t="s">
        <v>135</v>
      </c>
      <c r="D389" s="45">
        <v>91928</v>
      </c>
      <c r="E389" s="6" t="s">
        <v>844</v>
      </c>
      <c r="F389" s="45" t="s">
        <v>187</v>
      </c>
      <c r="G389" s="46">
        <f t="shared" si="45"/>
        <v>1400</v>
      </c>
      <c r="H389" s="46">
        <f>TRUNC(S389*(1-LOTE_01!$K$10),2)</f>
        <v>6.85</v>
      </c>
      <c r="I389" s="46">
        <f>TRUNC(T389*(1-LOTE_01!$K$10),2)</f>
        <v>1.83</v>
      </c>
      <c r="J389" s="100">
        <f t="shared" si="46"/>
        <v>0.22470000000000001</v>
      </c>
      <c r="K389" s="48">
        <f t="shared" si="40"/>
        <v>8.3800000000000008</v>
      </c>
      <c r="L389" s="48">
        <f t="shared" si="41"/>
        <v>2.2400000000000002</v>
      </c>
      <c r="M389" s="48">
        <f t="shared" si="42"/>
        <v>11732</v>
      </c>
      <c r="N389" s="48">
        <f t="shared" si="43"/>
        <v>3136</v>
      </c>
      <c r="O389" s="50">
        <f t="shared" si="44"/>
        <v>14868</v>
      </c>
      <c r="P389" s="50">
        <v>0</v>
      </c>
      <c r="Q389" s="76"/>
      <c r="R389" s="140">
        <f>100*S9+200*S10</f>
        <v>1400</v>
      </c>
      <c r="S389" s="152">
        <v>6.85</v>
      </c>
      <c r="T389" s="153">
        <v>1.83</v>
      </c>
    </row>
    <row r="390" spans="2:20" ht="56">
      <c r="B390" s="5" t="s">
        <v>938</v>
      </c>
      <c r="C390" s="45" t="s">
        <v>135</v>
      </c>
      <c r="D390" s="45">
        <v>91930</v>
      </c>
      <c r="E390" s="6" t="s">
        <v>939</v>
      </c>
      <c r="F390" s="45" t="s">
        <v>187</v>
      </c>
      <c r="G390" s="46">
        <f t="shared" si="45"/>
        <v>1000</v>
      </c>
      <c r="H390" s="46">
        <f>TRUNC(S390*(1-LOTE_01!$K$10),2)</f>
        <v>9.77</v>
      </c>
      <c r="I390" s="46">
        <f>TRUNC(T390*(1-LOTE_01!$K$10),2)</f>
        <v>2.4</v>
      </c>
      <c r="J390" s="100">
        <f t="shared" si="46"/>
        <v>0.22470000000000001</v>
      </c>
      <c r="K390" s="48">
        <f t="shared" si="40"/>
        <v>11.96</v>
      </c>
      <c r="L390" s="48">
        <f t="shared" si="41"/>
        <v>2.93</v>
      </c>
      <c r="M390" s="48">
        <f t="shared" si="42"/>
        <v>11960</v>
      </c>
      <c r="N390" s="48">
        <f t="shared" si="43"/>
        <v>2930</v>
      </c>
      <c r="O390" s="50">
        <f t="shared" si="44"/>
        <v>14890</v>
      </c>
      <c r="P390" s="50">
        <v>0</v>
      </c>
      <c r="Q390" s="76"/>
      <c r="R390" s="140">
        <f>50*S9+200*S10</f>
        <v>1000</v>
      </c>
      <c r="S390" s="152">
        <v>9.77</v>
      </c>
      <c r="T390" s="153">
        <v>2.4</v>
      </c>
    </row>
    <row r="391" spans="2:20" ht="42">
      <c r="B391" s="5" t="s">
        <v>940</v>
      </c>
      <c r="C391" s="45" t="s">
        <v>97</v>
      </c>
      <c r="D391" s="45" t="s">
        <v>904</v>
      </c>
      <c r="E391" s="6" t="s">
        <v>905</v>
      </c>
      <c r="F391" s="45" t="s">
        <v>104</v>
      </c>
      <c r="G391" s="46">
        <f t="shared" si="45"/>
        <v>44</v>
      </c>
      <c r="H391" s="46">
        <f>TRUNC(S391*(1-LOTE_01!$K$10),2)</f>
        <v>261.97000000000003</v>
      </c>
      <c r="I391" s="46">
        <f>TRUNC(T391*(1-LOTE_01!$K$10),2)</f>
        <v>8.33</v>
      </c>
      <c r="J391" s="100">
        <f t="shared" si="46"/>
        <v>0.22470000000000001</v>
      </c>
      <c r="K391" s="48">
        <f t="shared" si="40"/>
        <v>320.83</v>
      </c>
      <c r="L391" s="48">
        <f t="shared" si="41"/>
        <v>10.199999999999999</v>
      </c>
      <c r="M391" s="48">
        <f t="shared" si="42"/>
        <v>14116.52</v>
      </c>
      <c r="N391" s="48">
        <f t="shared" si="43"/>
        <v>448.8</v>
      </c>
      <c r="O391" s="50">
        <f t="shared" si="44"/>
        <v>14565.32</v>
      </c>
      <c r="P391" s="50">
        <v>0</v>
      </c>
      <c r="Q391" s="76"/>
      <c r="R391" s="140">
        <f>4*S9+4*S10</f>
        <v>44</v>
      </c>
      <c r="S391" s="152">
        <v>261.97000000000003</v>
      </c>
      <c r="T391" s="153">
        <v>8.33</v>
      </c>
    </row>
    <row r="392" spans="2:20" ht="28">
      <c r="B392" s="5" t="s">
        <v>941</v>
      </c>
      <c r="C392" s="45" t="s">
        <v>97</v>
      </c>
      <c r="D392" s="45" t="s">
        <v>907</v>
      </c>
      <c r="E392" s="6" t="s">
        <v>908</v>
      </c>
      <c r="F392" s="45" t="s">
        <v>104</v>
      </c>
      <c r="G392" s="46">
        <f t="shared" si="45"/>
        <v>22</v>
      </c>
      <c r="H392" s="46">
        <f>TRUNC(S392*(1-LOTE_01!$K$10),2)</f>
        <v>234.97</v>
      </c>
      <c r="I392" s="46">
        <f>TRUNC(T392*(1-LOTE_01!$K$10),2)</f>
        <v>8.33</v>
      </c>
      <c r="J392" s="100">
        <f t="shared" si="46"/>
        <v>0.22470000000000001</v>
      </c>
      <c r="K392" s="48">
        <f t="shared" si="40"/>
        <v>287.76</v>
      </c>
      <c r="L392" s="48">
        <f t="shared" si="41"/>
        <v>10.199999999999999</v>
      </c>
      <c r="M392" s="48">
        <f t="shared" si="42"/>
        <v>6330.72</v>
      </c>
      <c r="N392" s="48">
        <f t="shared" si="43"/>
        <v>224.4</v>
      </c>
      <c r="O392" s="50">
        <f t="shared" si="44"/>
        <v>6555.12</v>
      </c>
      <c r="P392" s="50">
        <v>0</v>
      </c>
      <c r="Q392" s="76"/>
      <c r="R392" s="140">
        <f>2*S9+2*S10</f>
        <v>22</v>
      </c>
      <c r="S392" s="152">
        <v>234.97</v>
      </c>
      <c r="T392" s="153">
        <v>8.33</v>
      </c>
    </row>
    <row r="393" spans="2:20" ht="42">
      <c r="B393" s="5" t="s">
        <v>942</v>
      </c>
      <c r="C393" s="45" t="s">
        <v>135</v>
      </c>
      <c r="D393" s="45">
        <v>101903</v>
      </c>
      <c r="E393" s="6" t="s">
        <v>943</v>
      </c>
      <c r="F393" s="45" t="s">
        <v>210</v>
      </c>
      <c r="G393" s="46">
        <f t="shared" si="45"/>
        <v>22</v>
      </c>
      <c r="H393" s="46">
        <f>TRUNC(S393*(1-LOTE_01!$K$10),2)</f>
        <v>361.18</v>
      </c>
      <c r="I393" s="46">
        <f>TRUNC(T393*(1-LOTE_01!$K$10),2)</f>
        <v>10.210000000000001</v>
      </c>
      <c r="J393" s="100">
        <f t="shared" si="46"/>
        <v>0.22470000000000001</v>
      </c>
      <c r="K393" s="48">
        <f t="shared" si="40"/>
        <v>442.33</v>
      </c>
      <c r="L393" s="48">
        <f t="shared" si="41"/>
        <v>12.5</v>
      </c>
      <c r="M393" s="48">
        <f t="shared" si="42"/>
        <v>9731.26</v>
      </c>
      <c r="N393" s="48">
        <f t="shared" si="43"/>
        <v>275</v>
      </c>
      <c r="O393" s="50">
        <f t="shared" si="44"/>
        <v>10006.26</v>
      </c>
      <c r="P393" s="50">
        <v>0</v>
      </c>
      <c r="Q393" s="76"/>
      <c r="R393" s="140">
        <f>2*S9+2*S10</f>
        <v>22</v>
      </c>
      <c r="S393" s="152">
        <v>361.18</v>
      </c>
      <c r="T393" s="153">
        <v>10.210000000000001</v>
      </c>
    </row>
    <row r="394" spans="2:20" ht="42">
      <c r="B394" s="101" t="s">
        <v>944</v>
      </c>
      <c r="C394" s="102" t="s">
        <v>21</v>
      </c>
      <c r="D394" s="102" t="s">
        <v>21</v>
      </c>
      <c r="E394" s="103" t="s">
        <v>945</v>
      </c>
      <c r="F394" s="102" t="s">
        <v>21</v>
      </c>
      <c r="G394" s="46">
        <f t="shared" si="45"/>
        <v>0</v>
      </c>
      <c r="H394" s="46"/>
      <c r="I394" s="46"/>
      <c r="J394" s="105"/>
      <c r="K394" s="48">
        <f t="shared" si="40"/>
        <v>0</v>
      </c>
      <c r="L394" s="48">
        <f t="shared" si="41"/>
        <v>0</v>
      </c>
      <c r="M394" s="48">
        <f t="shared" si="42"/>
        <v>0</v>
      </c>
      <c r="N394" s="48">
        <f t="shared" si="43"/>
        <v>0</v>
      </c>
      <c r="O394" s="50">
        <f t="shared" si="44"/>
        <v>0</v>
      </c>
      <c r="P394" s="50">
        <v>0</v>
      </c>
      <c r="Q394" s="76"/>
      <c r="R394" s="154"/>
      <c r="S394" s="152" t="s">
        <v>22</v>
      </c>
      <c r="T394" s="153" t="s">
        <v>22</v>
      </c>
    </row>
    <row r="395" spans="2:20" ht="56">
      <c r="B395" s="5" t="s">
        <v>946</v>
      </c>
      <c r="C395" s="45" t="s">
        <v>135</v>
      </c>
      <c r="D395" s="45">
        <v>96984</v>
      </c>
      <c r="E395" s="6" t="s">
        <v>947</v>
      </c>
      <c r="F395" s="45" t="s">
        <v>210</v>
      </c>
      <c r="G395" s="46">
        <f t="shared" si="45"/>
        <v>110</v>
      </c>
      <c r="H395" s="46">
        <f>TRUNC(S395*(1-LOTE_01!$K$10),2)</f>
        <v>35.69</v>
      </c>
      <c r="I395" s="46">
        <f>TRUNC(T395*(1-LOTE_01!$K$10),2)</f>
        <v>32.03</v>
      </c>
      <c r="J395" s="100">
        <f t="shared" si="46"/>
        <v>0.22470000000000001</v>
      </c>
      <c r="K395" s="48">
        <f t="shared" si="40"/>
        <v>43.7</v>
      </c>
      <c r="L395" s="48">
        <f t="shared" si="41"/>
        <v>39.22</v>
      </c>
      <c r="M395" s="48">
        <f t="shared" si="42"/>
        <v>4807</v>
      </c>
      <c r="N395" s="48">
        <f t="shared" si="43"/>
        <v>4314.2</v>
      </c>
      <c r="O395" s="50">
        <f t="shared" si="44"/>
        <v>9121.2000000000007</v>
      </c>
      <c r="P395" s="50">
        <v>0</v>
      </c>
      <c r="Q395" s="76"/>
      <c r="R395" s="140">
        <f>10*S9+10*S10</f>
        <v>110</v>
      </c>
      <c r="S395" s="152">
        <v>35.69</v>
      </c>
      <c r="T395" s="153">
        <v>32.03</v>
      </c>
    </row>
    <row r="396" spans="2:20" ht="42">
      <c r="B396" s="5" t="s">
        <v>948</v>
      </c>
      <c r="C396" s="45" t="s">
        <v>97</v>
      </c>
      <c r="D396" s="45" t="s">
        <v>949</v>
      </c>
      <c r="E396" s="6" t="s">
        <v>950</v>
      </c>
      <c r="F396" s="45" t="s">
        <v>104</v>
      </c>
      <c r="G396" s="46">
        <f t="shared" si="45"/>
        <v>66</v>
      </c>
      <c r="H396" s="46">
        <f>TRUNC(S396*(1-LOTE_01!$K$10),2)</f>
        <v>2.89</v>
      </c>
      <c r="I396" s="46">
        <f>TRUNC(T396*(1-LOTE_01!$K$10),2)</f>
        <v>1.04</v>
      </c>
      <c r="J396" s="100">
        <f t="shared" si="46"/>
        <v>0.22470000000000001</v>
      </c>
      <c r="K396" s="48">
        <f t="shared" si="40"/>
        <v>3.53</v>
      </c>
      <c r="L396" s="48">
        <f t="shared" si="41"/>
        <v>1.27</v>
      </c>
      <c r="M396" s="48">
        <f t="shared" si="42"/>
        <v>232.98</v>
      </c>
      <c r="N396" s="48">
        <f t="shared" si="43"/>
        <v>83.82</v>
      </c>
      <c r="O396" s="50">
        <f t="shared" si="44"/>
        <v>316.8</v>
      </c>
      <c r="P396" s="50">
        <v>0</v>
      </c>
      <c r="Q396" s="76"/>
      <c r="R396" s="140">
        <f>6*S9+6*S10</f>
        <v>66</v>
      </c>
      <c r="S396" s="152">
        <v>2.89</v>
      </c>
      <c r="T396" s="153">
        <v>1.04</v>
      </c>
    </row>
    <row r="397" spans="2:20" ht="42">
      <c r="B397" s="5" t="s">
        <v>951</v>
      </c>
      <c r="C397" s="45" t="s">
        <v>135</v>
      </c>
      <c r="D397" s="45">
        <v>96985</v>
      </c>
      <c r="E397" s="6" t="s">
        <v>952</v>
      </c>
      <c r="F397" s="45" t="s">
        <v>210</v>
      </c>
      <c r="G397" s="46">
        <f t="shared" si="45"/>
        <v>110</v>
      </c>
      <c r="H397" s="46">
        <f>TRUNC(S397*(1-LOTE_01!$K$10),2)</f>
        <v>55.16</v>
      </c>
      <c r="I397" s="46">
        <f>TRUNC(T397*(1-LOTE_01!$K$10),2)</f>
        <v>9.9499999999999993</v>
      </c>
      <c r="J397" s="100">
        <f t="shared" si="46"/>
        <v>0.22470000000000001</v>
      </c>
      <c r="K397" s="48">
        <f t="shared" si="40"/>
        <v>67.55</v>
      </c>
      <c r="L397" s="48">
        <f t="shared" si="41"/>
        <v>12.18</v>
      </c>
      <c r="M397" s="48">
        <f t="shared" si="42"/>
        <v>7430.5</v>
      </c>
      <c r="N397" s="48">
        <f t="shared" si="43"/>
        <v>1339.8</v>
      </c>
      <c r="O397" s="50">
        <f t="shared" si="44"/>
        <v>8770.2999999999993</v>
      </c>
      <c r="P397" s="50">
        <v>0</v>
      </c>
      <c r="Q397" s="76"/>
      <c r="R397" s="140">
        <f>10*S9+10*S10</f>
        <v>110</v>
      </c>
      <c r="S397" s="152">
        <v>55.16</v>
      </c>
      <c r="T397" s="153">
        <v>9.9499999999999993</v>
      </c>
    </row>
    <row r="398" spans="2:20" ht="56">
      <c r="B398" s="5" t="s">
        <v>953</v>
      </c>
      <c r="C398" s="45" t="s">
        <v>135</v>
      </c>
      <c r="D398" s="45">
        <v>98111</v>
      </c>
      <c r="E398" s="6" t="s">
        <v>954</v>
      </c>
      <c r="F398" s="45" t="s">
        <v>210</v>
      </c>
      <c r="G398" s="46">
        <f t="shared" si="45"/>
        <v>33</v>
      </c>
      <c r="H398" s="46">
        <f>TRUNC(S398*(1-LOTE_01!$K$10),2)</f>
        <v>51.79</v>
      </c>
      <c r="I398" s="46">
        <f>TRUNC(T398*(1-LOTE_01!$K$10),2)</f>
        <v>6.63</v>
      </c>
      <c r="J398" s="100">
        <f t="shared" si="46"/>
        <v>0.22470000000000001</v>
      </c>
      <c r="K398" s="48">
        <f t="shared" si="40"/>
        <v>63.42</v>
      </c>
      <c r="L398" s="48">
        <f t="shared" si="41"/>
        <v>8.11</v>
      </c>
      <c r="M398" s="48">
        <f t="shared" si="42"/>
        <v>2092.86</v>
      </c>
      <c r="N398" s="48">
        <f t="shared" si="43"/>
        <v>267.63</v>
      </c>
      <c r="O398" s="50">
        <f t="shared" si="44"/>
        <v>2360.4899999999998</v>
      </c>
      <c r="P398" s="50">
        <v>0</v>
      </c>
      <c r="Q398" s="76"/>
      <c r="R398" s="140">
        <f>3*S9+3*S10</f>
        <v>33</v>
      </c>
      <c r="S398" s="152">
        <v>51.79</v>
      </c>
      <c r="T398" s="153">
        <v>6.63</v>
      </c>
    </row>
    <row r="399" spans="2:20" ht="28">
      <c r="B399" s="5" t="s">
        <v>955</v>
      </c>
      <c r="C399" s="45" t="s">
        <v>97</v>
      </c>
      <c r="D399" s="45" t="s">
        <v>956</v>
      </c>
      <c r="E399" s="6" t="s">
        <v>957</v>
      </c>
      <c r="F399" s="45" t="s">
        <v>187</v>
      </c>
      <c r="G399" s="46">
        <f t="shared" si="45"/>
        <v>550</v>
      </c>
      <c r="H399" s="46">
        <f>TRUNC(S399*(1-LOTE_01!$K$10),2)</f>
        <v>74.67</v>
      </c>
      <c r="I399" s="46">
        <f>TRUNC(T399*(1-LOTE_01!$K$10),2)</f>
        <v>4.16</v>
      </c>
      <c r="J399" s="100">
        <f t="shared" si="46"/>
        <v>0.22470000000000001</v>
      </c>
      <c r="K399" s="48">
        <f t="shared" si="40"/>
        <v>91.44</v>
      </c>
      <c r="L399" s="48">
        <f t="shared" si="41"/>
        <v>5.09</v>
      </c>
      <c r="M399" s="48">
        <f t="shared" si="42"/>
        <v>50292</v>
      </c>
      <c r="N399" s="48">
        <f t="shared" si="43"/>
        <v>2799.5</v>
      </c>
      <c r="O399" s="50">
        <f t="shared" si="44"/>
        <v>53091.5</v>
      </c>
      <c r="P399" s="50">
        <v>0</v>
      </c>
      <c r="Q399" s="76"/>
      <c r="R399" s="140">
        <f>50*S9+50*S10</f>
        <v>550</v>
      </c>
      <c r="S399" s="152">
        <v>74.67</v>
      </c>
      <c r="T399" s="153">
        <v>4.16</v>
      </c>
    </row>
    <row r="400" spans="2:20" ht="42">
      <c r="B400" s="5" t="s">
        <v>958</v>
      </c>
      <c r="C400" s="45" t="s">
        <v>135</v>
      </c>
      <c r="D400" s="45">
        <v>96977</v>
      </c>
      <c r="E400" s="6" t="s">
        <v>959</v>
      </c>
      <c r="F400" s="45" t="s">
        <v>187</v>
      </c>
      <c r="G400" s="46">
        <f t="shared" si="45"/>
        <v>550</v>
      </c>
      <c r="H400" s="46">
        <f>TRUNC(S400*(1-LOTE_01!$K$10),2)</f>
        <v>77.13</v>
      </c>
      <c r="I400" s="46">
        <f>TRUNC(T400*(1-LOTE_01!$K$10),2)</f>
        <v>1.6</v>
      </c>
      <c r="J400" s="100">
        <f t="shared" si="46"/>
        <v>0.22470000000000001</v>
      </c>
      <c r="K400" s="48">
        <f t="shared" ref="K400:K463" si="47">TRUNC(H400*(1+J400),2)</f>
        <v>94.46</v>
      </c>
      <c r="L400" s="48">
        <f t="shared" ref="L400:L463" si="48">TRUNC(I400*(1+J400),2)</f>
        <v>1.95</v>
      </c>
      <c r="M400" s="48">
        <f t="shared" ref="M400:M463" si="49">TRUNC(K400*G400,2)</f>
        <v>51953</v>
      </c>
      <c r="N400" s="48">
        <f t="shared" ref="N400:N463" si="50">TRUNC(L400*G400,2)</f>
        <v>1072.5</v>
      </c>
      <c r="O400" s="50">
        <f t="shared" ref="O400:O463" si="51">TRUNC(M400+N400,2)</f>
        <v>53025.5</v>
      </c>
      <c r="P400" s="50">
        <v>0</v>
      </c>
      <c r="Q400" s="76"/>
      <c r="R400" s="140">
        <f>50*S9+50*S10</f>
        <v>550</v>
      </c>
      <c r="S400" s="152">
        <v>77.13000000000001</v>
      </c>
      <c r="T400" s="153">
        <v>1.6</v>
      </c>
    </row>
    <row r="401" spans="2:20" ht="28">
      <c r="B401" s="5" t="s">
        <v>960</v>
      </c>
      <c r="C401" s="45" t="s">
        <v>97</v>
      </c>
      <c r="D401" s="45" t="s">
        <v>961</v>
      </c>
      <c r="E401" s="6" t="s">
        <v>962</v>
      </c>
      <c r="F401" s="45" t="s">
        <v>187</v>
      </c>
      <c r="G401" s="46">
        <f t="shared" si="45"/>
        <v>1980</v>
      </c>
      <c r="H401" s="46">
        <f>TRUNC(S401*(1-LOTE_01!$K$10),2)</f>
        <v>13.66</v>
      </c>
      <c r="I401" s="46">
        <f>TRUNC(T401*(1-LOTE_01!$K$10),2)</f>
        <v>4.3099999999999996</v>
      </c>
      <c r="J401" s="100">
        <f t="shared" si="46"/>
        <v>0.22470000000000001</v>
      </c>
      <c r="K401" s="48">
        <f t="shared" si="47"/>
        <v>16.72</v>
      </c>
      <c r="L401" s="48">
        <f t="shared" si="48"/>
        <v>5.27</v>
      </c>
      <c r="M401" s="48">
        <f t="shared" si="49"/>
        <v>33105.599999999999</v>
      </c>
      <c r="N401" s="48">
        <f t="shared" si="50"/>
        <v>10434.6</v>
      </c>
      <c r="O401" s="50">
        <f t="shared" si="51"/>
        <v>43540.2</v>
      </c>
      <c r="P401" s="50">
        <v>0</v>
      </c>
      <c r="Q401" s="76"/>
      <c r="R401" s="140">
        <f>60*3*S9+180*S10</f>
        <v>1980</v>
      </c>
      <c r="S401" s="152">
        <v>13.66</v>
      </c>
      <c r="T401" s="153">
        <v>4.3099999999999996</v>
      </c>
    </row>
    <row r="402" spans="2:20" ht="28">
      <c r="B402" s="5" t="s">
        <v>963</v>
      </c>
      <c r="C402" s="45" t="s">
        <v>97</v>
      </c>
      <c r="D402" s="45" t="s">
        <v>964</v>
      </c>
      <c r="E402" s="6" t="s">
        <v>965</v>
      </c>
      <c r="F402" s="45" t="s">
        <v>104</v>
      </c>
      <c r="G402" s="46">
        <f t="shared" ref="G402:G465" si="52">TRUNC(R402,2)</f>
        <v>55</v>
      </c>
      <c r="H402" s="46">
        <f>TRUNC(S402*(1-LOTE_01!$K$10),2)</f>
        <v>15.77</v>
      </c>
      <c r="I402" s="46">
        <f>TRUNC(T402*(1-LOTE_01!$K$10),2)</f>
        <v>1.96</v>
      </c>
      <c r="J402" s="100">
        <f t="shared" ref="J402:J465" si="53">$J$4</f>
        <v>0.22470000000000001</v>
      </c>
      <c r="K402" s="48">
        <f t="shared" si="47"/>
        <v>19.309999999999999</v>
      </c>
      <c r="L402" s="48">
        <f t="shared" si="48"/>
        <v>2.4</v>
      </c>
      <c r="M402" s="48">
        <f t="shared" si="49"/>
        <v>1062.05</v>
      </c>
      <c r="N402" s="48">
        <f t="shared" si="50"/>
        <v>132</v>
      </c>
      <c r="O402" s="50">
        <f t="shared" si="51"/>
        <v>1194.05</v>
      </c>
      <c r="P402" s="50">
        <v>0</v>
      </c>
      <c r="Q402" s="76"/>
      <c r="R402" s="140">
        <f>5*S9+5*S10</f>
        <v>55</v>
      </c>
      <c r="S402" s="152">
        <v>15.77</v>
      </c>
      <c r="T402" s="153">
        <v>1.96</v>
      </c>
    </row>
    <row r="403" spans="2:20" ht="28">
      <c r="B403" s="5" t="s">
        <v>966</v>
      </c>
      <c r="C403" s="45" t="s">
        <v>97</v>
      </c>
      <c r="D403" s="45" t="s">
        <v>967</v>
      </c>
      <c r="E403" s="6" t="s">
        <v>968</v>
      </c>
      <c r="F403" s="45" t="s">
        <v>104</v>
      </c>
      <c r="G403" s="46">
        <f t="shared" si="52"/>
        <v>110</v>
      </c>
      <c r="H403" s="46">
        <f>TRUNC(S403*(1-LOTE_01!$K$10),2)</f>
        <v>25.15</v>
      </c>
      <c r="I403" s="46">
        <f>TRUNC(T403*(1-LOTE_01!$K$10),2)</f>
        <v>33.32</v>
      </c>
      <c r="J403" s="100">
        <f t="shared" si="53"/>
        <v>0.22470000000000001</v>
      </c>
      <c r="K403" s="48">
        <f t="shared" si="47"/>
        <v>30.8</v>
      </c>
      <c r="L403" s="48">
        <f t="shared" si="48"/>
        <v>40.799999999999997</v>
      </c>
      <c r="M403" s="48">
        <f t="shared" si="49"/>
        <v>3388</v>
      </c>
      <c r="N403" s="48">
        <f t="shared" si="50"/>
        <v>4488</v>
      </c>
      <c r="O403" s="50">
        <f t="shared" si="51"/>
        <v>7876</v>
      </c>
      <c r="P403" s="50">
        <v>0</v>
      </c>
      <c r="Q403" s="76"/>
      <c r="R403" s="140">
        <f>10*S9+10*S10</f>
        <v>110</v>
      </c>
      <c r="S403" s="152">
        <v>25.15</v>
      </c>
      <c r="T403" s="153">
        <v>33.32</v>
      </c>
    </row>
    <row r="404" spans="2:20" ht="56">
      <c r="B404" s="5" t="s">
        <v>969</v>
      </c>
      <c r="C404" s="45" t="s">
        <v>97</v>
      </c>
      <c r="D404" s="45" t="s">
        <v>970</v>
      </c>
      <c r="E404" s="6" t="s">
        <v>971</v>
      </c>
      <c r="F404" s="45" t="s">
        <v>104</v>
      </c>
      <c r="G404" s="46">
        <f t="shared" si="52"/>
        <v>55</v>
      </c>
      <c r="H404" s="46">
        <f>TRUNC(S404*(1-LOTE_01!$K$10),2)</f>
        <v>129.43</v>
      </c>
      <c r="I404" s="46">
        <f>TRUNC(T404*(1-LOTE_01!$K$10),2)</f>
        <v>11.99</v>
      </c>
      <c r="J404" s="100">
        <f t="shared" si="53"/>
        <v>0.22470000000000001</v>
      </c>
      <c r="K404" s="48">
        <f t="shared" si="47"/>
        <v>158.51</v>
      </c>
      <c r="L404" s="48">
        <f t="shared" si="48"/>
        <v>14.68</v>
      </c>
      <c r="M404" s="48">
        <f t="shared" si="49"/>
        <v>8718.0499999999993</v>
      </c>
      <c r="N404" s="48">
        <f t="shared" si="50"/>
        <v>807.4</v>
      </c>
      <c r="O404" s="50">
        <f t="shared" si="51"/>
        <v>9525.4500000000007</v>
      </c>
      <c r="P404" s="50">
        <v>0</v>
      </c>
      <c r="Q404" s="76"/>
      <c r="R404" s="140">
        <f>5*S9+5*S10</f>
        <v>55</v>
      </c>
      <c r="S404" s="152">
        <v>129.43</v>
      </c>
      <c r="T404" s="153">
        <v>11.99</v>
      </c>
    </row>
    <row r="405" spans="2:20" ht="56">
      <c r="B405" s="5" t="s">
        <v>972</v>
      </c>
      <c r="C405" s="45" t="s">
        <v>97</v>
      </c>
      <c r="D405" s="45" t="s">
        <v>973</v>
      </c>
      <c r="E405" s="6" t="s">
        <v>974</v>
      </c>
      <c r="F405" s="45" t="s">
        <v>104</v>
      </c>
      <c r="G405" s="46">
        <f t="shared" si="52"/>
        <v>11</v>
      </c>
      <c r="H405" s="46">
        <f>TRUNC(S405*(1-LOTE_01!$K$10),2)</f>
        <v>82.97</v>
      </c>
      <c r="I405" s="46">
        <f>TRUNC(T405*(1-LOTE_01!$K$10),2)</f>
        <v>275.12</v>
      </c>
      <c r="J405" s="100">
        <f t="shared" si="53"/>
        <v>0.22470000000000001</v>
      </c>
      <c r="K405" s="48">
        <f t="shared" si="47"/>
        <v>101.61</v>
      </c>
      <c r="L405" s="48">
        <f t="shared" si="48"/>
        <v>336.93</v>
      </c>
      <c r="M405" s="48">
        <f t="shared" si="49"/>
        <v>1117.71</v>
      </c>
      <c r="N405" s="48">
        <f t="shared" si="50"/>
        <v>3706.23</v>
      </c>
      <c r="O405" s="50">
        <f t="shared" si="51"/>
        <v>4823.9399999999996</v>
      </c>
      <c r="P405" s="50">
        <v>0</v>
      </c>
      <c r="Q405" s="76"/>
      <c r="R405" s="140">
        <f>1*S9+1*S10</f>
        <v>11</v>
      </c>
      <c r="S405" s="152">
        <v>82.97</v>
      </c>
      <c r="T405" s="153">
        <v>275.12</v>
      </c>
    </row>
    <row r="406" spans="2:20">
      <c r="B406" s="101" t="s">
        <v>975</v>
      </c>
      <c r="C406" s="102" t="s">
        <v>21</v>
      </c>
      <c r="D406" s="102" t="s">
        <v>21</v>
      </c>
      <c r="E406" s="103" t="s">
        <v>976</v>
      </c>
      <c r="F406" s="102" t="s">
        <v>21</v>
      </c>
      <c r="G406" s="46">
        <f t="shared" si="52"/>
        <v>0</v>
      </c>
      <c r="H406" s="46"/>
      <c r="I406" s="46"/>
      <c r="J406" s="105"/>
      <c r="K406" s="48">
        <f t="shared" si="47"/>
        <v>0</v>
      </c>
      <c r="L406" s="48">
        <f t="shared" si="48"/>
        <v>0</v>
      </c>
      <c r="M406" s="48">
        <f t="shared" si="49"/>
        <v>0</v>
      </c>
      <c r="N406" s="48">
        <f t="shared" si="50"/>
        <v>0</v>
      </c>
      <c r="O406" s="50">
        <f t="shared" si="51"/>
        <v>0</v>
      </c>
      <c r="P406" s="50">
        <v>0</v>
      </c>
      <c r="Q406" s="76"/>
      <c r="R406" s="154"/>
      <c r="S406" s="152" t="s">
        <v>22</v>
      </c>
      <c r="T406" s="153" t="s">
        <v>22</v>
      </c>
    </row>
    <row r="407" spans="2:20" ht="98">
      <c r="B407" s="5" t="s">
        <v>977</v>
      </c>
      <c r="C407" s="45" t="s">
        <v>97</v>
      </c>
      <c r="D407" s="45" t="s">
        <v>978</v>
      </c>
      <c r="E407" s="6" t="s">
        <v>979</v>
      </c>
      <c r="F407" s="45" t="s">
        <v>104</v>
      </c>
      <c r="G407" s="46">
        <f t="shared" si="52"/>
        <v>5</v>
      </c>
      <c r="H407" s="46">
        <f>TRUNC(S407*(1-LOTE_01!$K$10),2)</f>
        <v>3301.6</v>
      </c>
      <c r="I407" s="46">
        <f>TRUNC(T407*(1-LOTE_01!$K$10),2)</f>
        <v>499.92</v>
      </c>
      <c r="J407" s="100">
        <f t="shared" si="53"/>
        <v>0.22470000000000001</v>
      </c>
      <c r="K407" s="48">
        <f t="shared" si="47"/>
        <v>4043.46</v>
      </c>
      <c r="L407" s="48">
        <f t="shared" si="48"/>
        <v>612.25</v>
      </c>
      <c r="M407" s="48">
        <f t="shared" si="49"/>
        <v>20217.3</v>
      </c>
      <c r="N407" s="48">
        <f t="shared" si="50"/>
        <v>3061.25</v>
      </c>
      <c r="O407" s="50">
        <f t="shared" si="51"/>
        <v>23278.55</v>
      </c>
      <c r="P407" s="50">
        <v>0</v>
      </c>
      <c r="Q407" s="76"/>
      <c r="R407" s="140">
        <f>IF((1*S9+1*S10)&gt;5,5,(1*S9+1*S10))</f>
        <v>5</v>
      </c>
      <c r="S407" s="152">
        <v>3301.6</v>
      </c>
      <c r="T407" s="153">
        <v>499.92</v>
      </c>
    </row>
    <row r="408" spans="2:20" ht="56">
      <c r="B408" s="5" t="s">
        <v>980</v>
      </c>
      <c r="C408" s="45" t="s">
        <v>97</v>
      </c>
      <c r="D408" s="45" t="s">
        <v>981</v>
      </c>
      <c r="E408" s="6" t="s">
        <v>982</v>
      </c>
      <c r="F408" s="45" t="s">
        <v>104</v>
      </c>
      <c r="G408" s="46">
        <f t="shared" si="52"/>
        <v>11</v>
      </c>
      <c r="H408" s="46">
        <f>TRUNC(S408*(1-LOTE_01!$K$10),2)</f>
        <v>118.8</v>
      </c>
      <c r="I408" s="46">
        <f>TRUNC(T408*(1-LOTE_01!$K$10),2)</f>
        <v>333.28</v>
      </c>
      <c r="J408" s="100">
        <f t="shared" si="53"/>
        <v>0.22470000000000001</v>
      </c>
      <c r="K408" s="48">
        <f t="shared" si="47"/>
        <v>145.49</v>
      </c>
      <c r="L408" s="48">
        <f t="shared" si="48"/>
        <v>408.16</v>
      </c>
      <c r="M408" s="48">
        <f t="shared" si="49"/>
        <v>1600.39</v>
      </c>
      <c r="N408" s="48">
        <f t="shared" si="50"/>
        <v>4489.76</v>
      </c>
      <c r="O408" s="50">
        <f t="shared" si="51"/>
        <v>6090.15</v>
      </c>
      <c r="P408" s="50">
        <v>0</v>
      </c>
      <c r="Q408" s="76"/>
      <c r="R408" s="140">
        <f>1*S9+1*S10</f>
        <v>11</v>
      </c>
      <c r="S408" s="152">
        <v>118.8</v>
      </c>
      <c r="T408" s="153">
        <v>333.28</v>
      </c>
    </row>
    <row r="409" spans="2:20" ht="28">
      <c r="B409" s="5" t="s">
        <v>983</v>
      </c>
      <c r="C409" s="45" t="s">
        <v>97</v>
      </c>
      <c r="D409" s="45" t="s">
        <v>984</v>
      </c>
      <c r="E409" s="6" t="s">
        <v>985</v>
      </c>
      <c r="F409" s="45" t="s">
        <v>104</v>
      </c>
      <c r="G409" s="46">
        <f t="shared" si="52"/>
        <v>10</v>
      </c>
      <c r="H409" s="46">
        <f>TRUNC(S409*(1-LOTE_01!$K$10),2)</f>
        <v>118.8</v>
      </c>
      <c r="I409" s="46">
        <f>TRUNC(T409*(1-LOTE_01!$K$10),2)</f>
        <v>333.28</v>
      </c>
      <c r="J409" s="100">
        <f t="shared" si="53"/>
        <v>0.22470000000000001</v>
      </c>
      <c r="K409" s="48">
        <f t="shared" si="47"/>
        <v>145.49</v>
      </c>
      <c r="L409" s="48">
        <f t="shared" si="48"/>
        <v>408.16</v>
      </c>
      <c r="M409" s="48">
        <f t="shared" si="49"/>
        <v>1454.9</v>
      </c>
      <c r="N409" s="48">
        <f t="shared" si="50"/>
        <v>4081.6</v>
      </c>
      <c r="O409" s="50">
        <f t="shared" si="51"/>
        <v>5536.5</v>
      </c>
      <c r="P409" s="50">
        <v>0</v>
      </c>
      <c r="Q409" s="76"/>
      <c r="R409" s="140">
        <f>IF((1*S9+1*S10)&gt;10,10,(1*S9+1*S10))</f>
        <v>10</v>
      </c>
      <c r="S409" s="152">
        <v>118.8</v>
      </c>
      <c r="T409" s="153">
        <v>333.28</v>
      </c>
    </row>
    <row r="410" spans="2:20" ht="28">
      <c r="B410" s="5" t="s">
        <v>986</v>
      </c>
      <c r="C410" s="45" t="s">
        <v>97</v>
      </c>
      <c r="D410" s="45" t="s">
        <v>987</v>
      </c>
      <c r="E410" s="6" t="s">
        <v>988</v>
      </c>
      <c r="F410" s="45" t="s">
        <v>104</v>
      </c>
      <c r="G410" s="46">
        <f t="shared" si="52"/>
        <v>55</v>
      </c>
      <c r="H410" s="46">
        <f>TRUNC(S410*(1-LOTE_01!$K$10),2)</f>
        <v>165.5</v>
      </c>
      <c r="I410" s="46">
        <f>TRUNC(T410*(1-LOTE_01!$K$10),2)</f>
        <v>4.13</v>
      </c>
      <c r="J410" s="100">
        <f t="shared" si="53"/>
        <v>0.22470000000000001</v>
      </c>
      <c r="K410" s="48">
        <f t="shared" si="47"/>
        <v>202.68</v>
      </c>
      <c r="L410" s="48">
        <f t="shared" si="48"/>
        <v>5.05</v>
      </c>
      <c r="M410" s="48">
        <f t="shared" si="49"/>
        <v>11147.4</v>
      </c>
      <c r="N410" s="48">
        <f t="shared" si="50"/>
        <v>277.75</v>
      </c>
      <c r="O410" s="50">
        <f t="shared" si="51"/>
        <v>11425.15</v>
      </c>
      <c r="P410" s="50">
        <v>0</v>
      </c>
      <c r="Q410" s="76"/>
      <c r="R410" s="140">
        <f>5*S9+5*S10</f>
        <v>55</v>
      </c>
      <c r="S410" s="152">
        <v>165.5</v>
      </c>
      <c r="T410" s="153">
        <v>4.13</v>
      </c>
    </row>
    <row r="411" spans="2:20" ht="28">
      <c r="B411" s="5" t="s">
        <v>989</v>
      </c>
      <c r="C411" s="45" t="s">
        <v>97</v>
      </c>
      <c r="D411" s="45" t="s">
        <v>990</v>
      </c>
      <c r="E411" s="6" t="s">
        <v>991</v>
      </c>
      <c r="F411" s="45" t="s">
        <v>104</v>
      </c>
      <c r="G411" s="46">
        <f t="shared" si="52"/>
        <v>55</v>
      </c>
      <c r="H411" s="46">
        <f>TRUNC(S411*(1-LOTE_01!$K$10),2)</f>
        <v>40.33</v>
      </c>
      <c r="I411" s="46">
        <f>TRUNC(T411*(1-LOTE_01!$K$10),2)</f>
        <v>32.69</v>
      </c>
      <c r="J411" s="100">
        <f t="shared" si="53"/>
        <v>0.22470000000000001</v>
      </c>
      <c r="K411" s="48">
        <f t="shared" si="47"/>
        <v>49.39</v>
      </c>
      <c r="L411" s="48">
        <f t="shared" si="48"/>
        <v>40.03</v>
      </c>
      <c r="M411" s="48">
        <f t="shared" si="49"/>
        <v>2716.45</v>
      </c>
      <c r="N411" s="48">
        <f t="shared" si="50"/>
        <v>2201.65</v>
      </c>
      <c r="O411" s="50">
        <f t="shared" si="51"/>
        <v>4918.1000000000004</v>
      </c>
      <c r="P411" s="50">
        <v>0</v>
      </c>
      <c r="Q411" s="76"/>
      <c r="R411" s="140">
        <f>5*S9+5*S10</f>
        <v>55</v>
      </c>
      <c r="S411" s="152">
        <v>40.33</v>
      </c>
      <c r="T411" s="153">
        <v>32.69</v>
      </c>
    </row>
    <row r="412" spans="2:20" ht="84">
      <c r="B412" s="5" t="s">
        <v>992</v>
      </c>
      <c r="C412" s="45" t="s">
        <v>135</v>
      </c>
      <c r="D412" s="45">
        <v>100561</v>
      </c>
      <c r="E412" s="6" t="s">
        <v>993</v>
      </c>
      <c r="F412" s="45" t="s">
        <v>210</v>
      </c>
      <c r="G412" s="46">
        <f t="shared" si="52"/>
        <v>10</v>
      </c>
      <c r="H412" s="46">
        <f>TRUNC(S412*(1-LOTE_01!$K$10),2)</f>
        <v>116.52</v>
      </c>
      <c r="I412" s="46">
        <f>TRUNC(T412*(1-LOTE_01!$K$10),2)</f>
        <v>36.69</v>
      </c>
      <c r="J412" s="100">
        <f t="shared" si="53"/>
        <v>0.22470000000000001</v>
      </c>
      <c r="K412" s="48">
        <f t="shared" si="47"/>
        <v>142.69999999999999</v>
      </c>
      <c r="L412" s="48">
        <f t="shared" si="48"/>
        <v>44.93</v>
      </c>
      <c r="M412" s="48">
        <f t="shared" si="49"/>
        <v>1427</v>
      </c>
      <c r="N412" s="48">
        <f t="shared" si="50"/>
        <v>449.3</v>
      </c>
      <c r="O412" s="50">
        <f t="shared" si="51"/>
        <v>1876.3</v>
      </c>
      <c r="P412" s="50">
        <v>0</v>
      </c>
      <c r="Q412" s="76"/>
      <c r="R412" s="140">
        <f>IF((1*S9+1*S10)&gt;10,10,(1*S9+1*S10))</f>
        <v>10</v>
      </c>
      <c r="S412" s="152">
        <v>116.52000000000001</v>
      </c>
      <c r="T412" s="153">
        <v>36.69</v>
      </c>
    </row>
    <row r="413" spans="2:20" ht="84">
      <c r="B413" s="5" t="s">
        <v>994</v>
      </c>
      <c r="C413" s="45" t="s">
        <v>135</v>
      </c>
      <c r="D413" s="45">
        <v>101875</v>
      </c>
      <c r="E413" s="6" t="s">
        <v>995</v>
      </c>
      <c r="F413" s="45" t="s">
        <v>210</v>
      </c>
      <c r="G413" s="46">
        <f t="shared" si="52"/>
        <v>10</v>
      </c>
      <c r="H413" s="46">
        <f>TRUNC(S413*(1-LOTE_01!$K$10),2)</f>
        <v>332.99</v>
      </c>
      <c r="I413" s="46">
        <f>TRUNC(T413*(1-LOTE_01!$K$10),2)</f>
        <v>65.03</v>
      </c>
      <c r="J413" s="100">
        <f t="shared" si="53"/>
        <v>0.22470000000000001</v>
      </c>
      <c r="K413" s="48">
        <f t="shared" si="47"/>
        <v>407.81</v>
      </c>
      <c r="L413" s="48">
        <f t="shared" si="48"/>
        <v>79.64</v>
      </c>
      <c r="M413" s="48">
        <f t="shared" si="49"/>
        <v>4078.1</v>
      </c>
      <c r="N413" s="48">
        <f t="shared" si="50"/>
        <v>796.4</v>
      </c>
      <c r="O413" s="50">
        <f t="shared" si="51"/>
        <v>4874.5</v>
      </c>
      <c r="P413" s="50">
        <v>0</v>
      </c>
      <c r="Q413" s="76"/>
      <c r="R413" s="140">
        <f>IF((1*S10+1*S9)&gt;10,10,(1*S10+1*S9))</f>
        <v>10</v>
      </c>
      <c r="S413" s="152">
        <v>332.99</v>
      </c>
      <c r="T413" s="153">
        <v>65.03</v>
      </c>
    </row>
    <row r="414" spans="2:20" ht="56">
      <c r="B414" s="5" t="s">
        <v>996</v>
      </c>
      <c r="C414" s="45" t="s">
        <v>97</v>
      </c>
      <c r="D414" s="45" t="s">
        <v>997</v>
      </c>
      <c r="E414" s="6" t="s">
        <v>998</v>
      </c>
      <c r="F414" s="45" t="s">
        <v>999</v>
      </c>
      <c r="G414" s="46">
        <f t="shared" si="52"/>
        <v>100</v>
      </c>
      <c r="H414" s="46">
        <f>TRUNC(S414*(1-LOTE_01!$K$10),2)</f>
        <v>375.56</v>
      </c>
      <c r="I414" s="46">
        <f>TRUNC(T414*(1-LOTE_01!$K$10),2)</f>
        <v>338.35</v>
      </c>
      <c r="J414" s="100">
        <f t="shared" si="53"/>
        <v>0.22470000000000001</v>
      </c>
      <c r="K414" s="48">
        <f t="shared" si="47"/>
        <v>459.94</v>
      </c>
      <c r="L414" s="48">
        <f t="shared" si="48"/>
        <v>414.37</v>
      </c>
      <c r="M414" s="48">
        <f t="shared" si="49"/>
        <v>45994</v>
      </c>
      <c r="N414" s="48">
        <f t="shared" si="50"/>
        <v>41437</v>
      </c>
      <c r="O414" s="50">
        <f t="shared" si="51"/>
        <v>87431</v>
      </c>
      <c r="P414" s="50">
        <v>0</v>
      </c>
      <c r="Q414" s="76"/>
      <c r="R414" s="140">
        <f>IF((5*S9+20*S10)&gt;100,100,(5*S9+20*S10))</f>
        <v>100</v>
      </c>
      <c r="S414" s="152">
        <v>375.56</v>
      </c>
      <c r="T414" s="153">
        <v>338.35</v>
      </c>
    </row>
    <row r="415" spans="2:20" ht="56">
      <c r="B415" s="5" t="s">
        <v>1000</v>
      </c>
      <c r="C415" s="45" t="s">
        <v>135</v>
      </c>
      <c r="D415" s="45">
        <v>98295</v>
      </c>
      <c r="E415" s="6" t="s">
        <v>1001</v>
      </c>
      <c r="F415" s="45" t="s">
        <v>187</v>
      </c>
      <c r="G415" s="46">
        <f t="shared" si="52"/>
        <v>7000</v>
      </c>
      <c r="H415" s="46">
        <f>TRUNC(S415*(1-LOTE_01!$K$10),2)</f>
        <v>6.08</v>
      </c>
      <c r="I415" s="46">
        <f>TRUNC(T415*(1-LOTE_01!$K$10),2)</f>
        <v>0.11</v>
      </c>
      <c r="J415" s="100">
        <f t="shared" si="53"/>
        <v>0.22470000000000001</v>
      </c>
      <c r="K415" s="48">
        <f t="shared" si="47"/>
        <v>7.44</v>
      </c>
      <c r="L415" s="48">
        <f t="shared" si="48"/>
        <v>0.13</v>
      </c>
      <c r="M415" s="48">
        <f t="shared" si="49"/>
        <v>52080</v>
      </c>
      <c r="N415" s="48">
        <f t="shared" si="50"/>
        <v>910</v>
      </c>
      <c r="O415" s="50">
        <f t="shared" si="51"/>
        <v>52990</v>
      </c>
      <c r="P415" s="50">
        <v>0</v>
      </c>
      <c r="Q415" s="76"/>
      <c r="R415" s="140">
        <f>IF((500*S9+1000*S10)&gt;15000,15000,(500*S9+1000*S10))</f>
        <v>7000</v>
      </c>
      <c r="S415" s="152">
        <v>6.08</v>
      </c>
      <c r="T415" s="153">
        <v>0.11</v>
      </c>
    </row>
    <row r="416" spans="2:20" ht="42">
      <c r="B416" s="5" t="s">
        <v>1002</v>
      </c>
      <c r="C416" s="45" t="s">
        <v>135</v>
      </c>
      <c r="D416" s="45">
        <v>98301</v>
      </c>
      <c r="E416" s="6" t="s">
        <v>1003</v>
      </c>
      <c r="F416" s="45" t="s">
        <v>210</v>
      </c>
      <c r="G416" s="46">
        <f t="shared" si="52"/>
        <v>55</v>
      </c>
      <c r="H416" s="46">
        <f>TRUNC(S416*(1-LOTE_01!$K$10),2)</f>
        <v>516.79</v>
      </c>
      <c r="I416" s="46">
        <f>TRUNC(T416*(1-LOTE_01!$K$10),2)</f>
        <v>257.89</v>
      </c>
      <c r="J416" s="100">
        <f t="shared" si="53"/>
        <v>0.22470000000000001</v>
      </c>
      <c r="K416" s="48">
        <f t="shared" si="47"/>
        <v>632.91</v>
      </c>
      <c r="L416" s="48">
        <f t="shared" si="48"/>
        <v>315.83</v>
      </c>
      <c r="M416" s="48">
        <f t="shared" si="49"/>
        <v>34810.050000000003</v>
      </c>
      <c r="N416" s="48">
        <f t="shared" si="50"/>
        <v>17370.650000000001</v>
      </c>
      <c r="O416" s="50">
        <f t="shared" si="51"/>
        <v>52180.7</v>
      </c>
      <c r="P416" s="50">
        <v>0</v>
      </c>
      <c r="Q416" s="76"/>
      <c r="R416" s="140">
        <f>5*S9+5*S10</f>
        <v>55</v>
      </c>
      <c r="S416" s="152">
        <v>516.79</v>
      </c>
      <c r="T416" s="153">
        <v>257.89</v>
      </c>
    </row>
    <row r="417" spans="2:20" ht="28">
      <c r="B417" s="5" t="s">
        <v>1004</v>
      </c>
      <c r="C417" s="45" t="s">
        <v>97</v>
      </c>
      <c r="D417" s="45" t="s">
        <v>1005</v>
      </c>
      <c r="E417" s="6" t="s">
        <v>1006</v>
      </c>
      <c r="F417" s="45" t="s">
        <v>104</v>
      </c>
      <c r="G417" s="46">
        <f t="shared" si="52"/>
        <v>450</v>
      </c>
      <c r="H417" s="46">
        <f>TRUNC(S417*(1-LOTE_01!$K$10),2)</f>
        <v>28.62</v>
      </c>
      <c r="I417" s="46">
        <f>TRUNC(T417*(1-LOTE_01!$K$10),2)</f>
        <v>16.41</v>
      </c>
      <c r="J417" s="100">
        <f t="shared" si="53"/>
        <v>0.22470000000000001</v>
      </c>
      <c r="K417" s="48">
        <f t="shared" si="47"/>
        <v>35.049999999999997</v>
      </c>
      <c r="L417" s="48">
        <f t="shared" si="48"/>
        <v>20.09</v>
      </c>
      <c r="M417" s="48">
        <f t="shared" si="49"/>
        <v>15772.5</v>
      </c>
      <c r="N417" s="48">
        <f t="shared" si="50"/>
        <v>9040.5</v>
      </c>
      <c r="O417" s="50">
        <f t="shared" si="51"/>
        <v>24813</v>
      </c>
      <c r="P417" s="50">
        <v>0</v>
      </c>
      <c r="Q417" s="76"/>
      <c r="R417" s="140">
        <f>30*S9+70*S10</f>
        <v>450</v>
      </c>
      <c r="S417" s="152">
        <v>28.62</v>
      </c>
      <c r="T417" s="153">
        <v>16.41</v>
      </c>
    </row>
    <row r="418" spans="2:20" ht="28">
      <c r="B418" s="5" t="s">
        <v>1007</v>
      </c>
      <c r="C418" s="45" t="s">
        <v>97</v>
      </c>
      <c r="D418" s="45" t="s">
        <v>1008</v>
      </c>
      <c r="E418" s="6" t="s">
        <v>1009</v>
      </c>
      <c r="F418" s="45" t="s">
        <v>104</v>
      </c>
      <c r="G418" s="46">
        <f t="shared" si="52"/>
        <v>450</v>
      </c>
      <c r="H418" s="46">
        <f>TRUNC(S418*(1-LOTE_01!$K$10),2)</f>
        <v>51.63</v>
      </c>
      <c r="I418" s="46">
        <f>TRUNC(T418*(1-LOTE_01!$K$10),2)</f>
        <v>16.41</v>
      </c>
      <c r="J418" s="100">
        <f t="shared" si="53"/>
        <v>0.22470000000000001</v>
      </c>
      <c r="K418" s="48">
        <f t="shared" si="47"/>
        <v>63.23</v>
      </c>
      <c r="L418" s="48">
        <f t="shared" si="48"/>
        <v>20.09</v>
      </c>
      <c r="M418" s="48">
        <f t="shared" si="49"/>
        <v>28453.5</v>
      </c>
      <c r="N418" s="48">
        <f t="shared" si="50"/>
        <v>9040.5</v>
      </c>
      <c r="O418" s="50">
        <f t="shared" si="51"/>
        <v>37494</v>
      </c>
      <c r="P418" s="50">
        <v>0</v>
      </c>
      <c r="Q418" s="76"/>
      <c r="R418" s="140">
        <f>30*S9+70*S10</f>
        <v>450</v>
      </c>
      <c r="S418" s="152">
        <v>51.63</v>
      </c>
      <c r="T418" s="153">
        <v>16.41</v>
      </c>
    </row>
    <row r="419" spans="2:20" ht="28">
      <c r="B419" s="5" t="s">
        <v>1010</v>
      </c>
      <c r="C419" s="45" t="s">
        <v>97</v>
      </c>
      <c r="D419" s="45" t="s">
        <v>1011</v>
      </c>
      <c r="E419" s="6" t="s">
        <v>1012</v>
      </c>
      <c r="F419" s="45" t="s">
        <v>999</v>
      </c>
      <c r="G419" s="46">
        <f t="shared" si="52"/>
        <v>220</v>
      </c>
      <c r="H419" s="46">
        <f>TRUNC(S419*(1-LOTE_01!$K$10),2)</f>
        <v>35.520000000000003</v>
      </c>
      <c r="I419" s="46">
        <f>TRUNC(T419*(1-LOTE_01!$K$10),2)</f>
        <v>0.47</v>
      </c>
      <c r="J419" s="100">
        <f t="shared" si="53"/>
        <v>0.22470000000000001</v>
      </c>
      <c r="K419" s="48">
        <f t="shared" si="47"/>
        <v>43.5</v>
      </c>
      <c r="L419" s="48">
        <f t="shared" si="48"/>
        <v>0.56999999999999995</v>
      </c>
      <c r="M419" s="48">
        <f t="shared" si="49"/>
        <v>9570</v>
      </c>
      <c r="N419" s="48">
        <f t="shared" si="50"/>
        <v>125.4</v>
      </c>
      <c r="O419" s="50">
        <f t="shared" si="51"/>
        <v>9695.4</v>
      </c>
      <c r="P419" s="50">
        <v>0</v>
      </c>
      <c r="Q419" s="76"/>
      <c r="R419" s="140">
        <f>20*S9+20*S10</f>
        <v>220</v>
      </c>
      <c r="S419" s="152">
        <v>35.520000000000003</v>
      </c>
      <c r="T419" s="153">
        <v>0.47</v>
      </c>
    </row>
    <row r="420" spans="2:20" ht="56">
      <c r="B420" s="5" t="s">
        <v>1013</v>
      </c>
      <c r="C420" s="45" t="s">
        <v>135</v>
      </c>
      <c r="D420" s="45">
        <v>98268</v>
      </c>
      <c r="E420" s="6" t="s">
        <v>1014</v>
      </c>
      <c r="F420" s="45" t="s">
        <v>187</v>
      </c>
      <c r="G420" s="46">
        <f t="shared" si="52"/>
        <v>200</v>
      </c>
      <c r="H420" s="46">
        <f>TRUNC(S420*(1-LOTE_01!$K$10),2)</f>
        <v>12.91</v>
      </c>
      <c r="I420" s="46">
        <f>TRUNC(T420*(1-LOTE_01!$K$10),2)</f>
        <v>4.09</v>
      </c>
      <c r="J420" s="100">
        <f t="shared" si="53"/>
        <v>0.22470000000000001</v>
      </c>
      <c r="K420" s="48">
        <f t="shared" si="47"/>
        <v>15.81</v>
      </c>
      <c r="L420" s="48">
        <f t="shared" si="48"/>
        <v>5</v>
      </c>
      <c r="M420" s="48">
        <f t="shared" si="49"/>
        <v>3162</v>
      </c>
      <c r="N420" s="48">
        <f t="shared" si="50"/>
        <v>1000</v>
      </c>
      <c r="O420" s="50">
        <f t="shared" si="51"/>
        <v>4162</v>
      </c>
      <c r="P420" s="50">
        <v>0</v>
      </c>
      <c r="Q420" s="76"/>
      <c r="R420" s="140">
        <f>10*S9+40*S10</f>
        <v>200</v>
      </c>
      <c r="S420" s="152">
        <v>12.91</v>
      </c>
      <c r="T420" s="153">
        <v>4.09</v>
      </c>
    </row>
    <row r="421" spans="2:20" ht="28">
      <c r="B421" s="5" t="s">
        <v>1015</v>
      </c>
      <c r="C421" s="45" t="s">
        <v>135</v>
      </c>
      <c r="D421" s="45">
        <v>98307</v>
      </c>
      <c r="E421" s="6" t="s">
        <v>1016</v>
      </c>
      <c r="F421" s="45" t="s">
        <v>210</v>
      </c>
      <c r="G421" s="46">
        <f t="shared" si="52"/>
        <v>450</v>
      </c>
      <c r="H421" s="46">
        <f>TRUNC(S421*(1-LOTE_01!$K$10),2)</f>
        <v>62.29</v>
      </c>
      <c r="I421" s="46">
        <f>TRUNC(T421*(1-LOTE_01!$K$10),2)</f>
        <v>10.27</v>
      </c>
      <c r="J421" s="100">
        <f t="shared" si="53"/>
        <v>0.22470000000000001</v>
      </c>
      <c r="K421" s="48">
        <f t="shared" si="47"/>
        <v>76.28</v>
      </c>
      <c r="L421" s="48">
        <f t="shared" si="48"/>
        <v>12.57</v>
      </c>
      <c r="M421" s="48">
        <f t="shared" si="49"/>
        <v>34326</v>
      </c>
      <c r="N421" s="48">
        <f t="shared" si="50"/>
        <v>5656.5</v>
      </c>
      <c r="O421" s="50">
        <f t="shared" si="51"/>
        <v>39982.5</v>
      </c>
      <c r="P421" s="50">
        <v>0</v>
      </c>
      <c r="Q421" s="76"/>
      <c r="R421" s="140">
        <f>30*S9+70*S10</f>
        <v>450</v>
      </c>
      <c r="S421" s="152">
        <v>62.290000000000006</v>
      </c>
      <c r="T421" s="153">
        <v>10.27</v>
      </c>
    </row>
    <row r="422" spans="2:20" ht="28">
      <c r="B422" s="5" t="s">
        <v>1017</v>
      </c>
      <c r="C422" s="45" t="s">
        <v>97</v>
      </c>
      <c r="D422" s="45" t="s">
        <v>1018</v>
      </c>
      <c r="E422" s="6" t="s">
        <v>1019</v>
      </c>
      <c r="F422" s="45" t="s">
        <v>104</v>
      </c>
      <c r="G422" s="46">
        <f t="shared" si="52"/>
        <v>55</v>
      </c>
      <c r="H422" s="46">
        <f>TRUNC(S422*(1-LOTE_01!$K$10),2)</f>
        <v>210.35</v>
      </c>
      <c r="I422" s="46">
        <f>TRUNC(T422*(1-LOTE_01!$K$10),2)</f>
        <v>8.27</v>
      </c>
      <c r="J422" s="100">
        <f t="shared" si="53"/>
        <v>0.22470000000000001</v>
      </c>
      <c r="K422" s="48">
        <f t="shared" si="47"/>
        <v>257.61</v>
      </c>
      <c r="L422" s="48">
        <f t="shared" si="48"/>
        <v>10.119999999999999</v>
      </c>
      <c r="M422" s="48">
        <f t="shared" si="49"/>
        <v>14168.55</v>
      </c>
      <c r="N422" s="48">
        <f t="shared" si="50"/>
        <v>556.6</v>
      </c>
      <c r="O422" s="50">
        <f t="shared" si="51"/>
        <v>14725.15</v>
      </c>
      <c r="P422" s="50">
        <v>0</v>
      </c>
      <c r="Q422" s="76"/>
      <c r="R422" s="140">
        <f>5*S9+5*S10</f>
        <v>55</v>
      </c>
      <c r="S422" s="152">
        <v>210.35</v>
      </c>
      <c r="T422" s="153">
        <v>8.27</v>
      </c>
    </row>
    <row r="423" spans="2:20" ht="56">
      <c r="B423" s="5" t="s">
        <v>1020</v>
      </c>
      <c r="C423" s="45" t="s">
        <v>135</v>
      </c>
      <c r="D423" s="45">
        <v>91941</v>
      </c>
      <c r="E423" s="6" t="s">
        <v>1021</v>
      </c>
      <c r="F423" s="45" t="s">
        <v>210</v>
      </c>
      <c r="G423" s="46">
        <f t="shared" si="52"/>
        <v>200</v>
      </c>
      <c r="H423" s="46">
        <f>TRUNC(S423*(1-LOTE_01!$K$10),2)</f>
        <v>5.32</v>
      </c>
      <c r="I423" s="46">
        <f>TRUNC(T423*(1-LOTE_01!$K$10),2)</f>
        <v>7.17</v>
      </c>
      <c r="J423" s="100">
        <f t="shared" si="53"/>
        <v>0.22470000000000001</v>
      </c>
      <c r="K423" s="48">
        <f t="shared" si="47"/>
        <v>6.51</v>
      </c>
      <c r="L423" s="48">
        <f t="shared" si="48"/>
        <v>8.7799999999999994</v>
      </c>
      <c r="M423" s="48">
        <f t="shared" si="49"/>
        <v>1302</v>
      </c>
      <c r="N423" s="48">
        <f t="shared" si="50"/>
        <v>1756</v>
      </c>
      <c r="O423" s="50">
        <f t="shared" si="51"/>
        <v>3058</v>
      </c>
      <c r="P423" s="50">
        <v>0</v>
      </c>
      <c r="Q423" s="76"/>
      <c r="R423" s="140">
        <f>IF((10*S9+50*S10)&gt;200,200,(10*S9+50*S10))</f>
        <v>200</v>
      </c>
      <c r="S423" s="152">
        <v>5.32</v>
      </c>
      <c r="T423" s="153">
        <v>7.17</v>
      </c>
    </row>
    <row r="424" spans="2:20" ht="56">
      <c r="B424" s="5" t="s">
        <v>1022</v>
      </c>
      <c r="C424" s="45" t="s">
        <v>135</v>
      </c>
      <c r="D424" s="45">
        <v>91944</v>
      </c>
      <c r="E424" s="6" t="s">
        <v>935</v>
      </c>
      <c r="F424" s="45" t="s">
        <v>210</v>
      </c>
      <c r="G424" s="46">
        <f t="shared" si="52"/>
        <v>200</v>
      </c>
      <c r="H424" s="46">
        <f>TRUNC(S424*(1-LOTE_01!$K$10),2)</f>
        <v>7.71</v>
      </c>
      <c r="I424" s="46">
        <f>TRUNC(T424*(1-LOTE_01!$K$10),2)</f>
        <v>7.52</v>
      </c>
      <c r="J424" s="100">
        <f t="shared" si="53"/>
        <v>0.22470000000000001</v>
      </c>
      <c r="K424" s="48">
        <f t="shared" si="47"/>
        <v>9.44</v>
      </c>
      <c r="L424" s="48">
        <f t="shared" si="48"/>
        <v>9.1999999999999993</v>
      </c>
      <c r="M424" s="48">
        <f t="shared" si="49"/>
        <v>1888</v>
      </c>
      <c r="N424" s="48">
        <f t="shared" si="50"/>
        <v>1840</v>
      </c>
      <c r="O424" s="50">
        <f t="shared" si="51"/>
        <v>3728</v>
      </c>
      <c r="P424" s="50">
        <v>0</v>
      </c>
      <c r="Q424" s="76"/>
      <c r="R424" s="140">
        <f>IF((10*S9+50*S10)&gt;200,200,(10*S9+50*S10))</f>
        <v>200</v>
      </c>
      <c r="S424" s="152">
        <v>7.7100000000000009</v>
      </c>
      <c r="T424" s="153">
        <v>7.52</v>
      </c>
    </row>
    <row r="425" spans="2:20" ht="70">
      <c r="B425" s="5" t="s">
        <v>1023</v>
      </c>
      <c r="C425" s="45" t="s">
        <v>135</v>
      </c>
      <c r="D425" s="45">
        <v>97887</v>
      </c>
      <c r="E425" s="6" t="s">
        <v>1024</v>
      </c>
      <c r="F425" s="45" t="s">
        <v>210</v>
      </c>
      <c r="G425" s="46">
        <f t="shared" si="52"/>
        <v>55</v>
      </c>
      <c r="H425" s="46">
        <f>TRUNC(S425*(1-LOTE_01!$K$10),2)</f>
        <v>205.71</v>
      </c>
      <c r="I425" s="46">
        <f>TRUNC(T425*(1-LOTE_01!$K$10),2)</f>
        <v>133.01</v>
      </c>
      <c r="J425" s="100">
        <f t="shared" si="53"/>
        <v>0.22470000000000001</v>
      </c>
      <c r="K425" s="48">
        <f t="shared" si="47"/>
        <v>251.93</v>
      </c>
      <c r="L425" s="48">
        <f t="shared" si="48"/>
        <v>162.88999999999999</v>
      </c>
      <c r="M425" s="48">
        <f t="shared" si="49"/>
        <v>13856.15</v>
      </c>
      <c r="N425" s="48">
        <f t="shared" si="50"/>
        <v>8958.9500000000007</v>
      </c>
      <c r="O425" s="50">
        <f t="shared" si="51"/>
        <v>22815.1</v>
      </c>
      <c r="P425" s="50">
        <v>0</v>
      </c>
      <c r="Q425" s="76"/>
      <c r="R425" s="140">
        <f>5*S9+5*S10</f>
        <v>55</v>
      </c>
      <c r="S425" s="152">
        <v>205.71000000000004</v>
      </c>
      <c r="T425" s="153">
        <v>133.01</v>
      </c>
    </row>
    <row r="426" spans="2:20" ht="70">
      <c r="B426" s="5" t="s">
        <v>1025</v>
      </c>
      <c r="C426" s="45" t="s">
        <v>135</v>
      </c>
      <c r="D426" s="45">
        <v>93009</v>
      </c>
      <c r="E426" s="6" t="s">
        <v>1026</v>
      </c>
      <c r="F426" s="45" t="s">
        <v>187</v>
      </c>
      <c r="G426" s="46">
        <f t="shared" si="52"/>
        <v>230</v>
      </c>
      <c r="H426" s="46">
        <f>TRUNC(S426*(1-LOTE_01!$K$10),2)</f>
        <v>28.98</v>
      </c>
      <c r="I426" s="46">
        <f>TRUNC(T426*(1-LOTE_01!$K$10),2)</f>
        <v>5.65</v>
      </c>
      <c r="J426" s="100">
        <f t="shared" si="53"/>
        <v>0.22470000000000001</v>
      </c>
      <c r="K426" s="48">
        <f t="shared" si="47"/>
        <v>35.49</v>
      </c>
      <c r="L426" s="48">
        <f t="shared" si="48"/>
        <v>6.91</v>
      </c>
      <c r="M426" s="48">
        <f t="shared" si="49"/>
        <v>8162.7</v>
      </c>
      <c r="N426" s="48">
        <f t="shared" si="50"/>
        <v>1589.3</v>
      </c>
      <c r="O426" s="50">
        <f t="shared" si="51"/>
        <v>9752</v>
      </c>
      <c r="P426" s="50">
        <v>0</v>
      </c>
      <c r="Q426" s="76"/>
      <c r="R426" s="140">
        <f>10*S9+50*S10</f>
        <v>230</v>
      </c>
      <c r="S426" s="152">
        <v>28.980000000000004</v>
      </c>
      <c r="T426" s="153">
        <v>5.65</v>
      </c>
    </row>
    <row r="427" spans="2:20" ht="42">
      <c r="B427" s="5" t="s">
        <v>1027</v>
      </c>
      <c r="C427" s="45" t="s">
        <v>165</v>
      </c>
      <c r="D427" s="45" t="s">
        <v>1028</v>
      </c>
      <c r="E427" s="6" t="s">
        <v>1029</v>
      </c>
      <c r="F427" s="45" t="s">
        <v>531</v>
      </c>
      <c r="G427" s="46">
        <f t="shared" si="52"/>
        <v>70</v>
      </c>
      <c r="H427" s="46">
        <f>TRUNC(S427*(1-LOTE_01!$K$10),2)</f>
        <v>21.87</v>
      </c>
      <c r="I427" s="46">
        <f>TRUNC(T427*(1-LOTE_01!$K$10),2)</f>
        <v>25.75</v>
      </c>
      <c r="J427" s="100">
        <f t="shared" si="53"/>
        <v>0.22470000000000001</v>
      </c>
      <c r="K427" s="48">
        <f t="shared" si="47"/>
        <v>26.78</v>
      </c>
      <c r="L427" s="48">
        <f t="shared" si="48"/>
        <v>31.53</v>
      </c>
      <c r="M427" s="48">
        <f t="shared" si="49"/>
        <v>1874.6</v>
      </c>
      <c r="N427" s="48">
        <f t="shared" si="50"/>
        <v>2207.1</v>
      </c>
      <c r="O427" s="50">
        <f t="shared" si="51"/>
        <v>4081.7</v>
      </c>
      <c r="P427" s="50">
        <v>0</v>
      </c>
      <c r="Q427" s="76"/>
      <c r="R427" s="140">
        <f>5*S9+10*S10</f>
        <v>70</v>
      </c>
      <c r="S427" s="152">
        <v>21.87</v>
      </c>
      <c r="T427" s="153">
        <v>25.75</v>
      </c>
    </row>
    <row r="428" spans="2:20" ht="70">
      <c r="B428" s="5" t="s">
        <v>1030</v>
      </c>
      <c r="C428" s="45" t="s">
        <v>135</v>
      </c>
      <c r="D428" s="45">
        <v>91864</v>
      </c>
      <c r="E428" s="6" t="s">
        <v>838</v>
      </c>
      <c r="F428" s="45" t="s">
        <v>187</v>
      </c>
      <c r="G428" s="46">
        <f t="shared" si="52"/>
        <v>280</v>
      </c>
      <c r="H428" s="46">
        <f>TRUNC(S428*(1-LOTE_01!$K$10),2)</f>
        <v>12.48</v>
      </c>
      <c r="I428" s="46">
        <f>TRUNC(T428*(1-LOTE_01!$K$10),2)</f>
        <v>6.02</v>
      </c>
      <c r="J428" s="100">
        <f t="shared" si="53"/>
        <v>0.22470000000000001</v>
      </c>
      <c r="K428" s="48">
        <f t="shared" si="47"/>
        <v>15.28</v>
      </c>
      <c r="L428" s="48">
        <f t="shared" si="48"/>
        <v>7.37</v>
      </c>
      <c r="M428" s="48">
        <f t="shared" si="49"/>
        <v>4278.3999999999996</v>
      </c>
      <c r="N428" s="48">
        <f t="shared" si="50"/>
        <v>2063.6</v>
      </c>
      <c r="O428" s="50">
        <f t="shared" si="51"/>
        <v>6342</v>
      </c>
      <c r="P428" s="50">
        <v>0</v>
      </c>
      <c r="Q428" s="76"/>
      <c r="R428" s="140">
        <f>20*S9+40*S10</f>
        <v>280</v>
      </c>
      <c r="S428" s="152">
        <v>12.48</v>
      </c>
      <c r="T428" s="153">
        <v>6.02</v>
      </c>
    </row>
    <row r="429" spans="2:20" ht="70">
      <c r="B429" s="5" t="s">
        <v>1031</v>
      </c>
      <c r="C429" s="45" t="s">
        <v>135</v>
      </c>
      <c r="D429" s="45">
        <v>91867</v>
      </c>
      <c r="E429" s="6" t="s">
        <v>927</v>
      </c>
      <c r="F429" s="45" t="s">
        <v>187</v>
      </c>
      <c r="G429" s="46">
        <f t="shared" si="52"/>
        <v>55</v>
      </c>
      <c r="H429" s="46">
        <f>TRUNC(S429*(1-LOTE_01!$K$10),2)</f>
        <v>8.09</v>
      </c>
      <c r="I429" s="46">
        <f>TRUNC(T429*(1-LOTE_01!$K$10),2)</f>
        <v>4.0599999999999996</v>
      </c>
      <c r="J429" s="100">
        <f t="shared" si="53"/>
        <v>0.22470000000000001</v>
      </c>
      <c r="K429" s="48">
        <f t="shared" si="47"/>
        <v>9.9</v>
      </c>
      <c r="L429" s="48">
        <f t="shared" si="48"/>
        <v>4.97</v>
      </c>
      <c r="M429" s="48">
        <f t="shared" si="49"/>
        <v>544.5</v>
      </c>
      <c r="N429" s="48">
        <f t="shared" si="50"/>
        <v>273.35000000000002</v>
      </c>
      <c r="O429" s="50">
        <f t="shared" si="51"/>
        <v>817.85</v>
      </c>
      <c r="P429" s="50">
        <v>0</v>
      </c>
      <c r="Q429" s="76"/>
      <c r="R429" s="140">
        <f>5*S9+5*S10</f>
        <v>55</v>
      </c>
      <c r="S429" s="152">
        <v>8.09</v>
      </c>
      <c r="T429" s="153">
        <v>4.0599999999999996</v>
      </c>
    </row>
    <row r="430" spans="2:20" ht="42">
      <c r="B430" s="5" t="s">
        <v>1032</v>
      </c>
      <c r="C430" s="45" t="s">
        <v>165</v>
      </c>
      <c r="D430" s="45" t="s">
        <v>1033</v>
      </c>
      <c r="E430" s="6" t="s">
        <v>1034</v>
      </c>
      <c r="F430" s="45" t="s">
        <v>531</v>
      </c>
      <c r="G430" s="46">
        <f>IF($S$11=0,0,TRUNC(R430,2))</f>
        <v>125</v>
      </c>
      <c r="H430" s="46">
        <f>TRUNC(S430*(1-LOTE_01!$K$10),2)</f>
        <v>25.9</v>
      </c>
      <c r="I430" s="46">
        <f>TRUNC(T430*(1-LOTE_01!$K$10),2)</f>
        <v>17.170000000000002</v>
      </c>
      <c r="J430" s="100">
        <f t="shared" si="53"/>
        <v>0.22470000000000001</v>
      </c>
      <c r="K430" s="48">
        <f t="shared" si="47"/>
        <v>31.71</v>
      </c>
      <c r="L430" s="48">
        <f t="shared" si="48"/>
        <v>21.02</v>
      </c>
      <c r="M430" s="48">
        <f t="shared" si="49"/>
        <v>3963.75</v>
      </c>
      <c r="N430" s="48">
        <f t="shared" si="50"/>
        <v>2627.5</v>
      </c>
      <c r="O430" s="50">
        <f t="shared" si="51"/>
        <v>6591.25</v>
      </c>
      <c r="P430" s="50">
        <v>0</v>
      </c>
      <c r="Q430" s="76"/>
      <c r="R430" s="140">
        <f>5*S9+25*S10+10</f>
        <v>125</v>
      </c>
      <c r="S430" s="152">
        <v>25.9</v>
      </c>
      <c r="T430" s="153">
        <v>17.170000000000002</v>
      </c>
    </row>
    <row r="431" spans="2:20" ht="42">
      <c r="B431" s="5" t="s">
        <v>1035</v>
      </c>
      <c r="C431" s="45" t="s">
        <v>165</v>
      </c>
      <c r="D431" s="45" t="s">
        <v>1036</v>
      </c>
      <c r="E431" s="6" t="s">
        <v>1037</v>
      </c>
      <c r="F431" s="45" t="s">
        <v>531</v>
      </c>
      <c r="G431" s="46">
        <f t="shared" si="52"/>
        <v>70</v>
      </c>
      <c r="H431" s="46">
        <f>TRUNC(S431*(1-LOTE_01!$K$10),2)</f>
        <v>19.43</v>
      </c>
      <c r="I431" s="46">
        <f>TRUNC(T431*(1-LOTE_01!$K$10),2)</f>
        <v>17.170000000000002</v>
      </c>
      <c r="J431" s="100">
        <f t="shared" si="53"/>
        <v>0.22470000000000001</v>
      </c>
      <c r="K431" s="48">
        <f t="shared" si="47"/>
        <v>23.79</v>
      </c>
      <c r="L431" s="48">
        <f t="shared" si="48"/>
        <v>21.02</v>
      </c>
      <c r="M431" s="48">
        <f t="shared" si="49"/>
        <v>1665.3</v>
      </c>
      <c r="N431" s="48">
        <f t="shared" si="50"/>
        <v>1471.4</v>
      </c>
      <c r="O431" s="50">
        <f t="shared" si="51"/>
        <v>3136.7</v>
      </c>
      <c r="P431" s="50">
        <v>0</v>
      </c>
      <c r="Q431" s="76"/>
      <c r="R431" s="140">
        <f>5*S9+10*S10</f>
        <v>70</v>
      </c>
      <c r="S431" s="152">
        <v>19.43</v>
      </c>
      <c r="T431" s="153">
        <v>17.170000000000002</v>
      </c>
    </row>
    <row r="432" spans="2:20" ht="56">
      <c r="B432" s="5" t="s">
        <v>1038</v>
      </c>
      <c r="C432" s="45" t="s">
        <v>97</v>
      </c>
      <c r="D432" s="45" t="s">
        <v>1039</v>
      </c>
      <c r="E432" s="6" t="s">
        <v>1040</v>
      </c>
      <c r="F432" s="45" t="s">
        <v>925</v>
      </c>
      <c r="G432" s="46">
        <f t="shared" si="52"/>
        <v>100</v>
      </c>
      <c r="H432" s="46">
        <f>TRUNC(S432*(1-LOTE_01!$K$10),2)</f>
        <v>33.42</v>
      </c>
      <c r="I432" s="46">
        <f>TRUNC(T432*(1-LOTE_01!$K$10),2)</f>
        <v>20.83</v>
      </c>
      <c r="J432" s="100">
        <f t="shared" si="53"/>
        <v>0.22470000000000001</v>
      </c>
      <c r="K432" s="48">
        <f t="shared" si="47"/>
        <v>40.92</v>
      </c>
      <c r="L432" s="48">
        <f t="shared" si="48"/>
        <v>25.51</v>
      </c>
      <c r="M432" s="48">
        <f t="shared" si="49"/>
        <v>4092</v>
      </c>
      <c r="N432" s="48">
        <f t="shared" si="50"/>
        <v>2551</v>
      </c>
      <c r="O432" s="50">
        <f t="shared" si="51"/>
        <v>6643</v>
      </c>
      <c r="P432" s="50">
        <v>0</v>
      </c>
      <c r="Q432" s="76"/>
      <c r="R432" s="140">
        <f>5*S9+20*S10</f>
        <v>100</v>
      </c>
      <c r="S432" s="152">
        <v>33.42</v>
      </c>
      <c r="T432" s="153">
        <v>20.83</v>
      </c>
    </row>
    <row r="433" spans="2:20" ht="42">
      <c r="B433" s="5" t="s">
        <v>1041</v>
      </c>
      <c r="C433" s="45" t="s">
        <v>165</v>
      </c>
      <c r="D433" s="45" t="s">
        <v>1042</v>
      </c>
      <c r="E433" s="6" t="s">
        <v>1043</v>
      </c>
      <c r="F433" s="45" t="s">
        <v>531</v>
      </c>
      <c r="G433" s="46">
        <f t="shared" si="52"/>
        <v>55</v>
      </c>
      <c r="H433" s="46">
        <f>TRUNC(S433*(1-LOTE_01!$K$10),2)</f>
        <v>42.48</v>
      </c>
      <c r="I433" s="46">
        <f>TRUNC(T433*(1-LOTE_01!$K$10),2)</f>
        <v>16.600000000000001</v>
      </c>
      <c r="J433" s="100">
        <f t="shared" si="53"/>
        <v>0.22470000000000001</v>
      </c>
      <c r="K433" s="48">
        <f t="shared" si="47"/>
        <v>52.02</v>
      </c>
      <c r="L433" s="48">
        <f t="shared" si="48"/>
        <v>20.329999999999998</v>
      </c>
      <c r="M433" s="48">
        <f t="shared" si="49"/>
        <v>2861.1</v>
      </c>
      <c r="N433" s="48">
        <f t="shared" si="50"/>
        <v>1118.1500000000001</v>
      </c>
      <c r="O433" s="50">
        <f t="shared" si="51"/>
        <v>3979.25</v>
      </c>
      <c r="P433" s="50">
        <v>0</v>
      </c>
      <c r="Q433" s="76"/>
      <c r="R433" s="140">
        <f>5*S9+5*S10</f>
        <v>55</v>
      </c>
      <c r="S433" s="152">
        <v>42.48</v>
      </c>
      <c r="T433" s="153">
        <v>16.600000000000001</v>
      </c>
    </row>
    <row r="434" spans="2:20" ht="28">
      <c r="B434" s="5" t="s">
        <v>1044</v>
      </c>
      <c r="C434" s="45" t="s">
        <v>97</v>
      </c>
      <c r="D434" s="45" t="s">
        <v>1045</v>
      </c>
      <c r="E434" s="6" t="s">
        <v>1046</v>
      </c>
      <c r="F434" s="45" t="s">
        <v>187</v>
      </c>
      <c r="G434" s="46">
        <f t="shared" si="52"/>
        <v>330</v>
      </c>
      <c r="H434" s="46">
        <f>TRUNC(S434*(1-LOTE_01!$K$10),2)</f>
        <v>52.74</v>
      </c>
      <c r="I434" s="46">
        <f>TRUNC(T434*(1-LOTE_01!$K$10),2)</f>
        <v>31.04</v>
      </c>
      <c r="J434" s="100">
        <f t="shared" si="53"/>
        <v>0.22470000000000001</v>
      </c>
      <c r="K434" s="48">
        <f t="shared" si="47"/>
        <v>64.59</v>
      </c>
      <c r="L434" s="48">
        <f t="shared" si="48"/>
        <v>38.01</v>
      </c>
      <c r="M434" s="48">
        <f t="shared" si="49"/>
        <v>21314.7</v>
      </c>
      <c r="N434" s="48">
        <f t="shared" si="50"/>
        <v>12543.3</v>
      </c>
      <c r="O434" s="50">
        <f t="shared" si="51"/>
        <v>33858</v>
      </c>
      <c r="P434" s="50">
        <v>0</v>
      </c>
      <c r="Q434" s="76"/>
      <c r="R434" s="140">
        <f>30*S9+30*S10</f>
        <v>330</v>
      </c>
      <c r="S434" s="152">
        <v>52.74</v>
      </c>
      <c r="T434" s="153">
        <v>31.04</v>
      </c>
    </row>
    <row r="435" spans="2:20">
      <c r="B435" s="5" t="s">
        <v>1047</v>
      </c>
      <c r="C435" s="45" t="s">
        <v>97</v>
      </c>
      <c r="D435" s="45" t="s">
        <v>1048</v>
      </c>
      <c r="E435" s="6" t="s">
        <v>1049</v>
      </c>
      <c r="F435" s="45" t="s">
        <v>104</v>
      </c>
      <c r="G435" s="46">
        <f t="shared" si="52"/>
        <v>55</v>
      </c>
      <c r="H435" s="46">
        <f>TRUNC(S435*(1-LOTE_01!$K$10),2)</f>
        <v>113.6</v>
      </c>
      <c r="I435" s="46">
        <f>TRUNC(T435*(1-LOTE_01!$K$10),2)</f>
        <v>9.9499999999999993</v>
      </c>
      <c r="J435" s="100">
        <f t="shared" si="53"/>
        <v>0.22470000000000001</v>
      </c>
      <c r="K435" s="48">
        <f t="shared" si="47"/>
        <v>139.12</v>
      </c>
      <c r="L435" s="48">
        <f t="shared" si="48"/>
        <v>12.18</v>
      </c>
      <c r="M435" s="48">
        <f t="shared" si="49"/>
        <v>7651.6</v>
      </c>
      <c r="N435" s="48">
        <f t="shared" si="50"/>
        <v>669.9</v>
      </c>
      <c r="O435" s="50">
        <f t="shared" si="51"/>
        <v>8321.5</v>
      </c>
      <c r="P435" s="50">
        <v>0</v>
      </c>
      <c r="Q435" s="76"/>
      <c r="R435" s="140">
        <f>5*S9+5*S10</f>
        <v>55</v>
      </c>
      <c r="S435" s="152">
        <v>113.6</v>
      </c>
      <c r="T435" s="153">
        <v>9.9499999999999993</v>
      </c>
    </row>
    <row r="436" spans="2:20">
      <c r="B436" s="5" t="s">
        <v>1050</v>
      </c>
      <c r="C436" s="45" t="s">
        <v>97</v>
      </c>
      <c r="D436" s="45" t="s">
        <v>1051</v>
      </c>
      <c r="E436" s="6" t="s">
        <v>1052</v>
      </c>
      <c r="F436" s="45" t="s">
        <v>104</v>
      </c>
      <c r="G436" s="46">
        <f t="shared" si="52"/>
        <v>55</v>
      </c>
      <c r="H436" s="46">
        <f>TRUNC(S436*(1-LOTE_01!$K$10),2)</f>
        <v>20.43</v>
      </c>
      <c r="I436" s="46">
        <f>TRUNC(T436*(1-LOTE_01!$K$10),2)</f>
        <v>9.9499999999999993</v>
      </c>
      <c r="J436" s="100">
        <f t="shared" si="53"/>
        <v>0.22470000000000001</v>
      </c>
      <c r="K436" s="48">
        <f t="shared" si="47"/>
        <v>25.02</v>
      </c>
      <c r="L436" s="48">
        <f t="shared" si="48"/>
        <v>12.18</v>
      </c>
      <c r="M436" s="48">
        <f t="shared" si="49"/>
        <v>1376.1</v>
      </c>
      <c r="N436" s="48">
        <f t="shared" si="50"/>
        <v>669.9</v>
      </c>
      <c r="O436" s="50">
        <f t="shared" si="51"/>
        <v>2046</v>
      </c>
      <c r="P436" s="50">
        <v>0</v>
      </c>
      <c r="Q436" s="76"/>
      <c r="R436" s="140">
        <f>5*S9+5*S10</f>
        <v>55</v>
      </c>
      <c r="S436" s="152">
        <v>20.43</v>
      </c>
      <c r="T436" s="153">
        <v>9.9499999999999993</v>
      </c>
    </row>
    <row r="437" spans="2:20">
      <c r="B437" s="5" t="s">
        <v>1053</v>
      </c>
      <c r="C437" s="45" t="s">
        <v>97</v>
      </c>
      <c r="D437" s="45" t="s">
        <v>1054</v>
      </c>
      <c r="E437" s="6" t="s">
        <v>1055</v>
      </c>
      <c r="F437" s="45" t="s">
        <v>104</v>
      </c>
      <c r="G437" s="46">
        <f t="shared" si="52"/>
        <v>55</v>
      </c>
      <c r="H437" s="46">
        <f>TRUNC(S437*(1-LOTE_01!$K$10),2)</f>
        <v>106.81</v>
      </c>
      <c r="I437" s="46">
        <f>TRUNC(T437*(1-LOTE_01!$K$10),2)</f>
        <v>9.9499999999999993</v>
      </c>
      <c r="J437" s="100">
        <f t="shared" si="53"/>
        <v>0.22470000000000001</v>
      </c>
      <c r="K437" s="48">
        <f t="shared" si="47"/>
        <v>130.81</v>
      </c>
      <c r="L437" s="48">
        <f t="shared" si="48"/>
        <v>12.18</v>
      </c>
      <c r="M437" s="48">
        <f t="shared" si="49"/>
        <v>7194.55</v>
      </c>
      <c r="N437" s="48">
        <f t="shared" si="50"/>
        <v>669.9</v>
      </c>
      <c r="O437" s="50">
        <f t="shared" si="51"/>
        <v>7864.45</v>
      </c>
      <c r="P437" s="50">
        <v>0</v>
      </c>
      <c r="Q437" s="76"/>
      <c r="R437" s="140">
        <f>5*S9+5*S10</f>
        <v>55</v>
      </c>
      <c r="S437" s="152">
        <v>106.81</v>
      </c>
      <c r="T437" s="153">
        <v>9.9499999999999993</v>
      </c>
    </row>
    <row r="438" spans="2:20">
      <c r="B438" s="5" t="s">
        <v>1056</v>
      </c>
      <c r="C438" s="45" t="s">
        <v>97</v>
      </c>
      <c r="D438" s="45" t="s">
        <v>1057</v>
      </c>
      <c r="E438" s="6" t="s">
        <v>1058</v>
      </c>
      <c r="F438" s="45" t="s">
        <v>1059</v>
      </c>
      <c r="G438" s="46">
        <f t="shared" si="52"/>
        <v>31</v>
      </c>
      <c r="H438" s="46">
        <f>TRUNC(S438*(1-LOTE_01!$K$10),2)</f>
        <v>29.87</v>
      </c>
      <c r="I438" s="46">
        <f>TRUNC(T438*(1-LOTE_01!$K$10),2)</f>
        <v>8.33</v>
      </c>
      <c r="J438" s="100">
        <f t="shared" si="53"/>
        <v>0.22470000000000001</v>
      </c>
      <c r="K438" s="48">
        <f t="shared" si="47"/>
        <v>36.58</v>
      </c>
      <c r="L438" s="48">
        <f t="shared" si="48"/>
        <v>10.199999999999999</v>
      </c>
      <c r="M438" s="48">
        <f t="shared" si="49"/>
        <v>1133.98</v>
      </c>
      <c r="N438" s="48">
        <f t="shared" si="50"/>
        <v>316.2</v>
      </c>
      <c r="O438" s="50">
        <f t="shared" si="51"/>
        <v>1450.18</v>
      </c>
      <c r="P438" s="50">
        <v>0</v>
      </c>
      <c r="Q438" s="76"/>
      <c r="R438" s="140">
        <f>2*S9+5*S10</f>
        <v>31</v>
      </c>
      <c r="S438" s="152">
        <v>29.87</v>
      </c>
      <c r="T438" s="153">
        <v>8.33</v>
      </c>
    </row>
    <row r="439" spans="2:20" ht="28">
      <c r="B439" s="5" t="s">
        <v>1060</v>
      </c>
      <c r="C439" s="45" t="s">
        <v>97</v>
      </c>
      <c r="D439" s="45" t="s">
        <v>1061</v>
      </c>
      <c r="E439" s="6" t="s">
        <v>1062</v>
      </c>
      <c r="F439" s="45" t="s">
        <v>104</v>
      </c>
      <c r="G439" s="46">
        <f t="shared" si="52"/>
        <v>220</v>
      </c>
      <c r="H439" s="46">
        <f>TRUNC(S439*(1-LOTE_01!$K$10),2)</f>
        <v>48.66</v>
      </c>
      <c r="I439" s="46">
        <f>TRUNC(T439*(1-LOTE_01!$K$10),2)</f>
        <v>32.82</v>
      </c>
      <c r="J439" s="100">
        <f t="shared" si="53"/>
        <v>0.22470000000000001</v>
      </c>
      <c r="K439" s="48">
        <f t="shared" si="47"/>
        <v>59.59</v>
      </c>
      <c r="L439" s="48">
        <f t="shared" si="48"/>
        <v>40.19</v>
      </c>
      <c r="M439" s="48">
        <f t="shared" si="49"/>
        <v>13109.8</v>
      </c>
      <c r="N439" s="48">
        <f t="shared" si="50"/>
        <v>8841.7999999999993</v>
      </c>
      <c r="O439" s="50">
        <f t="shared" si="51"/>
        <v>21951.599999999999</v>
      </c>
      <c r="P439" s="50">
        <v>0</v>
      </c>
      <c r="Q439" s="76"/>
      <c r="R439" s="140">
        <f>20*S9+20*S10</f>
        <v>220</v>
      </c>
      <c r="S439" s="152">
        <v>48.66</v>
      </c>
      <c r="T439" s="153">
        <v>32.82</v>
      </c>
    </row>
    <row r="440" spans="2:20" ht="28">
      <c r="B440" s="101" t="s">
        <v>1063</v>
      </c>
      <c r="C440" s="102" t="s">
        <v>21</v>
      </c>
      <c r="D440" s="102" t="s">
        <v>21</v>
      </c>
      <c r="E440" s="103" t="s">
        <v>1064</v>
      </c>
      <c r="F440" s="102" t="s">
        <v>21</v>
      </c>
      <c r="G440" s="46">
        <f t="shared" si="52"/>
        <v>0</v>
      </c>
      <c r="H440" s="46"/>
      <c r="I440" s="46"/>
      <c r="J440" s="105"/>
      <c r="K440" s="48">
        <f t="shared" si="47"/>
        <v>0</v>
      </c>
      <c r="L440" s="48">
        <f t="shared" si="48"/>
        <v>0</v>
      </c>
      <c r="M440" s="48">
        <f t="shared" si="49"/>
        <v>0</v>
      </c>
      <c r="N440" s="48">
        <f t="shared" si="50"/>
        <v>0</v>
      </c>
      <c r="O440" s="50">
        <f t="shared" si="51"/>
        <v>0</v>
      </c>
      <c r="P440" s="50">
        <v>0</v>
      </c>
      <c r="Q440" s="76"/>
      <c r="R440" s="154"/>
      <c r="S440" s="152" t="s">
        <v>22</v>
      </c>
      <c r="T440" s="153" t="s">
        <v>22</v>
      </c>
    </row>
    <row r="441" spans="2:20" ht="84">
      <c r="B441" s="5" t="s">
        <v>1065</v>
      </c>
      <c r="C441" s="45" t="s">
        <v>135</v>
      </c>
      <c r="D441" s="45">
        <v>101878</v>
      </c>
      <c r="E441" s="6" t="s">
        <v>1066</v>
      </c>
      <c r="F441" s="45" t="s">
        <v>210</v>
      </c>
      <c r="G441" s="46">
        <f t="shared" si="52"/>
        <v>10</v>
      </c>
      <c r="H441" s="46">
        <f>TRUNC(S441*(1-LOTE_01!$K$10),2)</f>
        <v>396.28</v>
      </c>
      <c r="I441" s="46">
        <f>TRUNC(T441*(1-LOTE_01!$K$10),2)</f>
        <v>13.82</v>
      </c>
      <c r="J441" s="100">
        <f t="shared" si="53"/>
        <v>0.22470000000000001</v>
      </c>
      <c r="K441" s="48">
        <f t="shared" si="47"/>
        <v>485.32</v>
      </c>
      <c r="L441" s="48">
        <f t="shared" si="48"/>
        <v>16.920000000000002</v>
      </c>
      <c r="M441" s="48">
        <f t="shared" si="49"/>
        <v>4853.2</v>
      </c>
      <c r="N441" s="48">
        <f t="shared" si="50"/>
        <v>169.2</v>
      </c>
      <c r="O441" s="50">
        <f t="shared" si="51"/>
        <v>5022.3999999999996</v>
      </c>
      <c r="P441" s="50">
        <v>0</v>
      </c>
      <c r="Q441" s="76"/>
      <c r="R441" s="140">
        <f>IF((1*S9+1*S10)&gt;10,10,(1*S9+1*S10))</f>
        <v>10</v>
      </c>
      <c r="S441" s="152">
        <v>396.28000000000003</v>
      </c>
      <c r="T441" s="153">
        <v>13.82</v>
      </c>
    </row>
    <row r="442" spans="2:20" ht="84">
      <c r="B442" s="5" t="s">
        <v>1067</v>
      </c>
      <c r="C442" s="45" t="s">
        <v>135</v>
      </c>
      <c r="D442" s="45">
        <v>101879</v>
      </c>
      <c r="E442" s="6" t="s">
        <v>1068</v>
      </c>
      <c r="F442" s="45" t="s">
        <v>210</v>
      </c>
      <c r="G442" s="46">
        <f t="shared" si="52"/>
        <v>10</v>
      </c>
      <c r="H442" s="46">
        <f>TRUNC(S442*(1-LOTE_01!$K$10),2)</f>
        <v>481.01</v>
      </c>
      <c r="I442" s="46">
        <f>TRUNC(T442*(1-LOTE_01!$K$10),2)</f>
        <v>74.55</v>
      </c>
      <c r="J442" s="100">
        <f t="shared" si="53"/>
        <v>0.22470000000000001</v>
      </c>
      <c r="K442" s="48">
        <f t="shared" si="47"/>
        <v>589.09</v>
      </c>
      <c r="L442" s="48">
        <f t="shared" si="48"/>
        <v>91.3</v>
      </c>
      <c r="M442" s="48">
        <f t="shared" si="49"/>
        <v>5890.9</v>
      </c>
      <c r="N442" s="48">
        <f t="shared" si="50"/>
        <v>913</v>
      </c>
      <c r="O442" s="50">
        <f t="shared" si="51"/>
        <v>6803.9</v>
      </c>
      <c r="P442" s="50">
        <v>0</v>
      </c>
      <c r="Q442" s="76"/>
      <c r="R442" s="140">
        <f>IF((1*S9+1*S10)&gt;10,10,(1*S9+1*S10))</f>
        <v>10</v>
      </c>
      <c r="S442" s="152">
        <v>481.00999999999993</v>
      </c>
      <c r="T442" s="153">
        <v>74.55</v>
      </c>
    </row>
    <row r="443" spans="2:20" ht="84">
      <c r="B443" s="5" t="s">
        <v>1069</v>
      </c>
      <c r="C443" s="45" t="s">
        <v>135</v>
      </c>
      <c r="D443" s="45">
        <v>101880</v>
      </c>
      <c r="E443" s="6" t="s">
        <v>1070</v>
      </c>
      <c r="F443" s="45" t="s">
        <v>210</v>
      </c>
      <c r="G443" s="46">
        <f t="shared" si="52"/>
        <v>10</v>
      </c>
      <c r="H443" s="46">
        <f>TRUNC(S443*(1-LOTE_01!$K$10),2)</f>
        <v>555.98</v>
      </c>
      <c r="I443" s="46">
        <f>TRUNC(T443*(1-LOTE_01!$K$10),2)</f>
        <v>91.93</v>
      </c>
      <c r="J443" s="100">
        <f t="shared" si="53"/>
        <v>0.22470000000000001</v>
      </c>
      <c r="K443" s="48">
        <f t="shared" si="47"/>
        <v>680.9</v>
      </c>
      <c r="L443" s="48">
        <f t="shared" si="48"/>
        <v>112.58</v>
      </c>
      <c r="M443" s="48">
        <f t="shared" si="49"/>
        <v>6809</v>
      </c>
      <c r="N443" s="48">
        <f t="shared" si="50"/>
        <v>1125.8</v>
      </c>
      <c r="O443" s="50">
        <f t="shared" si="51"/>
        <v>7934.8</v>
      </c>
      <c r="P443" s="50">
        <v>0</v>
      </c>
      <c r="Q443" s="76"/>
      <c r="R443" s="140">
        <f>IF((1*S9+1*S10)&gt;10,10,(1*S9+1*S10))</f>
        <v>10</v>
      </c>
      <c r="S443" s="152">
        <v>555.98</v>
      </c>
      <c r="T443" s="153">
        <v>91.93</v>
      </c>
    </row>
    <row r="444" spans="2:20" ht="84">
      <c r="B444" s="5" t="s">
        <v>1071</v>
      </c>
      <c r="C444" s="45" t="s">
        <v>135</v>
      </c>
      <c r="D444" s="45">
        <v>101882</v>
      </c>
      <c r="E444" s="6" t="s">
        <v>1072</v>
      </c>
      <c r="F444" s="45" t="s">
        <v>210</v>
      </c>
      <c r="G444" s="46">
        <f t="shared" si="52"/>
        <v>10</v>
      </c>
      <c r="H444" s="46">
        <f>TRUNC(S444*(1-LOTE_01!$K$10),2)</f>
        <v>1122.99</v>
      </c>
      <c r="I444" s="46">
        <f>TRUNC(T444*(1-LOTE_01!$K$10),2)</f>
        <v>92.36</v>
      </c>
      <c r="J444" s="100">
        <f t="shared" si="53"/>
        <v>0.22470000000000001</v>
      </c>
      <c r="K444" s="48">
        <f t="shared" si="47"/>
        <v>1375.32</v>
      </c>
      <c r="L444" s="48">
        <f t="shared" si="48"/>
        <v>113.11</v>
      </c>
      <c r="M444" s="48">
        <f t="shared" si="49"/>
        <v>13753.2</v>
      </c>
      <c r="N444" s="48">
        <f t="shared" si="50"/>
        <v>1131.0999999999999</v>
      </c>
      <c r="O444" s="50">
        <f t="shared" si="51"/>
        <v>14884.3</v>
      </c>
      <c r="P444" s="50">
        <v>0</v>
      </c>
      <c r="Q444" s="76"/>
      <c r="R444" s="140">
        <f>IF((1*S9+1*S10)&gt;10,10,(1*S9+1*S10))</f>
        <v>10</v>
      </c>
      <c r="S444" s="152">
        <v>1122.99</v>
      </c>
      <c r="T444" s="153">
        <v>92.36</v>
      </c>
    </row>
    <row r="445" spans="2:20" ht="84">
      <c r="B445" s="5" t="s">
        <v>1073</v>
      </c>
      <c r="C445" s="45" t="s">
        <v>135</v>
      </c>
      <c r="D445" s="45">
        <v>101881</v>
      </c>
      <c r="E445" s="6" t="s">
        <v>1074</v>
      </c>
      <c r="F445" s="45" t="s">
        <v>210</v>
      </c>
      <c r="G445" s="46">
        <f t="shared" si="52"/>
        <v>10</v>
      </c>
      <c r="H445" s="46">
        <f>TRUNC(S445*(1-LOTE_01!$K$10),2)</f>
        <v>794.32</v>
      </c>
      <c r="I445" s="46">
        <f>TRUNC(T445*(1-LOTE_01!$K$10),2)</f>
        <v>92.79</v>
      </c>
      <c r="J445" s="100">
        <f t="shared" si="53"/>
        <v>0.22470000000000001</v>
      </c>
      <c r="K445" s="48">
        <f t="shared" si="47"/>
        <v>972.8</v>
      </c>
      <c r="L445" s="48">
        <f t="shared" si="48"/>
        <v>113.63</v>
      </c>
      <c r="M445" s="48">
        <f t="shared" si="49"/>
        <v>9728</v>
      </c>
      <c r="N445" s="48">
        <f t="shared" si="50"/>
        <v>1136.3</v>
      </c>
      <c r="O445" s="50">
        <f t="shared" si="51"/>
        <v>10864.3</v>
      </c>
      <c r="P445" s="50">
        <v>0</v>
      </c>
      <c r="Q445" s="76"/>
      <c r="R445" s="140">
        <f>IF((1*S9+1*S10)&gt;10,10,(1*S9+1*S10))</f>
        <v>10</v>
      </c>
      <c r="S445" s="152">
        <v>794.32</v>
      </c>
      <c r="T445" s="153">
        <v>92.79</v>
      </c>
    </row>
    <row r="446" spans="2:20" ht="56">
      <c r="B446" s="5" t="s">
        <v>1075</v>
      </c>
      <c r="C446" s="45" t="s">
        <v>135</v>
      </c>
      <c r="D446" s="45">
        <v>93653</v>
      </c>
      <c r="E446" s="6" t="s">
        <v>1076</v>
      </c>
      <c r="F446" s="45" t="s">
        <v>210</v>
      </c>
      <c r="G446" s="46">
        <f t="shared" si="52"/>
        <v>170</v>
      </c>
      <c r="H446" s="46">
        <f>TRUNC(S446*(1-LOTE_01!$K$10),2)</f>
        <v>11.31</v>
      </c>
      <c r="I446" s="46">
        <f>TRUNC(T446*(1-LOTE_01!$K$10),2)</f>
        <v>1.53</v>
      </c>
      <c r="J446" s="100">
        <f t="shared" si="53"/>
        <v>0.22470000000000001</v>
      </c>
      <c r="K446" s="48">
        <f t="shared" si="47"/>
        <v>13.85</v>
      </c>
      <c r="L446" s="48">
        <f t="shared" si="48"/>
        <v>1.87</v>
      </c>
      <c r="M446" s="48">
        <f t="shared" si="49"/>
        <v>2354.5</v>
      </c>
      <c r="N446" s="48">
        <f t="shared" si="50"/>
        <v>317.89999999999998</v>
      </c>
      <c r="O446" s="50">
        <f t="shared" si="51"/>
        <v>2672.4</v>
      </c>
      <c r="P446" s="50">
        <v>0</v>
      </c>
      <c r="Q446" s="76"/>
      <c r="R446" s="140">
        <f>10*S9+30*S10</f>
        <v>170</v>
      </c>
      <c r="S446" s="152">
        <v>11.31</v>
      </c>
      <c r="T446" s="153">
        <v>1.53</v>
      </c>
    </row>
    <row r="447" spans="2:20" ht="56">
      <c r="B447" s="5" t="s">
        <v>1077</v>
      </c>
      <c r="C447" s="45" t="s">
        <v>135</v>
      </c>
      <c r="D447" s="45">
        <v>93654</v>
      </c>
      <c r="E447" s="6" t="s">
        <v>1078</v>
      </c>
      <c r="F447" s="45" t="s">
        <v>210</v>
      </c>
      <c r="G447" s="46">
        <f t="shared" si="52"/>
        <v>170</v>
      </c>
      <c r="H447" s="46">
        <f>TRUNC(S447*(1-LOTE_01!$K$10),2)</f>
        <v>11.31</v>
      </c>
      <c r="I447" s="46">
        <f>TRUNC(T447*(1-LOTE_01!$K$10),2)</f>
        <v>1.53</v>
      </c>
      <c r="J447" s="100">
        <f t="shared" si="53"/>
        <v>0.22470000000000001</v>
      </c>
      <c r="K447" s="48">
        <f t="shared" si="47"/>
        <v>13.85</v>
      </c>
      <c r="L447" s="48">
        <f t="shared" si="48"/>
        <v>1.87</v>
      </c>
      <c r="M447" s="48">
        <f t="shared" si="49"/>
        <v>2354.5</v>
      </c>
      <c r="N447" s="48">
        <f t="shared" si="50"/>
        <v>317.89999999999998</v>
      </c>
      <c r="O447" s="50">
        <f t="shared" si="51"/>
        <v>2672.4</v>
      </c>
      <c r="P447" s="50">
        <v>0</v>
      </c>
      <c r="Q447" s="76"/>
      <c r="R447" s="140">
        <f>10*S9+30*S10</f>
        <v>170</v>
      </c>
      <c r="S447" s="152">
        <v>11.31</v>
      </c>
      <c r="T447" s="153">
        <v>1.53</v>
      </c>
    </row>
    <row r="448" spans="2:20" ht="56">
      <c r="B448" s="5" t="s">
        <v>1079</v>
      </c>
      <c r="C448" s="45" t="s">
        <v>135</v>
      </c>
      <c r="D448" s="45">
        <v>93655</v>
      </c>
      <c r="E448" s="6" t="s">
        <v>1080</v>
      </c>
      <c r="F448" s="45" t="s">
        <v>210</v>
      </c>
      <c r="G448" s="46">
        <f t="shared" si="52"/>
        <v>55</v>
      </c>
      <c r="H448" s="46">
        <f>TRUNC(S448*(1-LOTE_01!$K$10),2)</f>
        <v>11.78</v>
      </c>
      <c r="I448" s="46">
        <f>TRUNC(T448*(1-LOTE_01!$K$10),2)</f>
        <v>2.02</v>
      </c>
      <c r="J448" s="100">
        <f t="shared" si="53"/>
        <v>0.22470000000000001</v>
      </c>
      <c r="K448" s="48">
        <f t="shared" si="47"/>
        <v>14.42</v>
      </c>
      <c r="L448" s="48">
        <f t="shared" si="48"/>
        <v>2.4700000000000002</v>
      </c>
      <c r="M448" s="48">
        <f t="shared" si="49"/>
        <v>793.1</v>
      </c>
      <c r="N448" s="48">
        <f t="shared" si="50"/>
        <v>135.85</v>
      </c>
      <c r="O448" s="50">
        <f t="shared" si="51"/>
        <v>928.95</v>
      </c>
      <c r="P448" s="50">
        <v>0</v>
      </c>
      <c r="Q448" s="76"/>
      <c r="R448" s="140">
        <f>5*S9+5*S10</f>
        <v>55</v>
      </c>
      <c r="S448" s="152">
        <v>11.780000000000001</v>
      </c>
      <c r="T448" s="153">
        <v>2.02</v>
      </c>
    </row>
    <row r="449" spans="2:20" ht="56">
      <c r="B449" s="5" t="s">
        <v>1081</v>
      </c>
      <c r="C449" s="45" t="s">
        <v>135</v>
      </c>
      <c r="D449" s="45">
        <v>93661</v>
      </c>
      <c r="E449" s="6" t="s">
        <v>912</v>
      </c>
      <c r="F449" s="45" t="s">
        <v>210</v>
      </c>
      <c r="G449" s="46">
        <f t="shared" si="52"/>
        <v>11</v>
      </c>
      <c r="H449" s="46">
        <f>TRUNC(S449*(1-LOTE_01!$K$10),2)</f>
        <v>59.09</v>
      </c>
      <c r="I449" s="46">
        <f>TRUNC(T449*(1-LOTE_01!$K$10),2)</f>
        <v>3.08</v>
      </c>
      <c r="J449" s="100">
        <f t="shared" si="53"/>
        <v>0.22470000000000001</v>
      </c>
      <c r="K449" s="48">
        <f t="shared" si="47"/>
        <v>72.36</v>
      </c>
      <c r="L449" s="48">
        <f t="shared" si="48"/>
        <v>3.77</v>
      </c>
      <c r="M449" s="48">
        <f t="shared" si="49"/>
        <v>795.96</v>
      </c>
      <c r="N449" s="48">
        <f t="shared" si="50"/>
        <v>41.47</v>
      </c>
      <c r="O449" s="50">
        <f t="shared" si="51"/>
        <v>837.43</v>
      </c>
      <c r="P449" s="50">
        <v>0</v>
      </c>
      <c r="Q449" s="76"/>
      <c r="R449" s="140">
        <f>1*S9+1*S10</f>
        <v>11</v>
      </c>
      <c r="S449" s="152">
        <v>59.09</v>
      </c>
      <c r="T449" s="153">
        <v>3.08</v>
      </c>
    </row>
    <row r="450" spans="2:20" ht="56">
      <c r="B450" s="5" t="s">
        <v>1082</v>
      </c>
      <c r="C450" s="45" t="s">
        <v>135</v>
      </c>
      <c r="D450" s="45">
        <v>93666</v>
      </c>
      <c r="E450" s="6" t="s">
        <v>1083</v>
      </c>
      <c r="F450" s="45" t="s">
        <v>210</v>
      </c>
      <c r="G450" s="46">
        <f t="shared" si="52"/>
        <v>11</v>
      </c>
      <c r="H450" s="46">
        <f>TRUNC(S450*(1-LOTE_01!$K$10),2)</f>
        <v>64.31</v>
      </c>
      <c r="I450" s="46">
        <f>TRUNC(T450*(1-LOTE_01!$K$10),2)</f>
        <v>15.29</v>
      </c>
      <c r="J450" s="100">
        <f t="shared" si="53"/>
        <v>0.22470000000000001</v>
      </c>
      <c r="K450" s="48">
        <f t="shared" si="47"/>
        <v>78.760000000000005</v>
      </c>
      <c r="L450" s="48">
        <f t="shared" si="48"/>
        <v>18.72</v>
      </c>
      <c r="M450" s="48">
        <f t="shared" si="49"/>
        <v>866.36</v>
      </c>
      <c r="N450" s="48">
        <f t="shared" si="50"/>
        <v>205.92</v>
      </c>
      <c r="O450" s="50">
        <f t="shared" si="51"/>
        <v>1072.28</v>
      </c>
      <c r="P450" s="50">
        <v>0</v>
      </c>
      <c r="Q450" s="76"/>
      <c r="R450" s="140">
        <f>1*S9+1*S10</f>
        <v>11</v>
      </c>
      <c r="S450" s="152">
        <v>64.31</v>
      </c>
      <c r="T450" s="153">
        <v>15.29</v>
      </c>
    </row>
    <row r="451" spans="2:20" ht="56">
      <c r="B451" s="5" t="s">
        <v>1084</v>
      </c>
      <c r="C451" s="45" t="s">
        <v>135</v>
      </c>
      <c r="D451" s="45">
        <v>93672</v>
      </c>
      <c r="E451" s="6" t="s">
        <v>1085</v>
      </c>
      <c r="F451" s="45" t="s">
        <v>210</v>
      </c>
      <c r="G451" s="46">
        <f t="shared" si="52"/>
        <v>11</v>
      </c>
      <c r="H451" s="46">
        <f>TRUNC(S451*(1-LOTE_01!$K$10),2)</f>
        <v>79.27</v>
      </c>
      <c r="I451" s="46">
        <f>TRUNC(T451*(1-LOTE_01!$K$10),2)</f>
        <v>16.52</v>
      </c>
      <c r="J451" s="100">
        <f t="shared" si="53"/>
        <v>0.22470000000000001</v>
      </c>
      <c r="K451" s="48">
        <f t="shared" si="47"/>
        <v>97.08</v>
      </c>
      <c r="L451" s="48">
        <f t="shared" si="48"/>
        <v>20.23</v>
      </c>
      <c r="M451" s="48">
        <f t="shared" si="49"/>
        <v>1067.8800000000001</v>
      </c>
      <c r="N451" s="48">
        <f t="shared" si="50"/>
        <v>222.53</v>
      </c>
      <c r="O451" s="50">
        <f t="shared" si="51"/>
        <v>1290.4100000000001</v>
      </c>
      <c r="P451" s="50">
        <v>0</v>
      </c>
      <c r="Q451" s="76"/>
      <c r="R451" s="140">
        <f>1*S9+1*S10</f>
        <v>11</v>
      </c>
      <c r="S451" s="152">
        <v>79.27000000000001</v>
      </c>
      <c r="T451" s="153">
        <v>16.52</v>
      </c>
    </row>
    <row r="452" spans="2:20" ht="56">
      <c r="B452" s="5" t="s">
        <v>1086</v>
      </c>
      <c r="C452" s="45" t="s">
        <v>135</v>
      </c>
      <c r="D452" s="45">
        <v>101894</v>
      </c>
      <c r="E452" s="6" t="s">
        <v>1087</v>
      </c>
      <c r="F452" s="45" t="s">
        <v>210</v>
      </c>
      <c r="G452" s="46">
        <f t="shared" si="52"/>
        <v>11</v>
      </c>
      <c r="H452" s="46">
        <f>TRUNC(S452*(1-LOTE_01!$K$10),2)</f>
        <v>138.62</v>
      </c>
      <c r="I452" s="46">
        <f>TRUNC(T452*(1-LOTE_01!$K$10),2)</f>
        <v>31.5</v>
      </c>
      <c r="J452" s="100">
        <f t="shared" si="53"/>
        <v>0.22470000000000001</v>
      </c>
      <c r="K452" s="48">
        <f t="shared" si="47"/>
        <v>169.76</v>
      </c>
      <c r="L452" s="48">
        <f t="shared" si="48"/>
        <v>38.57</v>
      </c>
      <c r="M452" s="48">
        <f t="shared" si="49"/>
        <v>1867.36</v>
      </c>
      <c r="N452" s="48">
        <f t="shared" si="50"/>
        <v>424.27</v>
      </c>
      <c r="O452" s="50">
        <f t="shared" si="51"/>
        <v>2291.63</v>
      </c>
      <c r="P452" s="50">
        <v>0</v>
      </c>
      <c r="Q452" s="76"/>
      <c r="R452" s="140">
        <f>1*S9+1*S10</f>
        <v>11</v>
      </c>
      <c r="S452" s="152">
        <v>138.62</v>
      </c>
      <c r="T452" s="153">
        <v>31.5</v>
      </c>
    </row>
    <row r="453" spans="2:20" ht="56">
      <c r="B453" s="5" t="s">
        <v>1088</v>
      </c>
      <c r="C453" s="45" t="s">
        <v>135</v>
      </c>
      <c r="D453" s="45">
        <v>91932</v>
      </c>
      <c r="E453" s="6" t="s">
        <v>1089</v>
      </c>
      <c r="F453" s="45" t="s">
        <v>187</v>
      </c>
      <c r="G453" s="46">
        <f t="shared" si="52"/>
        <v>250</v>
      </c>
      <c r="H453" s="46">
        <f>TRUNC(S453*(1-LOTE_01!$K$10),2)</f>
        <v>18.39</v>
      </c>
      <c r="I453" s="46">
        <f>TRUNC(T453*(1-LOTE_01!$K$10),2)</f>
        <v>3.61</v>
      </c>
      <c r="J453" s="100">
        <f t="shared" si="53"/>
        <v>0.22470000000000001</v>
      </c>
      <c r="K453" s="48">
        <f t="shared" si="47"/>
        <v>22.52</v>
      </c>
      <c r="L453" s="48">
        <f t="shared" si="48"/>
        <v>4.42</v>
      </c>
      <c r="M453" s="48">
        <f t="shared" si="49"/>
        <v>5630</v>
      </c>
      <c r="N453" s="48">
        <f t="shared" si="50"/>
        <v>1105</v>
      </c>
      <c r="O453" s="50">
        <f t="shared" si="51"/>
        <v>6735</v>
      </c>
      <c r="P453" s="50">
        <v>0</v>
      </c>
      <c r="Q453" s="76"/>
      <c r="R453" s="140">
        <f>20*S9+30*S10</f>
        <v>250</v>
      </c>
      <c r="S453" s="152">
        <v>18.39</v>
      </c>
      <c r="T453" s="153">
        <v>3.61</v>
      </c>
    </row>
    <row r="454" spans="2:20" ht="56">
      <c r="B454" s="5" t="s">
        <v>1090</v>
      </c>
      <c r="C454" s="45" t="s">
        <v>135</v>
      </c>
      <c r="D454" s="45">
        <v>91928</v>
      </c>
      <c r="E454" s="6" t="s">
        <v>844</v>
      </c>
      <c r="F454" s="45" t="s">
        <v>187</v>
      </c>
      <c r="G454" s="46">
        <f t="shared" si="52"/>
        <v>250</v>
      </c>
      <c r="H454" s="46">
        <f>TRUNC(S454*(1-LOTE_01!$K$10),2)</f>
        <v>6.85</v>
      </c>
      <c r="I454" s="46">
        <f>TRUNC(T454*(1-LOTE_01!$K$10),2)</f>
        <v>1.83</v>
      </c>
      <c r="J454" s="100">
        <f t="shared" si="53"/>
        <v>0.22470000000000001</v>
      </c>
      <c r="K454" s="48">
        <f t="shared" si="47"/>
        <v>8.3800000000000008</v>
      </c>
      <c r="L454" s="48">
        <f t="shared" si="48"/>
        <v>2.2400000000000002</v>
      </c>
      <c r="M454" s="48">
        <f t="shared" si="49"/>
        <v>2095</v>
      </c>
      <c r="N454" s="48">
        <f t="shared" si="50"/>
        <v>560</v>
      </c>
      <c r="O454" s="50">
        <f t="shared" si="51"/>
        <v>2655</v>
      </c>
      <c r="P454" s="50">
        <v>0</v>
      </c>
      <c r="Q454" s="76"/>
      <c r="R454" s="140">
        <f>20*S9+30*S10</f>
        <v>250</v>
      </c>
      <c r="S454" s="152">
        <v>6.85</v>
      </c>
      <c r="T454" s="153">
        <v>1.83</v>
      </c>
    </row>
    <row r="455" spans="2:20" ht="56">
      <c r="B455" s="5" t="s">
        <v>1091</v>
      </c>
      <c r="C455" s="45" t="s">
        <v>135</v>
      </c>
      <c r="D455" s="45">
        <v>91926</v>
      </c>
      <c r="E455" s="6" t="s">
        <v>840</v>
      </c>
      <c r="F455" s="45" t="s">
        <v>187</v>
      </c>
      <c r="G455" s="46">
        <f t="shared" si="52"/>
        <v>4600</v>
      </c>
      <c r="H455" s="46">
        <f>TRUNC(S455*(1-LOTE_01!$K$10),2)</f>
        <v>4.21</v>
      </c>
      <c r="I455" s="46">
        <f>TRUNC(T455*(1-LOTE_01!$K$10),2)</f>
        <v>1.35</v>
      </c>
      <c r="J455" s="100">
        <f t="shared" si="53"/>
        <v>0.22470000000000001</v>
      </c>
      <c r="K455" s="48">
        <f t="shared" si="47"/>
        <v>5.15</v>
      </c>
      <c r="L455" s="48">
        <f t="shared" si="48"/>
        <v>1.65</v>
      </c>
      <c r="M455" s="48">
        <f t="shared" si="49"/>
        <v>23690</v>
      </c>
      <c r="N455" s="48">
        <f t="shared" si="50"/>
        <v>7590</v>
      </c>
      <c r="O455" s="50">
        <f t="shared" si="51"/>
        <v>31280</v>
      </c>
      <c r="P455" s="50">
        <v>0</v>
      </c>
      <c r="Q455" s="76"/>
      <c r="R455" s="140">
        <f>1000*S10+200*S9</f>
        <v>4600</v>
      </c>
      <c r="S455" s="152">
        <v>4.2099999999999991</v>
      </c>
      <c r="T455" s="153">
        <v>1.35</v>
      </c>
    </row>
    <row r="456" spans="2:20" ht="56">
      <c r="B456" s="5" t="s">
        <v>1092</v>
      </c>
      <c r="C456" s="45" t="s">
        <v>135</v>
      </c>
      <c r="D456" s="45">
        <v>91927</v>
      </c>
      <c r="E456" s="6" t="s">
        <v>1093</v>
      </c>
      <c r="F456" s="45" t="s">
        <v>187</v>
      </c>
      <c r="G456" s="46">
        <f t="shared" si="52"/>
        <v>4600</v>
      </c>
      <c r="H456" s="46">
        <f>TRUNC(S456*(1-LOTE_01!$K$10),2)</f>
        <v>4.93</v>
      </c>
      <c r="I456" s="46">
        <f>TRUNC(T456*(1-LOTE_01!$K$10),2)</f>
        <v>1.35</v>
      </c>
      <c r="J456" s="100">
        <f t="shared" si="53"/>
        <v>0.22470000000000001</v>
      </c>
      <c r="K456" s="48">
        <f t="shared" si="47"/>
        <v>6.03</v>
      </c>
      <c r="L456" s="48">
        <f t="shared" si="48"/>
        <v>1.65</v>
      </c>
      <c r="M456" s="48">
        <f t="shared" si="49"/>
        <v>27738</v>
      </c>
      <c r="N456" s="48">
        <f t="shared" si="50"/>
        <v>7590</v>
      </c>
      <c r="O456" s="50">
        <f t="shared" si="51"/>
        <v>35328</v>
      </c>
      <c r="P456" s="50">
        <v>0</v>
      </c>
      <c r="Q456" s="76"/>
      <c r="R456" s="140">
        <f>1000*S10+200*S9</f>
        <v>4600</v>
      </c>
      <c r="S456" s="152">
        <v>4.93</v>
      </c>
      <c r="T456" s="153">
        <v>1.35</v>
      </c>
    </row>
    <row r="457" spans="2:20" ht="28">
      <c r="B457" s="5" t="s">
        <v>1094</v>
      </c>
      <c r="C457" s="45" t="s">
        <v>97</v>
      </c>
      <c r="D457" s="45" t="s">
        <v>1095</v>
      </c>
      <c r="E457" s="6" t="s">
        <v>1096</v>
      </c>
      <c r="F457" s="45" t="s">
        <v>104</v>
      </c>
      <c r="G457" s="46">
        <f t="shared" si="52"/>
        <v>10</v>
      </c>
      <c r="H457" s="46">
        <f>TRUNC(S457*(1-LOTE_01!$K$10),2)</f>
        <v>17.82</v>
      </c>
      <c r="I457" s="46">
        <f>TRUNC(T457*(1-LOTE_01!$K$10),2)</f>
        <v>49.99</v>
      </c>
      <c r="J457" s="100">
        <f t="shared" si="53"/>
        <v>0.22470000000000001</v>
      </c>
      <c r="K457" s="48">
        <f t="shared" si="47"/>
        <v>21.82</v>
      </c>
      <c r="L457" s="48">
        <f t="shared" si="48"/>
        <v>61.22</v>
      </c>
      <c r="M457" s="48">
        <f t="shared" si="49"/>
        <v>218.2</v>
      </c>
      <c r="N457" s="48">
        <f t="shared" si="50"/>
        <v>612.20000000000005</v>
      </c>
      <c r="O457" s="50">
        <f t="shared" si="51"/>
        <v>830.4</v>
      </c>
      <c r="P457" s="50">
        <v>0</v>
      </c>
      <c r="Q457" s="76"/>
      <c r="R457" s="140">
        <f>IF((1*S9+1*S10)&gt;10,10,(1*S9+1*S10))</f>
        <v>10</v>
      </c>
      <c r="S457" s="152">
        <v>17.82</v>
      </c>
      <c r="T457" s="153">
        <v>49.99</v>
      </c>
    </row>
    <row r="458" spans="2:20" ht="42">
      <c r="B458" s="5" t="s">
        <v>1097</v>
      </c>
      <c r="C458" s="45" t="s">
        <v>165</v>
      </c>
      <c r="D458" s="45" t="s">
        <v>1098</v>
      </c>
      <c r="E458" s="6" t="s">
        <v>1099</v>
      </c>
      <c r="F458" s="45" t="s">
        <v>559</v>
      </c>
      <c r="G458" s="46">
        <f t="shared" si="52"/>
        <v>10</v>
      </c>
      <c r="H458" s="46">
        <f>TRUNC(S458*(1-LOTE_01!$K$10),2)</f>
        <v>353.52</v>
      </c>
      <c r="I458" s="46">
        <f>TRUNC(T458*(1-LOTE_01!$K$10),2)</f>
        <v>106.43</v>
      </c>
      <c r="J458" s="100">
        <f t="shared" si="53"/>
        <v>0.22470000000000001</v>
      </c>
      <c r="K458" s="48">
        <f t="shared" si="47"/>
        <v>432.95</v>
      </c>
      <c r="L458" s="48">
        <f t="shared" si="48"/>
        <v>130.34</v>
      </c>
      <c r="M458" s="48">
        <f t="shared" si="49"/>
        <v>4329.5</v>
      </c>
      <c r="N458" s="48">
        <f t="shared" si="50"/>
        <v>1303.4000000000001</v>
      </c>
      <c r="O458" s="50">
        <f t="shared" si="51"/>
        <v>5632.9</v>
      </c>
      <c r="P458" s="50">
        <v>0</v>
      </c>
      <c r="Q458" s="76"/>
      <c r="R458" s="140">
        <f>IF((1*S9+1*S10)&gt;10,10,(1*S9+1*S10))</f>
        <v>10</v>
      </c>
      <c r="S458" s="152">
        <v>353.52</v>
      </c>
      <c r="T458" s="153">
        <v>106.43</v>
      </c>
    </row>
    <row r="459" spans="2:20" ht="42">
      <c r="B459" s="5" t="s">
        <v>1100</v>
      </c>
      <c r="C459" s="45" t="s">
        <v>165</v>
      </c>
      <c r="D459" s="45" t="s">
        <v>1101</v>
      </c>
      <c r="E459" s="6" t="s">
        <v>1102</v>
      </c>
      <c r="F459" s="45" t="s">
        <v>559</v>
      </c>
      <c r="G459" s="46">
        <f t="shared" si="52"/>
        <v>10</v>
      </c>
      <c r="H459" s="46">
        <f>TRUNC(S459*(1-LOTE_01!$K$10),2)</f>
        <v>255.85</v>
      </c>
      <c r="I459" s="46">
        <f>TRUNC(T459*(1-LOTE_01!$K$10),2)</f>
        <v>99.57</v>
      </c>
      <c r="J459" s="100">
        <f t="shared" si="53"/>
        <v>0.22470000000000001</v>
      </c>
      <c r="K459" s="48">
        <f t="shared" si="47"/>
        <v>313.33</v>
      </c>
      <c r="L459" s="48">
        <f t="shared" si="48"/>
        <v>121.94</v>
      </c>
      <c r="M459" s="48">
        <f t="shared" si="49"/>
        <v>3133.3</v>
      </c>
      <c r="N459" s="48">
        <f t="shared" si="50"/>
        <v>1219.4000000000001</v>
      </c>
      <c r="O459" s="50">
        <f t="shared" si="51"/>
        <v>4352.7</v>
      </c>
      <c r="P459" s="50">
        <v>0</v>
      </c>
      <c r="Q459" s="76"/>
      <c r="R459" s="140">
        <f>IF((1*S9+1*S10)&gt;10,10,(1*S9+1*S10))</f>
        <v>10</v>
      </c>
      <c r="S459" s="152">
        <v>255.85</v>
      </c>
      <c r="T459" s="153">
        <v>99.57</v>
      </c>
    </row>
    <row r="460" spans="2:20" ht="42">
      <c r="B460" s="5" t="s">
        <v>1103</v>
      </c>
      <c r="C460" s="45" t="s">
        <v>165</v>
      </c>
      <c r="D460" s="45" t="s">
        <v>1104</v>
      </c>
      <c r="E460" s="6" t="s">
        <v>1105</v>
      </c>
      <c r="F460" s="45" t="s">
        <v>559</v>
      </c>
      <c r="G460" s="46">
        <f t="shared" si="52"/>
        <v>10</v>
      </c>
      <c r="H460" s="46">
        <f>TRUNC(S460*(1-LOTE_01!$K$10),2)</f>
        <v>136.82</v>
      </c>
      <c r="I460" s="46">
        <f>TRUNC(T460*(1-LOTE_01!$K$10),2)</f>
        <v>89.27</v>
      </c>
      <c r="J460" s="100">
        <f t="shared" si="53"/>
        <v>0.22470000000000001</v>
      </c>
      <c r="K460" s="48">
        <f t="shared" si="47"/>
        <v>167.56</v>
      </c>
      <c r="L460" s="48">
        <f t="shared" si="48"/>
        <v>109.32</v>
      </c>
      <c r="M460" s="48">
        <f t="shared" si="49"/>
        <v>1675.6</v>
      </c>
      <c r="N460" s="48">
        <f t="shared" si="50"/>
        <v>1093.2</v>
      </c>
      <c r="O460" s="50">
        <f t="shared" si="51"/>
        <v>2768.8</v>
      </c>
      <c r="P460" s="50">
        <v>0</v>
      </c>
      <c r="Q460" s="76"/>
      <c r="R460" s="140">
        <f>IF((1*S9+1*S10)&gt;10,10,(1*S9+1*S10))</f>
        <v>10</v>
      </c>
      <c r="S460" s="152">
        <v>136.82</v>
      </c>
      <c r="T460" s="153">
        <v>89.27</v>
      </c>
    </row>
    <row r="461" spans="2:20" ht="28">
      <c r="B461" s="5" t="s">
        <v>1106</v>
      </c>
      <c r="C461" s="45" t="s">
        <v>97</v>
      </c>
      <c r="D461" s="45" t="s">
        <v>1107</v>
      </c>
      <c r="E461" s="6" t="s">
        <v>1108</v>
      </c>
      <c r="F461" s="45" t="s">
        <v>104</v>
      </c>
      <c r="G461" s="46">
        <f t="shared" si="52"/>
        <v>11</v>
      </c>
      <c r="H461" s="46">
        <f>TRUNC(S461*(1-LOTE_01!$K$10),2)</f>
        <v>199.13</v>
      </c>
      <c r="I461" s="46">
        <f>TRUNC(T461*(1-LOTE_01!$K$10),2)</f>
        <v>12.49</v>
      </c>
      <c r="J461" s="100">
        <f t="shared" si="53"/>
        <v>0.22470000000000001</v>
      </c>
      <c r="K461" s="48">
        <f t="shared" si="47"/>
        <v>243.87</v>
      </c>
      <c r="L461" s="48">
        <f t="shared" si="48"/>
        <v>15.29</v>
      </c>
      <c r="M461" s="48">
        <f t="shared" si="49"/>
        <v>2682.57</v>
      </c>
      <c r="N461" s="48">
        <f t="shared" si="50"/>
        <v>168.19</v>
      </c>
      <c r="O461" s="50">
        <f t="shared" si="51"/>
        <v>2850.76</v>
      </c>
      <c r="P461" s="50">
        <v>0</v>
      </c>
      <c r="Q461" s="76"/>
      <c r="R461" s="140">
        <f>1*S9+1*S10</f>
        <v>11</v>
      </c>
      <c r="S461" s="152">
        <v>199.13</v>
      </c>
      <c r="T461" s="153">
        <v>12.49</v>
      </c>
    </row>
    <row r="462" spans="2:20" ht="42">
      <c r="B462" s="5" t="s">
        <v>1109</v>
      </c>
      <c r="C462" s="45" t="s">
        <v>97</v>
      </c>
      <c r="D462" s="45" t="s">
        <v>1110</v>
      </c>
      <c r="E462" s="6" t="s">
        <v>1111</v>
      </c>
      <c r="F462" s="45" t="s">
        <v>104</v>
      </c>
      <c r="G462" s="46">
        <f t="shared" si="52"/>
        <v>28</v>
      </c>
      <c r="H462" s="46">
        <f>TRUNC(S462*(1-LOTE_01!$K$10),2)</f>
        <v>112.59</v>
      </c>
      <c r="I462" s="46">
        <f>TRUNC(T462*(1-LOTE_01!$K$10),2)</f>
        <v>20.83</v>
      </c>
      <c r="J462" s="100">
        <f t="shared" si="53"/>
        <v>0.22470000000000001</v>
      </c>
      <c r="K462" s="48">
        <f t="shared" si="47"/>
        <v>137.88</v>
      </c>
      <c r="L462" s="48">
        <f t="shared" si="48"/>
        <v>25.51</v>
      </c>
      <c r="M462" s="48">
        <f t="shared" si="49"/>
        <v>3860.64</v>
      </c>
      <c r="N462" s="48">
        <f t="shared" si="50"/>
        <v>714.28</v>
      </c>
      <c r="O462" s="50">
        <f t="shared" si="51"/>
        <v>4574.92</v>
      </c>
      <c r="P462" s="50">
        <v>0</v>
      </c>
      <c r="Q462" s="76"/>
      <c r="R462" s="140">
        <f>IF((2*S9+4*S10)&gt;50,50,(2*S9+4*S10))</f>
        <v>28</v>
      </c>
      <c r="S462" s="152">
        <v>112.59</v>
      </c>
      <c r="T462" s="153">
        <v>20.83</v>
      </c>
    </row>
    <row r="463" spans="2:20" ht="42">
      <c r="B463" s="5" t="s">
        <v>1112</v>
      </c>
      <c r="C463" s="45" t="s">
        <v>97</v>
      </c>
      <c r="D463" s="45" t="s">
        <v>1113</v>
      </c>
      <c r="E463" s="6" t="s">
        <v>1114</v>
      </c>
      <c r="F463" s="45" t="s">
        <v>104</v>
      </c>
      <c r="G463" s="46">
        <f t="shared" si="52"/>
        <v>11</v>
      </c>
      <c r="H463" s="46">
        <f>TRUNC(S463*(1-LOTE_01!$K$10),2)</f>
        <v>272.42</v>
      </c>
      <c r="I463" s="46">
        <f>TRUNC(T463*(1-LOTE_01!$K$10),2)</f>
        <v>20.83</v>
      </c>
      <c r="J463" s="100">
        <f t="shared" si="53"/>
        <v>0.22470000000000001</v>
      </c>
      <c r="K463" s="48">
        <f t="shared" si="47"/>
        <v>333.63</v>
      </c>
      <c r="L463" s="48">
        <f t="shared" si="48"/>
        <v>25.51</v>
      </c>
      <c r="M463" s="48">
        <f t="shared" si="49"/>
        <v>3669.93</v>
      </c>
      <c r="N463" s="48">
        <f t="shared" si="50"/>
        <v>280.61</v>
      </c>
      <c r="O463" s="50">
        <f t="shared" si="51"/>
        <v>3950.54</v>
      </c>
      <c r="P463" s="50">
        <v>0</v>
      </c>
      <c r="Q463" s="76"/>
      <c r="R463" s="140">
        <f>1*S9+1*S10</f>
        <v>11</v>
      </c>
      <c r="S463" s="152">
        <v>272.42</v>
      </c>
      <c r="T463" s="153">
        <v>20.83</v>
      </c>
    </row>
    <row r="464" spans="2:20" ht="42">
      <c r="B464" s="5" t="s">
        <v>1115</v>
      </c>
      <c r="C464" s="45" t="s">
        <v>97</v>
      </c>
      <c r="D464" s="45" t="s">
        <v>1116</v>
      </c>
      <c r="E464" s="6" t="s">
        <v>1117</v>
      </c>
      <c r="F464" s="45" t="s">
        <v>104</v>
      </c>
      <c r="G464" s="46">
        <f t="shared" si="52"/>
        <v>11</v>
      </c>
      <c r="H464" s="46">
        <f>TRUNC(S464*(1-LOTE_01!$K$10),2)</f>
        <v>241.88</v>
      </c>
      <c r="I464" s="46">
        <f>TRUNC(T464*(1-LOTE_01!$K$10),2)</f>
        <v>14.58</v>
      </c>
      <c r="J464" s="100">
        <f t="shared" si="53"/>
        <v>0.22470000000000001</v>
      </c>
      <c r="K464" s="48">
        <f t="shared" ref="K464:K527" si="54">TRUNC(H464*(1+J464),2)</f>
        <v>296.23</v>
      </c>
      <c r="L464" s="48">
        <f t="shared" ref="L464:L527" si="55">TRUNC(I464*(1+J464),2)</f>
        <v>17.850000000000001</v>
      </c>
      <c r="M464" s="48">
        <f t="shared" ref="M464:M527" si="56">TRUNC(K464*G464,2)</f>
        <v>3258.53</v>
      </c>
      <c r="N464" s="48">
        <f t="shared" ref="N464:N527" si="57">TRUNC(L464*G464,2)</f>
        <v>196.35</v>
      </c>
      <c r="O464" s="50">
        <f t="shared" ref="O464:O527" si="58">TRUNC(M464+N464,2)</f>
        <v>3454.88</v>
      </c>
      <c r="P464" s="50">
        <v>0</v>
      </c>
      <c r="Q464" s="76"/>
      <c r="R464" s="140">
        <f>1*S9+1*S10</f>
        <v>11</v>
      </c>
      <c r="S464" s="152">
        <v>241.88</v>
      </c>
      <c r="T464" s="153">
        <v>14.58</v>
      </c>
    </row>
    <row r="465" spans="2:20">
      <c r="B465" s="5" t="s">
        <v>1118</v>
      </c>
      <c r="C465" s="45" t="s">
        <v>97</v>
      </c>
      <c r="D465" s="45" t="s">
        <v>1119</v>
      </c>
      <c r="E465" s="6" t="s">
        <v>1120</v>
      </c>
      <c r="F465" s="45" t="s">
        <v>104</v>
      </c>
      <c r="G465" s="46">
        <f t="shared" si="52"/>
        <v>11</v>
      </c>
      <c r="H465" s="46">
        <f>TRUNC(S465*(1-LOTE_01!$K$10),2)</f>
        <v>130.19</v>
      </c>
      <c r="I465" s="46">
        <f>TRUNC(T465*(1-LOTE_01!$K$10),2)</f>
        <v>14.58</v>
      </c>
      <c r="J465" s="100">
        <f t="shared" si="53"/>
        <v>0.22470000000000001</v>
      </c>
      <c r="K465" s="48">
        <f t="shared" si="54"/>
        <v>159.44</v>
      </c>
      <c r="L465" s="48">
        <f t="shared" si="55"/>
        <v>17.850000000000001</v>
      </c>
      <c r="M465" s="48">
        <f t="shared" si="56"/>
        <v>1753.84</v>
      </c>
      <c r="N465" s="48">
        <f t="shared" si="57"/>
        <v>196.35</v>
      </c>
      <c r="O465" s="50">
        <f t="shared" si="58"/>
        <v>1950.19</v>
      </c>
      <c r="P465" s="50">
        <v>0</v>
      </c>
      <c r="Q465" s="76"/>
      <c r="R465" s="140">
        <f>1*S9+1*S10</f>
        <v>11</v>
      </c>
      <c r="S465" s="152">
        <v>130.19</v>
      </c>
      <c r="T465" s="153">
        <v>14.58</v>
      </c>
    </row>
    <row r="466" spans="2:20">
      <c r="B466" s="5" t="s">
        <v>1121</v>
      </c>
      <c r="C466" s="45" t="s">
        <v>97</v>
      </c>
      <c r="D466" s="45" t="s">
        <v>1122</v>
      </c>
      <c r="E466" s="6" t="s">
        <v>1123</v>
      </c>
      <c r="F466" s="45" t="s">
        <v>104</v>
      </c>
      <c r="G466" s="46">
        <f t="shared" ref="G466:G529" si="59">TRUNC(R466,2)</f>
        <v>11</v>
      </c>
      <c r="H466" s="46">
        <f>TRUNC(S466*(1-LOTE_01!$K$10),2)</f>
        <v>345.66</v>
      </c>
      <c r="I466" s="46">
        <f>TRUNC(T466*(1-LOTE_01!$K$10),2)</f>
        <v>38.32</v>
      </c>
      <c r="J466" s="100">
        <f t="shared" ref="J466:J529" si="60">$J$4</f>
        <v>0.22470000000000001</v>
      </c>
      <c r="K466" s="48">
        <f t="shared" si="54"/>
        <v>423.32</v>
      </c>
      <c r="L466" s="48">
        <f t="shared" si="55"/>
        <v>46.93</v>
      </c>
      <c r="M466" s="48">
        <f t="shared" si="56"/>
        <v>4656.5200000000004</v>
      </c>
      <c r="N466" s="48">
        <f t="shared" si="57"/>
        <v>516.23</v>
      </c>
      <c r="O466" s="50">
        <f t="shared" si="58"/>
        <v>5172.75</v>
      </c>
      <c r="P466" s="50">
        <v>0</v>
      </c>
      <c r="Q466" s="76"/>
      <c r="R466" s="140">
        <f>1*S9+1*S10</f>
        <v>11</v>
      </c>
      <c r="S466" s="152">
        <v>345.66</v>
      </c>
      <c r="T466" s="153">
        <v>38.32</v>
      </c>
    </row>
    <row r="467" spans="2:20" ht="56">
      <c r="B467" s="5" t="s">
        <v>1124</v>
      </c>
      <c r="C467" s="45" t="s">
        <v>97</v>
      </c>
      <c r="D467" s="45" t="s">
        <v>1039</v>
      </c>
      <c r="E467" s="6" t="s">
        <v>1040</v>
      </c>
      <c r="F467" s="45" t="s">
        <v>925</v>
      </c>
      <c r="G467" s="46">
        <f t="shared" si="59"/>
        <v>550</v>
      </c>
      <c r="H467" s="46">
        <f>TRUNC(S467*(1-LOTE_01!$K$10),2)</f>
        <v>33.42</v>
      </c>
      <c r="I467" s="46">
        <f>TRUNC(T467*(1-LOTE_01!$K$10),2)</f>
        <v>20.83</v>
      </c>
      <c r="J467" s="100">
        <f t="shared" si="60"/>
        <v>0.22470000000000001</v>
      </c>
      <c r="K467" s="48">
        <f t="shared" si="54"/>
        <v>40.92</v>
      </c>
      <c r="L467" s="48">
        <f t="shared" si="55"/>
        <v>25.51</v>
      </c>
      <c r="M467" s="48">
        <f t="shared" si="56"/>
        <v>22506</v>
      </c>
      <c r="N467" s="48">
        <f t="shared" si="57"/>
        <v>14030.5</v>
      </c>
      <c r="O467" s="50">
        <f t="shared" si="58"/>
        <v>36536.5</v>
      </c>
      <c r="P467" s="50">
        <v>0</v>
      </c>
      <c r="Q467" s="76"/>
      <c r="R467" s="140">
        <f>50*S9+50*S10</f>
        <v>550</v>
      </c>
      <c r="S467" s="152">
        <v>33.42</v>
      </c>
      <c r="T467" s="153">
        <v>20.83</v>
      </c>
    </row>
    <row r="468" spans="2:20" ht="70">
      <c r="B468" s="5" t="s">
        <v>1125</v>
      </c>
      <c r="C468" s="45" t="s">
        <v>135</v>
      </c>
      <c r="D468" s="45">
        <v>91867</v>
      </c>
      <c r="E468" s="6" t="s">
        <v>927</v>
      </c>
      <c r="F468" s="45" t="s">
        <v>187</v>
      </c>
      <c r="G468" s="46">
        <f t="shared" si="59"/>
        <v>550</v>
      </c>
      <c r="H468" s="46">
        <f>TRUNC(S468*(1-LOTE_01!$K$10),2)</f>
        <v>8.09</v>
      </c>
      <c r="I468" s="46">
        <f>TRUNC(T468*(1-LOTE_01!$K$10),2)</f>
        <v>4.0599999999999996</v>
      </c>
      <c r="J468" s="100">
        <f t="shared" si="60"/>
        <v>0.22470000000000001</v>
      </c>
      <c r="K468" s="48">
        <f t="shared" si="54"/>
        <v>9.9</v>
      </c>
      <c r="L468" s="48">
        <f t="shared" si="55"/>
        <v>4.97</v>
      </c>
      <c r="M468" s="48">
        <f t="shared" si="56"/>
        <v>5445</v>
      </c>
      <c r="N468" s="48">
        <f t="shared" si="57"/>
        <v>2733.5</v>
      </c>
      <c r="O468" s="50">
        <f t="shared" si="58"/>
        <v>8178.5</v>
      </c>
      <c r="P468" s="50">
        <v>0</v>
      </c>
      <c r="Q468" s="76"/>
      <c r="R468" s="140">
        <f>50*S9+50*S10</f>
        <v>550</v>
      </c>
      <c r="S468" s="152">
        <v>8.09</v>
      </c>
      <c r="T468" s="153">
        <v>4.0599999999999996</v>
      </c>
    </row>
    <row r="469" spans="2:20" ht="70">
      <c r="B469" s="5" t="s">
        <v>1126</v>
      </c>
      <c r="C469" s="45" t="s">
        <v>135</v>
      </c>
      <c r="D469" s="45">
        <v>91864</v>
      </c>
      <c r="E469" s="6" t="s">
        <v>838</v>
      </c>
      <c r="F469" s="45" t="s">
        <v>187</v>
      </c>
      <c r="G469" s="46">
        <f t="shared" si="59"/>
        <v>55</v>
      </c>
      <c r="H469" s="46">
        <f>TRUNC(S469*(1-LOTE_01!$K$10),2)</f>
        <v>12.48</v>
      </c>
      <c r="I469" s="46">
        <f>TRUNC(T469*(1-LOTE_01!$K$10),2)</f>
        <v>6.02</v>
      </c>
      <c r="J469" s="100">
        <f t="shared" si="60"/>
        <v>0.22470000000000001</v>
      </c>
      <c r="K469" s="48">
        <f t="shared" si="54"/>
        <v>15.28</v>
      </c>
      <c r="L469" s="48">
        <f t="shared" si="55"/>
        <v>7.37</v>
      </c>
      <c r="M469" s="48">
        <f t="shared" si="56"/>
        <v>840.4</v>
      </c>
      <c r="N469" s="48">
        <f t="shared" si="57"/>
        <v>405.35</v>
      </c>
      <c r="O469" s="50">
        <f t="shared" si="58"/>
        <v>1245.75</v>
      </c>
      <c r="P469" s="50">
        <v>0</v>
      </c>
      <c r="Q469" s="76"/>
      <c r="R469" s="140">
        <f>5*S9+5*S10</f>
        <v>55</v>
      </c>
      <c r="S469" s="152">
        <v>12.48</v>
      </c>
      <c r="T469" s="153">
        <v>6.02</v>
      </c>
    </row>
    <row r="470" spans="2:20" ht="42">
      <c r="B470" s="5" t="s">
        <v>1127</v>
      </c>
      <c r="C470" s="45" t="s">
        <v>165</v>
      </c>
      <c r="D470" s="45" t="s">
        <v>1036</v>
      </c>
      <c r="E470" s="6" t="s">
        <v>1037</v>
      </c>
      <c r="F470" s="45" t="s">
        <v>531</v>
      </c>
      <c r="G470" s="46">
        <f t="shared" si="59"/>
        <v>55</v>
      </c>
      <c r="H470" s="46">
        <f>TRUNC(S470*(1-LOTE_01!$K$10),2)</f>
        <v>19.43</v>
      </c>
      <c r="I470" s="46">
        <f>TRUNC(T470*(1-LOTE_01!$K$10),2)</f>
        <v>17.170000000000002</v>
      </c>
      <c r="J470" s="100">
        <f t="shared" si="60"/>
        <v>0.22470000000000001</v>
      </c>
      <c r="K470" s="48">
        <f t="shared" si="54"/>
        <v>23.79</v>
      </c>
      <c r="L470" s="48">
        <f t="shared" si="55"/>
        <v>21.02</v>
      </c>
      <c r="M470" s="48">
        <f t="shared" si="56"/>
        <v>1308.45</v>
      </c>
      <c r="N470" s="48">
        <f t="shared" si="57"/>
        <v>1156.0999999999999</v>
      </c>
      <c r="O470" s="50">
        <f t="shared" si="58"/>
        <v>2464.5500000000002</v>
      </c>
      <c r="P470" s="50">
        <v>0</v>
      </c>
      <c r="Q470" s="76"/>
      <c r="R470" s="140">
        <f>5*S9+5*S10</f>
        <v>55</v>
      </c>
      <c r="S470" s="152">
        <v>19.43</v>
      </c>
      <c r="T470" s="153">
        <v>17.170000000000002</v>
      </c>
    </row>
    <row r="471" spans="2:20" ht="28">
      <c r="B471" s="5" t="s">
        <v>1128</v>
      </c>
      <c r="C471" s="45" t="s">
        <v>165</v>
      </c>
      <c r="D471" s="45" t="s">
        <v>1129</v>
      </c>
      <c r="E471" s="6" t="s">
        <v>1130</v>
      </c>
      <c r="F471" s="45" t="s">
        <v>531</v>
      </c>
      <c r="G471" s="46">
        <f t="shared" si="59"/>
        <v>110</v>
      </c>
      <c r="H471" s="46">
        <f>TRUNC(S471*(1-LOTE_01!$K$10),2)</f>
        <v>57.3</v>
      </c>
      <c r="I471" s="46">
        <f>TRUNC(T471*(1-LOTE_01!$K$10),2)</f>
        <v>6.18</v>
      </c>
      <c r="J471" s="100">
        <f t="shared" si="60"/>
        <v>0.22470000000000001</v>
      </c>
      <c r="K471" s="48">
        <f t="shared" si="54"/>
        <v>70.17</v>
      </c>
      <c r="L471" s="48">
        <f t="shared" si="55"/>
        <v>7.56</v>
      </c>
      <c r="M471" s="48">
        <f t="shared" si="56"/>
        <v>7718.7</v>
      </c>
      <c r="N471" s="48">
        <f t="shared" si="57"/>
        <v>831.6</v>
      </c>
      <c r="O471" s="50">
        <f t="shared" si="58"/>
        <v>8550.2999999999993</v>
      </c>
      <c r="P471" s="50">
        <v>0</v>
      </c>
      <c r="Q471" s="76"/>
      <c r="R471" s="140">
        <f>10*S9+10*S10</f>
        <v>110</v>
      </c>
      <c r="S471" s="152">
        <v>57.3</v>
      </c>
      <c r="T471" s="153">
        <v>6.18</v>
      </c>
    </row>
    <row r="472" spans="2:20" ht="28">
      <c r="B472" s="5" t="s">
        <v>1131</v>
      </c>
      <c r="C472" s="45" t="s">
        <v>97</v>
      </c>
      <c r="D472" s="45" t="s">
        <v>1132</v>
      </c>
      <c r="E472" s="6" t="s">
        <v>1133</v>
      </c>
      <c r="F472" s="45" t="s">
        <v>187</v>
      </c>
      <c r="G472" s="46">
        <f t="shared" si="59"/>
        <v>110</v>
      </c>
      <c r="H472" s="46">
        <f>TRUNC(S472*(1-LOTE_01!$K$10),2)</f>
        <v>11.68</v>
      </c>
      <c r="I472" s="46">
        <f>TRUNC(T472*(1-LOTE_01!$K$10),2)</f>
        <v>1.66</v>
      </c>
      <c r="J472" s="100">
        <f t="shared" si="60"/>
        <v>0.22470000000000001</v>
      </c>
      <c r="K472" s="48">
        <f t="shared" si="54"/>
        <v>14.3</v>
      </c>
      <c r="L472" s="48">
        <f t="shared" si="55"/>
        <v>2.0299999999999998</v>
      </c>
      <c r="M472" s="48">
        <f t="shared" si="56"/>
        <v>1573</v>
      </c>
      <c r="N472" s="48">
        <f t="shared" si="57"/>
        <v>223.3</v>
      </c>
      <c r="O472" s="50">
        <f t="shared" si="58"/>
        <v>1796.3</v>
      </c>
      <c r="P472" s="50">
        <v>0</v>
      </c>
      <c r="Q472" s="76"/>
      <c r="R472" s="140">
        <f>10*S9+10*S10</f>
        <v>110</v>
      </c>
      <c r="S472" s="152">
        <v>11.68</v>
      </c>
      <c r="T472" s="153">
        <v>1.66</v>
      </c>
    </row>
    <row r="473" spans="2:20" ht="56">
      <c r="B473" s="5" t="s">
        <v>1134</v>
      </c>
      <c r="C473" s="45" t="s">
        <v>135</v>
      </c>
      <c r="D473" s="45">
        <v>95778</v>
      </c>
      <c r="E473" s="6" t="s">
        <v>1814</v>
      </c>
      <c r="F473" s="45" t="s">
        <v>210</v>
      </c>
      <c r="G473" s="46">
        <f t="shared" si="59"/>
        <v>55</v>
      </c>
      <c r="H473" s="46">
        <f>TRUNC(S473*(1-LOTE_01!$K$10),2)</f>
        <v>19.96</v>
      </c>
      <c r="I473" s="46">
        <f>TRUNC(T473*(1-LOTE_01!$K$10),2)</f>
        <v>11.51</v>
      </c>
      <c r="J473" s="100">
        <f t="shared" si="60"/>
        <v>0.22470000000000001</v>
      </c>
      <c r="K473" s="48">
        <f t="shared" si="54"/>
        <v>24.44</v>
      </c>
      <c r="L473" s="48">
        <f t="shared" si="55"/>
        <v>14.09</v>
      </c>
      <c r="M473" s="48">
        <f t="shared" si="56"/>
        <v>1344.2</v>
      </c>
      <c r="N473" s="48">
        <f t="shared" si="57"/>
        <v>774.95</v>
      </c>
      <c r="O473" s="50">
        <f t="shared" si="58"/>
        <v>2119.15</v>
      </c>
      <c r="P473" s="50">
        <v>0</v>
      </c>
      <c r="Q473" s="76"/>
      <c r="R473" s="140">
        <f>5*S9+5*S10</f>
        <v>55</v>
      </c>
      <c r="S473" s="152">
        <v>19.96</v>
      </c>
      <c r="T473" s="153">
        <v>11.51</v>
      </c>
    </row>
    <row r="474" spans="2:20" ht="56">
      <c r="B474" s="5" t="s">
        <v>1135</v>
      </c>
      <c r="C474" s="45" t="s">
        <v>135</v>
      </c>
      <c r="D474" s="45">
        <v>91941</v>
      </c>
      <c r="E474" s="6" t="s">
        <v>1021</v>
      </c>
      <c r="F474" s="45" t="s">
        <v>210</v>
      </c>
      <c r="G474" s="46">
        <f t="shared" si="59"/>
        <v>55</v>
      </c>
      <c r="H474" s="46">
        <f>TRUNC(S474*(1-LOTE_01!$K$10),2)</f>
        <v>5.32</v>
      </c>
      <c r="I474" s="46">
        <f>TRUNC(T474*(1-LOTE_01!$K$10),2)</f>
        <v>7.17</v>
      </c>
      <c r="J474" s="100">
        <f t="shared" si="60"/>
        <v>0.22470000000000001</v>
      </c>
      <c r="K474" s="48">
        <f t="shared" si="54"/>
        <v>6.51</v>
      </c>
      <c r="L474" s="48">
        <f t="shared" si="55"/>
        <v>8.7799999999999994</v>
      </c>
      <c r="M474" s="48">
        <f t="shared" si="56"/>
        <v>358.05</v>
      </c>
      <c r="N474" s="48">
        <f t="shared" si="57"/>
        <v>482.9</v>
      </c>
      <c r="O474" s="50">
        <f t="shared" si="58"/>
        <v>840.95</v>
      </c>
      <c r="P474" s="50">
        <v>0</v>
      </c>
      <c r="Q474" s="76"/>
      <c r="R474" s="140">
        <f>5*S9+5*S10</f>
        <v>55</v>
      </c>
      <c r="S474" s="152">
        <v>5.32</v>
      </c>
      <c r="T474" s="153">
        <v>7.17</v>
      </c>
    </row>
    <row r="475" spans="2:20" ht="56">
      <c r="B475" s="5" t="s">
        <v>1136</v>
      </c>
      <c r="C475" s="45" t="s">
        <v>135</v>
      </c>
      <c r="D475" s="45">
        <v>91944</v>
      </c>
      <c r="E475" s="6" t="s">
        <v>935</v>
      </c>
      <c r="F475" s="45" t="s">
        <v>210</v>
      </c>
      <c r="G475" s="46">
        <f t="shared" si="59"/>
        <v>83</v>
      </c>
      <c r="H475" s="46">
        <f>TRUNC(S475*(1-LOTE_01!$K$10),2)</f>
        <v>7.71</v>
      </c>
      <c r="I475" s="46">
        <f>TRUNC(T475*(1-LOTE_01!$K$10),2)</f>
        <v>7.52</v>
      </c>
      <c r="J475" s="100">
        <f t="shared" si="60"/>
        <v>0.22470000000000001</v>
      </c>
      <c r="K475" s="48">
        <f t="shared" si="54"/>
        <v>9.44</v>
      </c>
      <c r="L475" s="48">
        <f t="shared" si="55"/>
        <v>9.1999999999999993</v>
      </c>
      <c r="M475" s="48">
        <f t="shared" si="56"/>
        <v>783.52</v>
      </c>
      <c r="N475" s="48">
        <f t="shared" si="57"/>
        <v>763.6</v>
      </c>
      <c r="O475" s="50">
        <f t="shared" si="58"/>
        <v>1547.12</v>
      </c>
      <c r="P475" s="50">
        <v>0</v>
      </c>
      <c r="Q475" s="76"/>
      <c r="R475" s="140">
        <f>10*S9+1*S10</f>
        <v>83</v>
      </c>
      <c r="S475" s="152">
        <v>7.7100000000000009</v>
      </c>
      <c r="T475" s="153">
        <v>7.52</v>
      </c>
    </row>
    <row r="476" spans="2:20" ht="56">
      <c r="B476" s="5" t="s">
        <v>1137</v>
      </c>
      <c r="C476" s="45" t="s">
        <v>135</v>
      </c>
      <c r="D476" s="45">
        <v>92000</v>
      </c>
      <c r="E476" s="6" t="s">
        <v>856</v>
      </c>
      <c r="F476" s="45" t="s">
        <v>210</v>
      </c>
      <c r="G476" s="46">
        <f t="shared" si="59"/>
        <v>220</v>
      </c>
      <c r="H476" s="46">
        <f>TRUNC(S476*(1-LOTE_01!$K$10),2)</f>
        <v>22.8</v>
      </c>
      <c r="I476" s="46">
        <f>TRUNC(T476*(1-LOTE_01!$K$10),2)</f>
        <v>15.75</v>
      </c>
      <c r="J476" s="100">
        <f t="shared" si="60"/>
        <v>0.22470000000000001</v>
      </c>
      <c r="K476" s="48">
        <f t="shared" si="54"/>
        <v>27.92</v>
      </c>
      <c r="L476" s="48">
        <f t="shared" si="55"/>
        <v>19.28</v>
      </c>
      <c r="M476" s="48">
        <f t="shared" si="56"/>
        <v>6142.4</v>
      </c>
      <c r="N476" s="48">
        <f t="shared" si="57"/>
        <v>4241.6000000000004</v>
      </c>
      <c r="O476" s="50">
        <f t="shared" si="58"/>
        <v>10384</v>
      </c>
      <c r="P476" s="50">
        <v>0</v>
      </c>
      <c r="Q476" s="76"/>
      <c r="R476" s="140">
        <f>20*S9+20*S10</f>
        <v>220</v>
      </c>
      <c r="S476" s="152">
        <v>22.799999999999997</v>
      </c>
      <c r="T476" s="153">
        <v>15.75</v>
      </c>
    </row>
    <row r="477" spans="2:20" ht="28">
      <c r="B477" s="101" t="s">
        <v>1063</v>
      </c>
      <c r="C477" s="102" t="s">
        <v>21</v>
      </c>
      <c r="D477" s="102" t="s">
        <v>21</v>
      </c>
      <c r="E477" s="103" t="s">
        <v>1138</v>
      </c>
      <c r="F477" s="102" t="s">
        <v>21</v>
      </c>
      <c r="G477" s="46">
        <f t="shared" si="59"/>
        <v>0</v>
      </c>
      <c r="H477" s="46"/>
      <c r="I477" s="46"/>
      <c r="J477" s="105"/>
      <c r="K477" s="48">
        <f t="shared" si="54"/>
        <v>0</v>
      </c>
      <c r="L477" s="48">
        <f t="shared" si="55"/>
        <v>0</v>
      </c>
      <c r="M477" s="48">
        <f t="shared" si="56"/>
        <v>0</v>
      </c>
      <c r="N477" s="48">
        <f t="shared" si="57"/>
        <v>0</v>
      </c>
      <c r="O477" s="50">
        <f t="shared" si="58"/>
        <v>0</v>
      </c>
      <c r="P477" s="50">
        <v>0</v>
      </c>
      <c r="Q477" s="76"/>
      <c r="R477" s="154"/>
      <c r="S477" s="152" t="s">
        <v>22</v>
      </c>
      <c r="T477" s="153" t="s">
        <v>22</v>
      </c>
    </row>
    <row r="478" spans="2:20" ht="56">
      <c r="B478" s="5" t="s">
        <v>1139</v>
      </c>
      <c r="C478" s="45" t="s">
        <v>97</v>
      </c>
      <c r="D478" s="45" t="s">
        <v>1140</v>
      </c>
      <c r="E478" s="6" t="s">
        <v>1141</v>
      </c>
      <c r="F478" s="45" t="s">
        <v>104</v>
      </c>
      <c r="G478" s="46">
        <f t="shared" si="59"/>
        <v>11</v>
      </c>
      <c r="H478" s="46">
        <f>TRUNC(S478*(1-LOTE_01!$K$10),2)</f>
        <v>153.11000000000001</v>
      </c>
      <c r="I478" s="46">
        <f>TRUNC(T478*(1-LOTE_01!$K$10),2)</f>
        <v>274.95</v>
      </c>
      <c r="J478" s="100">
        <f t="shared" si="60"/>
        <v>0.22470000000000001</v>
      </c>
      <c r="K478" s="48">
        <f t="shared" si="54"/>
        <v>187.51</v>
      </c>
      <c r="L478" s="48">
        <f t="shared" si="55"/>
        <v>336.73</v>
      </c>
      <c r="M478" s="48">
        <f t="shared" si="56"/>
        <v>2062.61</v>
      </c>
      <c r="N478" s="48">
        <f t="shared" si="57"/>
        <v>3704.03</v>
      </c>
      <c r="O478" s="50">
        <f t="shared" si="58"/>
        <v>5766.64</v>
      </c>
      <c r="P478" s="50">
        <v>0</v>
      </c>
      <c r="Q478" s="76"/>
      <c r="R478" s="140">
        <f>1*S9+1*S10</f>
        <v>11</v>
      </c>
      <c r="S478" s="152">
        <v>153.11000000000001</v>
      </c>
      <c r="T478" s="153">
        <v>274.95</v>
      </c>
    </row>
    <row r="479" spans="2:20" ht="28">
      <c r="B479" s="5" t="s">
        <v>1142</v>
      </c>
      <c r="C479" s="45" t="s">
        <v>97</v>
      </c>
      <c r="D479" s="45" t="s">
        <v>1143</v>
      </c>
      <c r="E479" s="6" t="s">
        <v>1144</v>
      </c>
      <c r="F479" s="45" t="s">
        <v>104</v>
      </c>
      <c r="G479" s="46">
        <f t="shared" si="59"/>
        <v>10</v>
      </c>
      <c r="H479" s="46">
        <f>TRUNC(S479*(1-LOTE_01!$K$10),2)</f>
        <v>14.85</v>
      </c>
      <c r="I479" s="46">
        <f>TRUNC(T479*(1-LOTE_01!$K$10),2)</f>
        <v>41.66</v>
      </c>
      <c r="J479" s="100">
        <f t="shared" si="60"/>
        <v>0.22470000000000001</v>
      </c>
      <c r="K479" s="48">
        <f t="shared" si="54"/>
        <v>18.18</v>
      </c>
      <c r="L479" s="48">
        <f t="shared" si="55"/>
        <v>51.02</v>
      </c>
      <c r="M479" s="48">
        <f t="shared" si="56"/>
        <v>181.8</v>
      </c>
      <c r="N479" s="48">
        <f t="shared" si="57"/>
        <v>510.2</v>
      </c>
      <c r="O479" s="50">
        <f t="shared" si="58"/>
        <v>692</v>
      </c>
      <c r="P479" s="50">
        <v>0</v>
      </c>
      <c r="Q479" s="76"/>
      <c r="R479" s="140">
        <f>IF((1*S9+1*S10)&gt;10,10,(1*S9+1*S10))</f>
        <v>10</v>
      </c>
      <c r="S479" s="152">
        <v>14.85</v>
      </c>
      <c r="T479" s="153">
        <v>41.66</v>
      </c>
    </row>
    <row r="480" spans="2:20">
      <c r="B480" s="5" t="s">
        <v>1145</v>
      </c>
      <c r="C480" s="45" t="s">
        <v>97</v>
      </c>
      <c r="D480" s="45" t="s">
        <v>1146</v>
      </c>
      <c r="E480" s="6" t="s">
        <v>1147</v>
      </c>
      <c r="F480" s="45" t="s">
        <v>104</v>
      </c>
      <c r="G480" s="46">
        <f t="shared" si="59"/>
        <v>10</v>
      </c>
      <c r="H480" s="46">
        <f>TRUNC(S480*(1-LOTE_01!$K$10),2)</f>
        <v>118.8</v>
      </c>
      <c r="I480" s="46">
        <f>TRUNC(T480*(1-LOTE_01!$K$10),2)</f>
        <v>333.28</v>
      </c>
      <c r="J480" s="100">
        <f t="shared" si="60"/>
        <v>0.22470000000000001</v>
      </c>
      <c r="K480" s="48">
        <f t="shared" si="54"/>
        <v>145.49</v>
      </c>
      <c r="L480" s="48">
        <f t="shared" si="55"/>
        <v>408.16</v>
      </c>
      <c r="M480" s="48">
        <f t="shared" si="56"/>
        <v>1454.9</v>
      </c>
      <c r="N480" s="48">
        <f t="shared" si="57"/>
        <v>4081.6</v>
      </c>
      <c r="O480" s="50">
        <f t="shared" si="58"/>
        <v>5536.5</v>
      </c>
      <c r="P480" s="50">
        <v>0</v>
      </c>
      <c r="Q480" s="76"/>
      <c r="R480" s="140">
        <f>IF((1*S9+1*S10)&gt;10,10,(1*S9+1*S10))</f>
        <v>10</v>
      </c>
      <c r="S480" s="152">
        <v>118.8</v>
      </c>
      <c r="T480" s="153">
        <v>333.28</v>
      </c>
    </row>
    <row r="481" spans="2:20" ht="28">
      <c r="B481" s="5" t="s">
        <v>1148</v>
      </c>
      <c r="C481" s="45" t="s">
        <v>97</v>
      </c>
      <c r="D481" s="45" t="s">
        <v>1149</v>
      </c>
      <c r="E481" s="6" t="s">
        <v>1150</v>
      </c>
      <c r="F481" s="45" t="s">
        <v>104</v>
      </c>
      <c r="G481" s="46">
        <f t="shared" si="59"/>
        <v>10</v>
      </c>
      <c r="H481" s="46">
        <f>TRUNC(S481*(1-LOTE_01!$K$10),2)</f>
        <v>181.36</v>
      </c>
      <c r="I481" s="46">
        <f>TRUNC(T481*(1-LOTE_01!$K$10),2)</f>
        <v>550.32000000000005</v>
      </c>
      <c r="J481" s="100">
        <f t="shared" si="60"/>
        <v>0.22470000000000001</v>
      </c>
      <c r="K481" s="48">
        <f t="shared" si="54"/>
        <v>222.11</v>
      </c>
      <c r="L481" s="48">
        <f t="shared" si="55"/>
        <v>673.97</v>
      </c>
      <c r="M481" s="48">
        <f t="shared" si="56"/>
        <v>2221.1</v>
      </c>
      <c r="N481" s="48">
        <f t="shared" si="57"/>
        <v>6739.7</v>
      </c>
      <c r="O481" s="50">
        <f t="shared" si="58"/>
        <v>8960.7999999999993</v>
      </c>
      <c r="P481" s="50">
        <v>0</v>
      </c>
      <c r="Q481" s="76"/>
      <c r="R481" s="140">
        <f>IF((1*S9+1*S10)&gt;10,10,(1*S9+1*S10))</f>
        <v>10</v>
      </c>
      <c r="S481" s="152">
        <v>181.36</v>
      </c>
      <c r="T481" s="153">
        <v>550.32000000000005</v>
      </c>
    </row>
    <row r="482" spans="2:20">
      <c r="B482" s="5" t="s">
        <v>1151</v>
      </c>
      <c r="C482" s="45" t="s">
        <v>97</v>
      </c>
      <c r="D482" s="45" t="s">
        <v>1152</v>
      </c>
      <c r="E482" s="6" t="s">
        <v>1153</v>
      </c>
      <c r="F482" s="45" t="s">
        <v>104</v>
      </c>
      <c r="G482" s="46">
        <f t="shared" si="59"/>
        <v>10</v>
      </c>
      <c r="H482" s="46">
        <f>TRUNC(S482*(1-LOTE_01!$K$10),2)</f>
        <v>29.7</v>
      </c>
      <c r="I482" s="46">
        <f>TRUNC(T482*(1-LOTE_01!$K$10),2)</f>
        <v>83.32</v>
      </c>
      <c r="J482" s="100">
        <f t="shared" si="60"/>
        <v>0.22470000000000001</v>
      </c>
      <c r="K482" s="48">
        <f t="shared" si="54"/>
        <v>36.369999999999997</v>
      </c>
      <c r="L482" s="48">
        <f t="shared" si="55"/>
        <v>102.04</v>
      </c>
      <c r="M482" s="48">
        <f t="shared" si="56"/>
        <v>363.7</v>
      </c>
      <c r="N482" s="48">
        <f t="shared" si="57"/>
        <v>1020.4</v>
      </c>
      <c r="O482" s="50">
        <f t="shared" si="58"/>
        <v>1384.1</v>
      </c>
      <c r="P482" s="50">
        <v>0</v>
      </c>
      <c r="Q482" s="76"/>
      <c r="R482" s="140">
        <f>IF((1*S9+1*S10)&gt;10,10,(1*S9+1*S10))</f>
        <v>10</v>
      </c>
      <c r="S482" s="152">
        <v>29.7</v>
      </c>
      <c r="T482" s="153">
        <v>83.32</v>
      </c>
    </row>
    <row r="483" spans="2:20" ht="56">
      <c r="B483" s="5" t="s">
        <v>1154</v>
      </c>
      <c r="C483" s="45" t="s">
        <v>97</v>
      </c>
      <c r="D483" s="45" t="s">
        <v>1155</v>
      </c>
      <c r="E483" s="6" t="s">
        <v>1156</v>
      </c>
      <c r="F483" s="45" t="s">
        <v>104</v>
      </c>
      <c r="G483" s="46">
        <f t="shared" si="59"/>
        <v>10</v>
      </c>
      <c r="H483" s="46">
        <f>TRUNC(S483*(1-LOTE_01!$K$10),2)</f>
        <v>126.22</v>
      </c>
      <c r="I483" s="46">
        <f>TRUNC(T483*(1-LOTE_01!$K$10),2)</f>
        <v>354.11</v>
      </c>
      <c r="J483" s="100">
        <f t="shared" si="60"/>
        <v>0.22470000000000001</v>
      </c>
      <c r="K483" s="48">
        <f t="shared" si="54"/>
        <v>154.58000000000001</v>
      </c>
      <c r="L483" s="48">
        <f t="shared" si="55"/>
        <v>433.67</v>
      </c>
      <c r="M483" s="48">
        <f t="shared" si="56"/>
        <v>1545.8</v>
      </c>
      <c r="N483" s="48">
        <f t="shared" si="57"/>
        <v>4336.7</v>
      </c>
      <c r="O483" s="50">
        <f t="shared" si="58"/>
        <v>5882.5</v>
      </c>
      <c r="P483" s="50">
        <v>0</v>
      </c>
      <c r="Q483" s="76"/>
      <c r="R483" s="140">
        <f>IF((1*S9+1*S10)&gt;10,10,(1*S9+1*S10))</f>
        <v>10</v>
      </c>
      <c r="S483" s="152">
        <v>126.22</v>
      </c>
      <c r="T483" s="153">
        <v>354.11</v>
      </c>
    </row>
    <row r="484" spans="2:20" ht="56">
      <c r="B484" s="5" t="s">
        <v>1157</v>
      </c>
      <c r="C484" s="45" t="s">
        <v>97</v>
      </c>
      <c r="D484" s="45" t="s">
        <v>1158</v>
      </c>
      <c r="E484" s="6" t="s">
        <v>1159</v>
      </c>
      <c r="F484" s="45" t="s">
        <v>104</v>
      </c>
      <c r="G484" s="46">
        <f t="shared" si="59"/>
        <v>10</v>
      </c>
      <c r="H484" s="46">
        <f>TRUNC(S484*(1-LOTE_01!$K$10),2)</f>
        <v>1836.46</v>
      </c>
      <c r="I484" s="46">
        <f>TRUNC(T484*(1-LOTE_01!$K$10),2)</f>
        <v>5504.97</v>
      </c>
      <c r="J484" s="100">
        <f t="shared" si="60"/>
        <v>0.22470000000000001</v>
      </c>
      <c r="K484" s="48">
        <f t="shared" si="54"/>
        <v>2249.11</v>
      </c>
      <c r="L484" s="48">
        <f t="shared" si="55"/>
        <v>6741.93</v>
      </c>
      <c r="M484" s="48">
        <f t="shared" si="56"/>
        <v>22491.1</v>
      </c>
      <c r="N484" s="48">
        <f t="shared" si="57"/>
        <v>67419.3</v>
      </c>
      <c r="O484" s="50">
        <f t="shared" si="58"/>
        <v>89910.399999999994</v>
      </c>
      <c r="P484" s="50">
        <v>0</v>
      </c>
      <c r="Q484" s="76"/>
      <c r="R484" s="140">
        <f>IF((1*S9+1*S10)&gt;10,10,(1*S9+1*S10))</f>
        <v>10</v>
      </c>
      <c r="S484" s="152">
        <v>1836.46</v>
      </c>
      <c r="T484" s="153">
        <v>5504.97</v>
      </c>
    </row>
    <row r="485" spans="2:20" ht="70">
      <c r="B485" s="5" t="s">
        <v>1160</v>
      </c>
      <c r="C485" s="45" t="s">
        <v>97</v>
      </c>
      <c r="D485" s="45" t="s">
        <v>1161</v>
      </c>
      <c r="E485" s="6" t="s">
        <v>1162</v>
      </c>
      <c r="F485" s="45" t="s">
        <v>104</v>
      </c>
      <c r="G485" s="46">
        <f t="shared" si="59"/>
        <v>10</v>
      </c>
      <c r="H485" s="46">
        <f>TRUNC(S485*(1-LOTE_01!$K$10),2)</f>
        <v>1969.15</v>
      </c>
      <c r="I485" s="46">
        <f>TRUNC(T485*(1-LOTE_01!$K$10),2)</f>
        <v>1246.1199999999999</v>
      </c>
      <c r="J485" s="100">
        <f t="shared" si="60"/>
        <v>0.22470000000000001</v>
      </c>
      <c r="K485" s="48">
        <f t="shared" si="54"/>
        <v>2411.61</v>
      </c>
      <c r="L485" s="48">
        <f t="shared" si="55"/>
        <v>1526.12</v>
      </c>
      <c r="M485" s="48">
        <f t="shared" si="56"/>
        <v>24116.1</v>
      </c>
      <c r="N485" s="48">
        <f t="shared" si="57"/>
        <v>15261.2</v>
      </c>
      <c r="O485" s="50">
        <f t="shared" si="58"/>
        <v>39377.300000000003</v>
      </c>
      <c r="P485" s="50">
        <v>0</v>
      </c>
      <c r="Q485" s="76"/>
      <c r="R485" s="140">
        <f>IF((1*S9+1*S10)&gt;10,10,(1*S9+1*S10))</f>
        <v>10</v>
      </c>
      <c r="S485" s="152">
        <v>1969.15</v>
      </c>
      <c r="T485" s="153">
        <v>1246.1199999999999</v>
      </c>
    </row>
    <row r="486" spans="2:20" ht="28">
      <c r="B486" s="5" t="s">
        <v>1163</v>
      </c>
      <c r="C486" s="45" t="s">
        <v>97</v>
      </c>
      <c r="D486" s="45" t="s">
        <v>1164</v>
      </c>
      <c r="E486" s="6" t="s">
        <v>1165</v>
      </c>
      <c r="F486" s="45" t="s">
        <v>104</v>
      </c>
      <c r="G486" s="46">
        <f t="shared" si="59"/>
        <v>176</v>
      </c>
      <c r="H486" s="46">
        <f>TRUNC(S486*(1-LOTE_01!$K$10),2)</f>
        <v>163.69999999999999</v>
      </c>
      <c r="I486" s="46">
        <f>TRUNC(T486*(1-LOTE_01!$K$10),2)</f>
        <v>13.7</v>
      </c>
      <c r="J486" s="100">
        <f t="shared" si="60"/>
        <v>0.22470000000000001</v>
      </c>
      <c r="K486" s="48">
        <f t="shared" si="54"/>
        <v>200.48</v>
      </c>
      <c r="L486" s="48">
        <f t="shared" si="55"/>
        <v>16.77</v>
      </c>
      <c r="M486" s="48">
        <f t="shared" si="56"/>
        <v>35284.480000000003</v>
      </c>
      <c r="N486" s="48">
        <f t="shared" si="57"/>
        <v>2951.52</v>
      </c>
      <c r="O486" s="50">
        <f t="shared" si="58"/>
        <v>38236</v>
      </c>
      <c r="P486" s="50">
        <v>0</v>
      </c>
      <c r="Q486" s="76"/>
      <c r="R486" s="140">
        <f>16*S10+16*S9</f>
        <v>176</v>
      </c>
      <c r="S486" s="152">
        <v>163.69999999999999</v>
      </c>
      <c r="T486" s="153">
        <v>13.7</v>
      </c>
    </row>
    <row r="487" spans="2:20" ht="28">
      <c r="B487" s="5" t="s">
        <v>1166</v>
      </c>
      <c r="C487" s="45" t="s">
        <v>97</v>
      </c>
      <c r="D487" s="45" t="s">
        <v>1167</v>
      </c>
      <c r="E487" s="6" t="s">
        <v>1168</v>
      </c>
      <c r="F487" s="45" t="s">
        <v>104</v>
      </c>
      <c r="G487" s="46">
        <f t="shared" si="59"/>
        <v>176</v>
      </c>
      <c r="H487" s="46">
        <f>TRUNC(S487*(1-LOTE_01!$K$10),2)</f>
        <v>179.3</v>
      </c>
      <c r="I487" s="46">
        <f>TRUNC(T487*(1-LOTE_01!$K$10),2)</f>
        <v>13.7</v>
      </c>
      <c r="J487" s="100">
        <f t="shared" si="60"/>
        <v>0.22470000000000001</v>
      </c>
      <c r="K487" s="48">
        <f t="shared" si="54"/>
        <v>219.58</v>
      </c>
      <c r="L487" s="48">
        <f t="shared" si="55"/>
        <v>16.77</v>
      </c>
      <c r="M487" s="48">
        <f t="shared" si="56"/>
        <v>38646.080000000002</v>
      </c>
      <c r="N487" s="48">
        <f t="shared" si="57"/>
        <v>2951.52</v>
      </c>
      <c r="O487" s="50">
        <f t="shared" si="58"/>
        <v>41597.599999999999</v>
      </c>
      <c r="P487" s="50">
        <v>0</v>
      </c>
      <c r="Q487" s="76"/>
      <c r="R487" s="140">
        <f>16*S10+16*S9</f>
        <v>176</v>
      </c>
      <c r="S487" s="152">
        <v>179.3</v>
      </c>
      <c r="T487" s="153">
        <v>13.7</v>
      </c>
    </row>
    <row r="488" spans="2:20" ht="28">
      <c r="B488" s="5" t="s">
        <v>1169</v>
      </c>
      <c r="C488" s="45" t="s">
        <v>97</v>
      </c>
      <c r="D488" s="45" t="s">
        <v>1170</v>
      </c>
      <c r="E488" s="6" t="s">
        <v>1171</v>
      </c>
      <c r="F488" s="45" t="s">
        <v>104</v>
      </c>
      <c r="G488" s="46">
        <f t="shared" si="59"/>
        <v>176</v>
      </c>
      <c r="H488" s="46">
        <f>TRUNC(S488*(1-LOTE_01!$K$10),2)</f>
        <v>332.8</v>
      </c>
      <c r="I488" s="46">
        <f>TRUNC(T488*(1-LOTE_01!$K$10),2)</f>
        <v>13.7</v>
      </c>
      <c r="J488" s="100">
        <f t="shared" si="60"/>
        <v>0.22470000000000001</v>
      </c>
      <c r="K488" s="48">
        <f t="shared" si="54"/>
        <v>407.58</v>
      </c>
      <c r="L488" s="48">
        <f t="shared" si="55"/>
        <v>16.77</v>
      </c>
      <c r="M488" s="48">
        <f t="shared" si="56"/>
        <v>71734.080000000002</v>
      </c>
      <c r="N488" s="48">
        <f t="shared" si="57"/>
        <v>2951.52</v>
      </c>
      <c r="O488" s="50">
        <f t="shared" si="58"/>
        <v>74685.600000000006</v>
      </c>
      <c r="P488" s="50">
        <v>0</v>
      </c>
      <c r="Q488" s="76"/>
      <c r="R488" s="140">
        <f>16*S10+16*S9</f>
        <v>176</v>
      </c>
      <c r="S488" s="152">
        <v>332.8</v>
      </c>
      <c r="T488" s="153">
        <v>13.7</v>
      </c>
    </row>
    <row r="489" spans="2:20" ht="56">
      <c r="B489" s="5" t="s">
        <v>1172</v>
      </c>
      <c r="C489" s="45" t="s">
        <v>97</v>
      </c>
      <c r="D489" s="45" t="s">
        <v>1173</v>
      </c>
      <c r="E489" s="6" t="s">
        <v>1174</v>
      </c>
      <c r="F489" s="45" t="s">
        <v>104</v>
      </c>
      <c r="G489" s="46">
        <f t="shared" si="59"/>
        <v>11</v>
      </c>
      <c r="H489" s="46">
        <f>TRUNC(S489*(1-LOTE_01!$K$10),2)</f>
        <v>751.59</v>
      </c>
      <c r="I489" s="46">
        <f>TRUNC(T489*(1-LOTE_01!$K$10),2)</f>
        <v>137</v>
      </c>
      <c r="J489" s="100">
        <f t="shared" si="60"/>
        <v>0.22470000000000001</v>
      </c>
      <c r="K489" s="48">
        <f t="shared" si="54"/>
        <v>920.47</v>
      </c>
      <c r="L489" s="48">
        <f t="shared" si="55"/>
        <v>167.78</v>
      </c>
      <c r="M489" s="48">
        <f t="shared" si="56"/>
        <v>10125.17</v>
      </c>
      <c r="N489" s="48">
        <f t="shared" si="57"/>
        <v>1845.58</v>
      </c>
      <c r="O489" s="50">
        <f t="shared" si="58"/>
        <v>11970.75</v>
      </c>
      <c r="P489" s="50">
        <v>0</v>
      </c>
      <c r="Q489" s="76"/>
      <c r="R489" s="140">
        <f>S10+S9</f>
        <v>11</v>
      </c>
      <c r="S489" s="152">
        <v>751.59</v>
      </c>
      <c r="T489" s="153">
        <v>137</v>
      </c>
    </row>
    <row r="490" spans="2:20" ht="56">
      <c r="B490" s="5" t="s">
        <v>1175</v>
      </c>
      <c r="C490" s="45" t="s">
        <v>97</v>
      </c>
      <c r="D490" s="45" t="s">
        <v>1176</v>
      </c>
      <c r="E490" s="6" t="s">
        <v>1177</v>
      </c>
      <c r="F490" s="45" t="s">
        <v>104</v>
      </c>
      <c r="G490" s="46">
        <f t="shared" si="59"/>
        <v>11</v>
      </c>
      <c r="H490" s="46">
        <f>TRUNC(S490*(1-LOTE_01!$K$10),2)</f>
        <v>1971.76</v>
      </c>
      <c r="I490" s="46">
        <f>TRUNC(T490*(1-LOTE_01!$K$10),2)</f>
        <v>438.4</v>
      </c>
      <c r="J490" s="100">
        <f t="shared" si="60"/>
        <v>0.22470000000000001</v>
      </c>
      <c r="K490" s="48">
        <f t="shared" si="54"/>
        <v>2414.81</v>
      </c>
      <c r="L490" s="48">
        <f t="shared" si="55"/>
        <v>536.9</v>
      </c>
      <c r="M490" s="48">
        <f t="shared" si="56"/>
        <v>26562.91</v>
      </c>
      <c r="N490" s="48">
        <f t="shared" si="57"/>
        <v>5905.9</v>
      </c>
      <c r="O490" s="50">
        <f t="shared" si="58"/>
        <v>32468.81</v>
      </c>
      <c r="P490" s="50">
        <v>0</v>
      </c>
      <c r="Q490" s="76"/>
      <c r="R490" s="140">
        <f>S10+S9</f>
        <v>11</v>
      </c>
      <c r="S490" s="152">
        <v>1971.76</v>
      </c>
      <c r="T490" s="153">
        <v>438.4</v>
      </c>
    </row>
    <row r="491" spans="2:20" ht="56">
      <c r="B491" s="5" t="s">
        <v>1178</v>
      </c>
      <c r="C491" s="45" t="s">
        <v>97</v>
      </c>
      <c r="D491" s="45" t="s">
        <v>1179</v>
      </c>
      <c r="E491" s="6" t="s">
        <v>1180</v>
      </c>
      <c r="F491" s="45" t="s">
        <v>104</v>
      </c>
      <c r="G491" s="46">
        <f t="shared" si="59"/>
        <v>11</v>
      </c>
      <c r="H491" s="46">
        <f>TRUNC(S491*(1-LOTE_01!$K$10),2)</f>
        <v>2221.7600000000002</v>
      </c>
      <c r="I491" s="46">
        <f>TRUNC(T491*(1-LOTE_01!$K$10),2)</f>
        <v>438.4</v>
      </c>
      <c r="J491" s="100">
        <f t="shared" si="60"/>
        <v>0.22470000000000001</v>
      </c>
      <c r="K491" s="48">
        <f t="shared" si="54"/>
        <v>2720.98</v>
      </c>
      <c r="L491" s="48">
        <f t="shared" si="55"/>
        <v>536.9</v>
      </c>
      <c r="M491" s="48">
        <f t="shared" si="56"/>
        <v>29930.78</v>
      </c>
      <c r="N491" s="48">
        <f t="shared" si="57"/>
        <v>5905.9</v>
      </c>
      <c r="O491" s="50">
        <f t="shared" si="58"/>
        <v>35836.68</v>
      </c>
      <c r="P491" s="50">
        <v>0</v>
      </c>
      <c r="Q491" s="76"/>
      <c r="R491" s="140">
        <f>S10+S9</f>
        <v>11</v>
      </c>
      <c r="S491" s="152">
        <v>2221.7600000000002</v>
      </c>
      <c r="T491" s="153">
        <v>438.4</v>
      </c>
    </row>
    <row r="492" spans="2:20" ht="56">
      <c r="B492" s="5" t="s">
        <v>1181</v>
      </c>
      <c r="C492" s="45" t="s">
        <v>97</v>
      </c>
      <c r="D492" s="45" t="s">
        <v>1182</v>
      </c>
      <c r="E492" s="6" t="s">
        <v>1183</v>
      </c>
      <c r="F492" s="45" t="s">
        <v>104</v>
      </c>
      <c r="G492" s="46">
        <f t="shared" si="59"/>
        <v>11</v>
      </c>
      <c r="H492" s="46">
        <f>TRUNC(S492*(1-LOTE_01!$K$10),2)</f>
        <v>3702.2</v>
      </c>
      <c r="I492" s="46">
        <f>TRUNC(T492*(1-LOTE_01!$K$10),2)</f>
        <v>548</v>
      </c>
      <c r="J492" s="100">
        <f t="shared" si="60"/>
        <v>0.22470000000000001</v>
      </c>
      <c r="K492" s="48">
        <f t="shared" si="54"/>
        <v>4534.08</v>
      </c>
      <c r="L492" s="48">
        <f t="shared" si="55"/>
        <v>671.13</v>
      </c>
      <c r="M492" s="48">
        <f t="shared" si="56"/>
        <v>49874.879999999997</v>
      </c>
      <c r="N492" s="48">
        <f t="shared" si="57"/>
        <v>7382.43</v>
      </c>
      <c r="O492" s="50">
        <f t="shared" si="58"/>
        <v>57257.31</v>
      </c>
      <c r="P492" s="50">
        <v>0</v>
      </c>
      <c r="Q492" s="76"/>
      <c r="R492" s="140">
        <f>S10+S9</f>
        <v>11</v>
      </c>
      <c r="S492" s="152">
        <v>3702.2</v>
      </c>
      <c r="T492" s="153">
        <v>548</v>
      </c>
    </row>
    <row r="493" spans="2:20" ht="56">
      <c r="B493" s="5" t="s">
        <v>1184</v>
      </c>
      <c r="C493" s="45" t="s">
        <v>97</v>
      </c>
      <c r="D493" s="45" t="s">
        <v>1185</v>
      </c>
      <c r="E493" s="6" t="s">
        <v>1186</v>
      </c>
      <c r="F493" s="45" t="s">
        <v>104</v>
      </c>
      <c r="G493" s="46">
        <f t="shared" si="59"/>
        <v>11</v>
      </c>
      <c r="H493" s="46">
        <f>TRUNC(S493*(1-LOTE_01!$K$10),2)</f>
        <v>4002.2</v>
      </c>
      <c r="I493" s="46">
        <f>TRUNC(T493*(1-LOTE_01!$K$10),2)</f>
        <v>548</v>
      </c>
      <c r="J493" s="100">
        <f t="shared" si="60"/>
        <v>0.22470000000000001</v>
      </c>
      <c r="K493" s="48">
        <f t="shared" si="54"/>
        <v>4901.49</v>
      </c>
      <c r="L493" s="48">
        <f t="shared" si="55"/>
        <v>671.13</v>
      </c>
      <c r="M493" s="48">
        <f t="shared" si="56"/>
        <v>53916.39</v>
      </c>
      <c r="N493" s="48">
        <f t="shared" si="57"/>
        <v>7382.43</v>
      </c>
      <c r="O493" s="50">
        <f t="shared" si="58"/>
        <v>61298.82</v>
      </c>
      <c r="P493" s="50">
        <v>0</v>
      </c>
      <c r="Q493" s="76"/>
      <c r="R493" s="140">
        <f>S10+S9</f>
        <v>11</v>
      </c>
      <c r="S493" s="152">
        <v>4002.2</v>
      </c>
      <c r="T493" s="153">
        <v>548</v>
      </c>
    </row>
    <row r="494" spans="2:20" ht="28">
      <c r="B494" s="5" t="s">
        <v>1187</v>
      </c>
      <c r="C494" s="45" t="s">
        <v>97</v>
      </c>
      <c r="D494" s="45" t="s">
        <v>1188</v>
      </c>
      <c r="E494" s="6" t="s">
        <v>1189</v>
      </c>
      <c r="F494" s="45" t="s">
        <v>104</v>
      </c>
      <c r="G494" s="46">
        <f t="shared" si="59"/>
        <v>55</v>
      </c>
      <c r="H494" s="46">
        <f>TRUNC(S494*(1-LOTE_01!$K$10),2)</f>
        <v>29.45</v>
      </c>
      <c r="I494" s="46">
        <f>TRUNC(T494*(1-LOTE_01!$K$10),2)</f>
        <v>32.82</v>
      </c>
      <c r="J494" s="100">
        <f t="shared" si="60"/>
        <v>0.22470000000000001</v>
      </c>
      <c r="K494" s="48">
        <f t="shared" si="54"/>
        <v>36.06</v>
      </c>
      <c r="L494" s="48">
        <f t="shared" si="55"/>
        <v>40.19</v>
      </c>
      <c r="M494" s="48">
        <f t="shared" si="56"/>
        <v>1983.3</v>
      </c>
      <c r="N494" s="48">
        <f t="shared" si="57"/>
        <v>2210.4499999999998</v>
      </c>
      <c r="O494" s="50">
        <f t="shared" si="58"/>
        <v>4193.75</v>
      </c>
      <c r="P494" s="50">
        <v>0</v>
      </c>
      <c r="Q494" s="76"/>
      <c r="R494" s="140">
        <f>5*S9+5*S10</f>
        <v>55</v>
      </c>
      <c r="S494" s="152">
        <v>29.45</v>
      </c>
      <c r="T494" s="153">
        <v>32.82</v>
      </c>
    </row>
    <row r="495" spans="2:20">
      <c r="B495" s="101" t="s">
        <v>50</v>
      </c>
      <c r="C495" s="102" t="s">
        <v>21</v>
      </c>
      <c r="D495" s="102" t="s">
        <v>21</v>
      </c>
      <c r="E495" s="103" t="s">
        <v>87</v>
      </c>
      <c r="F495" s="102" t="s">
        <v>21</v>
      </c>
      <c r="G495" s="46">
        <f t="shared" si="59"/>
        <v>0</v>
      </c>
      <c r="H495" s="46"/>
      <c r="I495" s="46"/>
      <c r="J495" s="105"/>
      <c r="K495" s="48">
        <f t="shared" si="54"/>
        <v>0</v>
      </c>
      <c r="L495" s="48">
        <f t="shared" si="55"/>
        <v>0</v>
      </c>
      <c r="M495" s="48">
        <f t="shared" si="56"/>
        <v>0</v>
      </c>
      <c r="N495" s="48">
        <f t="shared" si="57"/>
        <v>0</v>
      </c>
      <c r="O495" s="50">
        <f t="shared" si="58"/>
        <v>0</v>
      </c>
      <c r="P495" s="104">
        <f>SUM(O496:O580)</f>
        <v>442193.64999999997</v>
      </c>
      <c r="Q495" s="76"/>
      <c r="R495" s="154"/>
      <c r="S495" s="152" t="s">
        <v>22</v>
      </c>
      <c r="T495" s="153" t="s">
        <v>22</v>
      </c>
    </row>
    <row r="496" spans="2:20" ht="42">
      <c r="B496" s="5" t="s">
        <v>1190</v>
      </c>
      <c r="C496" s="45" t="s">
        <v>135</v>
      </c>
      <c r="D496" s="45">
        <v>90447</v>
      </c>
      <c r="E496" s="6" t="s">
        <v>1191</v>
      </c>
      <c r="F496" s="45" t="s">
        <v>187</v>
      </c>
      <c r="G496" s="46">
        <f t="shared" si="59"/>
        <v>550</v>
      </c>
      <c r="H496" s="46">
        <f>TRUNC(S496*(1-LOTE_01!$K$10),2)</f>
        <v>2.29</v>
      </c>
      <c r="I496" s="46">
        <f>TRUNC(T496*(1-LOTE_01!$K$10),2)</f>
        <v>6.82</v>
      </c>
      <c r="J496" s="100">
        <f t="shared" si="60"/>
        <v>0.22470000000000001</v>
      </c>
      <c r="K496" s="48">
        <f t="shared" si="54"/>
        <v>2.8</v>
      </c>
      <c r="L496" s="48">
        <f t="shared" si="55"/>
        <v>8.35</v>
      </c>
      <c r="M496" s="48">
        <f t="shared" si="56"/>
        <v>1540</v>
      </c>
      <c r="N496" s="48">
        <f t="shared" si="57"/>
        <v>4592.5</v>
      </c>
      <c r="O496" s="50">
        <f t="shared" si="58"/>
        <v>6132.5</v>
      </c>
      <c r="P496" s="50">
        <v>0</v>
      </c>
      <c r="Q496" s="76"/>
      <c r="R496" s="140">
        <f>50*S9+50*S10</f>
        <v>550</v>
      </c>
      <c r="S496" s="152">
        <v>2.2899999999999991</v>
      </c>
      <c r="T496" s="153">
        <v>6.82</v>
      </c>
    </row>
    <row r="497" spans="2:20" ht="70">
      <c r="B497" s="5" t="s">
        <v>1192</v>
      </c>
      <c r="C497" s="45" t="s">
        <v>135</v>
      </c>
      <c r="D497" s="45">
        <v>91222</v>
      </c>
      <c r="E497" s="6" t="s">
        <v>1193</v>
      </c>
      <c r="F497" s="45" t="s">
        <v>187</v>
      </c>
      <c r="G497" s="46">
        <f t="shared" si="59"/>
        <v>130</v>
      </c>
      <c r="H497" s="46">
        <f>TRUNC(S497*(1-LOTE_01!$K$10),2)</f>
        <v>2.3199999999999998</v>
      </c>
      <c r="I497" s="46">
        <f>TRUNC(T497*(1-LOTE_01!$K$10),2)</f>
        <v>7.47</v>
      </c>
      <c r="J497" s="100">
        <f t="shared" si="60"/>
        <v>0.22470000000000001</v>
      </c>
      <c r="K497" s="48">
        <f t="shared" si="54"/>
        <v>2.84</v>
      </c>
      <c r="L497" s="48">
        <f t="shared" si="55"/>
        <v>9.14</v>
      </c>
      <c r="M497" s="48">
        <f t="shared" si="56"/>
        <v>369.2</v>
      </c>
      <c r="N497" s="48">
        <f t="shared" si="57"/>
        <v>1188.2</v>
      </c>
      <c r="O497" s="50">
        <f t="shared" si="58"/>
        <v>1557.4</v>
      </c>
      <c r="P497" s="50">
        <v>0</v>
      </c>
      <c r="Q497" s="76"/>
      <c r="R497" s="140">
        <f>IF((5*S9+30*S10)&gt;200,200,(5*S9+30*S10))</f>
        <v>130</v>
      </c>
      <c r="S497" s="152">
        <v>2.3199999999999994</v>
      </c>
      <c r="T497" s="153">
        <v>7.47</v>
      </c>
    </row>
    <row r="498" spans="2:20" ht="84">
      <c r="B498" s="5" t="s">
        <v>1194</v>
      </c>
      <c r="C498" s="45" t="s">
        <v>135</v>
      </c>
      <c r="D498" s="45">
        <v>90445</v>
      </c>
      <c r="E498" s="6" t="s">
        <v>1195</v>
      </c>
      <c r="F498" s="45" t="s">
        <v>187</v>
      </c>
      <c r="G498" s="46">
        <f t="shared" si="59"/>
        <v>100</v>
      </c>
      <c r="H498" s="46">
        <f>TRUNC(S498*(1-LOTE_01!$K$10),2)</f>
        <v>4.9800000000000004</v>
      </c>
      <c r="I498" s="46">
        <f>TRUNC(T498*(1-LOTE_01!$K$10),2)</f>
        <v>15.93</v>
      </c>
      <c r="J498" s="100">
        <f t="shared" si="60"/>
        <v>0.22470000000000001</v>
      </c>
      <c r="K498" s="48">
        <f t="shared" si="54"/>
        <v>6.09</v>
      </c>
      <c r="L498" s="48">
        <f t="shared" si="55"/>
        <v>19.5</v>
      </c>
      <c r="M498" s="48">
        <f t="shared" si="56"/>
        <v>609</v>
      </c>
      <c r="N498" s="48">
        <f t="shared" si="57"/>
        <v>1950</v>
      </c>
      <c r="O498" s="50">
        <f t="shared" si="58"/>
        <v>2559</v>
      </c>
      <c r="P498" s="50">
        <v>0</v>
      </c>
      <c r="Q498" s="76"/>
      <c r="R498" s="140">
        <f>IF((5*S9+30*S10)&gt;100,100,(5*S9+30*S10))</f>
        <v>100</v>
      </c>
      <c r="S498" s="152">
        <v>4.9800000000000004</v>
      </c>
      <c r="T498" s="153">
        <v>15.93</v>
      </c>
    </row>
    <row r="499" spans="2:20" ht="28">
      <c r="B499" s="5" t="s">
        <v>1196</v>
      </c>
      <c r="C499" s="45" t="s">
        <v>97</v>
      </c>
      <c r="D499" s="45" t="s">
        <v>1197</v>
      </c>
      <c r="E499" s="6" t="s">
        <v>1198</v>
      </c>
      <c r="F499" s="45" t="s">
        <v>999</v>
      </c>
      <c r="G499" s="46">
        <f t="shared" si="59"/>
        <v>50</v>
      </c>
      <c r="H499" s="46">
        <f>TRUNC(S499*(1-LOTE_01!$K$10),2)</f>
        <v>278.47000000000003</v>
      </c>
      <c r="I499" s="46">
        <f>TRUNC(T499*(1-LOTE_01!$K$10),2)</f>
        <v>382.94</v>
      </c>
      <c r="J499" s="100">
        <f t="shared" si="60"/>
        <v>0.22470000000000001</v>
      </c>
      <c r="K499" s="48">
        <f t="shared" si="54"/>
        <v>341.04</v>
      </c>
      <c r="L499" s="48">
        <f t="shared" si="55"/>
        <v>468.98</v>
      </c>
      <c r="M499" s="48">
        <f t="shared" si="56"/>
        <v>17052</v>
      </c>
      <c r="N499" s="48">
        <f t="shared" si="57"/>
        <v>23449</v>
      </c>
      <c r="O499" s="50">
        <f t="shared" si="58"/>
        <v>40501</v>
      </c>
      <c r="P499" s="50">
        <v>0</v>
      </c>
      <c r="Q499" s="76"/>
      <c r="R499" s="140">
        <f>IF((5*S9+10*S10)&gt;50,50,(5*S9+10*S10))</f>
        <v>50</v>
      </c>
      <c r="S499" s="152">
        <v>278.47000000000003</v>
      </c>
      <c r="T499" s="153">
        <v>382.94</v>
      </c>
    </row>
    <row r="500" spans="2:20" ht="28">
      <c r="B500" s="5" t="s">
        <v>1199</v>
      </c>
      <c r="C500" s="45" t="s">
        <v>97</v>
      </c>
      <c r="D500" s="45" t="s">
        <v>1200</v>
      </c>
      <c r="E500" s="6" t="s">
        <v>1201</v>
      </c>
      <c r="F500" s="45" t="s">
        <v>999</v>
      </c>
      <c r="G500" s="46">
        <f t="shared" si="59"/>
        <v>50</v>
      </c>
      <c r="H500" s="46">
        <f>TRUNC(S500*(1-LOTE_01!$K$10),2)</f>
        <v>131.88</v>
      </c>
      <c r="I500" s="46">
        <f>TRUNC(T500*(1-LOTE_01!$K$10),2)</f>
        <v>86.87</v>
      </c>
      <c r="J500" s="100">
        <f t="shared" si="60"/>
        <v>0.22470000000000001</v>
      </c>
      <c r="K500" s="48">
        <f t="shared" si="54"/>
        <v>161.51</v>
      </c>
      <c r="L500" s="48">
        <f t="shared" si="55"/>
        <v>106.38</v>
      </c>
      <c r="M500" s="48">
        <f t="shared" si="56"/>
        <v>8075.5</v>
      </c>
      <c r="N500" s="48">
        <f t="shared" si="57"/>
        <v>5319</v>
      </c>
      <c r="O500" s="50">
        <f t="shared" si="58"/>
        <v>13394.5</v>
      </c>
      <c r="P500" s="50">
        <v>0</v>
      </c>
      <c r="Q500" s="76"/>
      <c r="R500" s="140">
        <f>IF((5*S9+10*S10)&gt;50,50,(5*S9+10*S10))</f>
        <v>50</v>
      </c>
      <c r="S500" s="152">
        <v>131.88</v>
      </c>
      <c r="T500" s="153">
        <v>86.87</v>
      </c>
    </row>
    <row r="501" spans="2:20" ht="84">
      <c r="B501" s="5" t="s">
        <v>1202</v>
      </c>
      <c r="C501" s="45" t="s">
        <v>97</v>
      </c>
      <c r="D501" s="45" t="s">
        <v>1203</v>
      </c>
      <c r="E501" s="6" t="s">
        <v>1204</v>
      </c>
      <c r="F501" s="45" t="s">
        <v>104</v>
      </c>
      <c r="G501" s="46">
        <f t="shared" si="59"/>
        <v>50</v>
      </c>
      <c r="H501" s="46">
        <f>TRUNC(S501*(1-LOTE_01!$K$10),2)</f>
        <v>748.55</v>
      </c>
      <c r="I501" s="46">
        <f>TRUNC(T501*(1-LOTE_01!$K$10),2)</f>
        <v>701.24</v>
      </c>
      <c r="J501" s="100">
        <f t="shared" si="60"/>
        <v>0.22470000000000001</v>
      </c>
      <c r="K501" s="48">
        <f t="shared" si="54"/>
        <v>916.74</v>
      </c>
      <c r="L501" s="48">
        <f t="shared" si="55"/>
        <v>858.8</v>
      </c>
      <c r="M501" s="48">
        <f t="shared" si="56"/>
        <v>45837</v>
      </c>
      <c r="N501" s="48">
        <f t="shared" si="57"/>
        <v>42940</v>
      </c>
      <c r="O501" s="50">
        <f t="shared" si="58"/>
        <v>88777</v>
      </c>
      <c r="P501" s="50">
        <v>0</v>
      </c>
      <c r="Q501" s="76"/>
      <c r="R501" s="140">
        <f>IF((5*S9+10*S10)&gt;50,50,(5*S9+10*S10))</f>
        <v>50</v>
      </c>
      <c r="S501" s="152">
        <v>748.55</v>
      </c>
      <c r="T501" s="153">
        <v>701.24</v>
      </c>
    </row>
    <row r="502" spans="2:20" ht="42">
      <c r="B502" s="5" t="s">
        <v>1205</v>
      </c>
      <c r="C502" s="45" t="s">
        <v>135</v>
      </c>
      <c r="D502" s="45">
        <v>86886</v>
      </c>
      <c r="E502" s="6" t="s">
        <v>1816</v>
      </c>
      <c r="F502" s="45" t="s">
        <v>210</v>
      </c>
      <c r="G502" s="46">
        <f t="shared" si="59"/>
        <v>50</v>
      </c>
      <c r="H502" s="46">
        <f>TRUNC(S502*(1-LOTE_01!$K$10),2)</f>
        <v>35.369999999999997</v>
      </c>
      <c r="I502" s="46">
        <f>TRUNC(T502*(1-LOTE_01!$K$10),2)</f>
        <v>4.55</v>
      </c>
      <c r="J502" s="100">
        <f t="shared" si="60"/>
        <v>0.22470000000000001</v>
      </c>
      <c r="K502" s="48">
        <f t="shared" si="54"/>
        <v>43.31</v>
      </c>
      <c r="L502" s="48">
        <f t="shared" si="55"/>
        <v>5.57</v>
      </c>
      <c r="M502" s="48">
        <f t="shared" si="56"/>
        <v>2165.5</v>
      </c>
      <c r="N502" s="48">
        <f t="shared" si="57"/>
        <v>278.5</v>
      </c>
      <c r="O502" s="50">
        <f t="shared" si="58"/>
        <v>2444</v>
      </c>
      <c r="P502" s="50">
        <v>0</v>
      </c>
      <c r="Q502" s="76"/>
      <c r="R502" s="140">
        <f>IF((5*S9+10*S10)&gt;50,50,(5*S9+10*S10))</f>
        <v>50</v>
      </c>
      <c r="S502" s="152">
        <v>35.370000000000005</v>
      </c>
      <c r="T502" s="153">
        <v>4.55</v>
      </c>
    </row>
    <row r="503" spans="2:20" ht="28">
      <c r="B503" s="5" t="s">
        <v>1206</v>
      </c>
      <c r="C503" s="45" t="s">
        <v>165</v>
      </c>
      <c r="D503" s="45" t="s">
        <v>1207</v>
      </c>
      <c r="E503" s="6" t="s">
        <v>1208</v>
      </c>
      <c r="F503" s="45" t="s">
        <v>559</v>
      </c>
      <c r="G503" s="46">
        <f t="shared" si="59"/>
        <v>50</v>
      </c>
      <c r="H503" s="46">
        <f>TRUNC(S503*(1-LOTE_01!$K$10),2)</f>
        <v>152.96</v>
      </c>
      <c r="I503" s="46">
        <f>TRUNC(T503*(1-LOTE_01!$K$10),2)</f>
        <v>21.03</v>
      </c>
      <c r="J503" s="100">
        <f t="shared" si="60"/>
        <v>0.22470000000000001</v>
      </c>
      <c r="K503" s="48">
        <f t="shared" si="54"/>
        <v>187.33</v>
      </c>
      <c r="L503" s="48">
        <f t="shared" si="55"/>
        <v>25.75</v>
      </c>
      <c r="M503" s="48">
        <f t="shared" si="56"/>
        <v>9366.5</v>
      </c>
      <c r="N503" s="48">
        <f t="shared" si="57"/>
        <v>1287.5</v>
      </c>
      <c r="O503" s="50">
        <f t="shared" si="58"/>
        <v>10654</v>
      </c>
      <c r="P503" s="50">
        <v>0</v>
      </c>
      <c r="Q503" s="76"/>
      <c r="R503" s="140">
        <f>IF((5*S9+10*S10)&gt;50,50,(5*S9+10*S10))</f>
        <v>50</v>
      </c>
      <c r="S503" s="152">
        <v>152.96</v>
      </c>
      <c r="T503" s="153">
        <v>21.03</v>
      </c>
    </row>
    <row r="504" spans="2:20" ht="28">
      <c r="B504" s="5" t="s">
        <v>1209</v>
      </c>
      <c r="C504" s="45" t="s">
        <v>165</v>
      </c>
      <c r="D504" s="45" t="s">
        <v>1210</v>
      </c>
      <c r="E504" s="6" t="s">
        <v>1211</v>
      </c>
      <c r="F504" s="45" t="s">
        <v>559</v>
      </c>
      <c r="G504" s="46">
        <f t="shared" si="59"/>
        <v>50</v>
      </c>
      <c r="H504" s="46">
        <f>TRUNC(S504*(1-LOTE_01!$K$10),2)</f>
        <v>99.96</v>
      </c>
      <c r="I504" s="46">
        <f>TRUNC(T504*(1-LOTE_01!$K$10),2)</f>
        <v>21.03</v>
      </c>
      <c r="J504" s="100">
        <f t="shared" si="60"/>
        <v>0.22470000000000001</v>
      </c>
      <c r="K504" s="48">
        <f t="shared" si="54"/>
        <v>122.42</v>
      </c>
      <c r="L504" s="48">
        <f t="shared" si="55"/>
        <v>25.75</v>
      </c>
      <c r="M504" s="48">
        <f t="shared" si="56"/>
        <v>6121</v>
      </c>
      <c r="N504" s="48">
        <f t="shared" si="57"/>
        <v>1287.5</v>
      </c>
      <c r="O504" s="50">
        <f t="shared" si="58"/>
        <v>7408.5</v>
      </c>
      <c r="P504" s="50">
        <v>0</v>
      </c>
      <c r="Q504" s="76"/>
      <c r="R504" s="140">
        <f>IF((5*S9+10*S10)&gt;50,50,(5*S9+10*S10))</f>
        <v>50</v>
      </c>
      <c r="S504" s="152">
        <v>99.96</v>
      </c>
      <c r="T504" s="153">
        <v>21.03</v>
      </c>
    </row>
    <row r="505" spans="2:20" ht="56">
      <c r="B505" s="5" t="s">
        <v>1212</v>
      </c>
      <c r="C505" s="45" t="s">
        <v>135</v>
      </c>
      <c r="D505" s="45">
        <v>89358</v>
      </c>
      <c r="E505" s="6" t="s">
        <v>1213</v>
      </c>
      <c r="F505" s="45" t="s">
        <v>210</v>
      </c>
      <c r="G505" s="46">
        <f t="shared" si="59"/>
        <v>50</v>
      </c>
      <c r="H505" s="46">
        <f>TRUNC(S505*(1-LOTE_01!$K$10),2)</f>
        <v>3.45</v>
      </c>
      <c r="I505" s="46">
        <f>TRUNC(T505*(1-LOTE_01!$K$10),2)</f>
        <v>5.49</v>
      </c>
      <c r="J505" s="100">
        <f t="shared" si="60"/>
        <v>0.22470000000000001</v>
      </c>
      <c r="K505" s="48">
        <f t="shared" si="54"/>
        <v>4.22</v>
      </c>
      <c r="L505" s="48">
        <f t="shared" si="55"/>
        <v>6.72</v>
      </c>
      <c r="M505" s="48">
        <f t="shared" si="56"/>
        <v>211</v>
      </c>
      <c r="N505" s="48">
        <f t="shared" si="57"/>
        <v>336</v>
      </c>
      <c r="O505" s="50">
        <f t="shared" si="58"/>
        <v>547</v>
      </c>
      <c r="P505" s="50">
        <v>0</v>
      </c>
      <c r="Q505" s="76"/>
      <c r="R505" s="140">
        <f>IF((5*S9+10*S10)&gt;50,50,(5*S9+10*S10))</f>
        <v>50</v>
      </c>
      <c r="S505" s="152">
        <v>3.4499999999999993</v>
      </c>
      <c r="T505" s="153">
        <v>5.49</v>
      </c>
    </row>
    <row r="506" spans="2:20" ht="56">
      <c r="B506" s="5" t="s">
        <v>1214</v>
      </c>
      <c r="C506" s="45" t="s">
        <v>135</v>
      </c>
      <c r="D506" s="45">
        <v>89362</v>
      </c>
      <c r="E506" s="6" t="s">
        <v>1215</v>
      </c>
      <c r="F506" s="45" t="s">
        <v>210</v>
      </c>
      <c r="G506" s="46">
        <f t="shared" si="59"/>
        <v>50</v>
      </c>
      <c r="H506" s="46">
        <f>TRUNC(S506*(1-LOTE_01!$K$10),2)</f>
        <v>4.25</v>
      </c>
      <c r="I506" s="46">
        <f>TRUNC(T506*(1-LOTE_01!$K$10),2)</f>
        <v>6.39</v>
      </c>
      <c r="J506" s="100">
        <f t="shared" si="60"/>
        <v>0.22470000000000001</v>
      </c>
      <c r="K506" s="48">
        <f t="shared" si="54"/>
        <v>5.2</v>
      </c>
      <c r="L506" s="48">
        <f t="shared" si="55"/>
        <v>7.82</v>
      </c>
      <c r="M506" s="48">
        <f t="shared" si="56"/>
        <v>260</v>
      </c>
      <c r="N506" s="48">
        <f t="shared" si="57"/>
        <v>391</v>
      </c>
      <c r="O506" s="50">
        <f t="shared" si="58"/>
        <v>651</v>
      </c>
      <c r="P506" s="50">
        <v>0</v>
      </c>
      <c r="Q506" s="76"/>
      <c r="R506" s="140">
        <f>IF((5*S9+10*S10)&gt;50,50,(5*S9+10*S10))</f>
        <v>50</v>
      </c>
      <c r="S506" s="152">
        <v>4.2500000000000009</v>
      </c>
      <c r="T506" s="153">
        <v>6.39</v>
      </c>
    </row>
    <row r="507" spans="2:20" ht="70">
      <c r="B507" s="5" t="s">
        <v>1216</v>
      </c>
      <c r="C507" s="45" t="s">
        <v>135</v>
      </c>
      <c r="D507" s="45">
        <v>89366</v>
      </c>
      <c r="E507" s="6" t="s">
        <v>1217</v>
      </c>
      <c r="F507" s="45" t="s">
        <v>210</v>
      </c>
      <c r="G507" s="46">
        <f t="shared" si="59"/>
        <v>50</v>
      </c>
      <c r="H507" s="46">
        <f>TRUNC(S507*(1-LOTE_01!$K$10),2)</f>
        <v>12.36</v>
      </c>
      <c r="I507" s="46">
        <f>TRUNC(T507*(1-LOTE_01!$K$10),2)</f>
        <v>6.04</v>
      </c>
      <c r="J507" s="100">
        <f t="shared" si="60"/>
        <v>0.22470000000000001</v>
      </c>
      <c r="K507" s="48">
        <f t="shared" si="54"/>
        <v>15.13</v>
      </c>
      <c r="L507" s="48">
        <f t="shared" si="55"/>
        <v>7.39</v>
      </c>
      <c r="M507" s="48">
        <f t="shared" si="56"/>
        <v>756.5</v>
      </c>
      <c r="N507" s="48">
        <f t="shared" si="57"/>
        <v>369.5</v>
      </c>
      <c r="O507" s="50">
        <f t="shared" si="58"/>
        <v>1126</v>
      </c>
      <c r="P507" s="50">
        <v>0</v>
      </c>
      <c r="Q507" s="76"/>
      <c r="R507" s="140">
        <f>IF((5*S9+10*S10)&gt;50,50,(5*S9+10*S10))</f>
        <v>50</v>
      </c>
      <c r="S507" s="152">
        <v>12.36</v>
      </c>
      <c r="T507" s="153">
        <v>6.04</v>
      </c>
    </row>
    <row r="508" spans="2:20" ht="70">
      <c r="B508" s="5" t="s">
        <v>1218</v>
      </c>
      <c r="C508" s="45" t="s">
        <v>135</v>
      </c>
      <c r="D508" s="45">
        <v>89366</v>
      </c>
      <c r="E508" s="6" t="s">
        <v>1217</v>
      </c>
      <c r="F508" s="45" t="s">
        <v>210</v>
      </c>
      <c r="G508" s="46">
        <f t="shared" si="59"/>
        <v>50</v>
      </c>
      <c r="H508" s="46">
        <f>TRUNC(S508*(1-LOTE_01!$K$10),2)</f>
        <v>12.36</v>
      </c>
      <c r="I508" s="46">
        <f>TRUNC(T508*(1-LOTE_01!$K$10),2)</f>
        <v>6.04</v>
      </c>
      <c r="J508" s="100">
        <f t="shared" si="60"/>
        <v>0.22470000000000001</v>
      </c>
      <c r="K508" s="48">
        <f t="shared" si="54"/>
        <v>15.13</v>
      </c>
      <c r="L508" s="48">
        <f t="shared" si="55"/>
        <v>7.39</v>
      </c>
      <c r="M508" s="48">
        <f t="shared" si="56"/>
        <v>756.5</v>
      </c>
      <c r="N508" s="48">
        <f t="shared" si="57"/>
        <v>369.5</v>
      </c>
      <c r="O508" s="50">
        <f t="shared" si="58"/>
        <v>1126</v>
      </c>
      <c r="P508" s="50">
        <v>0</v>
      </c>
      <c r="Q508" s="76"/>
      <c r="R508" s="140">
        <f>IF((5*S9+10*S10)&gt;50,50,(5*S9+10*S10))</f>
        <v>50</v>
      </c>
      <c r="S508" s="152">
        <v>12.36</v>
      </c>
      <c r="T508" s="153">
        <v>6.04</v>
      </c>
    </row>
    <row r="509" spans="2:20" ht="56">
      <c r="B509" s="5" t="s">
        <v>1219</v>
      </c>
      <c r="C509" s="45" t="s">
        <v>135</v>
      </c>
      <c r="D509" s="45">
        <v>89367</v>
      </c>
      <c r="E509" s="6" t="s">
        <v>1220</v>
      </c>
      <c r="F509" s="45" t="s">
        <v>210</v>
      </c>
      <c r="G509" s="46">
        <f t="shared" si="59"/>
        <v>50</v>
      </c>
      <c r="H509" s="46">
        <f>TRUNC(S509*(1-LOTE_01!$K$10),2)</f>
        <v>7.06</v>
      </c>
      <c r="I509" s="46">
        <f>TRUNC(T509*(1-LOTE_01!$K$10),2)</f>
        <v>7.66</v>
      </c>
      <c r="J509" s="100">
        <f t="shared" si="60"/>
        <v>0.22470000000000001</v>
      </c>
      <c r="K509" s="48">
        <f t="shared" si="54"/>
        <v>8.64</v>
      </c>
      <c r="L509" s="48">
        <f t="shared" si="55"/>
        <v>9.3800000000000008</v>
      </c>
      <c r="M509" s="48">
        <f t="shared" si="56"/>
        <v>432</v>
      </c>
      <c r="N509" s="48">
        <f t="shared" si="57"/>
        <v>469</v>
      </c>
      <c r="O509" s="50">
        <f t="shared" si="58"/>
        <v>901</v>
      </c>
      <c r="P509" s="50">
        <v>0</v>
      </c>
      <c r="Q509" s="76"/>
      <c r="R509" s="140">
        <f>IF((5*S9+10*S10)&gt;50,50,(5*S9+10*S10))</f>
        <v>50</v>
      </c>
      <c r="S509" s="152">
        <v>7.0600000000000005</v>
      </c>
      <c r="T509" s="153">
        <v>7.66</v>
      </c>
    </row>
    <row r="510" spans="2:20" ht="56">
      <c r="B510" s="5" t="s">
        <v>1221</v>
      </c>
      <c r="C510" s="45" t="s">
        <v>135</v>
      </c>
      <c r="D510" s="45">
        <v>89497</v>
      </c>
      <c r="E510" s="6" t="s">
        <v>1222</v>
      </c>
      <c r="F510" s="45" t="s">
        <v>210</v>
      </c>
      <c r="G510" s="46">
        <f t="shared" si="59"/>
        <v>50</v>
      </c>
      <c r="H510" s="46">
        <f>TRUNC(S510*(1-LOTE_01!$K$10),2)</f>
        <v>10.44</v>
      </c>
      <c r="I510" s="46">
        <f>TRUNC(T510*(1-LOTE_01!$K$10),2)</f>
        <v>4.49</v>
      </c>
      <c r="J510" s="100">
        <f t="shared" si="60"/>
        <v>0.22470000000000001</v>
      </c>
      <c r="K510" s="48">
        <f t="shared" si="54"/>
        <v>12.78</v>
      </c>
      <c r="L510" s="48">
        <f t="shared" si="55"/>
        <v>5.49</v>
      </c>
      <c r="M510" s="48">
        <f t="shared" si="56"/>
        <v>639</v>
      </c>
      <c r="N510" s="48">
        <f t="shared" si="57"/>
        <v>274.5</v>
      </c>
      <c r="O510" s="50">
        <f t="shared" si="58"/>
        <v>913.5</v>
      </c>
      <c r="P510" s="50">
        <v>0</v>
      </c>
      <c r="Q510" s="76"/>
      <c r="R510" s="140">
        <f>IF((5*S9+10*S10)&gt;50,50,(5*S9+10*S10))</f>
        <v>50</v>
      </c>
      <c r="S510" s="152">
        <v>10.44</v>
      </c>
      <c r="T510" s="153">
        <v>4.49</v>
      </c>
    </row>
    <row r="511" spans="2:20" ht="70">
      <c r="B511" s="5" t="s">
        <v>1223</v>
      </c>
      <c r="C511" s="45" t="s">
        <v>135</v>
      </c>
      <c r="D511" s="45">
        <v>96853</v>
      </c>
      <c r="E511" s="6" t="s">
        <v>1224</v>
      </c>
      <c r="F511" s="45" t="s">
        <v>210</v>
      </c>
      <c r="G511" s="46">
        <f t="shared" si="59"/>
        <v>50</v>
      </c>
      <c r="H511" s="46">
        <f>TRUNC(S511*(1-LOTE_01!$K$10),2)</f>
        <v>16.02</v>
      </c>
      <c r="I511" s="46">
        <f>TRUNC(T511*(1-LOTE_01!$K$10),2)</f>
        <v>10.24</v>
      </c>
      <c r="J511" s="100">
        <f t="shared" si="60"/>
        <v>0.22470000000000001</v>
      </c>
      <c r="K511" s="48">
        <f t="shared" si="54"/>
        <v>19.61</v>
      </c>
      <c r="L511" s="48">
        <f t="shared" si="55"/>
        <v>12.54</v>
      </c>
      <c r="M511" s="48">
        <f t="shared" si="56"/>
        <v>980.5</v>
      </c>
      <c r="N511" s="48">
        <f t="shared" si="57"/>
        <v>627</v>
      </c>
      <c r="O511" s="50">
        <f t="shared" si="58"/>
        <v>1607.5</v>
      </c>
      <c r="P511" s="50">
        <v>0</v>
      </c>
      <c r="Q511" s="76"/>
      <c r="R511" s="140">
        <f>IF((5*S9+10*S10)&gt;50,50,(5*S9+10*S10))</f>
        <v>50</v>
      </c>
      <c r="S511" s="152">
        <v>16.020000000000003</v>
      </c>
      <c r="T511" s="153">
        <v>10.24</v>
      </c>
    </row>
    <row r="512" spans="2:20" ht="70">
      <c r="B512" s="5" t="s">
        <v>1225</v>
      </c>
      <c r="C512" s="45" t="s">
        <v>135</v>
      </c>
      <c r="D512" s="45">
        <v>90373</v>
      </c>
      <c r="E512" s="6" t="s">
        <v>1226</v>
      </c>
      <c r="F512" s="45" t="s">
        <v>210</v>
      </c>
      <c r="G512" s="46">
        <f t="shared" si="59"/>
        <v>50</v>
      </c>
      <c r="H512" s="46">
        <f>TRUNC(S512*(1-LOTE_01!$K$10),2)</f>
        <v>9.1</v>
      </c>
      <c r="I512" s="46">
        <f>TRUNC(T512*(1-LOTE_01!$K$10),2)</f>
        <v>5.58</v>
      </c>
      <c r="J512" s="100">
        <f t="shared" si="60"/>
        <v>0.22470000000000001</v>
      </c>
      <c r="K512" s="48">
        <f t="shared" si="54"/>
        <v>11.14</v>
      </c>
      <c r="L512" s="48">
        <f t="shared" si="55"/>
        <v>6.83</v>
      </c>
      <c r="M512" s="48">
        <f t="shared" si="56"/>
        <v>557</v>
      </c>
      <c r="N512" s="48">
        <f t="shared" si="57"/>
        <v>341.5</v>
      </c>
      <c r="O512" s="50">
        <f t="shared" si="58"/>
        <v>898.5</v>
      </c>
      <c r="P512" s="50">
        <v>0</v>
      </c>
      <c r="Q512" s="76"/>
      <c r="R512" s="140">
        <f>IF((5*S9+10*S10)&gt;50,50,(5*S9+10*S10))</f>
        <v>50</v>
      </c>
      <c r="S512" s="152">
        <v>9.1</v>
      </c>
      <c r="T512" s="153">
        <v>5.58</v>
      </c>
    </row>
    <row r="513" spans="2:20" ht="56">
      <c r="B513" s="5" t="s">
        <v>1227</v>
      </c>
      <c r="C513" s="45" t="s">
        <v>135</v>
      </c>
      <c r="D513" s="45">
        <v>89369</v>
      </c>
      <c r="E513" s="6" t="s">
        <v>1228</v>
      </c>
      <c r="F513" s="45" t="s">
        <v>210</v>
      </c>
      <c r="G513" s="46">
        <f t="shared" si="59"/>
        <v>50</v>
      </c>
      <c r="H513" s="46">
        <f>TRUNC(S513*(1-LOTE_01!$K$10),2)</f>
        <v>11.69</v>
      </c>
      <c r="I513" s="46">
        <f>TRUNC(T513*(1-LOTE_01!$K$10),2)</f>
        <v>7.72</v>
      </c>
      <c r="J513" s="100">
        <f t="shared" si="60"/>
        <v>0.22470000000000001</v>
      </c>
      <c r="K513" s="48">
        <f t="shared" si="54"/>
        <v>14.31</v>
      </c>
      <c r="L513" s="48">
        <f t="shared" si="55"/>
        <v>9.4499999999999993</v>
      </c>
      <c r="M513" s="48">
        <f t="shared" si="56"/>
        <v>715.5</v>
      </c>
      <c r="N513" s="48">
        <f t="shared" si="57"/>
        <v>472.5</v>
      </c>
      <c r="O513" s="50">
        <f t="shared" si="58"/>
        <v>1188</v>
      </c>
      <c r="P513" s="50">
        <v>0</v>
      </c>
      <c r="Q513" s="76"/>
      <c r="R513" s="140">
        <f>IF((5*S9+10*S10)&gt;50,50,(5*S9+10*S10))</f>
        <v>50</v>
      </c>
      <c r="S513" s="152">
        <v>11.690000000000001</v>
      </c>
      <c r="T513" s="153">
        <v>7.72</v>
      </c>
    </row>
    <row r="514" spans="2:20" ht="70">
      <c r="B514" s="5" t="s">
        <v>1229</v>
      </c>
      <c r="C514" s="45" t="s">
        <v>135</v>
      </c>
      <c r="D514" s="45">
        <v>89391</v>
      </c>
      <c r="E514" s="6" t="s">
        <v>1230</v>
      </c>
      <c r="F514" s="45" t="s">
        <v>210</v>
      </c>
      <c r="G514" s="46">
        <f t="shared" si="59"/>
        <v>50</v>
      </c>
      <c r="H514" s="46">
        <f>TRUNC(S514*(1-LOTE_01!$K$10),2)</f>
        <v>5.13</v>
      </c>
      <c r="I514" s="46">
        <f>TRUNC(T514*(1-LOTE_01!$K$10),2)</f>
        <v>4.71</v>
      </c>
      <c r="J514" s="100">
        <f t="shared" si="60"/>
        <v>0.22470000000000001</v>
      </c>
      <c r="K514" s="48">
        <f t="shared" si="54"/>
        <v>6.28</v>
      </c>
      <c r="L514" s="48">
        <f t="shared" si="55"/>
        <v>5.76</v>
      </c>
      <c r="M514" s="48">
        <f t="shared" si="56"/>
        <v>314</v>
      </c>
      <c r="N514" s="48">
        <f t="shared" si="57"/>
        <v>288</v>
      </c>
      <c r="O514" s="50">
        <f t="shared" si="58"/>
        <v>602</v>
      </c>
      <c r="P514" s="50">
        <v>0</v>
      </c>
      <c r="Q514" s="76"/>
      <c r="R514" s="140">
        <f>IF((5*S9+10*S10)&gt;50,50,(5*S9+10*S10))</f>
        <v>50</v>
      </c>
      <c r="S514" s="152">
        <v>5.13</v>
      </c>
      <c r="T514" s="153">
        <v>4.71</v>
      </c>
    </row>
    <row r="515" spans="2:20" ht="56">
      <c r="B515" s="5" t="s">
        <v>1231</v>
      </c>
      <c r="C515" s="45" t="s">
        <v>135</v>
      </c>
      <c r="D515" s="45">
        <v>89401</v>
      </c>
      <c r="E515" s="6" t="s">
        <v>1232</v>
      </c>
      <c r="F515" s="45" t="s">
        <v>187</v>
      </c>
      <c r="G515" s="46">
        <f t="shared" si="59"/>
        <v>100</v>
      </c>
      <c r="H515" s="46">
        <f>TRUNC(S515*(1-LOTE_01!$K$10),2)</f>
        <v>6.35</v>
      </c>
      <c r="I515" s="46">
        <f>TRUNC(T515*(1-LOTE_01!$K$10),2)</f>
        <v>5.78</v>
      </c>
      <c r="J515" s="100">
        <f t="shared" si="60"/>
        <v>0.22470000000000001</v>
      </c>
      <c r="K515" s="48">
        <f t="shared" si="54"/>
        <v>7.77</v>
      </c>
      <c r="L515" s="48">
        <f t="shared" si="55"/>
        <v>7.07</v>
      </c>
      <c r="M515" s="48">
        <f t="shared" si="56"/>
        <v>777</v>
      </c>
      <c r="N515" s="48">
        <f t="shared" si="57"/>
        <v>707</v>
      </c>
      <c r="O515" s="50">
        <f t="shared" si="58"/>
        <v>1484</v>
      </c>
      <c r="P515" s="50">
        <v>0</v>
      </c>
      <c r="Q515" s="76"/>
      <c r="R515" s="140">
        <f>IF((10*S9+20*S10)&gt;100,100,(10*S9+20*S10))</f>
        <v>100</v>
      </c>
      <c r="S515" s="152">
        <v>6.3500000000000005</v>
      </c>
      <c r="T515" s="153">
        <v>5.78</v>
      </c>
    </row>
    <row r="516" spans="2:20" ht="56">
      <c r="B516" s="5" t="s">
        <v>1233</v>
      </c>
      <c r="C516" s="45" t="s">
        <v>135</v>
      </c>
      <c r="D516" s="45">
        <v>89402</v>
      </c>
      <c r="E516" s="6" t="s">
        <v>1234</v>
      </c>
      <c r="F516" s="45" t="s">
        <v>187</v>
      </c>
      <c r="G516" s="46">
        <f t="shared" si="59"/>
        <v>100</v>
      </c>
      <c r="H516" s="46">
        <f>TRUNC(S516*(1-LOTE_01!$K$10),2)</f>
        <v>7.22</v>
      </c>
      <c r="I516" s="46">
        <f>TRUNC(T516*(1-LOTE_01!$K$10),2)</f>
        <v>6.7</v>
      </c>
      <c r="J516" s="100">
        <f t="shared" si="60"/>
        <v>0.22470000000000001</v>
      </c>
      <c r="K516" s="48">
        <f t="shared" si="54"/>
        <v>8.84</v>
      </c>
      <c r="L516" s="48">
        <f t="shared" si="55"/>
        <v>8.1999999999999993</v>
      </c>
      <c r="M516" s="48">
        <f t="shared" si="56"/>
        <v>884</v>
      </c>
      <c r="N516" s="48">
        <f t="shared" si="57"/>
        <v>820</v>
      </c>
      <c r="O516" s="50">
        <f t="shared" si="58"/>
        <v>1704</v>
      </c>
      <c r="P516" s="50">
        <v>0</v>
      </c>
      <c r="Q516" s="76"/>
      <c r="R516" s="140">
        <f>IF((10*S9+20*S10)&gt;100,100,(10*S9+20*S10))</f>
        <v>100</v>
      </c>
      <c r="S516" s="152">
        <v>7.22</v>
      </c>
      <c r="T516" s="153">
        <v>6.7</v>
      </c>
    </row>
    <row r="517" spans="2:20" ht="56">
      <c r="B517" s="5" t="s">
        <v>1235</v>
      </c>
      <c r="C517" s="45" t="s">
        <v>135</v>
      </c>
      <c r="D517" s="45">
        <v>89403</v>
      </c>
      <c r="E517" s="6" t="s">
        <v>1236</v>
      </c>
      <c r="F517" s="45" t="s">
        <v>187</v>
      </c>
      <c r="G517" s="46">
        <f t="shared" si="59"/>
        <v>100</v>
      </c>
      <c r="H517" s="46">
        <f>TRUNC(S517*(1-LOTE_01!$K$10),2)</f>
        <v>13.45</v>
      </c>
      <c r="I517" s="46">
        <f>TRUNC(T517*(1-LOTE_01!$K$10),2)</f>
        <v>8.0500000000000007</v>
      </c>
      <c r="J517" s="100">
        <f t="shared" si="60"/>
        <v>0.22470000000000001</v>
      </c>
      <c r="K517" s="48">
        <f t="shared" si="54"/>
        <v>16.47</v>
      </c>
      <c r="L517" s="48">
        <f t="shared" si="55"/>
        <v>9.85</v>
      </c>
      <c r="M517" s="48">
        <f t="shared" si="56"/>
        <v>1647</v>
      </c>
      <c r="N517" s="48">
        <f t="shared" si="57"/>
        <v>985</v>
      </c>
      <c r="O517" s="50">
        <f t="shared" si="58"/>
        <v>2632</v>
      </c>
      <c r="P517" s="50">
        <v>0</v>
      </c>
      <c r="Q517" s="76"/>
      <c r="R517" s="140">
        <f>IF((10*S9+20*S10)&gt;100,100,(10*S9+20*S10))</f>
        <v>100</v>
      </c>
      <c r="S517" s="152">
        <v>13.45</v>
      </c>
      <c r="T517" s="153">
        <v>8.0500000000000007</v>
      </c>
    </row>
    <row r="518" spans="2:20" ht="56">
      <c r="B518" s="5" t="s">
        <v>1237</v>
      </c>
      <c r="C518" s="45" t="s">
        <v>135</v>
      </c>
      <c r="D518" s="45">
        <v>89448</v>
      </c>
      <c r="E518" s="6" t="s">
        <v>1238</v>
      </c>
      <c r="F518" s="45" t="s">
        <v>187</v>
      </c>
      <c r="G518" s="46">
        <f t="shared" si="59"/>
        <v>100</v>
      </c>
      <c r="H518" s="46">
        <f>TRUNC(S518*(1-LOTE_01!$K$10),2)</f>
        <v>17.53</v>
      </c>
      <c r="I518" s="46">
        <f>TRUNC(T518*(1-LOTE_01!$K$10),2)</f>
        <v>1.21</v>
      </c>
      <c r="J518" s="100">
        <f t="shared" si="60"/>
        <v>0.22470000000000001</v>
      </c>
      <c r="K518" s="48">
        <f t="shared" si="54"/>
        <v>21.46</v>
      </c>
      <c r="L518" s="48">
        <f t="shared" si="55"/>
        <v>1.48</v>
      </c>
      <c r="M518" s="48">
        <f t="shared" si="56"/>
        <v>2146</v>
      </c>
      <c r="N518" s="48">
        <f t="shared" si="57"/>
        <v>148</v>
      </c>
      <c r="O518" s="50">
        <f t="shared" si="58"/>
        <v>2294</v>
      </c>
      <c r="P518" s="50">
        <v>0</v>
      </c>
      <c r="Q518" s="76"/>
      <c r="R518" s="140">
        <f>IF((10*S9+20*S10)&gt;100,100,(10*S9+20*S10))</f>
        <v>100</v>
      </c>
      <c r="S518" s="152">
        <v>17.529999999999998</v>
      </c>
      <c r="T518" s="153">
        <v>1.21</v>
      </c>
    </row>
    <row r="519" spans="2:20" ht="70">
      <c r="B519" s="5" t="s">
        <v>1239</v>
      </c>
      <c r="C519" s="45" t="s">
        <v>135</v>
      </c>
      <c r="D519" s="45">
        <v>89711</v>
      </c>
      <c r="E519" s="6" t="s">
        <v>1240</v>
      </c>
      <c r="F519" s="45" t="s">
        <v>187</v>
      </c>
      <c r="G519" s="46">
        <f t="shared" si="59"/>
        <v>100</v>
      </c>
      <c r="H519" s="46">
        <f>TRUNC(S519*(1-LOTE_01!$K$10),2)</f>
        <v>11.71</v>
      </c>
      <c r="I519" s="46">
        <f>TRUNC(T519*(1-LOTE_01!$K$10),2)</f>
        <v>12.49</v>
      </c>
      <c r="J519" s="100">
        <f t="shared" si="60"/>
        <v>0.22470000000000001</v>
      </c>
      <c r="K519" s="48">
        <f t="shared" si="54"/>
        <v>14.34</v>
      </c>
      <c r="L519" s="48">
        <f t="shared" si="55"/>
        <v>15.29</v>
      </c>
      <c r="M519" s="48">
        <f t="shared" si="56"/>
        <v>1434</v>
      </c>
      <c r="N519" s="48">
        <f t="shared" si="57"/>
        <v>1529</v>
      </c>
      <c r="O519" s="50">
        <f t="shared" si="58"/>
        <v>2963</v>
      </c>
      <c r="P519" s="50">
        <v>0</v>
      </c>
      <c r="Q519" s="76"/>
      <c r="R519" s="140">
        <f>IF((10*S9+20*S10)&gt;100,100,(10*S9+20*S10))</f>
        <v>100</v>
      </c>
      <c r="S519" s="152">
        <v>11.709999999999999</v>
      </c>
      <c r="T519" s="153">
        <v>12.49</v>
      </c>
    </row>
    <row r="520" spans="2:20" ht="70">
      <c r="B520" s="5" t="s">
        <v>1241</v>
      </c>
      <c r="C520" s="45" t="s">
        <v>135</v>
      </c>
      <c r="D520" s="45">
        <v>89712</v>
      </c>
      <c r="E520" s="6" t="s">
        <v>1242</v>
      </c>
      <c r="F520" s="45" t="s">
        <v>187</v>
      </c>
      <c r="G520" s="46">
        <f t="shared" si="59"/>
        <v>100</v>
      </c>
      <c r="H520" s="46">
        <f>TRUNC(S520*(1-LOTE_01!$K$10),2)</f>
        <v>17.09</v>
      </c>
      <c r="I520" s="46">
        <f>TRUNC(T520*(1-LOTE_01!$K$10),2)</f>
        <v>13.69</v>
      </c>
      <c r="J520" s="100">
        <f t="shared" si="60"/>
        <v>0.22470000000000001</v>
      </c>
      <c r="K520" s="48">
        <f t="shared" si="54"/>
        <v>20.93</v>
      </c>
      <c r="L520" s="48">
        <f t="shared" si="55"/>
        <v>16.760000000000002</v>
      </c>
      <c r="M520" s="48">
        <f t="shared" si="56"/>
        <v>2093</v>
      </c>
      <c r="N520" s="48">
        <f t="shared" si="57"/>
        <v>1676</v>
      </c>
      <c r="O520" s="50">
        <f t="shared" si="58"/>
        <v>3769</v>
      </c>
      <c r="P520" s="50">
        <v>0</v>
      </c>
      <c r="Q520" s="76"/>
      <c r="R520" s="140">
        <f>IF((10*S9+20*S10)&gt;100,100,(10*S9+20*S10))</f>
        <v>100</v>
      </c>
      <c r="S520" s="152">
        <v>17.090000000000003</v>
      </c>
      <c r="T520" s="153">
        <v>13.69</v>
      </c>
    </row>
    <row r="521" spans="2:20" ht="70">
      <c r="B521" s="5" t="s">
        <v>1243</v>
      </c>
      <c r="C521" s="45" t="s">
        <v>135</v>
      </c>
      <c r="D521" s="45">
        <v>89714</v>
      </c>
      <c r="E521" s="6" t="s">
        <v>1244</v>
      </c>
      <c r="F521" s="45" t="s">
        <v>187</v>
      </c>
      <c r="G521" s="46">
        <f t="shared" si="59"/>
        <v>170</v>
      </c>
      <c r="H521" s="46">
        <f>TRUNC(S521*(1-LOTE_01!$K$10),2)</f>
        <v>23.72</v>
      </c>
      <c r="I521" s="46">
        <f>TRUNC(T521*(1-LOTE_01!$K$10),2)</f>
        <v>19.11</v>
      </c>
      <c r="J521" s="100">
        <f t="shared" si="60"/>
        <v>0.22470000000000001</v>
      </c>
      <c r="K521" s="48">
        <f t="shared" si="54"/>
        <v>29.04</v>
      </c>
      <c r="L521" s="48">
        <f t="shared" si="55"/>
        <v>23.4</v>
      </c>
      <c r="M521" s="48">
        <f t="shared" si="56"/>
        <v>4936.8</v>
      </c>
      <c r="N521" s="48">
        <f t="shared" si="57"/>
        <v>3978</v>
      </c>
      <c r="O521" s="50">
        <f t="shared" si="58"/>
        <v>8914.7999999999993</v>
      </c>
      <c r="P521" s="50">
        <v>0</v>
      </c>
      <c r="Q521" s="76"/>
      <c r="R521" s="140">
        <f>IF((10*S9+30*S10)&gt;200,200,(10*S9+30*S10))</f>
        <v>170</v>
      </c>
      <c r="S521" s="152">
        <v>23.72</v>
      </c>
      <c r="T521" s="153">
        <v>19.11</v>
      </c>
    </row>
    <row r="522" spans="2:20" ht="56">
      <c r="B522" s="5" t="s">
        <v>1245</v>
      </c>
      <c r="C522" s="45" t="s">
        <v>135</v>
      </c>
      <c r="D522" s="45">
        <v>89689</v>
      </c>
      <c r="E522" s="6" t="s">
        <v>1246</v>
      </c>
      <c r="F522" s="45" t="s">
        <v>210</v>
      </c>
      <c r="G522" s="46">
        <f t="shared" si="59"/>
        <v>50</v>
      </c>
      <c r="H522" s="46">
        <f>TRUNC(S522*(1-LOTE_01!$K$10),2)</f>
        <v>38.49</v>
      </c>
      <c r="I522" s="46">
        <f>TRUNC(T522*(1-LOTE_01!$K$10),2)</f>
        <v>5.0599999999999996</v>
      </c>
      <c r="J522" s="100">
        <f t="shared" si="60"/>
        <v>0.22470000000000001</v>
      </c>
      <c r="K522" s="48">
        <f t="shared" si="54"/>
        <v>47.13</v>
      </c>
      <c r="L522" s="48">
        <f t="shared" si="55"/>
        <v>6.19</v>
      </c>
      <c r="M522" s="48">
        <f t="shared" si="56"/>
        <v>2356.5</v>
      </c>
      <c r="N522" s="48">
        <f t="shared" si="57"/>
        <v>309.5</v>
      </c>
      <c r="O522" s="50">
        <f t="shared" si="58"/>
        <v>2666</v>
      </c>
      <c r="P522" s="50">
        <v>0</v>
      </c>
      <c r="Q522" s="76"/>
      <c r="R522" s="140">
        <f>IF((5*S9+10*S10)&gt;50,50,(5*S9+10*S10))</f>
        <v>50</v>
      </c>
      <c r="S522" s="152">
        <v>38.489999999999995</v>
      </c>
      <c r="T522" s="153">
        <v>5.0599999999999996</v>
      </c>
    </row>
    <row r="523" spans="2:20" ht="70">
      <c r="B523" s="5" t="s">
        <v>1247</v>
      </c>
      <c r="C523" s="45" t="s">
        <v>135</v>
      </c>
      <c r="D523" s="45">
        <v>89759</v>
      </c>
      <c r="E523" s="6" t="s">
        <v>1248</v>
      </c>
      <c r="F523" s="45" t="s">
        <v>210</v>
      </c>
      <c r="G523" s="46">
        <f t="shared" si="59"/>
        <v>50</v>
      </c>
      <c r="H523" s="46">
        <f>TRUNC(S523*(1-LOTE_01!$K$10),2)</f>
        <v>9.73</v>
      </c>
      <c r="I523" s="46">
        <f>TRUNC(T523*(1-LOTE_01!$K$10),2)</f>
        <v>3.85</v>
      </c>
      <c r="J523" s="100">
        <f t="shared" si="60"/>
        <v>0.22470000000000001</v>
      </c>
      <c r="K523" s="48">
        <f t="shared" si="54"/>
        <v>11.91</v>
      </c>
      <c r="L523" s="48">
        <f t="shared" si="55"/>
        <v>4.71</v>
      </c>
      <c r="M523" s="48">
        <f t="shared" si="56"/>
        <v>595.5</v>
      </c>
      <c r="N523" s="48">
        <f t="shared" si="57"/>
        <v>235.5</v>
      </c>
      <c r="O523" s="50">
        <f t="shared" si="58"/>
        <v>831</v>
      </c>
      <c r="P523" s="50">
        <v>0</v>
      </c>
      <c r="Q523" s="76"/>
      <c r="R523" s="140">
        <f>IF((5*S9+10*S10)&gt;50,50,(5*S9+10*S10))</f>
        <v>50</v>
      </c>
      <c r="S523" s="152">
        <v>9.73</v>
      </c>
      <c r="T523" s="153">
        <v>3.85</v>
      </c>
    </row>
    <row r="524" spans="2:20" ht="56">
      <c r="B524" s="5" t="s">
        <v>1249</v>
      </c>
      <c r="C524" s="45" t="s">
        <v>135</v>
      </c>
      <c r="D524" s="45">
        <v>103964</v>
      </c>
      <c r="E524" s="6" t="s">
        <v>1250</v>
      </c>
      <c r="F524" s="45" t="s">
        <v>210</v>
      </c>
      <c r="G524" s="46">
        <f t="shared" si="59"/>
        <v>50</v>
      </c>
      <c r="H524" s="46">
        <f>TRUNC(S524*(1-LOTE_01!$K$10),2)</f>
        <v>6.76</v>
      </c>
      <c r="I524" s="46">
        <f>TRUNC(T524*(1-LOTE_01!$K$10),2)</f>
        <v>2.4900000000000002</v>
      </c>
      <c r="J524" s="100">
        <f t="shared" si="60"/>
        <v>0.22470000000000001</v>
      </c>
      <c r="K524" s="48">
        <f t="shared" si="54"/>
        <v>8.27</v>
      </c>
      <c r="L524" s="48">
        <f t="shared" si="55"/>
        <v>3.04</v>
      </c>
      <c r="M524" s="48">
        <f t="shared" si="56"/>
        <v>413.5</v>
      </c>
      <c r="N524" s="48">
        <f t="shared" si="57"/>
        <v>152</v>
      </c>
      <c r="O524" s="50">
        <f t="shared" si="58"/>
        <v>565.5</v>
      </c>
      <c r="P524" s="50">
        <v>0</v>
      </c>
      <c r="Q524" s="76"/>
      <c r="R524" s="140">
        <f>IF((5*S9+10*S10)&gt;50,50,(5*S9+10*S10))</f>
        <v>50</v>
      </c>
      <c r="S524" s="152">
        <v>6.76</v>
      </c>
      <c r="T524" s="153">
        <v>2.4900000000000002</v>
      </c>
    </row>
    <row r="525" spans="2:20" ht="70">
      <c r="B525" s="5" t="s">
        <v>1251</v>
      </c>
      <c r="C525" s="45" t="s">
        <v>135</v>
      </c>
      <c r="D525" s="45">
        <v>89709</v>
      </c>
      <c r="E525" s="6" t="s">
        <v>1252</v>
      </c>
      <c r="F525" s="45" t="s">
        <v>210</v>
      </c>
      <c r="G525" s="46">
        <f t="shared" si="59"/>
        <v>31</v>
      </c>
      <c r="H525" s="46">
        <f>TRUNC(S525*(1-LOTE_01!$K$10),2)</f>
        <v>16.3</v>
      </c>
      <c r="I525" s="46">
        <f>TRUNC(T525*(1-LOTE_01!$K$10),2)</f>
        <v>7.01</v>
      </c>
      <c r="J525" s="100">
        <f t="shared" si="60"/>
        <v>0.22470000000000001</v>
      </c>
      <c r="K525" s="48">
        <f t="shared" si="54"/>
        <v>19.96</v>
      </c>
      <c r="L525" s="48">
        <f t="shared" si="55"/>
        <v>8.58</v>
      </c>
      <c r="M525" s="48">
        <f t="shared" si="56"/>
        <v>618.76</v>
      </c>
      <c r="N525" s="48">
        <f t="shared" si="57"/>
        <v>265.98</v>
      </c>
      <c r="O525" s="50">
        <f t="shared" si="58"/>
        <v>884.74</v>
      </c>
      <c r="P525" s="50">
        <v>0</v>
      </c>
      <c r="Q525" s="76"/>
      <c r="R525" s="140">
        <f>IF((2*S9+5*S10)&gt;50,50,(2*S9+5*S10))</f>
        <v>31</v>
      </c>
      <c r="S525" s="152">
        <v>16.299999999999997</v>
      </c>
      <c r="T525" s="153">
        <v>7.01</v>
      </c>
    </row>
    <row r="526" spans="2:20" ht="56">
      <c r="B526" s="5" t="s">
        <v>1253</v>
      </c>
      <c r="C526" s="45" t="s">
        <v>135</v>
      </c>
      <c r="D526" s="45">
        <v>89491</v>
      </c>
      <c r="E526" s="6" t="s">
        <v>1254</v>
      </c>
      <c r="F526" s="45" t="s">
        <v>210</v>
      </c>
      <c r="G526" s="46">
        <f t="shared" si="59"/>
        <v>31</v>
      </c>
      <c r="H526" s="46">
        <f>TRUNC(S526*(1-LOTE_01!$K$10),2)</f>
        <v>98.7</v>
      </c>
      <c r="I526" s="46">
        <f>TRUNC(T526*(1-LOTE_01!$K$10),2)</f>
        <v>14.46</v>
      </c>
      <c r="J526" s="100">
        <f t="shared" si="60"/>
        <v>0.22470000000000001</v>
      </c>
      <c r="K526" s="48">
        <f t="shared" si="54"/>
        <v>120.87</v>
      </c>
      <c r="L526" s="48">
        <f t="shared" si="55"/>
        <v>17.7</v>
      </c>
      <c r="M526" s="48">
        <f t="shared" si="56"/>
        <v>3746.97</v>
      </c>
      <c r="N526" s="48">
        <f t="shared" si="57"/>
        <v>548.70000000000005</v>
      </c>
      <c r="O526" s="50">
        <f t="shared" si="58"/>
        <v>4295.67</v>
      </c>
      <c r="P526" s="50">
        <v>0</v>
      </c>
      <c r="Q526" s="76"/>
      <c r="R526" s="140">
        <f>IF((2*S9+5*S10)&gt;50,50,(2*S9+5*S10))</f>
        <v>31</v>
      </c>
      <c r="S526" s="152">
        <v>98.699999999999989</v>
      </c>
      <c r="T526" s="153">
        <v>14.46</v>
      </c>
    </row>
    <row r="527" spans="2:20" ht="28">
      <c r="B527" s="5" t="s">
        <v>1255</v>
      </c>
      <c r="C527" s="45" t="s">
        <v>165</v>
      </c>
      <c r="D527" s="45" t="s">
        <v>1210</v>
      </c>
      <c r="E527" s="6" t="s">
        <v>1211</v>
      </c>
      <c r="F527" s="45" t="s">
        <v>559</v>
      </c>
      <c r="G527" s="46">
        <f t="shared" si="59"/>
        <v>50</v>
      </c>
      <c r="H527" s="46">
        <f>TRUNC(S527*(1-LOTE_01!$K$10),2)</f>
        <v>99.96</v>
      </c>
      <c r="I527" s="46">
        <f>TRUNC(T527*(1-LOTE_01!$K$10),2)</f>
        <v>21.03</v>
      </c>
      <c r="J527" s="100">
        <f t="shared" si="60"/>
        <v>0.22470000000000001</v>
      </c>
      <c r="K527" s="48">
        <f t="shared" si="54"/>
        <v>122.42</v>
      </c>
      <c r="L527" s="48">
        <f t="shared" si="55"/>
        <v>25.75</v>
      </c>
      <c r="M527" s="48">
        <f t="shared" si="56"/>
        <v>6121</v>
      </c>
      <c r="N527" s="48">
        <f t="shared" si="57"/>
        <v>1287.5</v>
      </c>
      <c r="O527" s="50">
        <f t="shared" si="58"/>
        <v>7408.5</v>
      </c>
      <c r="P527" s="50">
        <v>0</v>
      </c>
      <c r="Q527" s="76"/>
      <c r="R527" s="140">
        <f>IF((5*S9+10*S10)&gt;50,50,(5*S9+10*S10))</f>
        <v>50</v>
      </c>
      <c r="S527" s="152">
        <v>99.96</v>
      </c>
      <c r="T527" s="153">
        <v>21.03</v>
      </c>
    </row>
    <row r="528" spans="2:20" ht="56">
      <c r="B528" s="5" t="s">
        <v>1256</v>
      </c>
      <c r="C528" s="45" t="s">
        <v>135</v>
      </c>
      <c r="D528" s="45">
        <v>89986</v>
      </c>
      <c r="E528" s="6" t="s">
        <v>1257</v>
      </c>
      <c r="F528" s="45" t="s">
        <v>210</v>
      </c>
      <c r="G528" s="46">
        <f t="shared" si="59"/>
        <v>50</v>
      </c>
      <c r="H528" s="46">
        <f>TRUNC(S528*(1-LOTE_01!$K$10),2)</f>
        <v>51</v>
      </c>
      <c r="I528" s="46">
        <f>TRUNC(T528*(1-LOTE_01!$K$10),2)</f>
        <v>8</v>
      </c>
      <c r="J528" s="100">
        <f t="shared" si="60"/>
        <v>0.22470000000000001</v>
      </c>
      <c r="K528" s="48">
        <f t="shared" ref="K528:K591" si="61">TRUNC(H528*(1+J528),2)</f>
        <v>62.45</v>
      </c>
      <c r="L528" s="48">
        <f t="shared" ref="L528:L591" si="62">TRUNC(I528*(1+J528),2)</f>
        <v>9.7899999999999991</v>
      </c>
      <c r="M528" s="48">
        <f t="shared" ref="M528:M591" si="63">TRUNC(K528*G528,2)</f>
        <v>3122.5</v>
      </c>
      <c r="N528" s="48">
        <f t="shared" ref="N528:N591" si="64">TRUNC(L528*G528,2)</f>
        <v>489.5</v>
      </c>
      <c r="O528" s="50">
        <f t="shared" ref="O528:O591" si="65">TRUNC(M528+N528,2)</f>
        <v>3612</v>
      </c>
      <c r="P528" s="50">
        <v>0</v>
      </c>
      <c r="Q528" s="76"/>
      <c r="R528" s="140">
        <f>IF((5*S9+10*S10)&gt;50,50,(5*S9+10*S10))</f>
        <v>50</v>
      </c>
      <c r="S528" s="152">
        <v>51</v>
      </c>
      <c r="T528" s="153">
        <v>8</v>
      </c>
    </row>
    <row r="529" spans="2:20" ht="28">
      <c r="B529" s="5" t="s">
        <v>1258</v>
      </c>
      <c r="C529" s="45" t="s">
        <v>165</v>
      </c>
      <c r="D529" s="45" t="s">
        <v>1259</v>
      </c>
      <c r="E529" s="6" t="s">
        <v>1260</v>
      </c>
      <c r="F529" s="45" t="s">
        <v>559</v>
      </c>
      <c r="G529" s="46">
        <f t="shared" si="59"/>
        <v>50</v>
      </c>
      <c r="H529" s="46">
        <f>TRUNC(S529*(1-LOTE_01!$K$10),2)</f>
        <v>80.28</v>
      </c>
      <c r="I529" s="46">
        <f>TRUNC(T529*(1-LOTE_01!$K$10),2)</f>
        <v>21.03</v>
      </c>
      <c r="J529" s="100">
        <f t="shared" si="60"/>
        <v>0.22470000000000001</v>
      </c>
      <c r="K529" s="48">
        <f t="shared" si="61"/>
        <v>98.31</v>
      </c>
      <c r="L529" s="48">
        <f t="shared" si="62"/>
        <v>25.75</v>
      </c>
      <c r="M529" s="48">
        <f t="shared" si="63"/>
        <v>4915.5</v>
      </c>
      <c r="N529" s="48">
        <f t="shared" si="64"/>
        <v>1287.5</v>
      </c>
      <c r="O529" s="50">
        <f t="shared" si="65"/>
        <v>6203</v>
      </c>
      <c r="P529" s="50">
        <v>0</v>
      </c>
      <c r="Q529" s="76"/>
      <c r="R529" s="140">
        <f>IF((5*S9+10*S10)&gt;50,50,(5*S9+10*S10))</f>
        <v>50</v>
      </c>
      <c r="S529" s="152">
        <v>80.28</v>
      </c>
      <c r="T529" s="153">
        <v>21.03</v>
      </c>
    </row>
    <row r="530" spans="2:20" ht="42">
      <c r="B530" s="5" t="s">
        <v>1261</v>
      </c>
      <c r="C530" s="45" t="s">
        <v>135</v>
      </c>
      <c r="D530" s="45">
        <v>94496</v>
      </c>
      <c r="E530" s="6" t="s">
        <v>1262</v>
      </c>
      <c r="F530" s="45" t="s">
        <v>210</v>
      </c>
      <c r="G530" s="46">
        <f t="shared" ref="G530:G593" si="66">TRUNC(R530,2)</f>
        <v>50</v>
      </c>
      <c r="H530" s="46">
        <f>TRUNC(S530*(1-LOTE_01!$K$10),2)</f>
        <v>51.12</v>
      </c>
      <c r="I530" s="46">
        <f>TRUNC(T530*(1-LOTE_01!$K$10),2)</f>
        <v>8.82</v>
      </c>
      <c r="J530" s="100">
        <f t="shared" ref="J530:J593" si="67">$J$4</f>
        <v>0.22470000000000001</v>
      </c>
      <c r="K530" s="48">
        <f t="shared" si="61"/>
        <v>62.6</v>
      </c>
      <c r="L530" s="48">
        <f t="shared" si="62"/>
        <v>10.8</v>
      </c>
      <c r="M530" s="48">
        <f t="shared" si="63"/>
        <v>3130</v>
      </c>
      <c r="N530" s="48">
        <f t="shared" si="64"/>
        <v>540</v>
      </c>
      <c r="O530" s="50">
        <f t="shared" si="65"/>
        <v>3670</v>
      </c>
      <c r="P530" s="50">
        <v>0</v>
      </c>
      <c r="Q530" s="76"/>
      <c r="R530" s="140">
        <f>IF((5*S9+10*S10)&gt;50,50,(5*S9+10*S10))</f>
        <v>50</v>
      </c>
      <c r="S530" s="152">
        <v>51.12</v>
      </c>
      <c r="T530" s="153">
        <v>8.82</v>
      </c>
    </row>
    <row r="531" spans="2:20" ht="70">
      <c r="B531" s="5" t="s">
        <v>1263</v>
      </c>
      <c r="C531" s="45" t="s">
        <v>135</v>
      </c>
      <c r="D531" s="45">
        <v>94691</v>
      </c>
      <c r="E531" s="6" t="s">
        <v>1264</v>
      </c>
      <c r="F531" s="45" t="s">
        <v>210</v>
      </c>
      <c r="G531" s="46">
        <f t="shared" si="66"/>
        <v>50</v>
      </c>
      <c r="H531" s="46">
        <f>TRUNC(S531*(1-LOTE_01!$K$10),2)</f>
        <v>11.27</v>
      </c>
      <c r="I531" s="46">
        <f>TRUNC(T531*(1-LOTE_01!$K$10),2)</f>
        <v>3.97</v>
      </c>
      <c r="J531" s="100">
        <f t="shared" si="67"/>
        <v>0.22470000000000001</v>
      </c>
      <c r="K531" s="48">
        <f t="shared" si="61"/>
        <v>13.8</v>
      </c>
      <c r="L531" s="48">
        <f t="shared" si="62"/>
        <v>4.8600000000000003</v>
      </c>
      <c r="M531" s="48">
        <f t="shared" si="63"/>
        <v>690</v>
      </c>
      <c r="N531" s="48">
        <f t="shared" si="64"/>
        <v>243</v>
      </c>
      <c r="O531" s="50">
        <f t="shared" si="65"/>
        <v>933</v>
      </c>
      <c r="P531" s="50">
        <v>0</v>
      </c>
      <c r="Q531" s="76"/>
      <c r="R531" s="140">
        <f>IF((5*S9+10*S10)&gt;50,50,(5*S9+10*S10))</f>
        <v>50</v>
      </c>
      <c r="S531" s="152">
        <v>11.27</v>
      </c>
      <c r="T531" s="153">
        <v>3.97</v>
      </c>
    </row>
    <row r="532" spans="2:20" ht="70">
      <c r="B532" s="5" t="s">
        <v>1265</v>
      </c>
      <c r="C532" s="45" t="s">
        <v>135</v>
      </c>
      <c r="D532" s="45">
        <v>94693</v>
      </c>
      <c r="E532" s="6" t="s">
        <v>1266</v>
      </c>
      <c r="F532" s="45" t="s">
        <v>210</v>
      </c>
      <c r="G532" s="46">
        <f t="shared" si="66"/>
        <v>50</v>
      </c>
      <c r="H532" s="46">
        <f>TRUNC(S532*(1-LOTE_01!$K$10),2)</f>
        <v>14.64</v>
      </c>
      <c r="I532" s="46">
        <f>TRUNC(T532*(1-LOTE_01!$K$10),2)</f>
        <v>5.28</v>
      </c>
      <c r="J532" s="100">
        <f t="shared" si="67"/>
        <v>0.22470000000000001</v>
      </c>
      <c r="K532" s="48">
        <f t="shared" si="61"/>
        <v>17.920000000000002</v>
      </c>
      <c r="L532" s="48">
        <f t="shared" si="62"/>
        <v>6.46</v>
      </c>
      <c r="M532" s="48">
        <f t="shared" si="63"/>
        <v>896</v>
      </c>
      <c r="N532" s="48">
        <f t="shared" si="64"/>
        <v>323</v>
      </c>
      <c r="O532" s="50">
        <f t="shared" si="65"/>
        <v>1219</v>
      </c>
      <c r="P532" s="50">
        <v>0</v>
      </c>
      <c r="Q532" s="76"/>
      <c r="R532" s="140">
        <f>IF((5*S9+10*S10)&gt;50,50,(5*S9+10*S10))</f>
        <v>50</v>
      </c>
      <c r="S532" s="152">
        <v>14.64</v>
      </c>
      <c r="T532" s="153">
        <v>5.28</v>
      </c>
    </row>
    <row r="533" spans="2:20" ht="28">
      <c r="B533" s="5" t="s">
        <v>1267</v>
      </c>
      <c r="C533" s="45" t="s">
        <v>165</v>
      </c>
      <c r="D533" s="45" t="s">
        <v>1268</v>
      </c>
      <c r="E533" s="6" t="s">
        <v>1269</v>
      </c>
      <c r="F533" s="45" t="s">
        <v>559</v>
      </c>
      <c r="G533" s="46">
        <f t="shared" si="66"/>
        <v>50</v>
      </c>
      <c r="H533" s="46">
        <f>TRUNC(S533*(1-LOTE_01!$K$10),2)</f>
        <v>5.47</v>
      </c>
      <c r="I533" s="46">
        <f>TRUNC(T533*(1-LOTE_01!$K$10),2)</f>
        <v>6.55</v>
      </c>
      <c r="J533" s="100">
        <f t="shared" si="67"/>
        <v>0.22470000000000001</v>
      </c>
      <c r="K533" s="48">
        <f t="shared" si="61"/>
        <v>6.69</v>
      </c>
      <c r="L533" s="48">
        <f t="shared" si="62"/>
        <v>8.02</v>
      </c>
      <c r="M533" s="48">
        <f t="shared" si="63"/>
        <v>334.5</v>
      </c>
      <c r="N533" s="48">
        <f t="shared" si="64"/>
        <v>401</v>
      </c>
      <c r="O533" s="50">
        <f t="shared" si="65"/>
        <v>735.5</v>
      </c>
      <c r="P533" s="50">
        <v>0</v>
      </c>
      <c r="Q533" s="76"/>
      <c r="R533" s="140">
        <f>IF((5*S9+10*S10)&gt;50,50,(5*S9+10*S10))</f>
        <v>50</v>
      </c>
      <c r="S533" s="152">
        <v>5.47</v>
      </c>
      <c r="T533" s="153">
        <v>6.55</v>
      </c>
    </row>
    <row r="534" spans="2:20" ht="28">
      <c r="B534" s="5" t="s">
        <v>1270</v>
      </c>
      <c r="C534" s="45" t="s">
        <v>165</v>
      </c>
      <c r="D534" s="45" t="s">
        <v>1271</v>
      </c>
      <c r="E534" s="6" t="s">
        <v>1272</v>
      </c>
      <c r="F534" s="45" t="s">
        <v>559</v>
      </c>
      <c r="G534" s="46">
        <f t="shared" si="66"/>
        <v>50</v>
      </c>
      <c r="H534" s="46">
        <f>TRUNC(S534*(1-LOTE_01!$K$10),2)</f>
        <v>6.26</v>
      </c>
      <c r="I534" s="46">
        <f>TRUNC(T534*(1-LOTE_01!$K$10),2)</f>
        <v>6.9</v>
      </c>
      <c r="J534" s="100">
        <f t="shared" si="67"/>
        <v>0.22470000000000001</v>
      </c>
      <c r="K534" s="48">
        <f t="shared" si="61"/>
        <v>7.66</v>
      </c>
      <c r="L534" s="48">
        <f t="shared" si="62"/>
        <v>8.4499999999999993</v>
      </c>
      <c r="M534" s="48">
        <f t="shared" si="63"/>
        <v>383</v>
      </c>
      <c r="N534" s="48">
        <f t="shared" si="64"/>
        <v>422.5</v>
      </c>
      <c r="O534" s="50">
        <f t="shared" si="65"/>
        <v>805.5</v>
      </c>
      <c r="P534" s="50">
        <v>0</v>
      </c>
      <c r="Q534" s="76"/>
      <c r="R534" s="140">
        <f>IF((5*S9+10*S10)&gt;50,50,(5*S9+10*S10))</f>
        <v>50</v>
      </c>
      <c r="S534" s="152">
        <v>6.26</v>
      </c>
      <c r="T534" s="153">
        <v>6.9</v>
      </c>
    </row>
    <row r="535" spans="2:20" ht="56">
      <c r="B535" s="5" t="s">
        <v>1273</v>
      </c>
      <c r="C535" s="45" t="s">
        <v>135</v>
      </c>
      <c r="D535" s="45">
        <v>89395</v>
      </c>
      <c r="E535" s="6" t="s">
        <v>1274</v>
      </c>
      <c r="F535" s="45" t="s">
        <v>210</v>
      </c>
      <c r="G535" s="46">
        <f t="shared" si="66"/>
        <v>50</v>
      </c>
      <c r="H535" s="46">
        <f>TRUNC(S535*(1-LOTE_01!$K$10),2)</f>
        <v>6.16</v>
      </c>
      <c r="I535" s="46">
        <f>TRUNC(T535*(1-LOTE_01!$K$10),2)</f>
        <v>8.5299999999999994</v>
      </c>
      <c r="J535" s="100">
        <f t="shared" si="67"/>
        <v>0.22470000000000001</v>
      </c>
      <c r="K535" s="48">
        <f>TRUNC(H535*(1+J535),2)</f>
        <v>7.54</v>
      </c>
      <c r="L535" s="48">
        <f>TRUNC(I535*(1+J535),2)</f>
        <v>10.44</v>
      </c>
      <c r="M535" s="48">
        <f>TRUNC(K535*G535,2)</f>
        <v>377</v>
      </c>
      <c r="N535" s="48">
        <f>TRUNC(L535*G535,2)</f>
        <v>522</v>
      </c>
      <c r="O535" s="50">
        <f>TRUNC(M535+N535,2)</f>
        <v>899</v>
      </c>
      <c r="P535" s="50">
        <v>0</v>
      </c>
      <c r="Q535" s="76"/>
      <c r="R535" s="140">
        <f>IF((5*S9+10*S10)&gt;50,50,(5*S9+10*S10))</f>
        <v>50</v>
      </c>
      <c r="S535" s="152">
        <v>6.16</v>
      </c>
      <c r="T535" s="153">
        <v>8.5299999999999994</v>
      </c>
    </row>
    <row r="536" spans="2:20" ht="70">
      <c r="B536" s="5" t="s">
        <v>1275</v>
      </c>
      <c r="C536" s="45" t="s">
        <v>135</v>
      </c>
      <c r="D536" s="45">
        <v>89546</v>
      </c>
      <c r="E536" s="6" t="s">
        <v>1276</v>
      </c>
      <c r="F536" s="45" t="s">
        <v>210</v>
      </c>
      <c r="G536" s="46">
        <f t="shared" si="66"/>
        <v>50</v>
      </c>
      <c r="H536" s="46">
        <f>TRUNC(S536*(1-LOTE_01!$K$10),2)</f>
        <v>11.89</v>
      </c>
      <c r="I536" s="46">
        <f>TRUNC(T536*(1-LOTE_01!$K$10),2)</f>
        <v>1.58</v>
      </c>
      <c r="J536" s="100">
        <f t="shared" si="67"/>
        <v>0.22470000000000001</v>
      </c>
      <c r="K536" s="48">
        <f t="shared" si="61"/>
        <v>14.56</v>
      </c>
      <c r="L536" s="48">
        <f t="shared" si="62"/>
        <v>1.93</v>
      </c>
      <c r="M536" s="48">
        <f t="shared" si="63"/>
        <v>728</v>
      </c>
      <c r="N536" s="48">
        <f t="shared" si="64"/>
        <v>96.5</v>
      </c>
      <c r="O536" s="50">
        <f t="shared" si="65"/>
        <v>824.5</v>
      </c>
      <c r="P536" s="50">
        <v>0</v>
      </c>
      <c r="Q536" s="76"/>
      <c r="R536" s="140">
        <f>IF((5*S9+10*S10)&gt;50,50,(5*S9+10*S10))</f>
        <v>50</v>
      </c>
      <c r="S536" s="152">
        <v>11.89</v>
      </c>
      <c r="T536" s="153">
        <v>1.58</v>
      </c>
    </row>
    <row r="537" spans="2:20" ht="28">
      <c r="B537" s="5" t="s">
        <v>1277</v>
      </c>
      <c r="C537" s="45" t="s">
        <v>97</v>
      </c>
      <c r="D537" s="45" t="s">
        <v>1278</v>
      </c>
      <c r="E537" s="6" t="s">
        <v>1279</v>
      </c>
      <c r="F537" s="45" t="s">
        <v>104</v>
      </c>
      <c r="G537" s="46">
        <f t="shared" si="66"/>
        <v>22</v>
      </c>
      <c r="H537" s="46">
        <f>TRUNC(S537*(1-LOTE_01!$K$10),2)</f>
        <v>13.87</v>
      </c>
      <c r="I537" s="46">
        <f>TRUNC(T537*(1-LOTE_01!$K$10),2)</f>
        <v>4.72</v>
      </c>
      <c r="J537" s="100">
        <f t="shared" si="67"/>
        <v>0.22470000000000001</v>
      </c>
      <c r="K537" s="48">
        <f t="shared" si="61"/>
        <v>16.98</v>
      </c>
      <c r="L537" s="48">
        <f t="shared" si="62"/>
        <v>5.78</v>
      </c>
      <c r="M537" s="48">
        <f t="shared" si="63"/>
        <v>373.56</v>
      </c>
      <c r="N537" s="48">
        <f t="shared" si="64"/>
        <v>127.16</v>
      </c>
      <c r="O537" s="50">
        <f t="shared" si="65"/>
        <v>500.72</v>
      </c>
      <c r="P537" s="50">
        <v>0</v>
      </c>
      <c r="Q537" s="76"/>
      <c r="R537" s="140">
        <f>2*S9+2*S10</f>
        <v>22</v>
      </c>
      <c r="S537" s="152">
        <v>13.87</v>
      </c>
      <c r="T537" s="153">
        <v>4.72</v>
      </c>
    </row>
    <row r="538" spans="2:20" ht="70">
      <c r="B538" s="5" t="s">
        <v>1280</v>
      </c>
      <c r="C538" s="45" t="s">
        <v>135</v>
      </c>
      <c r="D538" s="45">
        <v>89707</v>
      </c>
      <c r="E538" s="6" t="s">
        <v>1281</v>
      </c>
      <c r="F538" s="45" t="s">
        <v>210</v>
      </c>
      <c r="G538" s="46">
        <f t="shared" si="66"/>
        <v>31</v>
      </c>
      <c r="H538" s="46">
        <f>TRUNC(S538*(1-LOTE_01!$K$10),2)</f>
        <v>37.53</v>
      </c>
      <c r="I538" s="46">
        <f>TRUNC(T538*(1-LOTE_01!$K$10),2)</f>
        <v>16.96</v>
      </c>
      <c r="J538" s="100">
        <f t="shared" si="67"/>
        <v>0.22470000000000001</v>
      </c>
      <c r="K538" s="48">
        <f t="shared" si="61"/>
        <v>45.96</v>
      </c>
      <c r="L538" s="48">
        <f t="shared" si="62"/>
        <v>20.77</v>
      </c>
      <c r="M538" s="48">
        <f t="shared" si="63"/>
        <v>1424.76</v>
      </c>
      <c r="N538" s="48">
        <f t="shared" si="64"/>
        <v>643.87</v>
      </c>
      <c r="O538" s="50">
        <f t="shared" si="65"/>
        <v>2068.63</v>
      </c>
      <c r="P538" s="50">
        <v>0</v>
      </c>
      <c r="Q538" s="76"/>
      <c r="R538" s="140">
        <f>IF((2*S9+5*S10)&gt;50,50,(2*S9+5*S10))</f>
        <v>31</v>
      </c>
      <c r="S538" s="152">
        <v>37.53</v>
      </c>
      <c r="T538" s="153">
        <v>16.96</v>
      </c>
    </row>
    <row r="539" spans="2:20" ht="28">
      <c r="B539" s="5" t="s">
        <v>1282</v>
      </c>
      <c r="C539" s="45" t="s">
        <v>97</v>
      </c>
      <c r="D539" s="45" t="s">
        <v>1283</v>
      </c>
      <c r="E539" s="6" t="s">
        <v>1284</v>
      </c>
      <c r="F539" s="45" t="s">
        <v>104</v>
      </c>
      <c r="G539" s="46">
        <f t="shared" si="66"/>
        <v>11</v>
      </c>
      <c r="H539" s="46">
        <f>TRUNC(S539*(1-LOTE_01!$K$10),2)</f>
        <v>350</v>
      </c>
      <c r="I539" s="46">
        <f>TRUNC(T539*(1-LOTE_01!$K$10),2)</f>
        <v>0</v>
      </c>
      <c r="J539" s="100">
        <f t="shared" si="67"/>
        <v>0.22470000000000001</v>
      </c>
      <c r="K539" s="48">
        <f t="shared" si="61"/>
        <v>428.64</v>
      </c>
      <c r="L539" s="48">
        <f t="shared" si="62"/>
        <v>0</v>
      </c>
      <c r="M539" s="48">
        <f t="shared" si="63"/>
        <v>4715.04</v>
      </c>
      <c r="N539" s="48">
        <f t="shared" si="64"/>
        <v>0</v>
      </c>
      <c r="O539" s="50">
        <f t="shared" si="65"/>
        <v>4715.04</v>
      </c>
      <c r="P539" s="50">
        <v>0</v>
      </c>
      <c r="Q539" s="76"/>
      <c r="R539" s="140">
        <f>1*S9+1*S10</f>
        <v>11</v>
      </c>
      <c r="S539" s="152">
        <v>350</v>
      </c>
      <c r="T539" s="153">
        <v>0</v>
      </c>
    </row>
    <row r="540" spans="2:20" ht="28">
      <c r="B540" s="101" t="s">
        <v>1285</v>
      </c>
      <c r="C540" s="102" t="s">
        <v>21</v>
      </c>
      <c r="D540" s="102" t="s">
        <v>21</v>
      </c>
      <c r="E540" s="103" t="s">
        <v>1286</v>
      </c>
      <c r="F540" s="102" t="s">
        <v>21</v>
      </c>
      <c r="G540" s="46">
        <f t="shared" si="66"/>
        <v>0</v>
      </c>
      <c r="H540" s="46"/>
      <c r="I540" s="46"/>
      <c r="J540" s="105"/>
      <c r="K540" s="48">
        <f t="shared" si="61"/>
        <v>0</v>
      </c>
      <c r="L540" s="48">
        <f t="shared" si="62"/>
        <v>0</v>
      </c>
      <c r="M540" s="48">
        <f t="shared" si="63"/>
        <v>0</v>
      </c>
      <c r="N540" s="48">
        <f t="shared" si="64"/>
        <v>0</v>
      </c>
      <c r="O540" s="50">
        <f t="shared" si="65"/>
        <v>0</v>
      </c>
      <c r="P540" s="50">
        <v>0</v>
      </c>
      <c r="Q540" s="76"/>
      <c r="R540" s="154"/>
      <c r="S540" s="152" t="s">
        <v>22</v>
      </c>
      <c r="T540" s="153" t="s">
        <v>22</v>
      </c>
    </row>
    <row r="541" spans="2:20" ht="42">
      <c r="B541" s="5" t="s">
        <v>1287</v>
      </c>
      <c r="C541" s="45" t="s">
        <v>97</v>
      </c>
      <c r="D541" s="45" t="s">
        <v>1288</v>
      </c>
      <c r="E541" s="6" t="s">
        <v>1289</v>
      </c>
      <c r="F541" s="45" t="s">
        <v>104</v>
      </c>
      <c r="G541" s="46">
        <f t="shared" si="66"/>
        <v>22</v>
      </c>
      <c r="H541" s="46">
        <f>TRUNC(S541*(1-LOTE_01!$K$10),2)</f>
        <v>6.94</v>
      </c>
      <c r="I541" s="46">
        <f>TRUNC(T541*(1-LOTE_01!$K$10),2)</f>
        <v>20.78</v>
      </c>
      <c r="J541" s="100">
        <f t="shared" si="67"/>
        <v>0.22470000000000001</v>
      </c>
      <c r="K541" s="48">
        <f t="shared" si="61"/>
        <v>8.49</v>
      </c>
      <c r="L541" s="48">
        <f t="shared" si="62"/>
        <v>25.44</v>
      </c>
      <c r="M541" s="48">
        <f t="shared" si="63"/>
        <v>186.78</v>
      </c>
      <c r="N541" s="48">
        <f t="shared" si="64"/>
        <v>559.67999999999995</v>
      </c>
      <c r="O541" s="50">
        <f t="shared" si="65"/>
        <v>746.46</v>
      </c>
      <c r="P541" s="50">
        <v>0</v>
      </c>
      <c r="Q541" s="76"/>
      <c r="R541" s="140">
        <f>2*S9+2*S10</f>
        <v>22</v>
      </c>
      <c r="S541" s="152">
        <v>6.94</v>
      </c>
      <c r="T541" s="153">
        <v>20.78</v>
      </c>
    </row>
    <row r="542" spans="2:20" ht="28">
      <c r="B542" s="5" t="s">
        <v>1290</v>
      </c>
      <c r="C542" s="45" t="s">
        <v>97</v>
      </c>
      <c r="D542" s="45" t="s">
        <v>1291</v>
      </c>
      <c r="E542" s="6" t="s">
        <v>1292</v>
      </c>
      <c r="F542" s="45" t="s">
        <v>104</v>
      </c>
      <c r="G542" s="46">
        <f t="shared" si="66"/>
        <v>22</v>
      </c>
      <c r="H542" s="46">
        <f>TRUNC(S542*(1-LOTE_01!$K$10),2)</f>
        <v>3.08</v>
      </c>
      <c r="I542" s="46">
        <f>TRUNC(T542*(1-LOTE_01!$K$10),2)</f>
        <v>4.09</v>
      </c>
      <c r="J542" s="100">
        <f t="shared" si="67"/>
        <v>0.22470000000000001</v>
      </c>
      <c r="K542" s="48">
        <f t="shared" si="61"/>
        <v>3.77</v>
      </c>
      <c r="L542" s="48">
        <f t="shared" si="62"/>
        <v>5</v>
      </c>
      <c r="M542" s="48">
        <f t="shared" si="63"/>
        <v>82.94</v>
      </c>
      <c r="N542" s="48">
        <f t="shared" si="64"/>
        <v>110</v>
      </c>
      <c r="O542" s="50">
        <f t="shared" si="65"/>
        <v>192.94</v>
      </c>
      <c r="P542" s="50">
        <v>0</v>
      </c>
      <c r="Q542" s="76"/>
      <c r="R542" s="140">
        <f>2*S9+2*S10</f>
        <v>22</v>
      </c>
      <c r="S542" s="152">
        <v>3.08</v>
      </c>
      <c r="T542" s="153">
        <v>4.09</v>
      </c>
    </row>
    <row r="543" spans="2:20" ht="28">
      <c r="B543" s="5" t="s">
        <v>1293</v>
      </c>
      <c r="C543" s="45" t="s">
        <v>97</v>
      </c>
      <c r="D543" s="45" t="s">
        <v>1294</v>
      </c>
      <c r="E543" s="6" t="s">
        <v>1295</v>
      </c>
      <c r="F543" s="45" t="s">
        <v>104</v>
      </c>
      <c r="G543" s="46">
        <f t="shared" si="66"/>
        <v>22</v>
      </c>
      <c r="H543" s="46">
        <f>TRUNC(S543*(1-LOTE_01!$K$10),2)</f>
        <v>3.08</v>
      </c>
      <c r="I543" s="46">
        <f>TRUNC(T543*(1-LOTE_01!$K$10),2)</f>
        <v>4.09</v>
      </c>
      <c r="J543" s="100">
        <f t="shared" si="67"/>
        <v>0.22470000000000001</v>
      </c>
      <c r="K543" s="48">
        <f t="shared" si="61"/>
        <v>3.77</v>
      </c>
      <c r="L543" s="48">
        <f t="shared" si="62"/>
        <v>5</v>
      </c>
      <c r="M543" s="48">
        <f t="shared" si="63"/>
        <v>82.94</v>
      </c>
      <c r="N543" s="48">
        <f t="shared" si="64"/>
        <v>110</v>
      </c>
      <c r="O543" s="50">
        <f t="shared" si="65"/>
        <v>192.94</v>
      </c>
      <c r="P543" s="50">
        <v>0</v>
      </c>
      <c r="Q543" s="76"/>
      <c r="R543" s="140">
        <f>2*S9+2*S10</f>
        <v>22</v>
      </c>
      <c r="S543" s="152">
        <v>3.08</v>
      </c>
      <c r="T543" s="153">
        <v>4.09</v>
      </c>
    </row>
    <row r="544" spans="2:20" ht="70">
      <c r="B544" s="5" t="s">
        <v>1296</v>
      </c>
      <c r="C544" s="45" t="s">
        <v>97</v>
      </c>
      <c r="D544" s="45" t="s">
        <v>1297</v>
      </c>
      <c r="E544" s="6" t="s">
        <v>1298</v>
      </c>
      <c r="F544" s="45" t="s">
        <v>104</v>
      </c>
      <c r="G544" s="46">
        <f t="shared" si="66"/>
        <v>22</v>
      </c>
      <c r="H544" s="46">
        <f>TRUNC(S544*(1-LOTE_01!$K$10),2)</f>
        <v>410.07</v>
      </c>
      <c r="I544" s="46">
        <f>TRUNC(T544*(1-LOTE_01!$K$10),2)</f>
        <v>38.99</v>
      </c>
      <c r="J544" s="100">
        <f t="shared" si="67"/>
        <v>0.22470000000000001</v>
      </c>
      <c r="K544" s="48">
        <f t="shared" si="61"/>
        <v>502.21</v>
      </c>
      <c r="L544" s="48">
        <f t="shared" si="62"/>
        <v>47.75</v>
      </c>
      <c r="M544" s="48">
        <f t="shared" si="63"/>
        <v>11048.62</v>
      </c>
      <c r="N544" s="48">
        <f t="shared" si="64"/>
        <v>1050.5</v>
      </c>
      <c r="O544" s="50">
        <f t="shared" si="65"/>
        <v>12099.12</v>
      </c>
      <c r="P544" s="50">
        <v>0</v>
      </c>
      <c r="Q544" s="76"/>
      <c r="R544" s="140">
        <f>2*S9+2*S10</f>
        <v>22</v>
      </c>
      <c r="S544" s="152">
        <v>410.07</v>
      </c>
      <c r="T544" s="153">
        <v>38.99</v>
      </c>
    </row>
    <row r="545" spans="2:20" ht="28">
      <c r="B545" s="5" t="s">
        <v>1299</v>
      </c>
      <c r="C545" s="45" t="s">
        <v>97</v>
      </c>
      <c r="D545" s="45" t="s">
        <v>1300</v>
      </c>
      <c r="E545" s="6" t="s">
        <v>1301</v>
      </c>
      <c r="F545" s="45" t="s">
        <v>104</v>
      </c>
      <c r="G545" s="46">
        <f t="shared" si="66"/>
        <v>22</v>
      </c>
      <c r="H545" s="46">
        <f>TRUNC(S545*(1-LOTE_01!$K$10),2)</f>
        <v>88.02</v>
      </c>
      <c r="I545" s="46">
        <f>TRUNC(T545*(1-LOTE_01!$K$10),2)</f>
        <v>26.31</v>
      </c>
      <c r="J545" s="100">
        <f t="shared" si="67"/>
        <v>0.22470000000000001</v>
      </c>
      <c r="K545" s="48">
        <f t="shared" si="61"/>
        <v>107.79</v>
      </c>
      <c r="L545" s="48">
        <f t="shared" si="62"/>
        <v>32.22</v>
      </c>
      <c r="M545" s="48">
        <f t="shared" si="63"/>
        <v>2371.38</v>
      </c>
      <c r="N545" s="48">
        <f t="shared" si="64"/>
        <v>708.84</v>
      </c>
      <c r="O545" s="50">
        <f t="shared" si="65"/>
        <v>3080.22</v>
      </c>
      <c r="P545" s="50">
        <v>0</v>
      </c>
      <c r="Q545" s="76"/>
      <c r="R545" s="140">
        <f>2*S9+2*S10</f>
        <v>22</v>
      </c>
      <c r="S545" s="152">
        <v>88.02</v>
      </c>
      <c r="T545" s="153">
        <v>26.31</v>
      </c>
    </row>
    <row r="546" spans="2:20" ht="28">
      <c r="B546" s="5" t="s">
        <v>1302</v>
      </c>
      <c r="C546" s="45" t="s">
        <v>97</v>
      </c>
      <c r="D546" s="45" t="s">
        <v>1303</v>
      </c>
      <c r="E546" s="6" t="s">
        <v>1304</v>
      </c>
      <c r="F546" s="45" t="s">
        <v>104</v>
      </c>
      <c r="G546" s="46">
        <f t="shared" si="66"/>
        <v>22</v>
      </c>
      <c r="H546" s="46">
        <f>TRUNC(S546*(1-LOTE_01!$K$10),2)</f>
        <v>80.78</v>
      </c>
      <c r="I546" s="46">
        <f>TRUNC(T546*(1-LOTE_01!$K$10),2)</f>
        <v>17.45</v>
      </c>
      <c r="J546" s="100">
        <f t="shared" si="67"/>
        <v>0.22470000000000001</v>
      </c>
      <c r="K546" s="48">
        <f t="shared" si="61"/>
        <v>98.93</v>
      </c>
      <c r="L546" s="48">
        <f t="shared" si="62"/>
        <v>21.37</v>
      </c>
      <c r="M546" s="48">
        <f t="shared" si="63"/>
        <v>2176.46</v>
      </c>
      <c r="N546" s="48">
        <f t="shared" si="64"/>
        <v>470.14</v>
      </c>
      <c r="O546" s="50">
        <f t="shared" si="65"/>
        <v>2646.6</v>
      </c>
      <c r="P546" s="50">
        <v>0</v>
      </c>
      <c r="Q546" s="76"/>
      <c r="R546" s="140">
        <f>2*S9+2*S10</f>
        <v>22</v>
      </c>
      <c r="S546" s="152">
        <v>80.78</v>
      </c>
      <c r="T546" s="153">
        <v>17.45</v>
      </c>
    </row>
    <row r="547" spans="2:20" ht="70">
      <c r="B547" s="5" t="s">
        <v>1305</v>
      </c>
      <c r="C547" s="45" t="s">
        <v>135</v>
      </c>
      <c r="D547" s="45">
        <v>86932</v>
      </c>
      <c r="E547" s="6" t="s">
        <v>1817</v>
      </c>
      <c r="F547" s="45" t="s">
        <v>210</v>
      </c>
      <c r="G547" s="46">
        <f t="shared" si="66"/>
        <v>14</v>
      </c>
      <c r="H547" s="46">
        <f>TRUNC(S547*(1-LOTE_01!$K$10),2)</f>
        <v>522.79</v>
      </c>
      <c r="I547" s="46">
        <f>TRUNC(T547*(1-LOTE_01!$K$10),2)</f>
        <v>31.18</v>
      </c>
      <c r="J547" s="100">
        <f t="shared" si="67"/>
        <v>0.22470000000000001</v>
      </c>
      <c r="K547" s="48">
        <f t="shared" si="61"/>
        <v>640.26</v>
      </c>
      <c r="L547" s="48">
        <f t="shared" si="62"/>
        <v>38.18</v>
      </c>
      <c r="M547" s="48">
        <f t="shared" si="63"/>
        <v>8963.64</v>
      </c>
      <c r="N547" s="48">
        <f t="shared" si="64"/>
        <v>534.52</v>
      </c>
      <c r="O547" s="50">
        <f t="shared" si="65"/>
        <v>9498.16</v>
      </c>
      <c r="P547" s="50">
        <v>0</v>
      </c>
      <c r="Q547" s="76"/>
      <c r="R547" s="140">
        <f>1*S9+2*S10</f>
        <v>14</v>
      </c>
      <c r="S547" s="152">
        <v>522.79000000000008</v>
      </c>
      <c r="T547" s="153">
        <v>31.18</v>
      </c>
    </row>
    <row r="548" spans="2:20" ht="28">
      <c r="B548" s="5" t="s">
        <v>1306</v>
      </c>
      <c r="C548" s="45" t="s">
        <v>97</v>
      </c>
      <c r="D548" s="45" t="s">
        <v>1307</v>
      </c>
      <c r="E548" s="6" t="s">
        <v>1308</v>
      </c>
      <c r="F548" s="45" t="s">
        <v>104</v>
      </c>
      <c r="G548" s="46">
        <f t="shared" si="66"/>
        <v>22</v>
      </c>
      <c r="H548" s="46">
        <f>TRUNC(S548*(1-LOTE_01!$K$10),2)</f>
        <v>111.6</v>
      </c>
      <c r="I548" s="46">
        <f>TRUNC(T548*(1-LOTE_01!$K$10),2)</f>
        <v>4.41</v>
      </c>
      <c r="J548" s="100">
        <f t="shared" si="67"/>
        <v>0.22470000000000001</v>
      </c>
      <c r="K548" s="48">
        <f t="shared" si="61"/>
        <v>136.66999999999999</v>
      </c>
      <c r="L548" s="48">
        <f t="shared" si="62"/>
        <v>5.4</v>
      </c>
      <c r="M548" s="48">
        <f t="shared" si="63"/>
        <v>3006.74</v>
      </c>
      <c r="N548" s="48">
        <f t="shared" si="64"/>
        <v>118.8</v>
      </c>
      <c r="O548" s="50">
        <f t="shared" si="65"/>
        <v>3125.54</v>
      </c>
      <c r="P548" s="50">
        <v>0</v>
      </c>
      <c r="Q548" s="76"/>
      <c r="R548" s="140">
        <f>2*S9+2*S10</f>
        <v>22</v>
      </c>
      <c r="S548" s="152">
        <v>111.6</v>
      </c>
      <c r="T548" s="153">
        <v>4.41</v>
      </c>
    </row>
    <row r="549" spans="2:20" ht="28">
      <c r="B549" s="5" t="s">
        <v>1309</v>
      </c>
      <c r="C549" s="45" t="s">
        <v>97</v>
      </c>
      <c r="D549" s="45" t="s">
        <v>1310</v>
      </c>
      <c r="E549" s="6" t="s">
        <v>1311</v>
      </c>
      <c r="F549" s="45" t="s">
        <v>104</v>
      </c>
      <c r="G549" s="46">
        <f t="shared" si="66"/>
        <v>22</v>
      </c>
      <c r="H549" s="46">
        <f>TRUNC(S549*(1-LOTE_01!$K$10),2)</f>
        <v>371.31</v>
      </c>
      <c r="I549" s="46">
        <f>TRUNC(T549*(1-LOTE_01!$K$10),2)</f>
        <v>4.41</v>
      </c>
      <c r="J549" s="100">
        <f t="shared" si="67"/>
        <v>0.22470000000000001</v>
      </c>
      <c r="K549" s="48">
        <f t="shared" si="61"/>
        <v>454.74</v>
      </c>
      <c r="L549" s="48">
        <f t="shared" si="62"/>
        <v>5.4</v>
      </c>
      <c r="M549" s="48">
        <f t="shared" si="63"/>
        <v>10004.280000000001</v>
      </c>
      <c r="N549" s="48">
        <f t="shared" si="64"/>
        <v>118.8</v>
      </c>
      <c r="O549" s="50">
        <f t="shared" si="65"/>
        <v>10123.08</v>
      </c>
      <c r="P549" s="50">
        <v>0</v>
      </c>
      <c r="Q549" s="76"/>
      <c r="R549" s="140">
        <f>2*S9+2*S10</f>
        <v>22</v>
      </c>
      <c r="S549" s="152">
        <v>371.31</v>
      </c>
      <c r="T549" s="153">
        <v>4.41</v>
      </c>
    </row>
    <row r="550" spans="2:20" ht="56">
      <c r="B550" s="5" t="s">
        <v>1312</v>
      </c>
      <c r="C550" s="45" t="s">
        <v>135</v>
      </c>
      <c r="D550" s="45">
        <v>86903</v>
      </c>
      <c r="E550" s="6" t="s">
        <v>1818</v>
      </c>
      <c r="F550" s="45" t="s">
        <v>210</v>
      </c>
      <c r="G550" s="46">
        <f t="shared" si="66"/>
        <v>14</v>
      </c>
      <c r="H550" s="46">
        <f>TRUNC(S550*(1-LOTE_01!$K$10),2)</f>
        <v>320.07</v>
      </c>
      <c r="I550" s="46">
        <f>TRUNC(T550*(1-LOTE_01!$K$10),2)</f>
        <v>45.39</v>
      </c>
      <c r="J550" s="100">
        <f t="shared" si="67"/>
        <v>0.22470000000000001</v>
      </c>
      <c r="K550" s="48">
        <f t="shared" si="61"/>
        <v>391.98</v>
      </c>
      <c r="L550" s="48">
        <f t="shared" si="62"/>
        <v>55.58</v>
      </c>
      <c r="M550" s="48">
        <f t="shared" si="63"/>
        <v>5487.72</v>
      </c>
      <c r="N550" s="48">
        <f t="shared" si="64"/>
        <v>778.12</v>
      </c>
      <c r="O550" s="50">
        <f t="shared" si="65"/>
        <v>6265.84</v>
      </c>
      <c r="P550" s="50">
        <v>0</v>
      </c>
      <c r="Q550" s="76"/>
      <c r="R550" s="140">
        <f>1*S9+2*S10</f>
        <v>14</v>
      </c>
      <c r="S550" s="152">
        <v>320.07</v>
      </c>
      <c r="T550" s="153">
        <v>45.39</v>
      </c>
    </row>
    <row r="551" spans="2:20" ht="98">
      <c r="B551" s="5" t="s">
        <v>1313</v>
      </c>
      <c r="C551" s="45" t="s">
        <v>97</v>
      </c>
      <c r="D551" s="45" t="s">
        <v>1314</v>
      </c>
      <c r="E551" s="6" t="s">
        <v>1315</v>
      </c>
      <c r="F551" s="45" t="s">
        <v>104</v>
      </c>
      <c r="G551" s="46">
        <f t="shared" si="66"/>
        <v>14</v>
      </c>
      <c r="H551" s="46">
        <f>TRUNC(S551*(1-LOTE_01!$K$10),2)</f>
        <v>723.95</v>
      </c>
      <c r="I551" s="46">
        <f>TRUNC(T551*(1-LOTE_01!$K$10),2)</f>
        <v>69.98</v>
      </c>
      <c r="J551" s="100">
        <f t="shared" si="67"/>
        <v>0.22470000000000001</v>
      </c>
      <c r="K551" s="48">
        <f t="shared" si="61"/>
        <v>886.62</v>
      </c>
      <c r="L551" s="48">
        <f t="shared" si="62"/>
        <v>85.7</v>
      </c>
      <c r="M551" s="48">
        <f t="shared" si="63"/>
        <v>12412.68</v>
      </c>
      <c r="N551" s="48">
        <f t="shared" si="64"/>
        <v>1199.8</v>
      </c>
      <c r="O551" s="50">
        <f t="shared" si="65"/>
        <v>13612.48</v>
      </c>
      <c r="P551" s="50">
        <v>0</v>
      </c>
      <c r="Q551" s="76"/>
      <c r="R551" s="140">
        <f>1*S9+2*S10</f>
        <v>14</v>
      </c>
      <c r="S551" s="152">
        <v>723.95</v>
      </c>
      <c r="T551" s="153">
        <v>69.98</v>
      </c>
    </row>
    <row r="552" spans="2:20" ht="56">
      <c r="B552" s="5" t="s">
        <v>1316</v>
      </c>
      <c r="C552" s="45" t="s">
        <v>135</v>
      </c>
      <c r="D552" s="45">
        <v>86904</v>
      </c>
      <c r="E552" s="6" t="s">
        <v>1819</v>
      </c>
      <c r="F552" s="45" t="s">
        <v>210</v>
      </c>
      <c r="G552" s="46">
        <f t="shared" si="66"/>
        <v>14</v>
      </c>
      <c r="H552" s="46">
        <f>TRUNC(S552*(1-LOTE_01!$K$10),2)</f>
        <v>139.85</v>
      </c>
      <c r="I552" s="46">
        <f>TRUNC(T552*(1-LOTE_01!$K$10),2)</f>
        <v>12.42</v>
      </c>
      <c r="J552" s="100">
        <f t="shared" si="67"/>
        <v>0.22470000000000001</v>
      </c>
      <c r="K552" s="48">
        <f t="shared" si="61"/>
        <v>171.27</v>
      </c>
      <c r="L552" s="48">
        <f t="shared" si="62"/>
        <v>15.21</v>
      </c>
      <c r="M552" s="48">
        <f t="shared" si="63"/>
        <v>2397.7800000000002</v>
      </c>
      <c r="N552" s="48">
        <f t="shared" si="64"/>
        <v>212.94</v>
      </c>
      <c r="O552" s="50">
        <f t="shared" si="65"/>
        <v>2610.7199999999998</v>
      </c>
      <c r="P552" s="50">
        <v>0</v>
      </c>
      <c r="Q552" s="76"/>
      <c r="R552" s="140">
        <f>1*S9+2*S10</f>
        <v>14</v>
      </c>
      <c r="S552" s="152">
        <v>139.85000000000002</v>
      </c>
      <c r="T552" s="153">
        <v>12.42</v>
      </c>
    </row>
    <row r="553" spans="2:20" ht="56">
      <c r="B553" s="5" t="s">
        <v>1317</v>
      </c>
      <c r="C553" s="45" t="s">
        <v>135</v>
      </c>
      <c r="D553" s="45">
        <v>100858</v>
      </c>
      <c r="E553" s="6" t="s">
        <v>1820</v>
      </c>
      <c r="F553" s="45" t="s">
        <v>210</v>
      </c>
      <c r="G553" s="46">
        <f t="shared" si="66"/>
        <v>14</v>
      </c>
      <c r="H553" s="46">
        <f>TRUNC(S553*(1-LOTE_01!$K$10),2)</f>
        <v>709.23</v>
      </c>
      <c r="I553" s="46">
        <f>TRUNC(T553*(1-LOTE_01!$K$10),2)</f>
        <v>30.24</v>
      </c>
      <c r="J553" s="100">
        <f t="shared" si="67"/>
        <v>0.22470000000000001</v>
      </c>
      <c r="K553" s="48">
        <f t="shared" si="61"/>
        <v>868.59</v>
      </c>
      <c r="L553" s="48">
        <f t="shared" si="62"/>
        <v>37.03</v>
      </c>
      <c r="M553" s="48">
        <f t="shared" si="63"/>
        <v>12160.26</v>
      </c>
      <c r="N553" s="48">
        <f t="shared" si="64"/>
        <v>518.41999999999996</v>
      </c>
      <c r="O553" s="50">
        <f t="shared" si="65"/>
        <v>12678.68</v>
      </c>
      <c r="P553" s="50">
        <v>0</v>
      </c>
      <c r="Q553" s="76"/>
      <c r="R553" s="140">
        <f>1*S9+2*S10</f>
        <v>14</v>
      </c>
      <c r="S553" s="152">
        <v>709.23</v>
      </c>
      <c r="T553" s="153">
        <v>30.24</v>
      </c>
    </row>
    <row r="554" spans="2:20" ht="28">
      <c r="B554" s="5" t="s">
        <v>1318</v>
      </c>
      <c r="C554" s="45" t="s">
        <v>165</v>
      </c>
      <c r="D554" s="45" t="s">
        <v>1319</v>
      </c>
      <c r="E554" s="6" t="s">
        <v>1320</v>
      </c>
      <c r="F554" s="45" t="s">
        <v>168</v>
      </c>
      <c r="G554" s="46">
        <f t="shared" si="66"/>
        <v>9.1199999999999992</v>
      </c>
      <c r="H554" s="46">
        <f>TRUNC(S554*(1-LOTE_01!$K$10),2)</f>
        <v>342.41</v>
      </c>
      <c r="I554" s="46">
        <f>TRUNC(T554*(1-LOTE_01!$K$10),2)</f>
        <v>81.7</v>
      </c>
      <c r="J554" s="100">
        <f t="shared" si="67"/>
        <v>0.22470000000000001</v>
      </c>
      <c r="K554" s="48">
        <f t="shared" si="61"/>
        <v>419.34</v>
      </c>
      <c r="L554" s="48">
        <f t="shared" si="62"/>
        <v>100.05</v>
      </c>
      <c r="M554" s="48">
        <f t="shared" si="63"/>
        <v>3824.38</v>
      </c>
      <c r="N554" s="48">
        <f t="shared" si="64"/>
        <v>912.45</v>
      </c>
      <c r="O554" s="50">
        <f t="shared" si="65"/>
        <v>4736.83</v>
      </c>
      <c r="P554" s="50">
        <v>0</v>
      </c>
      <c r="Q554" s="76"/>
      <c r="R554" s="140">
        <f>0.4*0.6*4*S9+0.4*0.6*2*S10</f>
        <v>9.1199999999999992</v>
      </c>
      <c r="S554" s="152">
        <v>342.41</v>
      </c>
      <c r="T554" s="153">
        <v>81.7</v>
      </c>
    </row>
    <row r="555" spans="2:20" ht="42">
      <c r="B555" s="5" t="s">
        <v>1321</v>
      </c>
      <c r="C555" s="45" t="s">
        <v>135</v>
      </c>
      <c r="D555" s="45">
        <v>95544</v>
      </c>
      <c r="E555" s="6" t="s">
        <v>1821</v>
      </c>
      <c r="F555" s="45" t="s">
        <v>210</v>
      </c>
      <c r="G555" s="46">
        <f t="shared" si="66"/>
        <v>22</v>
      </c>
      <c r="H555" s="46">
        <f>TRUNC(S555*(1-LOTE_01!$K$10),2)</f>
        <v>77.84</v>
      </c>
      <c r="I555" s="46">
        <f>TRUNC(T555*(1-LOTE_01!$K$10),2)</f>
        <v>9.5299999999999994</v>
      </c>
      <c r="J555" s="100">
        <f t="shared" si="67"/>
        <v>0.22470000000000001</v>
      </c>
      <c r="K555" s="48">
        <f t="shared" si="61"/>
        <v>95.33</v>
      </c>
      <c r="L555" s="48">
        <f t="shared" si="62"/>
        <v>11.67</v>
      </c>
      <c r="M555" s="48">
        <f t="shared" si="63"/>
        <v>2097.2600000000002</v>
      </c>
      <c r="N555" s="48">
        <f t="shared" si="64"/>
        <v>256.74</v>
      </c>
      <c r="O555" s="50">
        <f t="shared" si="65"/>
        <v>2354</v>
      </c>
      <c r="P555" s="50">
        <v>0</v>
      </c>
      <c r="Q555" s="76"/>
      <c r="R555" s="140">
        <f>2*S9+2*S10</f>
        <v>22</v>
      </c>
      <c r="S555" s="152">
        <v>77.84</v>
      </c>
      <c r="T555" s="153">
        <v>9.5299999999999994</v>
      </c>
    </row>
    <row r="556" spans="2:20" ht="28">
      <c r="B556" s="5" t="s">
        <v>1322</v>
      </c>
      <c r="C556" s="45" t="s">
        <v>97</v>
      </c>
      <c r="D556" s="45" t="s">
        <v>1323</v>
      </c>
      <c r="E556" s="6" t="s">
        <v>1324</v>
      </c>
      <c r="F556" s="45" t="s">
        <v>104</v>
      </c>
      <c r="G556" s="46">
        <f t="shared" si="66"/>
        <v>22</v>
      </c>
      <c r="H556" s="46">
        <f>TRUNC(S556*(1-LOTE_01!$K$10),2)</f>
        <v>81.37</v>
      </c>
      <c r="I556" s="46">
        <f>TRUNC(T556*(1-LOTE_01!$K$10),2)</f>
        <v>4.09</v>
      </c>
      <c r="J556" s="100">
        <f t="shared" si="67"/>
        <v>0.22470000000000001</v>
      </c>
      <c r="K556" s="48">
        <f t="shared" si="61"/>
        <v>99.65</v>
      </c>
      <c r="L556" s="48">
        <f t="shared" si="62"/>
        <v>5</v>
      </c>
      <c r="M556" s="48">
        <f t="shared" si="63"/>
        <v>2192.3000000000002</v>
      </c>
      <c r="N556" s="48">
        <f t="shared" si="64"/>
        <v>110</v>
      </c>
      <c r="O556" s="50">
        <f t="shared" si="65"/>
        <v>2302.3000000000002</v>
      </c>
      <c r="P556" s="50">
        <v>0</v>
      </c>
      <c r="Q556" s="76"/>
      <c r="R556" s="140">
        <f>2*S9+2*S10</f>
        <v>22</v>
      </c>
      <c r="S556" s="152">
        <v>81.37</v>
      </c>
      <c r="T556" s="153">
        <v>4.09</v>
      </c>
    </row>
    <row r="557" spans="2:20" ht="42">
      <c r="B557" s="5" t="s">
        <v>1325</v>
      </c>
      <c r="C557" s="45" t="s">
        <v>97</v>
      </c>
      <c r="D557" s="45" t="s">
        <v>1326</v>
      </c>
      <c r="E557" s="6" t="s">
        <v>1327</v>
      </c>
      <c r="F557" s="45" t="s">
        <v>104</v>
      </c>
      <c r="G557" s="46">
        <f t="shared" si="66"/>
        <v>22</v>
      </c>
      <c r="H557" s="46">
        <f>TRUNC(S557*(1-LOTE_01!$K$10),2)</f>
        <v>81.37</v>
      </c>
      <c r="I557" s="46">
        <f>TRUNC(T557*(1-LOTE_01!$K$10),2)</f>
        <v>4.09</v>
      </c>
      <c r="J557" s="100">
        <f t="shared" si="67"/>
        <v>0.22470000000000001</v>
      </c>
      <c r="K557" s="48">
        <f t="shared" si="61"/>
        <v>99.65</v>
      </c>
      <c r="L557" s="48">
        <f t="shared" si="62"/>
        <v>5</v>
      </c>
      <c r="M557" s="48">
        <f t="shared" si="63"/>
        <v>2192.3000000000002</v>
      </c>
      <c r="N557" s="48">
        <f t="shared" si="64"/>
        <v>110</v>
      </c>
      <c r="O557" s="50">
        <f t="shared" si="65"/>
        <v>2302.3000000000002</v>
      </c>
      <c r="P557" s="50">
        <v>0</v>
      </c>
      <c r="Q557" s="76"/>
      <c r="R557" s="140">
        <f>2*S9+2*S10</f>
        <v>22</v>
      </c>
      <c r="S557" s="152">
        <v>81.37</v>
      </c>
      <c r="T557" s="153">
        <v>4.09</v>
      </c>
    </row>
    <row r="558" spans="2:20" ht="56">
      <c r="B558" s="5" t="s">
        <v>1328</v>
      </c>
      <c r="C558" s="45" t="s">
        <v>135</v>
      </c>
      <c r="D558" s="45">
        <v>95547</v>
      </c>
      <c r="E558" s="6" t="s">
        <v>1822</v>
      </c>
      <c r="F558" s="45" t="s">
        <v>210</v>
      </c>
      <c r="G558" s="46">
        <f t="shared" si="66"/>
        <v>22</v>
      </c>
      <c r="H558" s="46">
        <f>TRUNC(S558*(1-LOTE_01!$K$10),2)</f>
        <v>80.180000000000007</v>
      </c>
      <c r="I558" s="46">
        <f>TRUNC(T558*(1-LOTE_01!$K$10),2)</f>
        <v>9.9499999999999993</v>
      </c>
      <c r="J558" s="100">
        <f t="shared" si="67"/>
        <v>0.22470000000000001</v>
      </c>
      <c r="K558" s="48">
        <f t="shared" si="61"/>
        <v>98.19</v>
      </c>
      <c r="L558" s="48">
        <f t="shared" si="62"/>
        <v>12.18</v>
      </c>
      <c r="M558" s="48">
        <f t="shared" si="63"/>
        <v>2160.1799999999998</v>
      </c>
      <c r="N558" s="48">
        <f t="shared" si="64"/>
        <v>267.95999999999998</v>
      </c>
      <c r="O558" s="50">
        <f t="shared" si="65"/>
        <v>2428.14</v>
      </c>
      <c r="P558" s="50">
        <v>0</v>
      </c>
      <c r="Q558" s="76"/>
      <c r="R558" s="140">
        <f>2*S9+2*S10</f>
        <v>22</v>
      </c>
      <c r="S558" s="152">
        <v>80.179999999999993</v>
      </c>
      <c r="T558" s="153">
        <v>9.9499999999999993</v>
      </c>
    </row>
    <row r="559" spans="2:20" ht="28">
      <c r="B559" s="5" t="s">
        <v>1329</v>
      </c>
      <c r="C559" s="45" t="s">
        <v>135</v>
      </c>
      <c r="D559" s="45">
        <v>95545</v>
      </c>
      <c r="E559" s="6" t="s">
        <v>1823</v>
      </c>
      <c r="F559" s="45" t="s">
        <v>210</v>
      </c>
      <c r="G559" s="46">
        <f t="shared" si="66"/>
        <v>22</v>
      </c>
      <c r="H559" s="46">
        <f>TRUNC(S559*(1-LOTE_01!$K$10),2)</f>
        <v>76.02</v>
      </c>
      <c r="I559" s="46">
        <f>TRUNC(T559*(1-LOTE_01!$K$10),2)</f>
        <v>9.5299999999999994</v>
      </c>
      <c r="J559" s="100">
        <f t="shared" si="67"/>
        <v>0.22470000000000001</v>
      </c>
      <c r="K559" s="48">
        <f t="shared" si="61"/>
        <v>93.1</v>
      </c>
      <c r="L559" s="48">
        <f t="shared" si="62"/>
        <v>11.67</v>
      </c>
      <c r="M559" s="48">
        <f t="shared" si="63"/>
        <v>2048.1999999999998</v>
      </c>
      <c r="N559" s="48">
        <f t="shared" si="64"/>
        <v>256.74</v>
      </c>
      <c r="O559" s="50">
        <f t="shared" si="65"/>
        <v>2304.94</v>
      </c>
      <c r="P559" s="50">
        <v>0</v>
      </c>
      <c r="Q559" s="76"/>
      <c r="R559" s="140">
        <f>2*S9+2*S10</f>
        <v>22</v>
      </c>
      <c r="S559" s="152">
        <v>76.02</v>
      </c>
      <c r="T559" s="153">
        <v>9.5299999999999994</v>
      </c>
    </row>
    <row r="560" spans="2:20" ht="28">
      <c r="B560" s="5" t="s">
        <v>1330</v>
      </c>
      <c r="C560" s="45" t="s">
        <v>165</v>
      </c>
      <c r="D560" s="45" t="s">
        <v>1331</v>
      </c>
      <c r="E560" s="6" t="s">
        <v>1332</v>
      </c>
      <c r="F560" s="45" t="s">
        <v>559</v>
      </c>
      <c r="G560" s="46">
        <f t="shared" si="66"/>
        <v>22</v>
      </c>
      <c r="H560" s="46">
        <f>TRUNC(S560*(1-LOTE_01!$K$10),2)</f>
        <v>478.54</v>
      </c>
      <c r="I560" s="46">
        <f>TRUNC(T560*(1-LOTE_01!$K$10),2)</f>
        <v>17.239999999999998</v>
      </c>
      <c r="J560" s="100">
        <f t="shared" si="67"/>
        <v>0.22470000000000001</v>
      </c>
      <c r="K560" s="48">
        <f t="shared" si="61"/>
        <v>586.05999999999995</v>
      </c>
      <c r="L560" s="48">
        <f t="shared" si="62"/>
        <v>21.11</v>
      </c>
      <c r="M560" s="48">
        <f t="shared" si="63"/>
        <v>12893.32</v>
      </c>
      <c r="N560" s="48">
        <f t="shared" si="64"/>
        <v>464.42</v>
      </c>
      <c r="O560" s="50">
        <f t="shared" si="65"/>
        <v>13357.74</v>
      </c>
      <c r="P560" s="50">
        <v>0</v>
      </c>
      <c r="Q560" s="76"/>
      <c r="R560" s="140">
        <f>2*S9+2*S10</f>
        <v>22</v>
      </c>
      <c r="S560" s="152">
        <v>478.54</v>
      </c>
      <c r="T560" s="153">
        <v>17.239999999999998</v>
      </c>
    </row>
    <row r="561" spans="2:20" ht="42">
      <c r="B561" s="5" t="s">
        <v>1333</v>
      </c>
      <c r="C561" s="45" t="s">
        <v>97</v>
      </c>
      <c r="D561" s="45" t="s">
        <v>1354</v>
      </c>
      <c r="E561" s="6" t="s">
        <v>1355</v>
      </c>
      <c r="F561" s="45" t="s">
        <v>104</v>
      </c>
      <c r="G561" s="46">
        <f t="shared" si="66"/>
        <v>22</v>
      </c>
      <c r="H561" s="46">
        <f>TRUNC(S561*(1-LOTE_01!$K$10),2)</f>
        <v>47.11</v>
      </c>
      <c r="I561" s="46">
        <f>TRUNC(T561*(1-LOTE_01!$K$10),2)</f>
        <v>11.99</v>
      </c>
      <c r="J561" s="100">
        <f t="shared" si="67"/>
        <v>0.22470000000000001</v>
      </c>
      <c r="K561" s="48">
        <f t="shared" si="61"/>
        <v>57.69</v>
      </c>
      <c r="L561" s="48">
        <f t="shared" si="62"/>
        <v>14.68</v>
      </c>
      <c r="M561" s="48">
        <f t="shared" si="63"/>
        <v>1269.18</v>
      </c>
      <c r="N561" s="48">
        <f t="shared" si="64"/>
        <v>322.95999999999998</v>
      </c>
      <c r="O561" s="50">
        <f t="shared" si="65"/>
        <v>1592.14</v>
      </c>
      <c r="P561" s="50">
        <v>0</v>
      </c>
      <c r="Q561" s="76"/>
      <c r="R561" s="140">
        <f>2*S9+2*S10</f>
        <v>22</v>
      </c>
      <c r="S561" s="152">
        <v>47.11</v>
      </c>
      <c r="T561" s="153">
        <v>11.99</v>
      </c>
    </row>
    <row r="562" spans="2:20" ht="42">
      <c r="B562" s="5" t="s">
        <v>1334</v>
      </c>
      <c r="C562" s="45" t="s">
        <v>135</v>
      </c>
      <c r="D562" s="45">
        <v>95546</v>
      </c>
      <c r="E562" s="6" t="s">
        <v>1824</v>
      </c>
      <c r="F562" s="45" t="s">
        <v>210</v>
      </c>
      <c r="G562" s="46">
        <f t="shared" si="66"/>
        <v>22</v>
      </c>
      <c r="H562" s="46">
        <f>TRUNC(S562*(1-LOTE_01!$K$10),2)</f>
        <v>216.82</v>
      </c>
      <c r="I562" s="46">
        <f>TRUNC(T562*(1-LOTE_01!$K$10),2)</f>
        <v>58.96</v>
      </c>
      <c r="J562" s="100">
        <f t="shared" si="67"/>
        <v>0.22470000000000001</v>
      </c>
      <c r="K562" s="48">
        <f t="shared" si="61"/>
        <v>265.52999999999997</v>
      </c>
      <c r="L562" s="48">
        <f t="shared" si="62"/>
        <v>72.2</v>
      </c>
      <c r="M562" s="48">
        <f t="shared" si="63"/>
        <v>5841.66</v>
      </c>
      <c r="N562" s="48">
        <f t="shared" si="64"/>
        <v>1588.4</v>
      </c>
      <c r="O562" s="50">
        <f t="shared" si="65"/>
        <v>7430.06</v>
      </c>
      <c r="P562" s="50">
        <v>0</v>
      </c>
      <c r="Q562" s="76"/>
      <c r="R562" s="140">
        <f>2*S9+2*S10</f>
        <v>22</v>
      </c>
      <c r="S562" s="152">
        <v>216.81999999999996</v>
      </c>
      <c r="T562" s="153">
        <v>58.96</v>
      </c>
    </row>
    <row r="563" spans="2:20" ht="42">
      <c r="B563" s="5" t="s">
        <v>1335</v>
      </c>
      <c r="C563" s="45" t="s">
        <v>97</v>
      </c>
      <c r="D563" s="45" t="s">
        <v>1336</v>
      </c>
      <c r="E563" s="6" t="s">
        <v>1337</v>
      </c>
      <c r="F563" s="45" t="s">
        <v>104</v>
      </c>
      <c r="G563" s="46">
        <f t="shared" si="66"/>
        <v>22</v>
      </c>
      <c r="H563" s="46">
        <f>TRUNC(S563*(1-LOTE_01!$K$10),2)</f>
        <v>68.98</v>
      </c>
      <c r="I563" s="46">
        <f>TRUNC(T563*(1-LOTE_01!$K$10),2)</f>
        <v>4.09</v>
      </c>
      <c r="J563" s="100">
        <f t="shared" si="67"/>
        <v>0.22470000000000001</v>
      </c>
      <c r="K563" s="48">
        <f t="shared" si="61"/>
        <v>84.47</v>
      </c>
      <c r="L563" s="48">
        <f t="shared" si="62"/>
        <v>5</v>
      </c>
      <c r="M563" s="48">
        <f t="shared" si="63"/>
        <v>1858.34</v>
      </c>
      <c r="N563" s="48">
        <f t="shared" si="64"/>
        <v>110</v>
      </c>
      <c r="O563" s="50">
        <f t="shared" si="65"/>
        <v>1968.34</v>
      </c>
      <c r="P563" s="50">
        <v>0</v>
      </c>
      <c r="Q563" s="76"/>
      <c r="R563" s="140">
        <f>2*S9+2*S10</f>
        <v>22</v>
      </c>
      <c r="S563" s="152">
        <v>68.98</v>
      </c>
      <c r="T563" s="153">
        <v>4.09</v>
      </c>
    </row>
    <row r="564" spans="2:20" ht="28">
      <c r="B564" s="5" t="s">
        <v>1338</v>
      </c>
      <c r="C564" s="45" t="s">
        <v>97</v>
      </c>
      <c r="D564" s="45" t="s">
        <v>1339</v>
      </c>
      <c r="E564" s="6" t="s">
        <v>1340</v>
      </c>
      <c r="F564" s="45" t="s">
        <v>104</v>
      </c>
      <c r="G564" s="46">
        <f t="shared" si="66"/>
        <v>22</v>
      </c>
      <c r="H564" s="46">
        <f>TRUNC(S564*(1-LOTE_01!$K$10),2)</f>
        <v>51.05</v>
      </c>
      <c r="I564" s="46">
        <f>TRUNC(T564*(1-LOTE_01!$K$10),2)</f>
        <v>4.09</v>
      </c>
      <c r="J564" s="100">
        <f t="shared" si="67"/>
        <v>0.22470000000000001</v>
      </c>
      <c r="K564" s="48">
        <f t="shared" si="61"/>
        <v>62.52</v>
      </c>
      <c r="L564" s="48">
        <f t="shared" si="62"/>
        <v>5</v>
      </c>
      <c r="M564" s="48">
        <f t="shared" si="63"/>
        <v>1375.44</v>
      </c>
      <c r="N564" s="48">
        <f t="shared" si="64"/>
        <v>110</v>
      </c>
      <c r="O564" s="50">
        <f t="shared" si="65"/>
        <v>1485.44</v>
      </c>
      <c r="P564" s="50">
        <v>0</v>
      </c>
      <c r="Q564" s="76"/>
      <c r="R564" s="140">
        <f>2*S9+2*S10</f>
        <v>22</v>
      </c>
      <c r="S564" s="152">
        <v>51.05</v>
      </c>
      <c r="T564" s="153">
        <v>4.09</v>
      </c>
    </row>
    <row r="565" spans="2:20" ht="28">
      <c r="B565" s="5" t="s">
        <v>1341</v>
      </c>
      <c r="C565" s="45" t="s">
        <v>97</v>
      </c>
      <c r="D565" s="45" t="s">
        <v>1342</v>
      </c>
      <c r="E565" s="6" t="s">
        <v>1343</v>
      </c>
      <c r="F565" s="45" t="s">
        <v>104</v>
      </c>
      <c r="G565" s="46">
        <f t="shared" si="66"/>
        <v>14</v>
      </c>
      <c r="H565" s="46">
        <f>TRUNC(S565*(1-LOTE_01!$K$10),2)</f>
        <v>90.46</v>
      </c>
      <c r="I565" s="46">
        <f>TRUNC(T565*(1-LOTE_01!$K$10),2)</f>
        <v>12.84</v>
      </c>
      <c r="J565" s="100">
        <f t="shared" si="67"/>
        <v>0.22470000000000001</v>
      </c>
      <c r="K565" s="48">
        <f t="shared" si="61"/>
        <v>110.78</v>
      </c>
      <c r="L565" s="48">
        <f t="shared" si="62"/>
        <v>15.72</v>
      </c>
      <c r="M565" s="48">
        <f t="shared" si="63"/>
        <v>1550.92</v>
      </c>
      <c r="N565" s="48">
        <f t="shared" si="64"/>
        <v>220.08</v>
      </c>
      <c r="O565" s="50">
        <f t="shared" si="65"/>
        <v>1771</v>
      </c>
      <c r="P565" s="50">
        <v>0</v>
      </c>
      <c r="Q565" s="76"/>
      <c r="R565" s="140">
        <f>1*S9+2*S10</f>
        <v>14</v>
      </c>
      <c r="S565" s="152">
        <v>90.46</v>
      </c>
      <c r="T565" s="153">
        <v>12.84</v>
      </c>
    </row>
    <row r="566" spans="2:20" ht="56">
      <c r="B566" s="5" t="s">
        <v>1344</v>
      </c>
      <c r="C566" s="45" t="s">
        <v>135</v>
      </c>
      <c r="D566" s="45">
        <v>86909</v>
      </c>
      <c r="E566" s="6" t="s">
        <v>1825</v>
      </c>
      <c r="F566" s="45" t="s">
        <v>210</v>
      </c>
      <c r="G566" s="46">
        <f t="shared" si="66"/>
        <v>11</v>
      </c>
      <c r="H566" s="46">
        <f>TRUNC(S566*(1-LOTE_01!$K$10),2)</f>
        <v>100.79</v>
      </c>
      <c r="I566" s="46">
        <f>TRUNC(T566*(1-LOTE_01!$K$10),2)</f>
        <v>5.15</v>
      </c>
      <c r="J566" s="100">
        <f t="shared" si="67"/>
        <v>0.22470000000000001</v>
      </c>
      <c r="K566" s="48">
        <f t="shared" si="61"/>
        <v>123.43</v>
      </c>
      <c r="L566" s="48">
        <f t="shared" si="62"/>
        <v>6.3</v>
      </c>
      <c r="M566" s="48">
        <f t="shared" si="63"/>
        <v>1357.73</v>
      </c>
      <c r="N566" s="48">
        <f t="shared" si="64"/>
        <v>69.3</v>
      </c>
      <c r="O566" s="50">
        <f t="shared" si="65"/>
        <v>1427.03</v>
      </c>
      <c r="P566" s="50">
        <v>0</v>
      </c>
      <c r="Q566" s="76"/>
      <c r="R566" s="140">
        <f>1*S9+1*S10</f>
        <v>11</v>
      </c>
      <c r="S566" s="152">
        <v>100.78999999999999</v>
      </c>
      <c r="T566" s="153">
        <v>5.15</v>
      </c>
    </row>
    <row r="567" spans="2:20" ht="70">
      <c r="B567" s="5" t="s">
        <v>1345</v>
      </c>
      <c r="C567" s="45" t="s">
        <v>135</v>
      </c>
      <c r="D567" s="45">
        <v>86910</v>
      </c>
      <c r="E567" s="6" t="s">
        <v>1826</v>
      </c>
      <c r="F567" s="45" t="s">
        <v>210</v>
      </c>
      <c r="G567" s="46">
        <f t="shared" si="66"/>
        <v>11</v>
      </c>
      <c r="H567" s="46">
        <f>TRUNC(S567*(1-LOTE_01!$K$10),2)</f>
        <v>99.97</v>
      </c>
      <c r="I567" s="46">
        <f>TRUNC(T567*(1-LOTE_01!$K$10),2)</f>
        <v>3.61</v>
      </c>
      <c r="J567" s="100">
        <f t="shared" si="67"/>
        <v>0.22470000000000001</v>
      </c>
      <c r="K567" s="48">
        <f t="shared" si="61"/>
        <v>122.43</v>
      </c>
      <c r="L567" s="48">
        <f t="shared" si="62"/>
        <v>4.42</v>
      </c>
      <c r="M567" s="48">
        <f t="shared" si="63"/>
        <v>1346.73</v>
      </c>
      <c r="N567" s="48">
        <f t="shared" si="64"/>
        <v>48.62</v>
      </c>
      <c r="O567" s="50">
        <f t="shared" si="65"/>
        <v>1395.35</v>
      </c>
      <c r="P567" s="50">
        <v>0</v>
      </c>
      <c r="Q567" s="76"/>
      <c r="R567" s="140">
        <f>1*S9+1*S10</f>
        <v>11</v>
      </c>
      <c r="S567" s="152">
        <v>99.97</v>
      </c>
      <c r="T567" s="153">
        <v>3.61</v>
      </c>
    </row>
    <row r="568" spans="2:20" ht="42">
      <c r="B568" s="5" t="s">
        <v>1346</v>
      </c>
      <c r="C568" s="45" t="s">
        <v>135</v>
      </c>
      <c r="D568" s="45">
        <v>100853</v>
      </c>
      <c r="E568" s="6" t="s">
        <v>1827</v>
      </c>
      <c r="F568" s="45" t="s">
        <v>210</v>
      </c>
      <c r="G568" s="46">
        <f t="shared" si="66"/>
        <v>11</v>
      </c>
      <c r="H568" s="46">
        <f>TRUNC(S568*(1-LOTE_01!$K$10),2)</f>
        <v>266.18</v>
      </c>
      <c r="I568" s="46">
        <f>TRUNC(T568*(1-LOTE_01!$K$10),2)</f>
        <v>14.36</v>
      </c>
      <c r="J568" s="100">
        <f t="shared" si="67"/>
        <v>0.22470000000000001</v>
      </c>
      <c r="K568" s="48">
        <f t="shared" si="61"/>
        <v>325.99</v>
      </c>
      <c r="L568" s="48">
        <f t="shared" si="62"/>
        <v>17.579999999999998</v>
      </c>
      <c r="M568" s="48">
        <f t="shared" si="63"/>
        <v>3585.89</v>
      </c>
      <c r="N568" s="48">
        <f t="shared" si="64"/>
        <v>193.38</v>
      </c>
      <c r="O568" s="50">
        <f t="shared" si="65"/>
        <v>3779.27</v>
      </c>
      <c r="P568" s="50">
        <v>0</v>
      </c>
      <c r="Q568" s="76"/>
      <c r="R568" s="140">
        <f>1*S9+1*S10</f>
        <v>11</v>
      </c>
      <c r="S568" s="152">
        <v>266.18</v>
      </c>
      <c r="T568" s="153">
        <v>14.36</v>
      </c>
    </row>
    <row r="569" spans="2:20" ht="70">
      <c r="B569" s="5" t="s">
        <v>1347</v>
      </c>
      <c r="C569" s="45" t="s">
        <v>97</v>
      </c>
      <c r="D569" s="45" t="s">
        <v>1348</v>
      </c>
      <c r="E569" s="6" t="s">
        <v>1349</v>
      </c>
      <c r="F569" s="45" t="s">
        <v>104</v>
      </c>
      <c r="G569" s="46">
        <f t="shared" si="66"/>
        <v>14</v>
      </c>
      <c r="H569" s="46">
        <f>TRUNC(S569*(1-LOTE_01!$K$10),2)</f>
        <v>208.91</v>
      </c>
      <c r="I569" s="46">
        <f>TRUNC(T569*(1-LOTE_01!$K$10),2)</f>
        <v>2.89</v>
      </c>
      <c r="J569" s="100">
        <f t="shared" si="67"/>
        <v>0.22470000000000001</v>
      </c>
      <c r="K569" s="48">
        <f t="shared" si="61"/>
        <v>255.85</v>
      </c>
      <c r="L569" s="48">
        <f t="shared" si="62"/>
        <v>3.53</v>
      </c>
      <c r="M569" s="48">
        <f t="shared" si="63"/>
        <v>3581.9</v>
      </c>
      <c r="N569" s="48">
        <f t="shared" si="64"/>
        <v>49.42</v>
      </c>
      <c r="O569" s="50">
        <f t="shared" si="65"/>
        <v>3631.32</v>
      </c>
      <c r="P569" s="50">
        <v>0</v>
      </c>
      <c r="Q569" s="76"/>
      <c r="R569" s="140">
        <f>1*S9+2*S10</f>
        <v>14</v>
      </c>
      <c r="S569" s="152">
        <v>208.91</v>
      </c>
      <c r="T569" s="153">
        <v>2.89</v>
      </c>
    </row>
    <row r="570" spans="2:20" ht="42">
      <c r="B570" s="5" t="s">
        <v>1350</v>
      </c>
      <c r="C570" s="45" t="s">
        <v>165</v>
      </c>
      <c r="D570" s="45" t="s">
        <v>1351</v>
      </c>
      <c r="E570" s="6" t="s">
        <v>1352</v>
      </c>
      <c r="F570" s="45" t="s">
        <v>559</v>
      </c>
      <c r="G570" s="46">
        <f t="shared" si="66"/>
        <v>22</v>
      </c>
      <c r="H570" s="46">
        <f>TRUNC(S570*(1-LOTE_01!$K$10),2)</f>
        <v>483.42</v>
      </c>
      <c r="I570" s="46">
        <f>TRUNC(T570*(1-LOTE_01!$K$10),2)</f>
        <v>68.95</v>
      </c>
      <c r="J570" s="100">
        <f t="shared" si="67"/>
        <v>0.22470000000000001</v>
      </c>
      <c r="K570" s="48">
        <f t="shared" si="61"/>
        <v>592.04</v>
      </c>
      <c r="L570" s="48">
        <f t="shared" si="62"/>
        <v>84.44</v>
      </c>
      <c r="M570" s="48">
        <f t="shared" si="63"/>
        <v>13024.88</v>
      </c>
      <c r="N570" s="48">
        <f t="shared" si="64"/>
        <v>1857.68</v>
      </c>
      <c r="O570" s="50">
        <f t="shared" si="65"/>
        <v>14882.56</v>
      </c>
      <c r="P570" s="50">
        <v>0</v>
      </c>
      <c r="Q570" s="76"/>
      <c r="R570" s="140">
        <f>2*S9+2*S10</f>
        <v>22</v>
      </c>
      <c r="S570" s="152">
        <v>483.42</v>
      </c>
      <c r="T570" s="153">
        <v>68.95</v>
      </c>
    </row>
    <row r="571" spans="2:20" ht="42">
      <c r="B571" s="5" t="s">
        <v>1353</v>
      </c>
      <c r="C571" s="45" t="s">
        <v>97</v>
      </c>
      <c r="D571" s="45" t="s">
        <v>1354</v>
      </c>
      <c r="E571" s="6" t="s">
        <v>1355</v>
      </c>
      <c r="F571" s="45" t="s">
        <v>104</v>
      </c>
      <c r="G571" s="46">
        <f t="shared" si="66"/>
        <v>14</v>
      </c>
      <c r="H571" s="46">
        <f>TRUNC(S571*(1-LOTE_01!$K$10),2)</f>
        <v>47.11</v>
      </c>
      <c r="I571" s="46">
        <f>TRUNC(T571*(1-LOTE_01!$K$10),2)</f>
        <v>11.99</v>
      </c>
      <c r="J571" s="100">
        <f t="shared" si="67"/>
        <v>0.22470000000000001</v>
      </c>
      <c r="K571" s="48">
        <f t="shared" si="61"/>
        <v>57.69</v>
      </c>
      <c r="L571" s="48">
        <f t="shared" si="62"/>
        <v>14.68</v>
      </c>
      <c r="M571" s="48">
        <f t="shared" si="63"/>
        <v>807.66</v>
      </c>
      <c r="N571" s="48">
        <f t="shared" si="64"/>
        <v>205.52</v>
      </c>
      <c r="O571" s="50">
        <f t="shared" si="65"/>
        <v>1013.18</v>
      </c>
      <c r="P571" s="50">
        <v>0</v>
      </c>
      <c r="Q571" s="76"/>
      <c r="R571" s="140">
        <f>1*S9+2*S10</f>
        <v>14</v>
      </c>
      <c r="S571" s="152">
        <v>47.11</v>
      </c>
      <c r="T571" s="153">
        <v>11.99</v>
      </c>
    </row>
    <row r="572" spans="2:20" ht="56">
      <c r="B572" s="5" t="s">
        <v>1356</v>
      </c>
      <c r="C572" s="45" t="s">
        <v>135</v>
      </c>
      <c r="D572" s="45">
        <v>86877</v>
      </c>
      <c r="E572" s="6" t="s">
        <v>1828</v>
      </c>
      <c r="F572" s="45" t="s">
        <v>210</v>
      </c>
      <c r="G572" s="46">
        <f t="shared" si="66"/>
        <v>10</v>
      </c>
      <c r="H572" s="46">
        <f>TRUNC(S572*(1-LOTE_01!$K$10),2)</f>
        <v>48.38</v>
      </c>
      <c r="I572" s="46">
        <f>TRUNC(T572*(1-LOTE_01!$K$10),2)</f>
        <v>5.22</v>
      </c>
      <c r="J572" s="100">
        <f t="shared" si="67"/>
        <v>0.22470000000000001</v>
      </c>
      <c r="K572" s="48">
        <f t="shared" si="61"/>
        <v>59.25</v>
      </c>
      <c r="L572" s="48">
        <f t="shared" si="62"/>
        <v>6.39</v>
      </c>
      <c r="M572" s="48">
        <f t="shared" si="63"/>
        <v>592.5</v>
      </c>
      <c r="N572" s="48">
        <f t="shared" si="64"/>
        <v>63.9</v>
      </c>
      <c r="O572" s="50">
        <f t="shared" si="65"/>
        <v>656.4</v>
      </c>
      <c r="P572" s="50">
        <v>0</v>
      </c>
      <c r="Q572" s="76"/>
      <c r="R572" s="140">
        <f>IF((1*S9+1*S10)&gt;10,10,(1*S9+1*S10))</f>
        <v>10</v>
      </c>
      <c r="S572" s="152">
        <v>48.38</v>
      </c>
      <c r="T572" s="153">
        <v>5.22</v>
      </c>
    </row>
    <row r="573" spans="2:20" ht="56">
      <c r="B573" s="5" t="s">
        <v>1357</v>
      </c>
      <c r="C573" s="45" t="s">
        <v>135</v>
      </c>
      <c r="D573" s="45">
        <v>86878</v>
      </c>
      <c r="E573" s="6" t="s">
        <v>1829</v>
      </c>
      <c r="F573" s="45" t="s">
        <v>210</v>
      </c>
      <c r="G573" s="46">
        <f t="shared" si="66"/>
        <v>10</v>
      </c>
      <c r="H573" s="46">
        <f>TRUNC(S573*(1-LOTE_01!$K$10),2)</f>
        <v>52.37</v>
      </c>
      <c r="I573" s="46">
        <f>TRUNC(T573*(1-LOTE_01!$K$10),2)</f>
        <v>5.21</v>
      </c>
      <c r="J573" s="100">
        <f t="shared" si="67"/>
        <v>0.22470000000000001</v>
      </c>
      <c r="K573" s="48">
        <f t="shared" si="61"/>
        <v>64.13</v>
      </c>
      <c r="L573" s="48">
        <f t="shared" si="62"/>
        <v>6.38</v>
      </c>
      <c r="M573" s="48">
        <f t="shared" si="63"/>
        <v>641.29999999999995</v>
      </c>
      <c r="N573" s="48">
        <f t="shared" si="64"/>
        <v>63.8</v>
      </c>
      <c r="O573" s="50">
        <f t="shared" si="65"/>
        <v>705.1</v>
      </c>
      <c r="P573" s="50">
        <v>0</v>
      </c>
      <c r="Q573" s="76"/>
      <c r="R573" s="140">
        <f>IF((1*S9+1*S10)&gt;10,10,(1*S9+1*S10))</f>
        <v>10</v>
      </c>
      <c r="S573" s="152">
        <v>52.37</v>
      </c>
      <c r="T573" s="153">
        <v>5.21</v>
      </c>
    </row>
    <row r="574" spans="2:20" ht="42">
      <c r="B574" s="5" t="s">
        <v>1358</v>
      </c>
      <c r="C574" s="45" t="s">
        <v>135</v>
      </c>
      <c r="D574" s="45">
        <v>86886</v>
      </c>
      <c r="E574" s="6" t="s">
        <v>1816</v>
      </c>
      <c r="F574" s="45" t="s">
        <v>210</v>
      </c>
      <c r="G574" s="46">
        <f t="shared" si="66"/>
        <v>22</v>
      </c>
      <c r="H574" s="46">
        <f>TRUNC(S574*(1-LOTE_01!$K$10),2)</f>
        <v>35.369999999999997</v>
      </c>
      <c r="I574" s="46">
        <f>TRUNC(T574*(1-LOTE_01!$K$10),2)</f>
        <v>4.55</v>
      </c>
      <c r="J574" s="100">
        <f t="shared" si="67"/>
        <v>0.22470000000000001</v>
      </c>
      <c r="K574" s="48">
        <f t="shared" si="61"/>
        <v>43.31</v>
      </c>
      <c r="L574" s="48">
        <f t="shared" si="62"/>
        <v>5.57</v>
      </c>
      <c r="M574" s="48">
        <f t="shared" si="63"/>
        <v>952.82</v>
      </c>
      <c r="N574" s="48">
        <f t="shared" si="64"/>
        <v>122.54</v>
      </c>
      <c r="O574" s="50">
        <f t="shared" si="65"/>
        <v>1075.3599999999999</v>
      </c>
      <c r="P574" s="50">
        <v>0</v>
      </c>
      <c r="Q574" s="76"/>
      <c r="R574" s="140">
        <f>2*S9+2*S10</f>
        <v>22</v>
      </c>
      <c r="S574" s="152">
        <v>35.370000000000005</v>
      </c>
      <c r="T574" s="153">
        <v>4.55</v>
      </c>
    </row>
    <row r="575" spans="2:20" ht="42">
      <c r="B575" s="5" t="s">
        <v>1359</v>
      </c>
      <c r="C575" s="45" t="s">
        <v>135</v>
      </c>
      <c r="D575" s="45">
        <v>86887</v>
      </c>
      <c r="E575" s="6" t="s">
        <v>1830</v>
      </c>
      <c r="F575" s="45" t="s">
        <v>210</v>
      </c>
      <c r="G575" s="46">
        <f t="shared" si="66"/>
        <v>22</v>
      </c>
      <c r="H575" s="46">
        <f>TRUNC(S575*(1-LOTE_01!$K$10),2)</f>
        <v>38.58</v>
      </c>
      <c r="I575" s="46">
        <f>TRUNC(T575*(1-LOTE_01!$K$10),2)</f>
        <v>4.55</v>
      </c>
      <c r="J575" s="100">
        <f t="shared" si="67"/>
        <v>0.22470000000000001</v>
      </c>
      <c r="K575" s="48">
        <f t="shared" si="61"/>
        <v>47.24</v>
      </c>
      <c r="L575" s="48">
        <f t="shared" si="62"/>
        <v>5.57</v>
      </c>
      <c r="M575" s="48">
        <f t="shared" si="63"/>
        <v>1039.28</v>
      </c>
      <c r="N575" s="48">
        <f t="shared" si="64"/>
        <v>122.54</v>
      </c>
      <c r="O575" s="50">
        <f t="shared" si="65"/>
        <v>1161.82</v>
      </c>
      <c r="P575" s="50">
        <v>0</v>
      </c>
      <c r="Q575" s="76"/>
      <c r="R575" s="140">
        <f>2*S9+2*S10</f>
        <v>22</v>
      </c>
      <c r="S575" s="152">
        <v>38.580000000000005</v>
      </c>
      <c r="T575" s="153">
        <v>4.55</v>
      </c>
    </row>
    <row r="576" spans="2:20" ht="42">
      <c r="B576" s="5" t="s">
        <v>1360</v>
      </c>
      <c r="C576" s="45" t="s">
        <v>135</v>
      </c>
      <c r="D576" s="45">
        <v>86881</v>
      </c>
      <c r="E576" s="6" t="s">
        <v>1831</v>
      </c>
      <c r="F576" s="45" t="s">
        <v>210</v>
      </c>
      <c r="G576" s="46">
        <f t="shared" si="66"/>
        <v>25</v>
      </c>
      <c r="H576" s="46">
        <f>TRUNC(S576*(1-LOTE_01!$K$10),2)</f>
        <v>151.62</v>
      </c>
      <c r="I576" s="46">
        <f>TRUNC(T576*(1-LOTE_01!$K$10),2)</f>
        <v>8.26</v>
      </c>
      <c r="J576" s="100">
        <f t="shared" si="67"/>
        <v>0.22470000000000001</v>
      </c>
      <c r="K576" s="48">
        <f t="shared" si="61"/>
        <v>185.68</v>
      </c>
      <c r="L576" s="48">
        <f t="shared" si="62"/>
        <v>10.11</v>
      </c>
      <c r="M576" s="48">
        <f t="shared" si="63"/>
        <v>4642</v>
      </c>
      <c r="N576" s="48">
        <f t="shared" si="64"/>
        <v>252.75</v>
      </c>
      <c r="O576" s="50">
        <f t="shared" si="65"/>
        <v>4894.75</v>
      </c>
      <c r="P576" s="50">
        <v>0</v>
      </c>
      <c r="Q576" s="76"/>
      <c r="R576" s="140">
        <f>2*S9+3*S10</f>
        <v>25</v>
      </c>
      <c r="S576" s="152">
        <v>151.62</v>
      </c>
      <c r="T576" s="153">
        <v>8.26</v>
      </c>
    </row>
    <row r="577" spans="2:20" ht="42">
      <c r="B577" s="5" t="s">
        <v>1361</v>
      </c>
      <c r="C577" s="45" t="s">
        <v>135</v>
      </c>
      <c r="D577" s="45">
        <v>86883</v>
      </c>
      <c r="E577" s="6" t="s">
        <v>1832</v>
      </c>
      <c r="F577" s="45" t="s">
        <v>210</v>
      </c>
      <c r="G577" s="46">
        <f t="shared" si="66"/>
        <v>25</v>
      </c>
      <c r="H577" s="46">
        <f>TRUNC(S577*(1-LOTE_01!$K$10),2)</f>
        <v>9.18</v>
      </c>
      <c r="I577" s="46">
        <f>TRUNC(T577*(1-LOTE_01!$K$10),2)</f>
        <v>2.44</v>
      </c>
      <c r="J577" s="100">
        <f t="shared" si="67"/>
        <v>0.22470000000000001</v>
      </c>
      <c r="K577" s="48">
        <f t="shared" si="61"/>
        <v>11.24</v>
      </c>
      <c r="L577" s="48">
        <f t="shared" si="62"/>
        <v>2.98</v>
      </c>
      <c r="M577" s="48">
        <f t="shared" si="63"/>
        <v>281</v>
      </c>
      <c r="N577" s="48">
        <f t="shared" si="64"/>
        <v>74.5</v>
      </c>
      <c r="O577" s="50">
        <f t="shared" si="65"/>
        <v>355.5</v>
      </c>
      <c r="P577" s="50">
        <v>0</v>
      </c>
      <c r="Q577" s="76"/>
      <c r="R577" s="140">
        <f>2*S9+3*S10</f>
        <v>25</v>
      </c>
      <c r="S577" s="152">
        <v>9.18</v>
      </c>
      <c r="T577" s="153">
        <v>2.44</v>
      </c>
    </row>
    <row r="578" spans="2:20" ht="56">
      <c r="B578" s="5" t="s">
        <v>1362</v>
      </c>
      <c r="C578" s="45" t="s">
        <v>135</v>
      </c>
      <c r="D578" s="45">
        <v>86889</v>
      </c>
      <c r="E578" s="6" t="s">
        <v>1833</v>
      </c>
      <c r="F578" s="45" t="s">
        <v>210</v>
      </c>
      <c r="G578" s="46">
        <f t="shared" si="66"/>
        <v>5</v>
      </c>
      <c r="H578" s="46">
        <f>TRUNC(S578*(1-LOTE_01!$K$10),2)</f>
        <v>1385.73</v>
      </c>
      <c r="I578" s="46">
        <f>TRUNC(T578*(1-LOTE_01!$K$10),2)</f>
        <v>53.83</v>
      </c>
      <c r="J578" s="100">
        <f t="shared" si="67"/>
        <v>0.22470000000000001</v>
      </c>
      <c r="K578" s="48">
        <f t="shared" si="61"/>
        <v>1697.1</v>
      </c>
      <c r="L578" s="48">
        <f t="shared" si="62"/>
        <v>65.92</v>
      </c>
      <c r="M578" s="48">
        <f t="shared" si="63"/>
        <v>8485.5</v>
      </c>
      <c r="N578" s="48">
        <f t="shared" si="64"/>
        <v>329.6</v>
      </c>
      <c r="O578" s="50">
        <f t="shared" si="65"/>
        <v>8815.1</v>
      </c>
      <c r="P578" s="50">
        <v>0</v>
      </c>
      <c r="Q578" s="76"/>
      <c r="R578" s="140">
        <f>IF((1*S9+1*S10)&gt;5,5,(1*S9+1*S10))</f>
        <v>5</v>
      </c>
      <c r="S578" s="152">
        <v>1385.73</v>
      </c>
      <c r="T578" s="153">
        <v>53.83</v>
      </c>
    </row>
    <row r="579" spans="2:20" ht="28">
      <c r="B579" s="5" t="s">
        <v>1363</v>
      </c>
      <c r="C579" s="45" t="s">
        <v>165</v>
      </c>
      <c r="D579" s="45" t="s">
        <v>1364</v>
      </c>
      <c r="E579" s="6" t="s">
        <v>1365</v>
      </c>
      <c r="F579" s="45" t="s">
        <v>559</v>
      </c>
      <c r="G579" s="46">
        <f t="shared" si="66"/>
        <v>10</v>
      </c>
      <c r="H579" s="46">
        <f>TRUNC(S579*(1-LOTE_01!$K$10),2)</f>
        <v>1147.17</v>
      </c>
      <c r="I579" s="46">
        <f>TRUNC(T579*(1-LOTE_01!$K$10),2)</f>
        <v>103.43</v>
      </c>
      <c r="J579" s="100">
        <f t="shared" si="67"/>
        <v>0.22470000000000001</v>
      </c>
      <c r="K579" s="48">
        <f t="shared" si="61"/>
        <v>1404.93</v>
      </c>
      <c r="L579" s="48">
        <f t="shared" si="62"/>
        <v>126.67</v>
      </c>
      <c r="M579" s="48">
        <f t="shared" si="63"/>
        <v>14049.3</v>
      </c>
      <c r="N579" s="48">
        <f t="shared" si="64"/>
        <v>1266.7</v>
      </c>
      <c r="O579" s="50">
        <f t="shared" si="65"/>
        <v>15316</v>
      </c>
      <c r="P579" s="50">
        <v>0</v>
      </c>
      <c r="Q579" s="76"/>
      <c r="R579" s="140">
        <f>IF((1*S9+1*S10)&gt;10,10,(1*S9+1*S10))</f>
        <v>10</v>
      </c>
      <c r="S579" s="152">
        <v>1147.17</v>
      </c>
      <c r="T579" s="153">
        <v>103.43</v>
      </c>
    </row>
    <row r="580" spans="2:20" ht="28">
      <c r="B580" s="5" t="s">
        <v>1366</v>
      </c>
      <c r="C580" s="45" t="s">
        <v>165</v>
      </c>
      <c r="D580" s="45" t="s">
        <v>1367</v>
      </c>
      <c r="E580" s="6" t="s">
        <v>1368</v>
      </c>
      <c r="F580" s="45" t="s">
        <v>559</v>
      </c>
      <c r="G580" s="46">
        <f t="shared" si="66"/>
        <v>10</v>
      </c>
      <c r="H580" s="46">
        <f>TRUNC(S580*(1-LOTE_01!$K$10),2)</f>
        <v>907.54</v>
      </c>
      <c r="I580" s="46">
        <f>TRUNC(T580*(1-LOTE_01!$K$10),2)</f>
        <v>120.67</v>
      </c>
      <c r="J580" s="100">
        <f t="shared" si="67"/>
        <v>0.22470000000000001</v>
      </c>
      <c r="K580" s="48">
        <f t="shared" si="61"/>
        <v>1111.46</v>
      </c>
      <c r="L580" s="48">
        <f t="shared" si="62"/>
        <v>147.78</v>
      </c>
      <c r="M580" s="48">
        <f t="shared" si="63"/>
        <v>11114.6</v>
      </c>
      <c r="N580" s="48">
        <f t="shared" si="64"/>
        <v>1477.8</v>
      </c>
      <c r="O580" s="50">
        <f t="shared" si="65"/>
        <v>12592.4</v>
      </c>
      <c r="P580" s="50">
        <v>0</v>
      </c>
      <c r="Q580" s="76"/>
      <c r="R580" s="140">
        <f>IF((1*S9+1*S10)&gt;10,10,(1*S9+1*S10))</f>
        <v>10</v>
      </c>
      <c r="S580" s="152">
        <v>907.54</v>
      </c>
      <c r="T580" s="153">
        <v>120.67</v>
      </c>
    </row>
    <row r="581" spans="2:20">
      <c r="B581" s="101" t="s">
        <v>52</v>
      </c>
      <c r="C581" s="102" t="s">
        <v>21</v>
      </c>
      <c r="D581" s="102" t="s">
        <v>21</v>
      </c>
      <c r="E581" s="103" t="s">
        <v>59</v>
      </c>
      <c r="F581" s="102" t="s">
        <v>21</v>
      </c>
      <c r="G581" s="46">
        <f t="shared" si="66"/>
        <v>0</v>
      </c>
      <c r="H581" s="46"/>
      <c r="I581" s="46"/>
      <c r="J581" s="105"/>
      <c r="K581" s="48">
        <f t="shared" si="61"/>
        <v>0</v>
      </c>
      <c r="L581" s="48">
        <f t="shared" si="62"/>
        <v>0</v>
      </c>
      <c r="M581" s="48">
        <f t="shared" si="63"/>
        <v>0</v>
      </c>
      <c r="N581" s="48">
        <f t="shared" si="64"/>
        <v>0</v>
      </c>
      <c r="O581" s="50">
        <f t="shared" si="65"/>
        <v>0</v>
      </c>
      <c r="P581" s="104">
        <f>SUM(O582:O604)</f>
        <v>124716.93999999999</v>
      </c>
      <c r="Q581" s="76"/>
      <c r="R581" s="154"/>
      <c r="S581" s="152" t="s">
        <v>22</v>
      </c>
      <c r="T581" s="153" t="s">
        <v>22</v>
      </c>
    </row>
    <row r="582" spans="2:20">
      <c r="B582" s="5" t="s">
        <v>1369</v>
      </c>
      <c r="C582" s="45" t="s">
        <v>97</v>
      </c>
      <c r="D582" s="45" t="s">
        <v>1370</v>
      </c>
      <c r="E582" s="6" t="s">
        <v>1371</v>
      </c>
      <c r="F582" s="45" t="s">
        <v>104</v>
      </c>
      <c r="G582" s="46">
        <f t="shared" si="66"/>
        <v>55</v>
      </c>
      <c r="H582" s="46">
        <f>TRUNC(S582*(1-LOTE_01!$K$10),2)</f>
        <v>1.5</v>
      </c>
      <c r="I582" s="46">
        <f>TRUNC(T582*(1-LOTE_01!$K$10),2)</f>
        <v>3.99</v>
      </c>
      <c r="J582" s="100">
        <f t="shared" si="67"/>
        <v>0.22470000000000001</v>
      </c>
      <c r="K582" s="48">
        <f t="shared" si="61"/>
        <v>1.83</v>
      </c>
      <c r="L582" s="48">
        <f t="shared" si="62"/>
        <v>4.88</v>
      </c>
      <c r="M582" s="48">
        <f t="shared" si="63"/>
        <v>100.65</v>
      </c>
      <c r="N582" s="48">
        <f t="shared" si="64"/>
        <v>268.39999999999998</v>
      </c>
      <c r="O582" s="50">
        <f t="shared" si="65"/>
        <v>369.05</v>
      </c>
      <c r="P582" s="50">
        <v>0</v>
      </c>
      <c r="Q582" s="76"/>
      <c r="R582" s="140">
        <f>5*S9+5*S10</f>
        <v>55</v>
      </c>
      <c r="S582" s="152">
        <v>1.5</v>
      </c>
      <c r="T582" s="153">
        <v>3.99</v>
      </c>
    </row>
    <row r="583" spans="2:20" ht="28">
      <c r="B583" s="5" t="s">
        <v>1372</v>
      </c>
      <c r="C583" s="45" t="s">
        <v>97</v>
      </c>
      <c r="D583" s="45" t="s">
        <v>1373</v>
      </c>
      <c r="E583" s="6" t="s">
        <v>1374</v>
      </c>
      <c r="F583" s="45" t="s">
        <v>104</v>
      </c>
      <c r="G583" s="46">
        <f t="shared" si="66"/>
        <v>55</v>
      </c>
      <c r="H583" s="46">
        <f>TRUNC(S583*(1-LOTE_01!$K$10),2)</f>
        <v>7.58</v>
      </c>
      <c r="I583" s="46">
        <f>TRUNC(T583*(1-LOTE_01!$K$10),2)</f>
        <v>19.010000000000002</v>
      </c>
      <c r="J583" s="100">
        <f t="shared" si="67"/>
        <v>0.22470000000000001</v>
      </c>
      <c r="K583" s="48">
        <f t="shared" si="61"/>
        <v>9.2799999999999994</v>
      </c>
      <c r="L583" s="48">
        <f t="shared" si="62"/>
        <v>23.28</v>
      </c>
      <c r="M583" s="48">
        <f t="shared" si="63"/>
        <v>510.4</v>
      </c>
      <c r="N583" s="48">
        <f t="shared" si="64"/>
        <v>1280.4000000000001</v>
      </c>
      <c r="O583" s="50">
        <f t="shared" si="65"/>
        <v>1790.8</v>
      </c>
      <c r="P583" s="50">
        <v>0</v>
      </c>
      <c r="Q583" s="76"/>
      <c r="R583" s="140">
        <f>5*S9+5*S10</f>
        <v>55</v>
      </c>
      <c r="S583" s="152">
        <v>7.58</v>
      </c>
      <c r="T583" s="153">
        <v>19.010000000000002</v>
      </c>
    </row>
    <row r="584" spans="2:20" ht="56">
      <c r="B584" s="5" t="s">
        <v>1375</v>
      </c>
      <c r="C584" s="45" t="s">
        <v>97</v>
      </c>
      <c r="D584" s="45" t="s">
        <v>1376</v>
      </c>
      <c r="E584" s="6" t="s">
        <v>1377</v>
      </c>
      <c r="F584" s="45" t="s">
        <v>104</v>
      </c>
      <c r="G584" s="46">
        <f t="shared" si="66"/>
        <v>55</v>
      </c>
      <c r="H584" s="46">
        <f>TRUNC(S584*(1-LOTE_01!$K$10),2)</f>
        <v>16.850000000000001</v>
      </c>
      <c r="I584" s="46">
        <f>TRUNC(T584*(1-LOTE_01!$K$10),2)</f>
        <v>11.79</v>
      </c>
      <c r="J584" s="100">
        <f t="shared" si="67"/>
        <v>0.22470000000000001</v>
      </c>
      <c r="K584" s="48">
        <f t="shared" si="61"/>
        <v>20.63</v>
      </c>
      <c r="L584" s="48">
        <f t="shared" si="62"/>
        <v>14.43</v>
      </c>
      <c r="M584" s="48">
        <f t="shared" si="63"/>
        <v>1134.6500000000001</v>
      </c>
      <c r="N584" s="48">
        <f t="shared" si="64"/>
        <v>793.65</v>
      </c>
      <c r="O584" s="50">
        <f t="shared" si="65"/>
        <v>1928.3</v>
      </c>
      <c r="P584" s="50">
        <v>0</v>
      </c>
      <c r="Q584" s="76"/>
      <c r="R584" s="140">
        <f>5*S9+5*S10</f>
        <v>55</v>
      </c>
      <c r="S584" s="152">
        <v>16.850000000000001</v>
      </c>
      <c r="T584" s="153">
        <v>11.79</v>
      </c>
    </row>
    <row r="585" spans="2:20" ht="56">
      <c r="B585" s="5" t="s">
        <v>1378</v>
      </c>
      <c r="C585" s="45" t="s">
        <v>135</v>
      </c>
      <c r="D585" s="45">
        <v>101905</v>
      </c>
      <c r="E585" s="6" t="s">
        <v>1834</v>
      </c>
      <c r="F585" s="45" t="s">
        <v>210</v>
      </c>
      <c r="G585" s="46">
        <f t="shared" si="66"/>
        <v>22</v>
      </c>
      <c r="H585" s="46">
        <f>TRUNC(S585*(1-LOTE_01!$K$10),2)</f>
        <v>252.12</v>
      </c>
      <c r="I585" s="46">
        <f>TRUNC(T585*(1-LOTE_01!$K$10),2)</f>
        <v>18.010000000000002</v>
      </c>
      <c r="J585" s="100">
        <f t="shared" si="67"/>
        <v>0.22470000000000001</v>
      </c>
      <c r="K585" s="48">
        <f t="shared" si="61"/>
        <v>308.77</v>
      </c>
      <c r="L585" s="48">
        <f t="shared" si="62"/>
        <v>22.05</v>
      </c>
      <c r="M585" s="48">
        <f t="shared" si="63"/>
        <v>6792.94</v>
      </c>
      <c r="N585" s="48">
        <f t="shared" si="64"/>
        <v>485.1</v>
      </c>
      <c r="O585" s="50">
        <f t="shared" si="65"/>
        <v>7278.04</v>
      </c>
      <c r="P585" s="50">
        <v>0</v>
      </c>
      <c r="Q585" s="76"/>
      <c r="R585" s="140">
        <f>2*S9+2*S10</f>
        <v>22</v>
      </c>
      <c r="S585" s="152">
        <v>252.12</v>
      </c>
      <c r="T585" s="153">
        <v>18.010000000000002</v>
      </c>
    </row>
    <row r="586" spans="2:20" ht="56">
      <c r="B586" s="5" t="s">
        <v>1379</v>
      </c>
      <c r="C586" s="45" t="s">
        <v>135</v>
      </c>
      <c r="D586" s="45">
        <v>101907</v>
      </c>
      <c r="E586" s="6" t="s">
        <v>1835</v>
      </c>
      <c r="F586" s="45" t="s">
        <v>210</v>
      </c>
      <c r="G586" s="46">
        <f t="shared" si="66"/>
        <v>22</v>
      </c>
      <c r="H586" s="46">
        <f>TRUNC(S586*(1-LOTE_01!$K$10),2)</f>
        <v>847.14</v>
      </c>
      <c r="I586" s="46">
        <f>TRUNC(T586*(1-LOTE_01!$K$10),2)</f>
        <v>17.989999999999998</v>
      </c>
      <c r="J586" s="100">
        <f t="shared" si="67"/>
        <v>0.22470000000000001</v>
      </c>
      <c r="K586" s="48">
        <f t="shared" si="61"/>
        <v>1037.49</v>
      </c>
      <c r="L586" s="48">
        <f t="shared" si="62"/>
        <v>22.03</v>
      </c>
      <c r="M586" s="48">
        <f t="shared" si="63"/>
        <v>22824.78</v>
      </c>
      <c r="N586" s="48">
        <f t="shared" si="64"/>
        <v>484.66</v>
      </c>
      <c r="O586" s="50">
        <f t="shared" si="65"/>
        <v>23309.439999999999</v>
      </c>
      <c r="P586" s="50">
        <v>0</v>
      </c>
      <c r="Q586" s="76"/>
      <c r="R586" s="140">
        <f>2*S9+2*S10</f>
        <v>22</v>
      </c>
      <c r="S586" s="152">
        <v>847.14</v>
      </c>
      <c r="T586" s="153">
        <v>17.989999999999998</v>
      </c>
    </row>
    <row r="587" spans="2:20" ht="56">
      <c r="B587" s="5" t="s">
        <v>1380</v>
      </c>
      <c r="C587" s="45" t="s">
        <v>135</v>
      </c>
      <c r="D587" s="45">
        <v>101909</v>
      </c>
      <c r="E587" s="6" t="s">
        <v>1836</v>
      </c>
      <c r="F587" s="45" t="s">
        <v>210</v>
      </c>
      <c r="G587" s="46">
        <f t="shared" si="66"/>
        <v>22</v>
      </c>
      <c r="H587" s="46">
        <f>TRUNC(S587*(1-LOTE_01!$K$10),2)</f>
        <v>287.10000000000002</v>
      </c>
      <c r="I587" s="46">
        <f>TRUNC(T587*(1-LOTE_01!$K$10),2)</f>
        <v>18.03</v>
      </c>
      <c r="J587" s="100">
        <f t="shared" si="67"/>
        <v>0.22470000000000001</v>
      </c>
      <c r="K587" s="48">
        <f t="shared" si="61"/>
        <v>351.61</v>
      </c>
      <c r="L587" s="48">
        <f t="shared" si="62"/>
        <v>22.08</v>
      </c>
      <c r="M587" s="48">
        <f t="shared" si="63"/>
        <v>7735.42</v>
      </c>
      <c r="N587" s="48">
        <f t="shared" si="64"/>
        <v>485.76</v>
      </c>
      <c r="O587" s="50">
        <f t="shared" si="65"/>
        <v>8221.18</v>
      </c>
      <c r="P587" s="50">
        <v>0</v>
      </c>
      <c r="Q587" s="76"/>
      <c r="R587" s="140">
        <f>2*S9+2*S10</f>
        <v>22</v>
      </c>
      <c r="S587" s="152">
        <v>287.10000000000002</v>
      </c>
      <c r="T587" s="153">
        <v>18.03</v>
      </c>
    </row>
    <row r="588" spans="2:20" ht="42">
      <c r="B588" s="5" t="s">
        <v>1381</v>
      </c>
      <c r="C588" s="45" t="s">
        <v>135</v>
      </c>
      <c r="D588" s="45">
        <v>101914</v>
      </c>
      <c r="E588" s="6" t="s">
        <v>1837</v>
      </c>
      <c r="F588" s="45" t="s">
        <v>210</v>
      </c>
      <c r="G588" s="46">
        <f t="shared" si="66"/>
        <v>11</v>
      </c>
      <c r="H588" s="46">
        <f>TRUNC(S588*(1-LOTE_01!$K$10),2)</f>
        <v>571.92999999999995</v>
      </c>
      <c r="I588" s="46">
        <f>TRUNC(T588*(1-LOTE_01!$K$10),2)</f>
        <v>57.73</v>
      </c>
      <c r="J588" s="100">
        <f t="shared" si="67"/>
        <v>0.22470000000000001</v>
      </c>
      <c r="K588" s="48">
        <f t="shared" si="61"/>
        <v>700.44</v>
      </c>
      <c r="L588" s="48">
        <f t="shared" si="62"/>
        <v>70.7</v>
      </c>
      <c r="M588" s="48">
        <f t="shared" si="63"/>
        <v>7704.84</v>
      </c>
      <c r="N588" s="48">
        <f t="shared" si="64"/>
        <v>777.7</v>
      </c>
      <c r="O588" s="50">
        <f t="shared" si="65"/>
        <v>8482.5400000000009</v>
      </c>
      <c r="P588" s="50">
        <v>0</v>
      </c>
      <c r="Q588" s="76"/>
      <c r="R588" s="140">
        <f>1*S9+1*S10</f>
        <v>11</v>
      </c>
      <c r="S588" s="152">
        <v>571.92999999999995</v>
      </c>
      <c r="T588" s="153">
        <v>57.73</v>
      </c>
    </row>
    <row r="589" spans="2:20" ht="84">
      <c r="B589" s="5" t="s">
        <v>1382</v>
      </c>
      <c r="C589" s="45" t="s">
        <v>135</v>
      </c>
      <c r="D589" s="45">
        <v>101915</v>
      </c>
      <c r="E589" s="6" t="s">
        <v>1838</v>
      </c>
      <c r="F589" s="45" t="s">
        <v>210</v>
      </c>
      <c r="G589" s="46">
        <f t="shared" si="66"/>
        <v>11</v>
      </c>
      <c r="H589" s="46">
        <f>TRUNC(S589*(1-LOTE_01!$K$10),2)</f>
        <v>391.18</v>
      </c>
      <c r="I589" s="46">
        <f>TRUNC(T589*(1-LOTE_01!$K$10),2)</f>
        <v>4.67</v>
      </c>
      <c r="J589" s="100">
        <f t="shared" si="67"/>
        <v>0.22470000000000001</v>
      </c>
      <c r="K589" s="48">
        <f t="shared" si="61"/>
        <v>479.07</v>
      </c>
      <c r="L589" s="48">
        <f t="shared" si="62"/>
        <v>5.71</v>
      </c>
      <c r="M589" s="48">
        <f t="shared" si="63"/>
        <v>5269.77</v>
      </c>
      <c r="N589" s="48">
        <f t="shared" si="64"/>
        <v>62.81</v>
      </c>
      <c r="O589" s="50">
        <f t="shared" si="65"/>
        <v>5332.58</v>
      </c>
      <c r="P589" s="50">
        <v>0</v>
      </c>
      <c r="Q589" s="76"/>
      <c r="R589" s="140">
        <f>1*S9+1*S10</f>
        <v>11</v>
      </c>
      <c r="S589" s="152">
        <v>391.18</v>
      </c>
      <c r="T589" s="153">
        <v>4.67</v>
      </c>
    </row>
    <row r="590" spans="2:20" ht="56">
      <c r="B590" s="5" t="s">
        <v>1383</v>
      </c>
      <c r="C590" s="45" t="s">
        <v>97</v>
      </c>
      <c r="D590" s="45" t="s">
        <v>1384</v>
      </c>
      <c r="E590" s="6" t="s">
        <v>1385</v>
      </c>
      <c r="F590" s="45" t="s">
        <v>104</v>
      </c>
      <c r="G590" s="46">
        <f t="shared" si="66"/>
        <v>22</v>
      </c>
      <c r="H590" s="46">
        <f>TRUNC(S590*(1-LOTE_01!$K$10),2)</f>
        <v>23.39</v>
      </c>
      <c r="I590" s="46">
        <f>TRUNC(T590*(1-LOTE_01!$K$10),2)</f>
        <v>3.27</v>
      </c>
      <c r="J590" s="100">
        <f t="shared" si="67"/>
        <v>0.22470000000000001</v>
      </c>
      <c r="K590" s="48">
        <f t="shared" si="61"/>
        <v>28.64</v>
      </c>
      <c r="L590" s="48">
        <f t="shared" si="62"/>
        <v>4</v>
      </c>
      <c r="M590" s="48">
        <f t="shared" si="63"/>
        <v>630.08000000000004</v>
      </c>
      <c r="N590" s="48">
        <f t="shared" si="64"/>
        <v>88</v>
      </c>
      <c r="O590" s="50">
        <f t="shared" si="65"/>
        <v>718.08</v>
      </c>
      <c r="P590" s="50">
        <v>0</v>
      </c>
      <c r="Q590" s="76"/>
      <c r="R590" s="140">
        <f>2*S9+2*S10</f>
        <v>22</v>
      </c>
      <c r="S590" s="152">
        <v>23.39</v>
      </c>
      <c r="T590" s="153">
        <v>3.27</v>
      </c>
    </row>
    <row r="591" spans="2:20" ht="70">
      <c r="B591" s="5" t="s">
        <v>1386</v>
      </c>
      <c r="C591" s="45" t="s">
        <v>97</v>
      </c>
      <c r="D591" s="45" t="s">
        <v>1387</v>
      </c>
      <c r="E591" s="6" t="s">
        <v>1388</v>
      </c>
      <c r="F591" s="45" t="s">
        <v>104</v>
      </c>
      <c r="G591" s="46">
        <f t="shared" si="66"/>
        <v>55</v>
      </c>
      <c r="H591" s="46">
        <f>TRUNC(S591*(1-LOTE_01!$K$10),2)</f>
        <v>44.62</v>
      </c>
      <c r="I591" s="46">
        <f>TRUNC(T591*(1-LOTE_01!$K$10),2)</f>
        <v>4.71</v>
      </c>
      <c r="J591" s="100">
        <f t="shared" si="67"/>
        <v>0.22470000000000001</v>
      </c>
      <c r="K591" s="48">
        <f t="shared" si="61"/>
        <v>54.64</v>
      </c>
      <c r="L591" s="48">
        <f t="shared" si="62"/>
        <v>5.76</v>
      </c>
      <c r="M591" s="48">
        <f t="shared" si="63"/>
        <v>3005.2</v>
      </c>
      <c r="N591" s="48">
        <f t="shared" si="64"/>
        <v>316.8</v>
      </c>
      <c r="O591" s="50">
        <f t="shared" si="65"/>
        <v>3322</v>
      </c>
      <c r="P591" s="50">
        <v>0</v>
      </c>
      <c r="Q591" s="76"/>
      <c r="R591" s="140">
        <f>5*S9+5*S10</f>
        <v>55</v>
      </c>
      <c r="S591" s="152">
        <v>44.62</v>
      </c>
      <c r="T591" s="153">
        <v>4.71</v>
      </c>
    </row>
    <row r="592" spans="2:20" ht="84">
      <c r="B592" s="5" t="s">
        <v>1389</v>
      </c>
      <c r="C592" s="45" t="s">
        <v>97</v>
      </c>
      <c r="D592" s="45" t="s">
        <v>1390</v>
      </c>
      <c r="E592" s="6" t="s">
        <v>1391</v>
      </c>
      <c r="F592" s="45" t="s">
        <v>104</v>
      </c>
      <c r="G592" s="46">
        <f t="shared" si="66"/>
        <v>55</v>
      </c>
      <c r="H592" s="46">
        <f>TRUNC(S592*(1-LOTE_01!$K$10),2)</f>
        <v>14.6</v>
      </c>
      <c r="I592" s="46">
        <f>TRUNC(T592*(1-LOTE_01!$K$10),2)</f>
        <v>4.71</v>
      </c>
      <c r="J592" s="100">
        <f t="shared" si="67"/>
        <v>0.22470000000000001</v>
      </c>
      <c r="K592" s="48">
        <f t="shared" ref="K592:K655" si="68">TRUNC(H592*(1+J592),2)</f>
        <v>17.88</v>
      </c>
      <c r="L592" s="48">
        <f t="shared" ref="L592:L655" si="69">TRUNC(I592*(1+J592),2)</f>
        <v>5.76</v>
      </c>
      <c r="M592" s="48">
        <f t="shared" ref="M592:M655" si="70">TRUNC(K592*G592,2)</f>
        <v>983.4</v>
      </c>
      <c r="N592" s="48">
        <f t="shared" ref="N592:N655" si="71">TRUNC(L592*G592,2)</f>
        <v>316.8</v>
      </c>
      <c r="O592" s="50">
        <f t="shared" ref="O592:O655" si="72">TRUNC(M592+N592,2)</f>
        <v>1300.2</v>
      </c>
      <c r="P592" s="50">
        <v>0</v>
      </c>
      <c r="Q592" s="76"/>
      <c r="R592" s="140">
        <f>5*S9+5*S10</f>
        <v>55</v>
      </c>
      <c r="S592" s="152">
        <v>14.6</v>
      </c>
      <c r="T592" s="153">
        <v>4.71</v>
      </c>
    </row>
    <row r="593" spans="2:20" ht="84">
      <c r="B593" s="5" t="s">
        <v>1392</v>
      </c>
      <c r="C593" s="45" t="s">
        <v>97</v>
      </c>
      <c r="D593" s="45" t="s">
        <v>1393</v>
      </c>
      <c r="E593" s="6" t="s">
        <v>1394</v>
      </c>
      <c r="F593" s="45" t="s">
        <v>104</v>
      </c>
      <c r="G593" s="46">
        <f t="shared" si="66"/>
        <v>55</v>
      </c>
      <c r="H593" s="46">
        <f>TRUNC(S593*(1-LOTE_01!$K$10),2)</f>
        <v>26.84</v>
      </c>
      <c r="I593" s="46">
        <f>TRUNC(T593*(1-LOTE_01!$K$10),2)</f>
        <v>4.71</v>
      </c>
      <c r="J593" s="100">
        <f t="shared" si="67"/>
        <v>0.22470000000000001</v>
      </c>
      <c r="K593" s="48">
        <f t="shared" si="68"/>
        <v>32.869999999999997</v>
      </c>
      <c r="L593" s="48">
        <f t="shared" si="69"/>
        <v>5.76</v>
      </c>
      <c r="M593" s="48">
        <f t="shared" si="70"/>
        <v>1807.85</v>
      </c>
      <c r="N593" s="48">
        <f t="shared" si="71"/>
        <v>316.8</v>
      </c>
      <c r="O593" s="50">
        <f t="shared" si="72"/>
        <v>2124.65</v>
      </c>
      <c r="P593" s="50">
        <v>0</v>
      </c>
      <c r="Q593" s="76"/>
      <c r="R593" s="140">
        <f>5*S9+5*S10</f>
        <v>55</v>
      </c>
      <c r="S593" s="152">
        <v>26.84</v>
      </c>
      <c r="T593" s="153">
        <v>4.71</v>
      </c>
    </row>
    <row r="594" spans="2:20" ht="84">
      <c r="B594" s="5" t="s">
        <v>1395</v>
      </c>
      <c r="C594" s="45" t="s">
        <v>97</v>
      </c>
      <c r="D594" s="45" t="s">
        <v>1396</v>
      </c>
      <c r="E594" s="6" t="s">
        <v>1397</v>
      </c>
      <c r="F594" s="45" t="s">
        <v>104</v>
      </c>
      <c r="G594" s="46">
        <f t="shared" ref="G594:G657" si="73">TRUNC(R594,2)</f>
        <v>55</v>
      </c>
      <c r="H594" s="46">
        <f>TRUNC(S594*(1-LOTE_01!$K$10),2)</f>
        <v>32.58</v>
      </c>
      <c r="I594" s="46">
        <f>TRUNC(T594*(1-LOTE_01!$K$10),2)</f>
        <v>4.71</v>
      </c>
      <c r="J594" s="100">
        <f t="shared" ref="J594:J657" si="74">$J$4</f>
        <v>0.22470000000000001</v>
      </c>
      <c r="K594" s="48">
        <f t="shared" si="68"/>
        <v>39.9</v>
      </c>
      <c r="L594" s="48">
        <f t="shared" si="69"/>
        <v>5.76</v>
      </c>
      <c r="M594" s="48">
        <f t="shared" si="70"/>
        <v>2194.5</v>
      </c>
      <c r="N594" s="48">
        <f t="shared" si="71"/>
        <v>316.8</v>
      </c>
      <c r="O594" s="50">
        <f t="shared" si="72"/>
        <v>2511.3000000000002</v>
      </c>
      <c r="P594" s="50">
        <v>0</v>
      </c>
      <c r="Q594" s="76"/>
      <c r="R594" s="140">
        <f>5*S9+5*S10</f>
        <v>55</v>
      </c>
      <c r="S594" s="152">
        <v>32.58</v>
      </c>
      <c r="T594" s="153">
        <v>4.71</v>
      </c>
    </row>
    <row r="595" spans="2:20" ht="84">
      <c r="B595" s="5" t="s">
        <v>1398</v>
      </c>
      <c r="C595" s="45" t="s">
        <v>97</v>
      </c>
      <c r="D595" s="45" t="s">
        <v>1399</v>
      </c>
      <c r="E595" s="6" t="s">
        <v>1400</v>
      </c>
      <c r="F595" s="45" t="s">
        <v>104</v>
      </c>
      <c r="G595" s="46">
        <f t="shared" si="73"/>
        <v>55</v>
      </c>
      <c r="H595" s="46">
        <f>TRUNC(S595*(1-LOTE_01!$K$10),2)</f>
        <v>23.41</v>
      </c>
      <c r="I595" s="46">
        <f>TRUNC(T595*(1-LOTE_01!$K$10),2)</f>
        <v>4.71</v>
      </c>
      <c r="J595" s="100">
        <f t="shared" si="74"/>
        <v>0.22470000000000001</v>
      </c>
      <c r="K595" s="48">
        <f t="shared" si="68"/>
        <v>28.67</v>
      </c>
      <c r="L595" s="48">
        <f t="shared" si="69"/>
        <v>5.76</v>
      </c>
      <c r="M595" s="48">
        <f t="shared" si="70"/>
        <v>1576.85</v>
      </c>
      <c r="N595" s="48">
        <f t="shared" si="71"/>
        <v>316.8</v>
      </c>
      <c r="O595" s="50">
        <f t="shared" si="72"/>
        <v>1893.65</v>
      </c>
      <c r="P595" s="50">
        <v>0</v>
      </c>
      <c r="Q595" s="76"/>
      <c r="R595" s="140">
        <f>5*S9+5*S10</f>
        <v>55</v>
      </c>
      <c r="S595" s="152">
        <v>23.41</v>
      </c>
      <c r="T595" s="153">
        <v>4.71</v>
      </c>
    </row>
    <row r="596" spans="2:20" ht="84">
      <c r="B596" s="5" t="s">
        <v>1401</v>
      </c>
      <c r="C596" s="45" t="s">
        <v>97</v>
      </c>
      <c r="D596" s="45" t="s">
        <v>1402</v>
      </c>
      <c r="E596" s="6" t="s">
        <v>1403</v>
      </c>
      <c r="F596" s="45" t="s">
        <v>104</v>
      </c>
      <c r="G596" s="46">
        <f t="shared" si="73"/>
        <v>55</v>
      </c>
      <c r="H596" s="46">
        <f>TRUNC(S596*(1-LOTE_01!$K$10),2)</f>
        <v>42.34</v>
      </c>
      <c r="I596" s="46">
        <f>TRUNC(T596*(1-LOTE_01!$K$10),2)</f>
        <v>4.71</v>
      </c>
      <c r="J596" s="100">
        <f t="shared" si="74"/>
        <v>0.22470000000000001</v>
      </c>
      <c r="K596" s="48">
        <f t="shared" si="68"/>
        <v>51.85</v>
      </c>
      <c r="L596" s="48">
        <f t="shared" si="69"/>
        <v>5.76</v>
      </c>
      <c r="M596" s="48">
        <f t="shared" si="70"/>
        <v>2851.75</v>
      </c>
      <c r="N596" s="48">
        <f t="shared" si="71"/>
        <v>316.8</v>
      </c>
      <c r="O596" s="50">
        <f t="shared" si="72"/>
        <v>3168.55</v>
      </c>
      <c r="P596" s="50">
        <v>0</v>
      </c>
      <c r="Q596" s="76"/>
      <c r="R596" s="140">
        <f>5*S9+5*S10</f>
        <v>55</v>
      </c>
      <c r="S596" s="152">
        <v>42.34</v>
      </c>
      <c r="T596" s="153">
        <v>4.71</v>
      </c>
    </row>
    <row r="597" spans="2:20" ht="56">
      <c r="B597" s="5" t="s">
        <v>1404</v>
      </c>
      <c r="C597" s="45" t="s">
        <v>97</v>
      </c>
      <c r="D597" s="45" t="s">
        <v>1405</v>
      </c>
      <c r="E597" s="6" t="s">
        <v>1406</v>
      </c>
      <c r="F597" s="45" t="s">
        <v>104</v>
      </c>
      <c r="G597" s="46">
        <f t="shared" si="73"/>
        <v>22</v>
      </c>
      <c r="H597" s="46">
        <f>TRUNC(S597*(1-LOTE_01!$K$10),2)</f>
        <v>26.82</v>
      </c>
      <c r="I597" s="46">
        <f>TRUNC(T597*(1-LOTE_01!$K$10),2)</f>
        <v>3.27</v>
      </c>
      <c r="J597" s="100">
        <f t="shared" si="74"/>
        <v>0.22470000000000001</v>
      </c>
      <c r="K597" s="48">
        <f t="shared" si="68"/>
        <v>32.840000000000003</v>
      </c>
      <c r="L597" s="48">
        <f t="shared" si="69"/>
        <v>4</v>
      </c>
      <c r="M597" s="48">
        <f t="shared" si="70"/>
        <v>722.48</v>
      </c>
      <c r="N597" s="48">
        <f t="shared" si="71"/>
        <v>88</v>
      </c>
      <c r="O597" s="50">
        <f t="shared" si="72"/>
        <v>810.48</v>
      </c>
      <c r="P597" s="50">
        <v>0</v>
      </c>
      <c r="Q597" s="76"/>
      <c r="R597" s="140">
        <f>2*S9+2*S10</f>
        <v>22</v>
      </c>
      <c r="S597" s="152">
        <v>26.82</v>
      </c>
      <c r="T597" s="153">
        <v>3.27</v>
      </c>
    </row>
    <row r="598" spans="2:20" ht="28">
      <c r="B598" s="5" t="s">
        <v>1407</v>
      </c>
      <c r="C598" s="45" t="s">
        <v>165</v>
      </c>
      <c r="D598" s="45" t="s">
        <v>1408</v>
      </c>
      <c r="E598" s="6" t="s">
        <v>1409</v>
      </c>
      <c r="F598" s="45" t="s">
        <v>559</v>
      </c>
      <c r="G598" s="46">
        <f t="shared" si="73"/>
        <v>5</v>
      </c>
      <c r="H598" s="46">
        <f>TRUNC(S598*(1-LOTE_01!$K$10),2)</f>
        <v>1099.45</v>
      </c>
      <c r="I598" s="46">
        <f>TRUNC(T598*(1-LOTE_01!$K$10),2)</f>
        <v>68.67</v>
      </c>
      <c r="J598" s="100">
        <f t="shared" si="74"/>
        <v>0.22470000000000001</v>
      </c>
      <c r="K598" s="48">
        <f t="shared" si="68"/>
        <v>1346.49</v>
      </c>
      <c r="L598" s="48">
        <f t="shared" si="69"/>
        <v>84.1</v>
      </c>
      <c r="M598" s="48">
        <f t="shared" si="70"/>
        <v>6732.45</v>
      </c>
      <c r="N598" s="48">
        <f t="shared" si="71"/>
        <v>420.5</v>
      </c>
      <c r="O598" s="50">
        <f t="shared" si="72"/>
        <v>7152.95</v>
      </c>
      <c r="P598" s="50">
        <v>0</v>
      </c>
      <c r="Q598" s="76"/>
      <c r="R598" s="140">
        <f>IF((1*S9+1*S10)&gt;5,5,(1*S9+1*S10))</f>
        <v>5</v>
      </c>
      <c r="S598" s="152">
        <v>1099.45</v>
      </c>
      <c r="T598" s="153">
        <v>68.67</v>
      </c>
    </row>
    <row r="599" spans="2:20" ht="28">
      <c r="B599" s="5" t="s">
        <v>1410</v>
      </c>
      <c r="C599" s="45" t="s">
        <v>165</v>
      </c>
      <c r="D599" s="45" t="s">
        <v>1411</v>
      </c>
      <c r="E599" s="6" t="s">
        <v>1412</v>
      </c>
      <c r="F599" s="45" t="s">
        <v>559</v>
      </c>
      <c r="G599" s="46">
        <f t="shared" si="73"/>
        <v>5</v>
      </c>
      <c r="H599" s="46">
        <f>TRUNC(S599*(1-LOTE_01!$K$10),2)</f>
        <v>130.75</v>
      </c>
      <c r="I599" s="46">
        <f>TRUNC(T599*(1-LOTE_01!$K$10),2)</f>
        <v>9.9600000000000009</v>
      </c>
      <c r="J599" s="100">
        <f t="shared" si="74"/>
        <v>0.22470000000000001</v>
      </c>
      <c r="K599" s="48">
        <f t="shared" si="68"/>
        <v>160.12</v>
      </c>
      <c r="L599" s="48">
        <f t="shared" si="69"/>
        <v>12.19</v>
      </c>
      <c r="M599" s="48">
        <f t="shared" si="70"/>
        <v>800.6</v>
      </c>
      <c r="N599" s="48">
        <f t="shared" si="71"/>
        <v>60.95</v>
      </c>
      <c r="O599" s="50">
        <f t="shared" si="72"/>
        <v>861.55</v>
      </c>
      <c r="P599" s="50">
        <v>0</v>
      </c>
      <c r="Q599" s="76"/>
      <c r="R599" s="140">
        <f>IF((1*S9+1*S10)&gt;5,5,(1*S9+1*S10))</f>
        <v>5</v>
      </c>
      <c r="S599" s="152">
        <v>130.75</v>
      </c>
      <c r="T599" s="153">
        <v>9.9600000000000009</v>
      </c>
    </row>
    <row r="600" spans="2:20" ht="28">
      <c r="B600" s="5" t="s">
        <v>1413</v>
      </c>
      <c r="C600" s="45" t="s">
        <v>97</v>
      </c>
      <c r="D600" s="45" t="s">
        <v>1414</v>
      </c>
      <c r="E600" s="6" t="s">
        <v>1415</v>
      </c>
      <c r="F600" s="45" t="s">
        <v>1416</v>
      </c>
      <c r="G600" s="46">
        <f t="shared" si="73"/>
        <v>500</v>
      </c>
      <c r="H600" s="46">
        <f>TRUNC(S600*(1-LOTE_01!$K$10),2)</f>
        <v>22.4</v>
      </c>
      <c r="I600" s="46">
        <f>TRUNC(T600*(1-LOTE_01!$K$10),2)</f>
        <v>6.24</v>
      </c>
      <c r="J600" s="100">
        <f t="shared" si="74"/>
        <v>0.22470000000000001</v>
      </c>
      <c r="K600" s="48">
        <f t="shared" si="68"/>
        <v>27.43</v>
      </c>
      <c r="L600" s="48">
        <f t="shared" si="69"/>
        <v>7.64</v>
      </c>
      <c r="M600" s="48">
        <f t="shared" si="70"/>
        <v>13715</v>
      </c>
      <c r="N600" s="48">
        <f t="shared" si="71"/>
        <v>3820</v>
      </c>
      <c r="O600" s="50">
        <f t="shared" si="72"/>
        <v>17535</v>
      </c>
      <c r="P600" s="50">
        <v>0</v>
      </c>
      <c r="Q600" s="76"/>
      <c r="R600" s="141">
        <f>IF(100*(S9+S10)&gt;500,500,100*(S9+S10))</f>
        <v>500</v>
      </c>
      <c r="S600" s="152">
        <v>22.4</v>
      </c>
      <c r="T600" s="153">
        <v>6.24</v>
      </c>
    </row>
    <row r="601" spans="2:20" ht="28">
      <c r="B601" s="5" t="s">
        <v>1417</v>
      </c>
      <c r="C601" s="45" t="s">
        <v>97</v>
      </c>
      <c r="D601" s="45" t="s">
        <v>1418</v>
      </c>
      <c r="E601" s="6" t="s">
        <v>1419</v>
      </c>
      <c r="F601" s="45" t="s">
        <v>187</v>
      </c>
      <c r="G601" s="46">
        <f t="shared" si="73"/>
        <v>500</v>
      </c>
      <c r="H601" s="46">
        <f>TRUNC(S601*(1-LOTE_01!$K$10),2)</f>
        <v>27.33</v>
      </c>
      <c r="I601" s="46">
        <f>TRUNC(T601*(1-LOTE_01!$K$10),2)</f>
        <v>6.24</v>
      </c>
      <c r="J601" s="100">
        <f t="shared" si="74"/>
        <v>0.22470000000000001</v>
      </c>
      <c r="K601" s="48">
        <f t="shared" si="68"/>
        <v>33.47</v>
      </c>
      <c r="L601" s="48">
        <f t="shared" si="69"/>
        <v>7.64</v>
      </c>
      <c r="M601" s="48">
        <f t="shared" si="70"/>
        <v>16735</v>
      </c>
      <c r="N601" s="48">
        <f t="shared" si="71"/>
        <v>3820</v>
      </c>
      <c r="O601" s="50">
        <f t="shared" si="72"/>
        <v>20555</v>
      </c>
      <c r="P601" s="50">
        <v>0</v>
      </c>
      <c r="Q601" s="76"/>
      <c r="R601" s="141">
        <f>IF(100*(S9+S10)&gt;500,500,100*(S9+S10))</f>
        <v>500</v>
      </c>
      <c r="S601" s="152">
        <v>27.33</v>
      </c>
      <c r="T601" s="153">
        <v>6.24</v>
      </c>
    </row>
    <row r="602" spans="2:20" ht="28">
      <c r="B602" s="5" t="s">
        <v>1420</v>
      </c>
      <c r="C602" s="45" t="s">
        <v>97</v>
      </c>
      <c r="D602" s="45" t="s">
        <v>1421</v>
      </c>
      <c r="E602" s="6" t="s">
        <v>1422</v>
      </c>
      <c r="F602" s="45" t="s">
        <v>104</v>
      </c>
      <c r="G602" s="46">
        <f t="shared" si="73"/>
        <v>10</v>
      </c>
      <c r="H602" s="46">
        <f>TRUNC(S602*(1-LOTE_01!$K$10),2)</f>
        <v>217.91</v>
      </c>
      <c r="I602" s="46">
        <f>TRUNC(T602*(1-LOTE_01!$K$10),2)</f>
        <v>29.16</v>
      </c>
      <c r="J602" s="100">
        <f t="shared" si="74"/>
        <v>0.22470000000000001</v>
      </c>
      <c r="K602" s="48">
        <f t="shared" si="68"/>
        <v>266.87</v>
      </c>
      <c r="L602" s="48">
        <f t="shared" si="69"/>
        <v>35.71</v>
      </c>
      <c r="M602" s="48">
        <f t="shared" si="70"/>
        <v>2668.7</v>
      </c>
      <c r="N602" s="48">
        <f t="shared" si="71"/>
        <v>357.1</v>
      </c>
      <c r="O602" s="50">
        <f t="shared" si="72"/>
        <v>3025.8</v>
      </c>
      <c r="P602" s="50">
        <v>0</v>
      </c>
      <c r="Q602" s="76"/>
      <c r="R602" s="141">
        <f>IF(2*(S9+S10)&gt;10,10,2*(S9+S10))</f>
        <v>10</v>
      </c>
      <c r="S602" s="152">
        <v>217.91</v>
      </c>
      <c r="T602" s="153">
        <v>29.16</v>
      </c>
    </row>
    <row r="603" spans="2:20" ht="28">
      <c r="B603" s="5" t="s">
        <v>1423</v>
      </c>
      <c r="C603" s="45" t="s">
        <v>97</v>
      </c>
      <c r="D603" s="45" t="s">
        <v>1421</v>
      </c>
      <c r="E603" s="6" t="s">
        <v>1422</v>
      </c>
      <c r="F603" s="45" t="s">
        <v>104</v>
      </c>
      <c r="G603" s="46">
        <f t="shared" si="73"/>
        <v>5</v>
      </c>
      <c r="H603" s="46">
        <f>TRUNC(S603*(1-LOTE_01!$K$10),2)</f>
        <v>217.91</v>
      </c>
      <c r="I603" s="46">
        <f>TRUNC(T603*(1-LOTE_01!$K$10),2)</f>
        <v>29.16</v>
      </c>
      <c r="J603" s="100">
        <f t="shared" si="74"/>
        <v>0.22470000000000001</v>
      </c>
      <c r="K603" s="48">
        <f t="shared" si="68"/>
        <v>266.87</v>
      </c>
      <c r="L603" s="48">
        <f t="shared" si="69"/>
        <v>35.71</v>
      </c>
      <c r="M603" s="48">
        <f t="shared" si="70"/>
        <v>1334.35</v>
      </c>
      <c r="N603" s="48">
        <f t="shared" si="71"/>
        <v>178.55</v>
      </c>
      <c r="O603" s="50">
        <f t="shared" si="72"/>
        <v>1512.9</v>
      </c>
      <c r="P603" s="50">
        <v>0</v>
      </c>
      <c r="Q603" s="76"/>
      <c r="R603" s="141">
        <f>IF(1*(S9+S10)&gt;5,5,1*(S9+S10))</f>
        <v>5</v>
      </c>
      <c r="S603" s="152">
        <v>217.91</v>
      </c>
      <c r="T603" s="153">
        <v>29.16</v>
      </c>
    </row>
    <row r="604" spans="2:20" ht="28">
      <c r="B604" s="5" t="s">
        <v>1424</v>
      </c>
      <c r="C604" s="45" t="s">
        <v>97</v>
      </c>
      <c r="D604" s="45" t="s">
        <v>1421</v>
      </c>
      <c r="E604" s="6" t="s">
        <v>1422</v>
      </c>
      <c r="F604" s="45" t="s">
        <v>104</v>
      </c>
      <c r="G604" s="46">
        <f t="shared" si="73"/>
        <v>5</v>
      </c>
      <c r="H604" s="46">
        <f>TRUNC(S604*(1-LOTE_01!$K$10),2)</f>
        <v>217.91</v>
      </c>
      <c r="I604" s="46">
        <f>TRUNC(T604*(1-LOTE_01!$K$10),2)</f>
        <v>29.16</v>
      </c>
      <c r="J604" s="100">
        <f t="shared" si="74"/>
        <v>0.22470000000000001</v>
      </c>
      <c r="K604" s="48">
        <f t="shared" si="68"/>
        <v>266.87</v>
      </c>
      <c r="L604" s="48">
        <f t="shared" si="69"/>
        <v>35.71</v>
      </c>
      <c r="M604" s="48">
        <f t="shared" si="70"/>
        <v>1334.35</v>
      </c>
      <c r="N604" s="48">
        <f t="shared" si="71"/>
        <v>178.55</v>
      </c>
      <c r="O604" s="50">
        <f t="shared" si="72"/>
        <v>1512.9</v>
      </c>
      <c r="P604" s="50">
        <v>0</v>
      </c>
      <c r="Q604" s="76"/>
      <c r="R604" s="141">
        <f>IF(1*(S10+1*S9)&gt;5,5,(2*S10+1*S9))</f>
        <v>5</v>
      </c>
      <c r="S604" s="152">
        <v>217.91</v>
      </c>
      <c r="T604" s="153">
        <v>29.16</v>
      </c>
    </row>
    <row r="605" spans="2:20">
      <c r="B605" s="101" t="s">
        <v>54</v>
      </c>
      <c r="C605" s="102" t="s">
        <v>21</v>
      </c>
      <c r="D605" s="102" t="s">
        <v>21</v>
      </c>
      <c r="E605" s="103" t="s">
        <v>60</v>
      </c>
      <c r="F605" s="102" t="s">
        <v>21</v>
      </c>
      <c r="G605" s="46">
        <f t="shared" si="73"/>
        <v>0</v>
      </c>
      <c r="H605" s="46"/>
      <c r="I605" s="46"/>
      <c r="J605" s="105"/>
      <c r="K605" s="48">
        <f t="shared" si="68"/>
        <v>0</v>
      </c>
      <c r="L605" s="48">
        <f t="shared" si="69"/>
        <v>0</v>
      </c>
      <c r="M605" s="48">
        <f t="shared" si="70"/>
        <v>0</v>
      </c>
      <c r="N605" s="48">
        <f t="shared" si="71"/>
        <v>0</v>
      </c>
      <c r="O605" s="50">
        <f t="shared" si="72"/>
        <v>0</v>
      </c>
      <c r="P605" s="104">
        <f>SUM(O606:O623)</f>
        <v>535927.04000000004</v>
      </c>
      <c r="Q605" s="76"/>
      <c r="R605" s="154"/>
      <c r="S605" s="152" t="s">
        <v>22</v>
      </c>
      <c r="T605" s="153" t="s">
        <v>22</v>
      </c>
    </row>
    <row r="606" spans="2:20" ht="56">
      <c r="B606" s="5" t="s">
        <v>1425</v>
      </c>
      <c r="C606" s="45" t="s">
        <v>97</v>
      </c>
      <c r="D606" s="45" t="s">
        <v>1426</v>
      </c>
      <c r="E606" s="6" t="s">
        <v>1427</v>
      </c>
      <c r="F606" s="45" t="s">
        <v>104</v>
      </c>
      <c r="G606" s="46">
        <f t="shared" si="73"/>
        <v>33</v>
      </c>
      <c r="H606" s="46">
        <f>TRUNC(S606*(1-LOTE_01!$K$10),2)</f>
        <v>7.53</v>
      </c>
      <c r="I606" s="46">
        <f>TRUNC(T606*(1-LOTE_01!$K$10),2)</f>
        <v>20.190000000000001</v>
      </c>
      <c r="J606" s="100">
        <f t="shared" si="74"/>
        <v>0.22470000000000001</v>
      </c>
      <c r="K606" s="48">
        <f t="shared" si="68"/>
        <v>9.2200000000000006</v>
      </c>
      <c r="L606" s="48">
        <f t="shared" si="69"/>
        <v>24.72</v>
      </c>
      <c r="M606" s="48">
        <f t="shared" si="70"/>
        <v>304.26</v>
      </c>
      <c r="N606" s="48">
        <f t="shared" si="71"/>
        <v>815.76</v>
      </c>
      <c r="O606" s="50">
        <f t="shared" si="72"/>
        <v>1120.02</v>
      </c>
      <c r="P606" s="50">
        <v>0</v>
      </c>
      <c r="Q606" s="76"/>
      <c r="R606" s="139">
        <f>3*S9+3*S10</f>
        <v>33</v>
      </c>
      <c r="S606" s="152">
        <v>7.53</v>
      </c>
      <c r="T606" s="153">
        <v>20.190000000000001</v>
      </c>
    </row>
    <row r="607" spans="2:20" ht="42">
      <c r="B607" s="5" t="s">
        <v>1428</v>
      </c>
      <c r="C607" s="45" t="s">
        <v>135</v>
      </c>
      <c r="D607" s="45">
        <v>103288</v>
      </c>
      <c r="E607" s="6" t="s">
        <v>1429</v>
      </c>
      <c r="F607" s="45" t="s">
        <v>210</v>
      </c>
      <c r="G607" s="46">
        <f t="shared" si="73"/>
        <v>22</v>
      </c>
      <c r="H607" s="46">
        <f>TRUNC(S607*(1-LOTE_01!$K$10),2)</f>
        <v>6.22</v>
      </c>
      <c r="I607" s="46">
        <f>TRUNC(T607*(1-LOTE_01!$K$10),2)</f>
        <v>11.42</v>
      </c>
      <c r="J607" s="100">
        <f t="shared" si="74"/>
        <v>0.22470000000000001</v>
      </c>
      <c r="K607" s="48">
        <f t="shared" si="68"/>
        <v>7.61</v>
      </c>
      <c r="L607" s="48">
        <f t="shared" si="69"/>
        <v>13.98</v>
      </c>
      <c r="M607" s="48">
        <f t="shared" si="70"/>
        <v>167.42</v>
      </c>
      <c r="N607" s="48">
        <f t="shared" si="71"/>
        <v>307.56</v>
      </c>
      <c r="O607" s="50">
        <f t="shared" si="72"/>
        <v>474.98</v>
      </c>
      <c r="P607" s="50">
        <v>0</v>
      </c>
      <c r="Q607" s="76"/>
      <c r="R607" s="139">
        <f>2*S9+2*S10</f>
        <v>22</v>
      </c>
      <c r="S607" s="152">
        <v>6.2200000000000006</v>
      </c>
      <c r="T607" s="153">
        <v>11.42</v>
      </c>
    </row>
    <row r="608" spans="2:20" ht="28">
      <c r="B608" s="5" t="s">
        <v>1430</v>
      </c>
      <c r="C608" s="45" t="s">
        <v>165</v>
      </c>
      <c r="D608" s="45" t="s">
        <v>1431</v>
      </c>
      <c r="E608" s="6" t="s">
        <v>1432</v>
      </c>
      <c r="F608" s="45" t="s">
        <v>168</v>
      </c>
      <c r="G608" s="46">
        <f t="shared" si="73"/>
        <v>374</v>
      </c>
      <c r="H608" s="46">
        <f>TRUNC(S608*(1-LOTE_01!$K$10),2)</f>
        <v>142.87</v>
      </c>
      <c r="I608" s="46">
        <f>TRUNC(T608*(1-LOTE_01!$K$10),2)</f>
        <v>111.11</v>
      </c>
      <c r="J608" s="100">
        <f t="shared" si="74"/>
        <v>0.22470000000000001</v>
      </c>
      <c r="K608" s="48">
        <f t="shared" si="68"/>
        <v>174.97</v>
      </c>
      <c r="L608" s="48">
        <f t="shared" si="69"/>
        <v>136.07</v>
      </c>
      <c r="M608" s="48">
        <f t="shared" si="70"/>
        <v>65438.78</v>
      </c>
      <c r="N608" s="48">
        <f t="shared" si="71"/>
        <v>50890.18</v>
      </c>
      <c r="O608" s="50">
        <f t="shared" si="72"/>
        <v>116328.96000000001</v>
      </c>
      <c r="P608" s="50">
        <v>0</v>
      </c>
      <c r="Q608" s="76"/>
      <c r="R608" s="139">
        <f>(21+10+3)*(S9+S10)</f>
        <v>374</v>
      </c>
      <c r="S608" s="152">
        <v>142.87</v>
      </c>
      <c r="T608" s="153">
        <v>111.11</v>
      </c>
    </row>
    <row r="609" spans="2:20" ht="28">
      <c r="B609" s="5" t="s">
        <v>1433</v>
      </c>
      <c r="C609" s="45" t="s">
        <v>165</v>
      </c>
      <c r="D609" s="45" t="s">
        <v>1434</v>
      </c>
      <c r="E609" s="6" t="s">
        <v>1435</v>
      </c>
      <c r="F609" s="45" t="s">
        <v>559</v>
      </c>
      <c r="G609" s="46">
        <f t="shared" si="73"/>
        <v>44</v>
      </c>
      <c r="H609" s="46">
        <f>TRUNC(S609*(1-LOTE_01!$K$10),2)</f>
        <v>142.33000000000001</v>
      </c>
      <c r="I609" s="46">
        <f>TRUNC(T609*(1-LOTE_01!$K$10),2)</f>
        <v>86.19</v>
      </c>
      <c r="J609" s="100">
        <f t="shared" si="74"/>
        <v>0.22470000000000001</v>
      </c>
      <c r="K609" s="48">
        <f t="shared" si="68"/>
        <v>174.31</v>
      </c>
      <c r="L609" s="48">
        <f t="shared" si="69"/>
        <v>105.55</v>
      </c>
      <c r="M609" s="48">
        <f t="shared" si="70"/>
        <v>7669.64</v>
      </c>
      <c r="N609" s="48">
        <f t="shared" si="71"/>
        <v>4644.2</v>
      </c>
      <c r="O609" s="50">
        <f t="shared" si="72"/>
        <v>12313.84</v>
      </c>
      <c r="P609" s="50">
        <v>0</v>
      </c>
      <c r="Q609" s="76"/>
      <c r="R609" s="139">
        <f>4*(S9+S10)</f>
        <v>44</v>
      </c>
      <c r="S609" s="152">
        <v>142.33000000000001</v>
      </c>
      <c r="T609" s="153">
        <v>86.19</v>
      </c>
    </row>
    <row r="610" spans="2:20" ht="42">
      <c r="B610" s="5" t="s">
        <v>1436</v>
      </c>
      <c r="C610" s="45" t="s">
        <v>165</v>
      </c>
      <c r="D610" s="45" t="s">
        <v>1437</v>
      </c>
      <c r="E610" s="6" t="s">
        <v>1438</v>
      </c>
      <c r="F610" s="45" t="s">
        <v>559</v>
      </c>
      <c r="G610" s="46">
        <f t="shared" si="73"/>
        <v>44</v>
      </c>
      <c r="H610" s="46">
        <f>TRUNC(S610*(1-LOTE_01!$K$10),2)</f>
        <v>144.16999999999999</v>
      </c>
      <c r="I610" s="46">
        <f>TRUNC(T610*(1-LOTE_01!$K$10),2)</f>
        <v>110.67</v>
      </c>
      <c r="J610" s="100">
        <f t="shared" si="74"/>
        <v>0.22470000000000001</v>
      </c>
      <c r="K610" s="48">
        <f t="shared" si="68"/>
        <v>176.56</v>
      </c>
      <c r="L610" s="48">
        <f t="shared" si="69"/>
        <v>135.53</v>
      </c>
      <c r="M610" s="48">
        <f t="shared" si="70"/>
        <v>7768.64</v>
      </c>
      <c r="N610" s="48">
        <f t="shared" si="71"/>
        <v>5963.32</v>
      </c>
      <c r="O610" s="50">
        <f t="shared" si="72"/>
        <v>13731.96</v>
      </c>
      <c r="P610" s="50">
        <v>0</v>
      </c>
      <c r="Q610" s="76"/>
      <c r="R610" s="139">
        <f>4*(S9+S10)</f>
        <v>44</v>
      </c>
      <c r="S610" s="152">
        <v>144.16999999999999</v>
      </c>
      <c r="T610" s="153">
        <v>110.67</v>
      </c>
    </row>
    <row r="611" spans="2:20" ht="28">
      <c r="B611" s="5" t="s">
        <v>1439</v>
      </c>
      <c r="C611" s="45" t="s">
        <v>165</v>
      </c>
      <c r="D611" s="45" t="s">
        <v>1440</v>
      </c>
      <c r="E611" s="6" t="s">
        <v>1441</v>
      </c>
      <c r="F611" s="45" t="s">
        <v>559</v>
      </c>
      <c r="G611" s="46">
        <f t="shared" si="73"/>
        <v>55</v>
      </c>
      <c r="H611" s="46">
        <f>TRUNC(S611*(1-LOTE_01!$K$10),2)</f>
        <v>179.05</v>
      </c>
      <c r="I611" s="46">
        <f>TRUNC(T611*(1-LOTE_01!$K$10),2)</f>
        <v>120.67</v>
      </c>
      <c r="J611" s="100">
        <f t="shared" si="74"/>
        <v>0.22470000000000001</v>
      </c>
      <c r="K611" s="48">
        <f t="shared" si="68"/>
        <v>219.28</v>
      </c>
      <c r="L611" s="48">
        <f t="shared" si="69"/>
        <v>147.78</v>
      </c>
      <c r="M611" s="48">
        <f t="shared" si="70"/>
        <v>12060.4</v>
      </c>
      <c r="N611" s="48">
        <f t="shared" si="71"/>
        <v>8127.9</v>
      </c>
      <c r="O611" s="50">
        <f t="shared" si="72"/>
        <v>20188.3</v>
      </c>
      <c r="P611" s="50">
        <v>0</v>
      </c>
      <c r="Q611" s="76"/>
      <c r="R611" s="139">
        <f>5*(S9+S10)</f>
        <v>55</v>
      </c>
      <c r="S611" s="152">
        <v>179.05</v>
      </c>
      <c r="T611" s="153">
        <v>120.67</v>
      </c>
    </row>
    <row r="612" spans="2:20" ht="28">
      <c r="B612" s="5" t="s">
        <v>1442</v>
      </c>
      <c r="C612" s="45" t="s">
        <v>165</v>
      </c>
      <c r="D612" s="45" t="s">
        <v>1443</v>
      </c>
      <c r="E612" s="6" t="s">
        <v>1444</v>
      </c>
      <c r="F612" s="45" t="s">
        <v>559</v>
      </c>
      <c r="G612" s="46">
        <f t="shared" si="73"/>
        <v>55</v>
      </c>
      <c r="H612" s="46">
        <f>TRUNC(S612*(1-LOTE_01!$K$10),2)</f>
        <v>191.75</v>
      </c>
      <c r="I612" s="46">
        <f>TRUNC(T612*(1-LOTE_01!$K$10),2)</f>
        <v>120.67</v>
      </c>
      <c r="J612" s="100">
        <f t="shared" si="74"/>
        <v>0.22470000000000001</v>
      </c>
      <c r="K612" s="48">
        <f t="shared" si="68"/>
        <v>234.83</v>
      </c>
      <c r="L612" s="48">
        <f t="shared" si="69"/>
        <v>147.78</v>
      </c>
      <c r="M612" s="48">
        <f t="shared" si="70"/>
        <v>12915.65</v>
      </c>
      <c r="N612" s="48">
        <f t="shared" si="71"/>
        <v>8127.9</v>
      </c>
      <c r="O612" s="50">
        <f t="shared" si="72"/>
        <v>21043.55</v>
      </c>
      <c r="P612" s="50">
        <v>0</v>
      </c>
      <c r="Q612" s="76"/>
      <c r="R612" s="139">
        <f>5*(S9+S10)</f>
        <v>55</v>
      </c>
      <c r="S612" s="152">
        <v>191.75</v>
      </c>
      <c r="T612" s="153">
        <v>120.67</v>
      </c>
    </row>
    <row r="613" spans="2:20" ht="28">
      <c r="B613" s="5" t="s">
        <v>1445</v>
      </c>
      <c r="C613" s="45" t="s">
        <v>165</v>
      </c>
      <c r="D613" s="45" t="s">
        <v>1446</v>
      </c>
      <c r="E613" s="6" t="s">
        <v>1447</v>
      </c>
      <c r="F613" s="45" t="s">
        <v>559</v>
      </c>
      <c r="G613" s="46">
        <f t="shared" si="73"/>
        <v>55</v>
      </c>
      <c r="H613" s="46">
        <f>TRUNC(S613*(1-LOTE_01!$K$10),2)</f>
        <v>220.47</v>
      </c>
      <c r="I613" s="46">
        <f>TRUNC(T613*(1-LOTE_01!$K$10),2)</f>
        <v>120.67</v>
      </c>
      <c r="J613" s="100">
        <f t="shared" si="74"/>
        <v>0.22470000000000001</v>
      </c>
      <c r="K613" s="48">
        <f t="shared" si="68"/>
        <v>270</v>
      </c>
      <c r="L613" s="48">
        <f t="shared" si="69"/>
        <v>147.78</v>
      </c>
      <c r="M613" s="48">
        <f t="shared" si="70"/>
        <v>14850</v>
      </c>
      <c r="N613" s="48">
        <f t="shared" si="71"/>
        <v>8127.9</v>
      </c>
      <c r="O613" s="50">
        <f t="shared" si="72"/>
        <v>22977.9</v>
      </c>
      <c r="P613" s="50">
        <v>0</v>
      </c>
      <c r="Q613" s="76"/>
      <c r="R613" s="139">
        <f>5*(S9+S10)</f>
        <v>55</v>
      </c>
      <c r="S613" s="152">
        <v>220.47</v>
      </c>
      <c r="T613" s="153">
        <v>120.67</v>
      </c>
    </row>
    <row r="614" spans="2:20" ht="28">
      <c r="B614" s="5" t="s">
        <v>1448</v>
      </c>
      <c r="C614" s="45" t="s">
        <v>97</v>
      </c>
      <c r="D614" s="45" t="s">
        <v>1449</v>
      </c>
      <c r="E614" s="6" t="s">
        <v>1450</v>
      </c>
      <c r="F614" s="45" t="s">
        <v>104</v>
      </c>
      <c r="G614" s="46">
        <f t="shared" si="73"/>
        <v>33</v>
      </c>
      <c r="H614" s="46">
        <f>TRUNC(S614*(1-LOTE_01!$K$10),2)</f>
        <v>488.8</v>
      </c>
      <c r="I614" s="46">
        <f>TRUNC(T614*(1-LOTE_01!$K$10),2)</f>
        <v>397.72</v>
      </c>
      <c r="J614" s="100">
        <f t="shared" si="74"/>
        <v>0.22470000000000001</v>
      </c>
      <c r="K614" s="48">
        <f t="shared" si="68"/>
        <v>598.63</v>
      </c>
      <c r="L614" s="48">
        <f t="shared" si="69"/>
        <v>487.08</v>
      </c>
      <c r="M614" s="48">
        <f t="shared" si="70"/>
        <v>19754.79</v>
      </c>
      <c r="N614" s="48">
        <f t="shared" si="71"/>
        <v>16073.64</v>
      </c>
      <c r="O614" s="50">
        <f t="shared" si="72"/>
        <v>35828.43</v>
      </c>
      <c r="P614" s="50">
        <v>0</v>
      </c>
      <c r="Q614" s="76"/>
      <c r="R614" s="139">
        <f>3*S9+3*S10</f>
        <v>33</v>
      </c>
      <c r="S614" s="152">
        <v>488.8</v>
      </c>
      <c r="T614" s="153">
        <v>397.72</v>
      </c>
    </row>
    <row r="615" spans="2:20" ht="42">
      <c r="B615" s="5" t="s">
        <v>1451</v>
      </c>
      <c r="C615" s="45" t="s">
        <v>97</v>
      </c>
      <c r="D615" s="45" t="s">
        <v>1452</v>
      </c>
      <c r="E615" s="6" t="s">
        <v>1453</v>
      </c>
      <c r="F615" s="45" t="s">
        <v>104</v>
      </c>
      <c r="G615" s="46">
        <f t="shared" si="73"/>
        <v>33</v>
      </c>
      <c r="H615" s="46">
        <f>TRUNC(S615*(1-LOTE_01!$K$10),2)</f>
        <v>178.69</v>
      </c>
      <c r="I615" s="46">
        <f>TRUNC(T615*(1-LOTE_01!$K$10),2)</f>
        <v>216.12</v>
      </c>
      <c r="J615" s="100">
        <f t="shared" si="74"/>
        <v>0.22470000000000001</v>
      </c>
      <c r="K615" s="48">
        <f t="shared" si="68"/>
        <v>218.84</v>
      </c>
      <c r="L615" s="48">
        <f t="shared" si="69"/>
        <v>264.68</v>
      </c>
      <c r="M615" s="48">
        <f t="shared" si="70"/>
        <v>7221.72</v>
      </c>
      <c r="N615" s="48">
        <f t="shared" si="71"/>
        <v>8734.44</v>
      </c>
      <c r="O615" s="50">
        <f t="shared" si="72"/>
        <v>15956.16</v>
      </c>
      <c r="P615" s="50">
        <v>0</v>
      </c>
      <c r="Q615" s="76"/>
      <c r="R615" s="139">
        <f>3*S9+3*S10</f>
        <v>33</v>
      </c>
      <c r="S615" s="152">
        <v>178.69</v>
      </c>
      <c r="T615" s="153">
        <v>216.12</v>
      </c>
    </row>
    <row r="616" spans="2:20" ht="28">
      <c r="B616" s="5" t="s">
        <v>1454</v>
      </c>
      <c r="C616" s="45" t="s">
        <v>97</v>
      </c>
      <c r="D616" s="45" t="s">
        <v>1455</v>
      </c>
      <c r="E616" s="6" t="s">
        <v>1456</v>
      </c>
      <c r="F616" s="45" t="s">
        <v>104</v>
      </c>
      <c r="G616" s="46">
        <f t="shared" si="73"/>
        <v>33</v>
      </c>
      <c r="H616" s="46">
        <f>TRUNC(S616*(1-LOTE_01!$K$10),2)</f>
        <v>2313.1</v>
      </c>
      <c r="I616" s="46">
        <f>TRUNC(T616*(1-LOTE_01!$K$10),2)</f>
        <v>612.20000000000005</v>
      </c>
      <c r="J616" s="100">
        <f t="shared" si="74"/>
        <v>0.22470000000000001</v>
      </c>
      <c r="K616" s="48">
        <f t="shared" si="68"/>
        <v>2832.85</v>
      </c>
      <c r="L616" s="48">
        <f t="shared" si="69"/>
        <v>749.76</v>
      </c>
      <c r="M616" s="48">
        <f t="shared" si="70"/>
        <v>93484.05</v>
      </c>
      <c r="N616" s="48">
        <f t="shared" si="71"/>
        <v>24742.080000000002</v>
      </c>
      <c r="O616" s="50">
        <f t="shared" si="72"/>
        <v>118226.13</v>
      </c>
      <c r="P616" s="50">
        <v>0</v>
      </c>
      <c r="Q616" s="76"/>
      <c r="R616" s="139">
        <f>3*S9+3*S10</f>
        <v>33</v>
      </c>
      <c r="S616" s="152">
        <v>2313.1</v>
      </c>
      <c r="T616" s="153">
        <v>612.20000000000005</v>
      </c>
    </row>
    <row r="617" spans="2:20" ht="70">
      <c r="B617" s="5" t="s">
        <v>1457</v>
      </c>
      <c r="C617" s="45" t="s">
        <v>97</v>
      </c>
      <c r="D617" s="45" t="s">
        <v>1458</v>
      </c>
      <c r="E617" s="6" t="s">
        <v>1459</v>
      </c>
      <c r="F617" s="45" t="s">
        <v>104</v>
      </c>
      <c r="G617" s="46">
        <f t="shared" si="73"/>
        <v>22</v>
      </c>
      <c r="H617" s="46">
        <f>TRUNC(S617*(1-LOTE_01!$K$10),2)</f>
        <v>459.33</v>
      </c>
      <c r="I617" s="46">
        <f>TRUNC(T617*(1-LOTE_01!$K$10),2)</f>
        <v>52.8</v>
      </c>
      <c r="J617" s="100">
        <f t="shared" si="74"/>
        <v>0.22470000000000001</v>
      </c>
      <c r="K617" s="48">
        <f t="shared" si="68"/>
        <v>562.54</v>
      </c>
      <c r="L617" s="48">
        <f t="shared" si="69"/>
        <v>64.66</v>
      </c>
      <c r="M617" s="48">
        <f t="shared" si="70"/>
        <v>12375.88</v>
      </c>
      <c r="N617" s="48">
        <f t="shared" si="71"/>
        <v>1422.52</v>
      </c>
      <c r="O617" s="50">
        <f t="shared" si="72"/>
        <v>13798.4</v>
      </c>
      <c r="P617" s="50">
        <v>0</v>
      </c>
      <c r="Q617" s="76"/>
      <c r="R617" s="139">
        <f>2*S9+2*S10</f>
        <v>22</v>
      </c>
      <c r="S617" s="152">
        <v>459.33</v>
      </c>
      <c r="T617" s="153">
        <v>52.8</v>
      </c>
    </row>
    <row r="618" spans="2:20" ht="70">
      <c r="B618" s="5" t="s">
        <v>1460</v>
      </c>
      <c r="C618" s="45" t="s">
        <v>97</v>
      </c>
      <c r="D618" s="45" t="s">
        <v>1461</v>
      </c>
      <c r="E618" s="6" t="s">
        <v>1462</v>
      </c>
      <c r="F618" s="45" t="s">
        <v>104</v>
      </c>
      <c r="G618" s="46">
        <f t="shared" si="73"/>
        <v>22</v>
      </c>
      <c r="H618" s="46">
        <f>TRUNC(S618*(1-LOTE_01!$K$10),2)</f>
        <v>2101.0500000000002</v>
      </c>
      <c r="I618" s="46">
        <f>TRUNC(T618*(1-LOTE_01!$K$10),2)</f>
        <v>337.25</v>
      </c>
      <c r="J618" s="100">
        <f t="shared" si="74"/>
        <v>0.22470000000000001</v>
      </c>
      <c r="K618" s="48">
        <f t="shared" si="68"/>
        <v>2573.15</v>
      </c>
      <c r="L618" s="48">
        <f t="shared" si="69"/>
        <v>413.03</v>
      </c>
      <c r="M618" s="48">
        <f t="shared" si="70"/>
        <v>56609.3</v>
      </c>
      <c r="N618" s="48">
        <f t="shared" si="71"/>
        <v>9086.66</v>
      </c>
      <c r="O618" s="50">
        <f t="shared" si="72"/>
        <v>65695.960000000006</v>
      </c>
      <c r="P618" s="50">
        <v>0</v>
      </c>
      <c r="Q618" s="76"/>
      <c r="R618" s="139">
        <f>2*S9+2*S10</f>
        <v>22</v>
      </c>
      <c r="S618" s="152">
        <v>2101.0500000000002</v>
      </c>
      <c r="T618" s="153">
        <v>337.25</v>
      </c>
    </row>
    <row r="619" spans="2:20" ht="70">
      <c r="B619" s="5" t="s">
        <v>1463</v>
      </c>
      <c r="C619" s="45" t="s">
        <v>135</v>
      </c>
      <c r="D619" s="45">
        <v>103289</v>
      </c>
      <c r="E619" s="6" t="s">
        <v>1464</v>
      </c>
      <c r="F619" s="45" t="s">
        <v>187</v>
      </c>
      <c r="G619" s="46">
        <f t="shared" si="73"/>
        <v>110</v>
      </c>
      <c r="H619" s="46">
        <f>TRUNC(S619*(1-LOTE_01!$K$10),2)</f>
        <v>31.91</v>
      </c>
      <c r="I619" s="46">
        <f>TRUNC(T619*(1-LOTE_01!$K$10),2)</f>
        <v>3.59</v>
      </c>
      <c r="J619" s="100">
        <f t="shared" si="74"/>
        <v>0.22470000000000001</v>
      </c>
      <c r="K619" s="48">
        <f t="shared" si="68"/>
        <v>39.08</v>
      </c>
      <c r="L619" s="48">
        <f t="shared" si="69"/>
        <v>4.3899999999999997</v>
      </c>
      <c r="M619" s="48">
        <f t="shared" si="70"/>
        <v>4298.8</v>
      </c>
      <c r="N619" s="48">
        <f t="shared" si="71"/>
        <v>482.9</v>
      </c>
      <c r="O619" s="50">
        <f t="shared" si="72"/>
        <v>4781.7</v>
      </c>
      <c r="P619" s="50">
        <v>0</v>
      </c>
      <c r="Q619" s="76"/>
      <c r="R619" s="139">
        <f>10*S9+10*S10</f>
        <v>110</v>
      </c>
      <c r="S619" s="152">
        <v>31.91</v>
      </c>
      <c r="T619" s="153">
        <v>3.59</v>
      </c>
    </row>
    <row r="620" spans="2:20" ht="70">
      <c r="B620" s="5" t="s">
        <v>1465</v>
      </c>
      <c r="C620" s="45" t="s">
        <v>135</v>
      </c>
      <c r="D620" s="45">
        <v>103290</v>
      </c>
      <c r="E620" s="6" t="s">
        <v>1466</v>
      </c>
      <c r="F620" s="45" t="s">
        <v>187</v>
      </c>
      <c r="G620" s="46">
        <f t="shared" si="73"/>
        <v>110</v>
      </c>
      <c r="H620" s="46">
        <f>TRUNC(S620*(1-LOTE_01!$K$10),2)</f>
        <v>54.59</v>
      </c>
      <c r="I620" s="46">
        <f>TRUNC(T620*(1-LOTE_01!$K$10),2)</f>
        <v>4.07</v>
      </c>
      <c r="J620" s="100">
        <f t="shared" si="74"/>
        <v>0.22470000000000001</v>
      </c>
      <c r="K620" s="48">
        <f t="shared" si="68"/>
        <v>66.849999999999994</v>
      </c>
      <c r="L620" s="48">
        <f t="shared" si="69"/>
        <v>4.9800000000000004</v>
      </c>
      <c r="M620" s="48">
        <f t="shared" si="70"/>
        <v>7353.5</v>
      </c>
      <c r="N620" s="48">
        <f t="shared" si="71"/>
        <v>547.79999999999995</v>
      </c>
      <c r="O620" s="50">
        <f t="shared" si="72"/>
        <v>7901.3</v>
      </c>
      <c r="P620" s="50">
        <v>0</v>
      </c>
      <c r="Q620" s="76"/>
      <c r="R620" s="139">
        <f>10*S9+10*S10</f>
        <v>110</v>
      </c>
      <c r="S620" s="152">
        <v>54.589999999999996</v>
      </c>
      <c r="T620" s="153">
        <v>4.07</v>
      </c>
    </row>
    <row r="621" spans="2:20" ht="70">
      <c r="B621" s="5" t="s">
        <v>1467</v>
      </c>
      <c r="C621" s="45" t="s">
        <v>135</v>
      </c>
      <c r="D621" s="45">
        <v>103291</v>
      </c>
      <c r="E621" s="6" t="s">
        <v>1468</v>
      </c>
      <c r="F621" s="45" t="s">
        <v>187</v>
      </c>
      <c r="G621" s="46">
        <f t="shared" si="73"/>
        <v>110</v>
      </c>
      <c r="H621" s="46">
        <f>TRUNC(S621*(1-LOTE_01!$K$10),2)</f>
        <v>68.16</v>
      </c>
      <c r="I621" s="46">
        <f>TRUNC(T621*(1-LOTE_01!$K$10),2)</f>
        <v>4.45</v>
      </c>
      <c r="J621" s="100">
        <f t="shared" si="74"/>
        <v>0.22470000000000001</v>
      </c>
      <c r="K621" s="48">
        <f t="shared" si="68"/>
        <v>83.47</v>
      </c>
      <c r="L621" s="48">
        <f t="shared" si="69"/>
        <v>5.44</v>
      </c>
      <c r="M621" s="48">
        <f t="shared" si="70"/>
        <v>9181.7000000000007</v>
      </c>
      <c r="N621" s="48">
        <f t="shared" si="71"/>
        <v>598.4</v>
      </c>
      <c r="O621" s="50">
        <f t="shared" si="72"/>
        <v>9780.1</v>
      </c>
      <c r="P621" s="50">
        <v>0</v>
      </c>
      <c r="Q621" s="76"/>
      <c r="R621" s="139">
        <f>10*S9+10*S10</f>
        <v>110</v>
      </c>
      <c r="S621" s="152">
        <v>68.16</v>
      </c>
      <c r="T621" s="153">
        <v>4.45</v>
      </c>
    </row>
    <row r="622" spans="2:20" ht="70">
      <c r="B622" s="5" t="s">
        <v>1469</v>
      </c>
      <c r="C622" s="45" t="s">
        <v>135</v>
      </c>
      <c r="D622" s="45">
        <v>103292</v>
      </c>
      <c r="E622" s="6" t="s">
        <v>1470</v>
      </c>
      <c r="F622" s="45" t="s">
        <v>187</v>
      </c>
      <c r="G622" s="46">
        <f t="shared" si="73"/>
        <v>110</v>
      </c>
      <c r="H622" s="46">
        <f>TRUNC(S622*(1-LOTE_01!$K$10),2)</f>
        <v>83.04</v>
      </c>
      <c r="I622" s="46">
        <f>TRUNC(T622*(1-LOTE_01!$K$10),2)</f>
        <v>4.8499999999999996</v>
      </c>
      <c r="J622" s="100">
        <f t="shared" si="74"/>
        <v>0.22470000000000001</v>
      </c>
      <c r="K622" s="48">
        <f t="shared" si="68"/>
        <v>101.69</v>
      </c>
      <c r="L622" s="48">
        <f t="shared" si="69"/>
        <v>5.93</v>
      </c>
      <c r="M622" s="48">
        <f t="shared" si="70"/>
        <v>11185.9</v>
      </c>
      <c r="N622" s="48">
        <f t="shared" si="71"/>
        <v>652.29999999999995</v>
      </c>
      <c r="O622" s="50">
        <f t="shared" si="72"/>
        <v>11838.2</v>
      </c>
      <c r="P622" s="50">
        <v>0</v>
      </c>
      <c r="Q622" s="76"/>
      <c r="R622" s="139">
        <f>10*S9+10*S10</f>
        <v>110</v>
      </c>
      <c r="S622" s="152">
        <v>83.04</v>
      </c>
      <c r="T622" s="153">
        <v>4.8499999999999996</v>
      </c>
    </row>
    <row r="623" spans="2:20" ht="28">
      <c r="B623" s="5" t="s">
        <v>1471</v>
      </c>
      <c r="C623" s="45" t="s">
        <v>97</v>
      </c>
      <c r="D623" s="45" t="s">
        <v>1472</v>
      </c>
      <c r="E623" s="6" t="s">
        <v>1473</v>
      </c>
      <c r="F623" s="45" t="s">
        <v>104</v>
      </c>
      <c r="G623" s="46">
        <f t="shared" si="73"/>
        <v>55</v>
      </c>
      <c r="H623" s="46">
        <f>TRUNC(S623*(1-LOTE_01!$K$10),2)</f>
        <v>277.42</v>
      </c>
      <c r="I623" s="46">
        <f>TRUNC(T623*(1-LOTE_01!$K$10),2)</f>
        <v>374.94</v>
      </c>
      <c r="J623" s="100">
        <f t="shared" si="74"/>
        <v>0.22470000000000001</v>
      </c>
      <c r="K623" s="48">
        <f t="shared" si="68"/>
        <v>339.75</v>
      </c>
      <c r="L623" s="48">
        <f t="shared" si="69"/>
        <v>459.18</v>
      </c>
      <c r="M623" s="48">
        <f t="shared" si="70"/>
        <v>18686.25</v>
      </c>
      <c r="N623" s="48">
        <f t="shared" si="71"/>
        <v>25254.9</v>
      </c>
      <c r="O623" s="50">
        <f t="shared" si="72"/>
        <v>43941.15</v>
      </c>
      <c r="P623" s="50">
        <v>0</v>
      </c>
      <c r="Q623" s="76"/>
      <c r="R623" s="139">
        <f>5*S9+5*S10</f>
        <v>55</v>
      </c>
      <c r="S623" s="152">
        <v>277.42</v>
      </c>
      <c r="T623" s="153">
        <v>374.94</v>
      </c>
    </row>
    <row r="624" spans="2:20" ht="28">
      <c r="B624" s="101" t="s">
        <v>56</v>
      </c>
      <c r="C624" s="102" t="s">
        <v>21</v>
      </c>
      <c r="D624" s="102" t="s">
        <v>21</v>
      </c>
      <c r="E624" s="103" t="s">
        <v>88</v>
      </c>
      <c r="F624" s="102" t="s">
        <v>21</v>
      </c>
      <c r="G624" s="46">
        <f t="shared" si="73"/>
        <v>0</v>
      </c>
      <c r="H624" s="46"/>
      <c r="I624" s="46"/>
      <c r="J624" s="105"/>
      <c r="K624" s="48">
        <f t="shared" si="68"/>
        <v>0</v>
      </c>
      <c r="L624" s="48">
        <f t="shared" si="69"/>
        <v>0</v>
      </c>
      <c r="M624" s="48">
        <f t="shared" si="70"/>
        <v>0</v>
      </c>
      <c r="N624" s="48">
        <f t="shared" si="71"/>
        <v>0</v>
      </c>
      <c r="O624" s="50">
        <f t="shared" si="72"/>
        <v>0</v>
      </c>
      <c r="P624" s="104">
        <f>SUM(O626:O683)</f>
        <v>7362425.2199999988</v>
      </c>
      <c r="Q624" s="76"/>
      <c r="R624" s="154"/>
      <c r="S624" s="152" t="s">
        <v>22</v>
      </c>
      <c r="T624" s="153" t="s">
        <v>22</v>
      </c>
    </row>
    <row r="625" spans="2:20">
      <c r="B625" s="101" t="s">
        <v>1474</v>
      </c>
      <c r="C625" s="102" t="s">
        <v>21</v>
      </c>
      <c r="D625" s="102" t="s">
        <v>21</v>
      </c>
      <c r="E625" s="103" t="s">
        <v>1475</v>
      </c>
      <c r="F625" s="102" t="s">
        <v>21</v>
      </c>
      <c r="G625" s="46">
        <f t="shared" si="73"/>
        <v>0</v>
      </c>
      <c r="H625" s="46"/>
      <c r="I625" s="46"/>
      <c r="J625" s="105"/>
      <c r="K625" s="48">
        <f t="shared" si="68"/>
        <v>0</v>
      </c>
      <c r="L625" s="48">
        <f t="shared" si="69"/>
        <v>0</v>
      </c>
      <c r="M625" s="48">
        <f t="shared" si="70"/>
        <v>0</v>
      </c>
      <c r="N625" s="48">
        <f t="shared" si="71"/>
        <v>0</v>
      </c>
      <c r="O625" s="50">
        <f t="shared" si="72"/>
        <v>0</v>
      </c>
      <c r="P625" s="50">
        <v>0</v>
      </c>
      <c r="Q625" s="76"/>
      <c r="R625" s="154"/>
      <c r="S625" s="152" t="s">
        <v>22</v>
      </c>
      <c r="T625" s="153" t="s">
        <v>22</v>
      </c>
    </row>
    <row r="626" spans="2:20" ht="84">
      <c r="B626" s="5" t="s">
        <v>1476</v>
      </c>
      <c r="C626" s="45" t="s">
        <v>97</v>
      </c>
      <c r="D626" s="45" t="s">
        <v>1477</v>
      </c>
      <c r="E626" s="6" t="s">
        <v>1478</v>
      </c>
      <c r="F626" s="45" t="s">
        <v>121</v>
      </c>
      <c r="G626" s="46">
        <f t="shared" si="73"/>
        <v>330</v>
      </c>
      <c r="H626" s="46">
        <f>TRUNC(S626*(1-LOTE_01!$K$10),2)</f>
        <v>331.89</v>
      </c>
      <c r="I626" s="46">
        <f>TRUNC(T626*(1-LOTE_01!$K$10),2)</f>
        <v>32.4</v>
      </c>
      <c r="J626" s="100">
        <f t="shared" si="74"/>
        <v>0.22470000000000001</v>
      </c>
      <c r="K626" s="48">
        <f t="shared" si="68"/>
        <v>406.46</v>
      </c>
      <c r="L626" s="48">
        <f t="shared" si="69"/>
        <v>39.68</v>
      </c>
      <c r="M626" s="48">
        <f t="shared" si="70"/>
        <v>134131.79999999999</v>
      </c>
      <c r="N626" s="48">
        <f t="shared" si="71"/>
        <v>13094.4</v>
      </c>
      <c r="O626" s="50">
        <f t="shared" si="72"/>
        <v>147226.20000000001</v>
      </c>
      <c r="P626" s="50">
        <v>0</v>
      </c>
      <c r="Q626" s="76"/>
      <c r="R626" s="139">
        <f>30*(S9+S10)</f>
        <v>330</v>
      </c>
      <c r="S626" s="152">
        <v>331.89</v>
      </c>
      <c r="T626" s="153">
        <v>32.4</v>
      </c>
    </row>
    <row r="627" spans="2:20" ht="70">
      <c r="B627" s="5" t="s">
        <v>1479</v>
      </c>
      <c r="C627" s="45" t="s">
        <v>97</v>
      </c>
      <c r="D627" s="45" t="s">
        <v>1480</v>
      </c>
      <c r="E627" s="6" t="s">
        <v>1481</v>
      </c>
      <c r="F627" s="45" t="s">
        <v>104</v>
      </c>
      <c r="G627" s="46">
        <f t="shared" si="73"/>
        <v>10</v>
      </c>
      <c r="H627" s="46">
        <f>TRUNC(S627*(1-LOTE_01!$K$10),2)</f>
        <v>1658.14</v>
      </c>
      <c r="I627" s="46">
        <f>TRUNC(T627*(1-LOTE_01!$K$10),2)</f>
        <v>138.05000000000001</v>
      </c>
      <c r="J627" s="100">
        <f t="shared" si="74"/>
        <v>0.22470000000000001</v>
      </c>
      <c r="K627" s="48">
        <f t="shared" si="68"/>
        <v>2030.72</v>
      </c>
      <c r="L627" s="48">
        <f t="shared" si="69"/>
        <v>169.06</v>
      </c>
      <c r="M627" s="48">
        <f t="shared" si="70"/>
        <v>20307.2</v>
      </c>
      <c r="N627" s="48">
        <f t="shared" si="71"/>
        <v>1690.6</v>
      </c>
      <c r="O627" s="50">
        <f t="shared" si="72"/>
        <v>21997.8</v>
      </c>
      <c r="P627" s="50">
        <v>0</v>
      </c>
      <c r="Q627" s="76"/>
      <c r="R627" s="140">
        <f>IF((S9+S10)&gt;10,10,(S9+S10))</f>
        <v>10</v>
      </c>
      <c r="S627" s="152">
        <v>1658.14</v>
      </c>
      <c r="T627" s="153">
        <v>138.05000000000001</v>
      </c>
    </row>
    <row r="628" spans="2:20" ht="56">
      <c r="B628" s="5" t="s">
        <v>1482</v>
      </c>
      <c r="C628" s="45" t="s">
        <v>97</v>
      </c>
      <c r="D628" s="45" t="s">
        <v>467</v>
      </c>
      <c r="E628" s="6" t="s">
        <v>468</v>
      </c>
      <c r="F628" s="45" t="s">
        <v>121</v>
      </c>
      <c r="G628" s="46">
        <f t="shared" si="73"/>
        <v>738.1</v>
      </c>
      <c r="H628" s="46">
        <f>TRUNC(S628*(1-LOTE_01!$K$10),2)</f>
        <v>382.96</v>
      </c>
      <c r="I628" s="46">
        <f>TRUNC(T628*(1-LOTE_01!$K$10),2)</f>
        <v>158.32</v>
      </c>
      <c r="J628" s="100">
        <f t="shared" si="74"/>
        <v>0.22470000000000001</v>
      </c>
      <c r="K628" s="48">
        <f t="shared" si="68"/>
        <v>469.01</v>
      </c>
      <c r="L628" s="48">
        <f t="shared" si="69"/>
        <v>193.89</v>
      </c>
      <c r="M628" s="48">
        <f t="shared" si="70"/>
        <v>346176.28</v>
      </c>
      <c r="N628" s="48">
        <f t="shared" si="71"/>
        <v>143110.20000000001</v>
      </c>
      <c r="O628" s="50">
        <f t="shared" si="72"/>
        <v>489286.48</v>
      </c>
      <c r="P628" s="50">
        <v>0</v>
      </c>
      <c r="Q628" s="76"/>
      <c r="R628" s="139">
        <f>(13.5+12.5+5.5+22.6+13)*(S9+S10)</f>
        <v>738.09999999999991</v>
      </c>
      <c r="S628" s="152">
        <v>382.96</v>
      </c>
      <c r="T628" s="153">
        <v>158.32</v>
      </c>
    </row>
    <row r="629" spans="2:20" ht="28">
      <c r="B629" s="5" t="s">
        <v>1483</v>
      </c>
      <c r="C629" s="45" t="s">
        <v>97</v>
      </c>
      <c r="D629" s="45" t="s">
        <v>1484</v>
      </c>
      <c r="E629" s="6" t="s">
        <v>1485</v>
      </c>
      <c r="F629" s="45" t="s">
        <v>121</v>
      </c>
      <c r="G629" s="46">
        <f t="shared" si="73"/>
        <v>88</v>
      </c>
      <c r="H629" s="46">
        <f>TRUNC(S629*(1-LOTE_01!$K$10),2)</f>
        <v>444.39</v>
      </c>
      <c r="I629" s="46">
        <f>TRUNC(T629*(1-LOTE_01!$K$10),2)</f>
        <v>4.71</v>
      </c>
      <c r="J629" s="100">
        <f t="shared" si="74"/>
        <v>0.22470000000000001</v>
      </c>
      <c r="K629" s="48">
        <f t="shared" si="68"/>
        <v>544.24</v>
      </c>
      <c r="L629" s="48">
        <f t="shared" si="69"/>
        <v>5.76</v>
      </c>
      <c r="M629" s="48">
        <f t="shared" si="70"/>
        <v>47893.120000000003</v>
      </c>
      <c r="N629" s="48">
        <f t="shared" si="71"/>
        <v>506.88</v>
      </c>
      <c r="O629" s="50">
        <f t="shared" si="72"/>
        <v>48400</v>
      </c>
      <c r="P629" s="50">
        <v>0</v>
      </c>
      <c r="Q629" s="76"/>
      <c r="R629" s="139">
        <f>8*(S9+S10)</f>
        <v>88</v>
      </c>
      <c r="S629" s="152">
        <v>444.39</v>
      </c>
      <c r="T629" s="153">
        <v>4.71</v>
      </c>
    </row>
    <row r="630" spans="2:20" ht="126">
      <c r="B630" s="5" t="s">
        <v>1486</v>
      </c>
      <c r="C630" s="45" t="s">
        <v>97</v>
      </c>
      <c r="D630" s="45" t="s">
        <v>1487</v>
      </c>
      <c r="E630" s="6" t="s">
        <v>1488</v>
      </c>
      <c r="F630" s="45" t="s">
        <v>104</v>
      </c>
      <c r="G630" s="46">
        <f t="shared" si="73"/>
        <v>11</v>
      </c>
      <c r="H630" s="46">
        <f>TRUNC(S630*(1-LOTE_01!$K$10),2)</f>
        <v>11774.98</v>
      </c>
      <c r="I630" s="46">
        <f>TRUNC(T630*(1-LOTE_01!$K$10),2)</f>
        <v>1423.23</v>
      </c>
      <c r="J630" s="100">
        <f t="shared" si="74"/>
        <v>0.22470000000000001</v>
      </c>
      <c r="K630" s="48">
        <f t="shared" si="68"/>
        <v>14420.81</v>
      </c>
      <c r="L630" s="48">
        <f t="shared" si="69"/>
        <v>1743.02</v>
      </c>
      <c r="M630" s="48">
        <f t="shared" si="70"/>
        <v>158628.91</v>
      </c>
      <c r="N630" s="48">
        <f t="shared" si="71"/>
        <v>19173.22</v>
      </c>
      <c r="O630" s="50">
        <f t="shared" si="72"/>
        <v>177802.13</v>
      </c>
      <c r="P630" s="50">
        <v>0</v>
      </c>
      <c r="Q630" s="76"/>
      <c r="R630" s="139">
        <f>1*(S9+S10)</f>
        <v>11</v>
      </c>
      <c r="S630" s="152">
        <v>11774.98</v>
      </c>
      <c r="T630" s="153">
        <v>1423.23</v>
      </c>
    </row>
    <row r="631" spans="2:20" ht="42">
      <c r="B631" s="5" t="s">
        <v>1489</v>
      </c>
      <c r="C631" s="45" t="s">
        <v>97</v>
      </c>
      <c r="D631" s="45" t="s">
        <v>1490</v>
      </c>
      <c r="E631" s="6" t="s">
        <v>1491</v>
      </c>
      <c r="F631" s="45" t="s">
        <v>104</v>
      </c>
      <c r="G631" s="46">
        <f t="shared" si="73"/>
        <v>11</v>
      </c>
      <c r="H631" s="46">
        <f>TRUNC(S631*(1-LOTE_01!$K$10),2)</f>
        <v>3035.48</v>
      </c>
      <c r="I631" s="46">
        <f>TRUNC(T631*(1-LOTE_01!$K$10),2)</f>
        <v>413.88</v>
      </c>
      <c r="J631" s="100">
        <f t="shared" si="74"/>
        <v>0.22470000000000001</v>
      </c>
      <c r="K631" s="48">
        <f t="shared" si="68"/>
        <v>3717.55</v>
      </c>
      <c r="L631" s="48">
        <f t="shared" si="69"/>
        <v>506.87</v>
      </c>
      <c r="M631" s="48">
        <f t="shared" si="70"/>
        <v>40893.050000000003</v>
      </c>
      <c r="N631" s="48">
        <f t="shared" si="71"/>
        <v>5575.57</v>
      </c>
      <c r="O631" s="50">
        <f t="shared" si="72"/>
        <v>46468.62</v>
      </c>
      <c r="P631" s="50">
        <v>0</v>
      </c>
      <c r="Q631" s="76"/>
      <c r="R631" s="139">
        <f>1*(S9+S10)</f>
        <v>11</v>
      </c>
      <c r="S631" s="152">
        <v>3035.48</v>
      </c>
      <c r="T631" s="153">
        <v>413.88</v>
      </c>
    </row>
    <row r="632" spans="2:20" ht="84">
      <c r="B632" s="5" t="s">
        <v>1492</v>
      </c>
      <c r="C632" s="45" t="s">
        <v>97</v>
      </c>
      <c r="D632" s="45" t="s">
        <v>1493</v>
      </c>
      <c r="E632" s="6" t="s">
        <v>1494</v>
      </c>
      <c r="F632" s="45" t="s">
        <v>104</v>
      </c>
      <c r="G632" s="46">
        <f t="shared" si="73"/>
        <v>11</v>
      </c>
      <c r="H632" s="46">
        <f>TRUNC(S632*(1-LOTE_01!$K$10),2)</f>
        <v>9015.0300000000007</v>
      </c>
      <c r="I632" s="46">
        <f>TRUNC(T632*(1-LOTE_01!$K$10),2)</f>
        <v>119.91</v>
      </c>
      <c r="J632" s="100">
        <f t="shared" si="74"/>
        <v>0.22470000000000001</v>
      </c>
      <c r="K632" s="48">
        <f t="shared" si="68"/>
        <v>11040.7</v>
      </c>
      <c r="L632" s="48">
        <f t="shared" si="69"/>
        <v>146.85</v>
      </c>
      <c r="M632" s="48">
        <f t="shared" si="70"/>
        <v>121447.7</v>
      </c>
      <c r="N632" s="48">
        <f t="shared" si="71"/>
        <v>1615.35</v>
      </c>
      <c r="O632" s="50">
        <f t="shared" si="72"/>
        <v>123063.05</v>
      </c>
      <c r="P632" s="50">
        <v>0</v>
      </c>
      <c r="Q632" s="76"/>
      <c r="R632" s="139">
        <f>1*(S9+S10)</f>
        <v>11</v>
      </c>
      <c r="S632" s="152">
        <v>9015.0300000000007</v>
      </c>
      <c r="T632" s="153">
        <v>119.91</v>
      </c>
    </row>
    <row r="633" spans="2:20" ht="84">
      <c r="B633" s="5" t="s">
        <v>1495</v>
      </c>
      <c r="C633" s="45" t="s">
        <v>97</v>
      </c>
      <c r="D633" s="45" t="s">
        <v>1496</v>
      </c>
      <c r="E633" s="6" t="s">
        <v>1497</v>
      </c>
      <c r="F633" s="45" t="s">
        <v>104</v>
      </c>
      <c r="G633" s="46">
        <f t="shared" si="73"/>
        <v>11</v>
      </c>
      <c r="H633" s="46">
        <f>TRUNC(S633*(1-LOTE_01!$K$10),2)</f>
        <v>6802.78</v>
      </c>
      <c r="I633" s="46">
        <f>TRUNC(T633*(1-LOTE_01!$K$10),2)</f>
        <v>119.91</v>
      </c>
      <c r="J633" s="100">
        <f t="shared" si="74"/>
        <v>0.22470000000000001</v>
      </c>
      <c r="K633" s="48">
        <f t="shared" si="68"/>
        <v>8331.36</v>
      </c>
      <c r="L633" s="48">
        <f t="shared" si="69"/>
        <v>146.85</v>
      </c>
      <c r="M633" s="48">
        <f t="shared" si="70"/>
        <v>91644.96</v>
      </c>
      <c r="N633" s="48">
        <f t="shared" si="71"/>
        <v>1615.35</v>
      </c>
      <c r="O633" s="50">
        <f t="shared" si="72"/>
        <v>93260.31</v>
      </c>
      <c r="P633" s="50">
        <v>0</v>
      </c>
      <c r="Q633" s="76"/>
      <c r="R633" s="139">
        <f>1*(S9+S10)</f>
        <v>11</v>
      </c>
      <c r="S633" s="152">
        <v>6802.78</v>
      </c>
      <c r="T633" s="153">
        <v>119.91</v>
      </c>
    </row>
    <row r="634" spans="2:20" ht="56">
      <c r="B634" s="5" t="s">
        <v>1498</v>
      </c>
      <c r="C634" s="45" t="s">
        <v>97</v>
      </c>
      <c r="D634" s="45" t="s">
        <v>1499</v>
      </c>
      <c r="E634" s="6" t="s">
        <v>1500</v>
      </c>
      <c r="F634" s="45" t="s">
        <v>121</v>
      </c>
      <c r="G634" s="46">
        <f t="shared" si="73"/>
        <v>165</v>
      </c>
      <c r="H634" s="46">
        <f>TRUNC(S634*(1-LOTE_01!$K$10),2)</f>
        <v>445.88</v>
      </c>
      <c r="I634" s="46">
        <f>TRUNC(T634*(1-LOTE_01!$K$10),2)</f>
        <v>7.99</v>
      </c>
      <c r="J634" s="100">
        <f t="shared" si="74"/>
        <v>0.22470000000000001</v>
      </c>
      <c r="K634" s="48">
        <f t="shared" si="68"/>
        <v>546.05999999999995</v>
      </c>
      <c r="L634" s="48">
        <f t="shared" si="69"/>
        <v>9.7799999999999994</v>
      </c>
      <c r="M634" s="48">
        <f t="shared" si="70"/>
        <v>90099.9</v>
      </c>
      <c r="N634" s="48">
        <f t="shared" si="71"/>
        <v>1613.7</v>
      </c>
      <c r="O634" s="50">
        <f t="shared" si="72"/>
        <v>91713.600000000006</v>
      </c>
      <c r="P634" s="50">
        <v>0</v>
      </c>
      <c r="Q634" s="76"/>
      <c r="R634" s="139">
        <f>15*(S9+S10)</f>
        <v>165</v>
      </c>
      <c r="S634" s="152">
        <v>445.88</v>
      </c>
      <c r="T634" s="153">
        <v>7.99</v>
      </c>
    </row>
    <row r="635" spans="2:20" ht="28">
      <c r="B635" s="5" t="s">
        <v>1501</v>
      </c>
      <c r="C635" s="45" t="s">
        <v>97</v>
      </c>
      <c r="D635" s="45" t="s">
        <v>1502</v>
      </c>
      <c r="E635" s="6" t="s">
        <v>1503</v>
      </c>
      <c r="F635" s="45" t="s">
        <v>104</v>
      </c>
      <c r="G635" s="46">
        <f t="shared" si="73"/>
        <v>22</v>
      </c>
      <c r="H635" s="46">
        <f>TRUNC(S635*(1-LOTE_01!$K$10),2)</f>
        <v>311.69</v>
      </c>
      <c r="I635" s="46">
        <f>TRUNC(T635*(1-LOTE_01!$K$10),2)</f>
        <v>24.33</v>
      </c>
      <c r="J635" s="100">
        <f t="shared" si="74"/>
        <v>0.22470000000000001</v>
      </c>
      <c r="K635" s="48">
        <f t="shared" si="68"/>
        <v>381.72</v>
      </c>
      <c r="L635" s="48">
        <f t="shared" si="69"/>
        <v>29.79</v>
      </c>
      <c r="M635" s="48">
        <f t="shared" si="70"/>
        <v>8397.84</v>
      </c>
      <c r="N635" s="48">
        <f t="shared" si="71"/>
        <v>655.38</v>
      </c>
      <c r="O635" s="50">
        <f t="shared" si="72"/>
        <v>9053.2199999999993</v>
      </c>
      <c r="P635" s="50">
        <v>0</v>
      </c>
      <c r="Q635" s="76"/>
      <c r="R635" s="139">
        <f>2*(S9+S10)</f>
        <v>22</v>
      </c>
      <c r="S635" s="152">
        <v>311.69</v>
      </c>
      <c r="T635" s="153">
        <v>24.33</v>
      </c>
    </row>
    <row r="636" spans="2:20" ht="56">
      <c r="B636" s="5" t="s">
        <v>1504</v>
      </c>
      <c r="C636" s="45" t="s">
        <v>97</v>
      </c>
      <c r="D636" s="45" t="s">
        <v>1505</v>
      </c>
      <c r="E636" s="6" t="s">
        <v>1506</v>
      </c>
      <c r="F636" s="45" t="s">
        <v>104</v>
      </c>
      <c r="G636" s="46">
        <f t="shared" si="73"/>
        <v>11</v>
      </c>
      <c r="H636" s="46">
        <f>TRUNC(S636*(1-LOTE_01!$K$10),2)</f>
        <v>217.24</v>
      </c>
      <c r="I636" s="46">
        <f>TRUNC(T636*(1-LOTE_01!$K$10),2)</f>
        <v>3.27</v>
      </c>
      <c r="J636" s="100">
        <f t="shared" si="74"/>
        <v>0.22470000000000001</v>
      </c>
      <c r="K636" s="48">
        <f t="shared" si="68"/>
        <v>266.05</v>
      </c>
      <c r="L636" s="48">
        <f t="shared" si="69"/>
        <v>4</v>
      </c>
      <c r="M636" s="48">
        <f t="shared" si="70"/>
        <v>2926.55</v>
      </c>
      <c r="N636" s="48">
        <f t="shared" si="71"/>
        <v>44</v>
      </c>
      <c r="O636" s="50">
        <f t="shared" si="72"/>
        <v>2970.55</v>
      </c>
      <c r="P636" s="50">
        <v>0</v>
      </c>
      <c r="Q636" s="76"/>
      <c r="R636" s="139">
        <f>1*(S9+S10)</f>
        <v>11</v>
      </c>
      <c r="S636" s="152">
        <v>217.24</v>
      </c>
      <c r="T636" s="153">
        <v>3.27</v>
      </c>
    </row>
    <row r="637" spans="2:20" ht="42">
      <c r="B637" s="5" t="s">
        <v>1507</v>
      </c>
      <c r="C637" s="45" t="s">
        <v>97</v>
      </c>
      <c r="D637" s="45" t="s">
        <v>1508</v>
      </c>
      <c r="E637" s="6" t="s">
        <v>1509</v>
      </c>
      <c r="F637" s="45" t="s">
        <v>121</v>
      </c>
      <c r="G637" s="46">
        <f t="shared" si="73"/>
        <v>55</v>
      </c>
      <c r="H637" s="46">
        <f>TRUNC(S637*(1-LOTE_01!$K$10),2)</f>
        <v>3503.55</v>
      </c>
      <c r="I637" s="46">
        <f>TRUNC(T637*(1-LOTE_01!$K$10),2)</f>
        <v>39.97</v>
      </c>
      <c r="J637" s="100">
        <f t="shared" si="74"/>
        <v>0.22470000000000001</v>
      </c>
      <c r="K637" s="48">
        <f t="shared" si="68"/>
        <v>4290.79</v>
      </c>
      <c r="L637" s="48">
        <f t="shared" si="69"/>
        <v>48.95</v>
      </c>
      <c r="M637" s="48">
        <f t="shared" si="70"/>
        <v>235993.45</v>
      </c>
      <c r="N637" s="48">
        <f t="shared" si="71"/>
        <v>2692.25</v>
      </c>
      <c r="O637" s="50">
        <f t="shared" si="72"/>
        <v>238685.7</v>
      </c>
      <c r="P637" s="50">
        <v>0</v>
      </c>
      <c r="Q637" s="76"/>
      <c r="R637" s="139">
        <f>2.5*2*(S9+S10)</f>
        <v>55</v>
      </c>
      <c r="S637" s="152">
        <v>3503.55</v>
      </c>
      <c r="T637" s="153">
        <v>39.97</v>
      </c>
    </row>
    <row r="638" spans="2:20">
      <c r="B638" s="101" t="s">
        <v>1510</v>
      </c>
      <c r="C638" s="102" t="s">
        <v>21</v>
      </c>
      <c r="D638" s="102" t="s">
        <v>21</v>
      </c>
      <c r="E638" s="103" t="s">
        <v>1511</v>
      </c>
      <c r="F638" s="102" t="s">
        <v>21</v>
      </c>
      <c r="G638" s="46">
        <f t="shared" si="73"/>
        <v>0</v>
      </c>
      <c r="H638" s="46"/>
      <c r="I638" s="46"/>
      <c r="J638" s="105"/>
      <c r="K638" s="48">
        <f t="shared" si="68"/>
        <v>0</v>
      </c>
      <c r="L638" s="48">
        <f t="shared" si="69"/>
        <v>0</v>
      </c>
      <c r="M638" s="48">
        <f t="shared" si="70"/>
        <v>0</v>
      </c>
      <c r="N638" s="48">
        <f t="shared" si="71"/>
        <v>0</v>
      </c>
      <c r="O638" s="50">
        <f t="shared" si="72"/>
        <v>0</v>
      </c>
      <c r="P638" s="50">
        <v>0</v>
      </c>
      <c r="Q638" s="76"/>
      <c r="R638" s="154"/>
      <c r="S638" s="152" t="s">
        <v>22</v>
      </c>
      <c r="T638" s="153" t="s">
        <v>22</v>
      </c>
    </row>
    <row r="639" spans="2:20" ht="84">
      <c r="B639" s="5" t="s">
        <v>1512</v>
      </c>
      <c r="C639" s="45" t="s">
        <v>135</v>
      </c>
      <c r="D639" s="45">
        <v>96369</v>
      </c>
      <c r="E639" s="6" t="s">
        <v>1513</v>
      </c>
      <c r="F639" s="45" t="s">
        <v>121</v>
      </c>
      <c r="G639" s="46">
        <f t="shared" si="73"/>
        <v>198</v>
      </c>
      <c r="H639" s="46">
        <f>TRUNC(S639*(1-LOTE_01!$K$10),2)</f>
        <v>230.16</v>
      </c>
      <c r="I639" s="46">
        <f>TRUNC(T639*(1-LOTE_01!$K$10),2)</f>
        <v>28.62</v>
      </c>
      <c r="J639" s="100">
        <f t="shared" si="74"/>
        <v>0.22470000000000001</v>
      </c>
      <c r="K639" s="48">
        <f t="shared" si="68"/>
        <v>281.87</v>
      </c>
      <c r="L639" s="48">
        <f t="shared" si="69"/>
        <v>35.049999999999997</v>
      </c>
      <c r="M639" s="48">
        <f t="shared" si="70"/>
        <v>55810.26</v>
      </c>
      <c r="N639" s="48">
        <f t="shared" si="71"/>
        <v>6939.9</v>
      </c>
      <c r="O639" s="50">
        <f t="shared" si="72"/>
        <v>62750.16</v>
      </c>
      <c r="P639" s="50">
        <v>0</v>
      </c>
      <c r="Q639" s="76"/>
      <c r="R639" s="139">
        <f>4.5*4*(S9+S10)</f>
        <v>198</v>
      </c>
      <c r="S639" s="152">
        <v>230.15999999999997</v>
      </c>
      <c r="T639" s="153">
        <v>28.62</v>
      </c>
    </row>
    <row r="640" spans="2:20" ht="98">
      <c r="B640" s="5" t="s">
        <v>1514</v>
      </c>
      <c r="C640" s="45" t="s">
        <v>97</v>
      </c>
      <c r="D640" s="45" t="s">
        <v>1515</v>
      </c>
      <c r="E640" s="6" t="s">
        <v>1516</v>
      </c>
      <c r="F640" s="45" t="s">
        <v>121</v>
      </c>
      <c r="G640" s="46">
        <f t="shared" si="73"/>
        <v>99</v>
      </c>
      <c r="H640" s="46">
        <f>TRUNC(S640*(1-LOTE_01!$K$10),2)</f>
        <v>1300.3399999999999</v>
      </c>
      <c r="I640" s="46">
        <f>TRUNC(T640*(1-LOTE_01!$K$10),2)</f>
        <v>19.98</v>
      </c>
      <c r="J640" s="100">
        <f t="shared" si="74"/>
        <v>0.22470000000000001</v>
      </c>
      <c r="K640" s="48">
        <f t="shared" si="68"/>
        <v>1592.52</v>
      </c>
      <c r="L640" s="48">
        <f t="shared" si="69"/>
        <v>24.46</v>
      </c>
      <c r="M640" s="48">
        <f t="shared" si="70"/>
        <v>157659.48000000001</v>
      </c>
      <c r="N640" s="48">
        <f t="shared" si="71"/>
        <v>2421.54</v>
      </c>
      <c r="O640" s="50">
        <f t="shared" si="72"/>
        <v>160081.01999999999</v>
      </c>
      <c r="P640" s="50">
        <v>0</v>
      </c>
      <c r="Q640" s="76"/>
      <c r="R640" s="139">
        <f>1.2*3*2.5*(S9+S10)</f>
        <v>99</v>
      </c>
      <c r="S640" s="152">
        <v>1300.3399999999999</v>
      </c>
      <c r="T640" s="153">
        <v>19.98</v>
      </c>
    </row>
    <row r="641" spans="2:20" ht="42">
      <c r="B641" s="5" t="s">
        <v>1517</v>
      </c>
      <c r="C641" s="45" t="s">
        <v>97</v>
      </c>
      <c r="D641" s="45" t="s">
        <v>1518</v>
      </c>
      <c r="E641" s="6" t="s">
        <v>1519</v>
      </c>
      <c r="F641" s="45" t="s">
        <v>121</v>
      </c>
      <c r="G641" s="46">
        <f t="shared" si="73"/>
        <v>99</v>
      </c>
      <c r="H641" s="46">
        <f>TRUNC(S641*(1-LOTE_01!$K$10),2)</f>
        <v>614.17999999999995</v>
      </c>
      <c r="I641" s="46">
        <f>TRUNC(T641*(1-LOTE_01!$K$10),2)</f>
        <v>19.260000000000002</v>
      </c>
      <c r="J641" s="100">
        <f t="shared" si="74"/>
        <v>0.22470000000000001</v>
      </c>
      <c r="K641" s="48">
        <f t="shared" si="68"/>
        <v>752.18</v>
      </c>
      <c r="L641" s="48">
        <f t="shared" si="69"/>
        <v>23.58</v>
      </c>
      <c r="M641" s="48">
        <f t="shared" si="70"/>
        <v>74465.820000000007</v>
      </c>
      <c r="N641" s="48">
        <f t="shared" si="71"/>
        <v>2334.42</v>
      </c>
      <c r="O641" s="50">
        <f t="shared" si="72"/>
        <v>76800.240000000005</v>
      </c>
      <c r="P641" s="50">
        <v>0</v>
      </c>
      <c r="Q641" s="76"/>
      <c r="R641" s="139">
        <f>(R639-R640)</f>
        <v>99</v>
      </c>
      <c r="S641" s="152">
        <v>614.17999999999995</v>
      </c>
      <c r="T641" s="153">
        <v>19.260000000000002</v>
      </c>
    </row>
    <row r="642" spans="2:20" ht="70">
      <c r="B642" s="5" t="s">
        <v>1520</v>
      </c>
      <c r="C642" s="45" t="s">
        <v>97</v>
      </c>
      <c r="D642" s="45" t="s">
        <v>1521</v>
      </c>
      <c r="E642" s="6" t="s">
        <v>1522</v>
      </c>
      <c r="F642" s="45" t="s">
        <v>104</v>
      </c>
      <c r="G642" s="46">
        <f t="shared" si="73"/>
        <v>33</v>
      </c>
      <c r="H642" s="46">
        <f>TRUNC(S642*(1-LOTE_01!$K$10),2)</f>
        <v>1134.8</v>
      </c>
      <c r="I642" s="46">
        <f>TRUNC(T642*(1-LOTE_01!$K$10),2)</f>
        <v>7.99</v>
      </c>
      <c r="J642" s="100">
        <f t="shared" si="74"/>
        <v>0.22470000000000001</v>
      </c>
      <c r="K642" s="48">
        <f t="shared" si="68"/>
        <v>1389.78</v>
      </c>
      <c r="L642" s="48">
        <f t="shared" si="69"/>
        <v>9.7799999999999994</v>
      </c>
      <c r="M642" s="48">
        <f t="shared" si="70"/>
        <v>45862.74</v>
      </c>
      <c r="N642" s="48">
        <f t="shared" si="71"/>
        <v>322.74</v>
      </c>
      <c r="O642" s="50">
        <f t="shared" si="72"/>
        <v>46185.48</v>
      </c>
      <c r="P642" s="50">
        <v>0</v>
      </c>
      <c r="Q642" s="76"/>
      <c r="R642" s="139">
        <f>3*(S9+S10)</f>
        <v>33</v>
      </c>
      <c r="S642" s="152">
        <v>1134.8</v>
      </c>
      <c r="T642" s="153">
        <v>7.99</v>
      </c>
    </row>
    <row r="643" spans="2:20">
      <c r="B643" s="101" t="s">
        <v>1523</v>
      </c>
      <c r="C643" s="102" t="s">
        <v>21</v>
      </c>
      <c r="D643" s="102" t="s">
        <v>21</v>
      </c>
      <c r="E643" s="103" t="s">
        <v>1524</v>
      </c>
      <c r="F643" s="102" t="s">
        <v>21</v>
      </c>
      <c r="G643" s="46">
        <f t="shared" si="73"/>
        <v>0</v>
      </c>
      <c r="H643" s="46"/>
      <c r="I643" s="46"/>
      <c r="J643" s="105"/>
      <c r="K643" s="48">
        <f t="shared" si="68"/>
        <v>0</v>
      </c>
      <c r="L643" s="48">
        <f t="shared" si="69"/>
        <v>0</v>
      </c>
      <c r="M643" s="48">
        <f t="shared" si="70"/>
        <v>0</v>
      </c>
      <c r="N643" s="48">
        <f t="shared" si="71"/>
        <v>0</v>
      </c>
      <c r="O643" s="50">
        <f t="shared" si="72"/>
        <v>0</v>
      </c>
      <c r="P643" s="50">
        <v>0</v>
      </c>
      <c r="Q643" s="76"/>
      <c r="R643" s="154"/>
      <c r="S643" s="152" t="s">
        <v>22</v>
      </c>
      <c r="T643" s="153" t="s">
        <v>22</v>
      </c>
    </row>
    <row r="644" spans="2:20" ht="28">
      <c r="B644" s="5" t="s">
        <v>1525</v>
      </c>
      <c r="C644" s="45" t="s">
        <v>97</v>
      </c>
      <c r="D644" s="45" t="s">
        <v>1526</v>
      </c>
      <c r="E644" s="6" t="s">
        <v>1527</v>
      </c>
      <c r="F644" s="45" t="s">
        <v>121</v>
      </c>
      <c r="G644" s="46">
        <f t="shared" si="73"/>
        <v>2244</v>
      </c>
      <c r="H644" s="46">
        <f>TRUNC(S644*(1-LOTE_01!$K$10),2)</f>
        <v>625.37</v>
      </c>
      <c r="I644" s="46">
        <f>TRUNC(T644*(1-LOTE_01!$K$10),2)</f>
        <v>79.08</v>
      </c>
      <c r="J644" s="100">
        <f t="shared" si="74"/>
        <v>0.22470000000000001</v>
      </c>
      <c r="K644" s="48">
        <f t="shared" si="68"/>
        <v>765.89</v>
      </c>
      <c r="L644" s="48">
        <f t="shared" si="69"/>
        <v>96.84</v>
      </c>
      <c r="M644" s="48">
        <f t="shared" si="70"/>
        <v>1718657.16</v>
      </c>
      <c r="N644" s="48">
        <f t="shared" si="71"/>
        <v>217308.96</v>
      </c>
      <c r="O644" s="50">
        <f t="shared" si="72"/>
        <v>1935966.12</v>
      </c>
      <c r="P644" s="50">
        <v>0</v>
      </c>
      <c r="Q644" s="76"/>
      <c r="R644" s="139">
        <f>(25*(4+2*2)+2*2)*(S9+S10)</f>
        <v>2244</v>
      </c>
      <c r="S644" s="152">
        <v>625.37</v>
      </c>
      <c r="T644" s="153">
        <v>79.08</v>
      </c>
    </row>
    <row r="645" spans="2:20" ht="42">
      <c r="B645" s="5" t="s">
        <v>1528</v>
      </c>
      <c r="C645" s="45" t="s">
        <v>165</v>
      </c>
      <c r="D645" s="45" t="s">
        <v>1529</v>
      </c>
      <c r="E645" s="6" t="s">
        <v>1530</v>
      </c>
      <c r="F645" s="45" t="s">
        <v>168</v>
      </c>
      <c r="G645" s="46">
        <f t="shared" si="73"/>
        <v>2321</v>
      </c>
      <c r="H645" s="46">
        <f>TRUNC(S645*(1-LOTE_01!$K$10),2)</f>
        <v>262.95</v>
      </c>
      <c r="I645" s="46">
        <f>TRUNC(T645*(1-LOTE_01!$K$10),2)</f>
        <v>17.239999999999998</v>
      </c>
      <c r="J645" s="100">
        <f t="shared" si="74"/>
        <v>0.22470000000000001</v>
      </c>
      <c r="K645" s="48">
        <f t="shared" si="68"/>
        <v>322.02999999999997</v>
      </c>
      <c r="L645" s="48">
        <f t="shared" si="69"/>
        <v>21.11</v>
      </c>
      <c r="M645" s="48">
        <f t="shared" si="70"/>
        <v>747431.63</v>
      </c>
      <c r="N645" s="48">
        <f t="shared" si="71"/>
        <v>48996.31</v>
      </c>
      <c r="O645" s="50">
        <f t="shared" si="72"/>
        <v>796427.94</v>
      </c>
      <c r="P645" s="50">
        <v>0</v>
      </c>
      <c r="Q645" s="76"/>
      <c r="R645" s="139">
        <f>211*(S9+S10)</f>
        <v>2321</v>
      </c>
      <c r="S645" s="152">
        <v>262.95</v>
      </c>
      <c r="T645" s="153">
        <v>17.239999999999998</v>
      </c>
    </row>
    <row r="646" spans="2:20" ht="28">
      <c r="B646" s="5" t="s">
        <v>1531</v>
      </c>
      <c r="C646" s="45" t="s">
        <v>97</v>
      </c>
      <c r="D646" s="45" t="s">
        <v>1532</v>
      </c>
      <c r="E646" s="6" t="s">
        <v>1533</v>
      </c>
      <c r="F646" s="45" t="s">
        <v>121</v>
      </c>
      <c r="G646" s="46">
        <f t="shared" si="73"/>
        <v>115.5</v>
      </c>
      <c r="H646" s="46">
        <f>TRUNC(S646*(1-LOTE_01!$K$10),2)</f>
        <v>2134.89</v>
      </c>
      <c r="I646" s="46">
        <f>TRUNC(T646*(1-LOTE_01!$K$10),2)</f>
        <v>23.72</v>
      </c>
      <c r="J646" s="100">
        <f t="shared" si="74"/>
        <v>0.22470000000000001</v>
      </c>
      <c r="K646" s="48">
        <f t="shared" si="68"/>
        <v>2614.59</v>
      </c>
      <c r="L646" s="48">
        <f t="shared" si="69"/>
        <v>29.04</v>
      </c>
      <c r="M646" s="48">
        <f t="shared" si="70"/>
        <v>301985.14</v>
      </c>
      <c r="N646" s="48">
        <f t="shared" si="71"/>
        <v>3354.12</v>
      </c>
      <c r="O646" s="50">
        <f t="shared" si="72"/>
        <v>305339.26</v>
      </c>
      <c r="P646" s="50">
        <v>0</v>
      </c>
      <c r="Q646" s="76"/>
      <c r="R646" s="139">
        <f>3*3.5*(S9+S10)</f>
        <v>115.5</v>
      </c>
      <c r="S646" s="152">
        <v>2134.89</v>
      </c>
      <c r="T646" s="153">
        <v>23.72</v>
      </c>
    </row>
    <row r="647" spans="2:20" ht="56">
      <c r="B647" s="5" t="s">
        <v>1534</v>
      </c>
      <c r="C647" s="45" t="s">
        <v>97</v>
      </c>
      <c r="D647" s="45" t="s">
        <v>1535</v>
      </c>
      <c r="E647" s="6" t="s">
        <v>1536</v>
      </c>
      <c r="F647" s="45" t="s">
        <v>104</v>
      </c>
      <c r="G647" s="46">
        <f t="shared" si="73"/>
        <v>11</v>
      </c>
      <c r="H647" s="46">
        <f>TRUNC(S647*(1-LOTE_01!$K$10),2)</f>
        <v>3329.34</v>
      </c>
      <c r="I647" s="46">
        <f>TRUNC(T647*(1-LOTE_01!$K$10),2)</f>
        <v>39.97</v>
      </c>
      <c r="J647" s="100">
        <f t="shared" si="74"/>
        <v>0.22470000000000001</v>
      </c>
      <c r="K647" s="48">
        <f t="shared" si="68"/>
        <v>4077.44</v>
      </c>
      <c r="L647" s="48">
        <f t="shared" si="69"/>
        <v>48.95</v>
      </c>
      <c r="M647" s="48">
        <f t="shared" si="70"/>
        <v>44851.839999999997</v>
      </c>
      <c r="N647" s="48">
        <f t="shared" si="71"/>
        <v>538.45000000000005</v>
      </c>
      <c r="O647" s="50">
        <f t="shared" si="72"/>
        <v>45390.29</v>
      </c>
      <c r="P647" s="50">
        <v>0</v>
      </c>
      <c r="Q647" s="76"/>
      <c r="R647" s="139">
        <f>1*(S9+S10)</f>
        <v>11</v>
      </c>
      <c r="S647" s="152">
        <v>3329.34</v>
      </c>
      <c r="T647" s="153">
        <v>39.97</v>
      </c>
    </row>
    <row r="648" spans="2:20" ht="84">
      <c r="B648" s="5" t="s">
        <v>1537</v>
      </c>
      <c r="C648" s="45" t="s">
        <v>97</v>
      </c>
      <c r="D648" s="45" t="s">
        <v>1477</v>
      </c>
      <c r="E648" s="6" t="s">
        <v>1478</v>
      </c>
      <c r="F648" s="45" t="s">
        <v>121</v>
      </c>
      <c r="G648" s="46">
        <f t="shared" si="73"/>
        <v>165</v>
      </c>
      <c r="H648" s="46">
        <f>TRUNC(S648*(1-LOTE_01!$K$10),2)</f>
        <v>331.89</v>
      </c>
      <c r="I648" s="46">
        <f>TRUNC(T648*(1-LOTE_01!$K$10),2)</f>
        <v>32.4</v>
      </c>
      <c r="J648" s="100">
        <f t="shared" si="74"/>
        <v>0.22470000000000001</v>
      </c>
      <c r="K648" s="48">
        <f t="shared" si="68"/>
        <v>406.46</v>
      </c>
      <c r="L648" s="48">
        <f t="shared" si="69"/>
        <v>39.68</v>
      </c>
      <c r="M648" s="48">
        <f t="shared" si="70"/>
        <v>67065.899999999994</v>
      </c>
      <c r="N648" s="48">
        <f t="shared" si="71"/>
        <v>6547.2</v>
      </c>
      <c r="O648" s="50">
        <f t="shared" si="72"/>
        <v>73613.100000000006</v>
      </c>
      <c r="P648" s="50">
        <v>0</v>
      </c>
      <c r="Q648" s="76"/>
      <c r="R648" s="139">
        <f>5*3*(S9+S10)</f>
        <v>165</v>
      </c>
      <c r="S648" s="152">
        <v>331.89</v>
      </c>
      <c r="T648" s="153">
        <v>32.4</v>
      </c>
    </row>
    <row r="649" spans="2:20" ht="56">
      <c r="B649" s="5" t="s">
        <v>1538</v>
      </c>
      <c r="C649" s="45" t="s">
        <v>97</v>
      </c>
      <c r="D649" s="45" t="s">
        <v>1539</v>
      </c>
      <c r="E649" s="6" t="s">
        <v>1540</v>
      </c>
      <c r="F649" s="45" t="s">
        <v>104</v>
      </c>
      <c r="G649" s="46">
        <f t="shared" si="73"/>
        <v>11</v>
      </c>
      <c r="H649" s="46">
        <f>TRUNC(S649*(1-LOTE_01!$K$10),2)</f>
        <v>5059.4399999999996</v>
      </c>
      <c r="I649" s="46">
        <f>TRUNC(T649*(1-LOTE_01!$K$10),2)</f>
        <v>79.94</v>
      </c>
      <c r="J649" s="100">
        <f t="shared" si="74"/>
        <v>0.22470000000000001</v>
      </c>
      <c r="K649" s="48">
        <f t="shared" si="68"/>
        <v>6196.29</v>
      </c>
      <c r="L649" s="48">
        <f t="shared" si="69"/>
        <v>97.9</v>
      </c>
      <c r="M649" s="48">
        <f t="shared" si="70"/>
        <v>68159.19</v>
      </c>
      <c r="N649" s="48">
        <f t="shared" si="71"/>
        <v>1076.9000000000001</v>
      </c>
      <c r="O649" s="50">
        <f t="shared" si="72"/>
        <v>69236.09</v>
      </c>
      <c r="P649" s="50">
        <v>0</v>
      </c>
      <c r="Q649" s="76"/>
      <c r="R649" s="139">
        <f>1*(S9+S10)</f>
        <v>11</v>
      </c>
      <c r="S649" s="152">
        <v>5059.4399999999996</v>
      </c>
      <c r="T649" s="153">
        <v>79.94</v>
      </c>
    </row>
    <row r="650" spans="2:20" ht="42">
      <c r="B650" s="5" t="s">
        <v>1541</v>
      </c>
      <c r="C650" s="45" t="s">
        <v>97</v>
      </c>
      <c r="D650" s="45" t="s">
        <v>1542</v>
      </c>
      <c r="E650" s="6" t="s">
        <v>1543</v>
      </c>
      <c r="F650" s="45" t="s">
        <v>121</v>
      </c>
      <c r="G650" s="46">
        <f t="shared" si="73"/>
        <v>44</v>
      </c>
      <c r="H650" s="46">
        <f>TRUNC(S650*(1-LOTE_01!$K$10),2)</f>
        <v>1643.65</v>
      </c>
      <c r="I650" s="46">
        <f>TRUNC(T650*(1-LOTE_01!$K$10),2)</f>
        <v>11.79</v>
      </c>
      <c r="J650" s="100">
        <f t="shared" si="74"/>
        <v>0.22470000000000001</v>
      </c>
      <c r="K650" s="48">
        <f t="shared" si="68"/>
        <v>2012.97</v>
      </c>
      <c r="L650" s="48">
        <f t="shared" si="69"/>
        <v>14.43</v>
      </c>
      <c r="M650" s="48">
        <f t="shared" si="70"/>
        <v>88570.68</v>
      </c>
      <c r="N650" s="48">
        <f t="shared" si="71"/>
        <v>634.91999999999996</v>
      </c>
      <c r="O650" s="50">
        <f t="shared" si="72"/>
        <v>89205.6</v>
      </c>
      <c r="P650" s="50">
        <v>0</v>
      </c>
      <c r="Q650" s="76"/>
      <c r="R650" s="139">
        <f>(2+2)*(S9+S10)</f>
        <v>44</v>
      </c>
      <c r="S650" s="152">
        <v>1643.65</v>
      </c>
      <c r="T650" s="153">
        <v>11.79</v>
      </c>
    </row>
    <row r="651" spans="2:20" ht="70">
      <c r="B651" s="5" t="s">
        <v>1544</v>
      </c>
      <c r="C651" s="45" t="s">
        <v>97</v>
      </c>
      <c r="D651" s="45" t="s">
        <v>1545</v>
      </c>
      <c r="E651" s="6" t="s">
        <v>1546</v>
      </c>
      <c r="F651" s="45" t="s">
        <v>104</v>
      </c>
      <c r="G651" s="46">
        <f t="shared" si="73"/>
        <v>77</v>
      </c>
      <c r="H651" s="46">
        <f>TRUNC(S651*(1-LOTE_01!$K$10),2)</f>
        <v>792.92</v>
      </c>
      <c r="I651" s="46">
        <f>TRUNC(T651*(1-LOTE_01!$K$10),2)</f>
        <v>4.71</v>
      </c>
      <c r="J651" s="100">
        <f t="shared" si="74"/>
        <v>0.22470000000000001</v>
      </c>
      <c r="K651" s="48">
        <f t="shared" si="68"/>
        <v>971.08</v>
      </c>
      <c r="L651" s="48">
        <f t="shared" si="69"/>
        <v>5.76</v>
      </c>
      <c r="M651" s="48">
        <f t="shared" si="70"/>
        <v>74773.16</v>
      </c>
      <c r="N651" s="48">
        <f t="shared" si="71"/>
        <v>443.52</v>
      </c>
      <c r="O651" s="50">
        <f t="shared" si="72"/>
        <v>75216.679999999993</v>
      </c>
      <c r="P651" s="50">
        <v>0</v>
      </c>
      <c r="Q651" s="76"/>
      <c r="R651" s="139">
        <f>7*(S9+S10)</f>
        <v>77</v>
      </c>
      <c r="S651" s="152">
        <v>792.92</v>
      </c>
      <c r="T651" s="153">
        <v>4.71</v>
      </c>
    </row>
    <row r="652" spans="2:20" ht="70">
      <c r="B652" s="5" t="s">
        <v>1547</v>
      </c>
      <c r="C652" s="45" t="s">
        <v>97</v>
      </c>
      <c r="D652" s="45" t="s">
        <v>1548</v>
      </c>
      <c r="E652" s="6" t="s">
        <v>1549</v>
      </c>
      <c r="F652" s="45" t="s">
        <v>104</v>
      </c>
      <c r="G652" s="46">
        <f t="shared" si="73"/>
        <v>11</v>
      </c>
      <c r="H652" s="46">
        <f>TRUNC(S652*(1-LOTE_01!$K$10),2)</f>
        <v>1864.84</v>
      </c>
      <c r="I652" s="46">
        <f>TRUNC(T652*(1-LOTE_01!$K$10),2)</f>
        <v>4.71</v>
      </c>
      <c r="J652" s="100">
        <f t="shared" si="74"/>
        <v>0.22470000000000001</v>
      </c>
      <c r="K652" s="48">
        <f t="shared" si="68"/>
        <v>2283.86</v>
      </c>
      <c r="L652" s="48">
        <f t="shared" si="69"/>
        <v>5.76</v>
      </c>
      <c r="M652" s="48">
        <f t="shared" si="70"/>
        <v>25122.46</v>
      </c>
      <c r="N652" s="48">
        <f t="shared" si="71"/>
        <v>63.36</v>
      </c>
      <c r="O652" s="50">
        <f t="shared" si="72"/>
        <v>25185.82</v>
      </c>
      <c r="P652" s="50">
        <v>0</v>
      </c>
      <c r="Q652" s="76"/>
      <c r="R652" s="139">
        <f>1*(S9+S10)</f>
        <v>11</v>
      </c>
      <c r="S652" s="152">
        <v>1864.84</v>
      </c>
      <c r="T652" s="153">
        <v>4.71</v>
      </c>
    </row>
    <row r="653" spans="2:20" ht="70">
      <c r="B653" s="5" t="s">
        <v>1550</v>
      </c>
      <c r="C653" s="45" t="s">
        <v>97</v>
      </c>
      <c r="D653" s="45" t="s">
        <v>1551</v>
      </c>
      <c r="E653" s="6" t="s">
        <v>1552</v>
      </c>
      <c r="F653" s="45" t="s">
        <v>104</v>
      </c>
      <c r="G653" s="46">
        <f t="shared" si="73"/>
        <v>44</v>
      </c>
      <c r="H653" s="46">
        <f>TRUNC(S653*(1-LOTE_01!$K$10),2)</f>
        <v>782.53</v>
      </c>
      <c r="I653" s="46">
        <f>TRUNC(T653*(1-LOTE_01!$K$10),2)</f>
        <v>4.37</v>
      </c>
      <c r="J653" s="100">
        <f t="shared" si="74"/>
        <v>0.22470000000000001</v>
      </c>
      <c r="K653" s="48">
        <f t="shared" si="68"/>
        <v>958.36</v>
      </c>
      <c r="L653" s="48">
        <f t="shared" si="69"/>
        <v>5.35</v>
      </c>
      <c r="M653" s="48">
        <f t="shared" si="70"/>
        <v>42167.839999999997</v>
      </c>
      <c r="N653" s="48">
        <f t="shared" si="71"/>
        <v>235.4</v>
      </c>
      <c r="O653" s="50">
        <f t="shared" si="72"/>
        <v>42403.24</v>
      </c>
      <c r="P653" s="50">
        <v>0</v>
      </c>
      <c r="Q653" s="76"/>
      <c r="R653" s="139">
        <f>4*(S9+S10)</f>
        <v>44</v>
      </c>
      <c r="S653" s="152">
        <v>782.53</v>
      </c>
      <c r="T653" s="153">
        <v>4.37</v>
      </c>
    </row>
    <row r="654" spans="2:20" ht="56">
      <c r="B654" s="5" t="s">
        <v>1553</v>
      </c>
      <c r="C654" s="45" t="s">
        <v>97</v>
      </c>
      <c r="D654" s="45" t="s">
        <v>1554</v>
      </c>
      <c r="E654" s="6" t="s">
        <v>1555</v>
      </c>
      <c r="F654" s="45" t="s">
        <v>104</v>
      </c>
      <c r="G654" s="46">
        <f t="shared" si="73"/>
        <v>55</v>
      </c>
      <c r="H654" s="46">
        <f>TRUNC(S654*(1-LOTE_01!$K$10),2)</f>
        <v>563.01</v>
      </c>
      <c r="I654" s="46">
        <f>TRUNC(T654*(1-LOTE_01!$K$10),2)</f>
        <v>4.71</v>
      </c>
      <c r="J654" s="100">
        <f t="shared" si="74"/>
        <v>0.22470000000000001</v>
      </c>
      <c r="K654" s="48">
        <f t="shared" si="68"/>
        <v>689.51</v>
      </c>
      <c r="L654" s="48">
        <f t="shared" si="69"/>
        <v>5.76</v>
      </c>
      <c r="M654" s="48">
        <f t="shared" si="70"/>
        <v>37923.050000000003</v>
      </c>
      <c r="N654" s="48">
        <f t="shared" si="71"/>
        <v>316.8</v>
      </c>
      <c r="O654" s="50">
        <f t="shared" si="72"/>
        <v>38239.85</v>
      </c>
      <c r="P654" s="50">
        <v>0</v>
      </c>
      <c r="Q654" s="76"/>
      <c r="R654" s="139">
        <f>5*(S9+S10)</f>
        <v>55</v>
      </c>
      <c r="S654" s="152">
        <v>563.01</v>
      </c>
      <c r="T654" s="153">
        <v>4.71</v>
      </c>
    </row>
    <row r="655" spans="2:20" ht="70">
      <c r="B655" s="5" t="s">
        <v>1556</v>
      </c>
      <c r="C655" s="45" t="s">
        <v>97</v>
      </c>
      <c r="D655" s="45" t="s">
        <v>1557</v>
      </c>
      <c r="E655" s="6" t="s">
        <v>1558</v>
      </c>
      <c r="F655" s="45" t="s">
        <v>104</v>
      </c>
      <c r="G655" s="46">
        <f t="shared" si="73"/>
        <v>11</v>
      </c>
      <c r="H655" s="46">
        <f>TRUNC(S655*(1-LOTE_01!$K$10),2)</f>
        <v>2926.51</v>
      </c>
      <c r="I655" s="46">
        <f>TRUNC(T655*(1-LOTE_01!$K$10),2)</f>
        <v>4.71</v>
      </c>
      <c r="J655" s="100">
        <f t="shared" si="74"/>
        <v>0.22470000000000001</v>
      </c>
      <c r="K655" s="48">
        <f t="shared" si="68"/>
        <v>3584.09</v>
      </c>
      <c r="L655" s="48">
        <f t="shared" si="69"/>
        <v>5.76</v>
      </c>
      <c r="M655" s="48">
        <f t="shared" si="70"/>
        <v>39424.99</v>
      </c>
      <c r="N655" s="48">
        <f t="shared" si="71"/>
        <v>63.36</v>
      </c>
      <c r="O655" s="50">
        <f t="shared" si="72"/>
        <v>39488.35</v>
      </c>
      <c r="P655" s="50">
        <v>0</v>
      </c>
      <c r="Q655" s="76"/>
      <c r="R655" s="139">
        <f>1*(S9+S10)</f>
        <v>11</v>
      </c>
      <c r="S655" s="152">
        <v>2926.51</v>
      </c>
      <c r="T655" s="153">
        <v>4.71</v>
      </c>
    </row>
    <row r="656" spans="2:20" ht="56">
      <c r="B656" s="5" t="s">
        <v>1559</v>
      </c>
      <c r="C656" s="45" t="s">
        <v>97</v>
      </c>
      <c r="D656" s="45" t="s">
        <v>1560</v>
      </c>
      <c r="E656" s="6" t="s">
        <v>1561</v>
      </c>
      <c r="F656" s="45" t="s">
        <v>104</v>
      </c>
      <c r="G656" s="46">
        <f t="shared" si="73"/>
        <v>11</v>
      </c>
      <c r="H656" s="46">
        <f>TRUNC(S656*(1-LOTE_01!$K$10),2)</f>
        <v>1032.76</v>
      </c>
      <c r="I656" s="46">
        <f>TRUNC(T656*(1-LOTE_01!$K$10),2)</f>
        <v>4.71</v>
      </c>
      <c r="J656" s="100">
        <f t="shared" si="74"/>
        <v>0.22470000000000001</v>
      </c>
      <c r="K656" s="48">
        <f t="shared" ref="K656:K719" si="75">TRUNC(H656*(1+J656),2)</f>
        <v>1264.82</v>
      </c>
      <c r="L656" s="48">
        <f t="shared" ref="L656:L719" si="76">TRUNC(I656*(1+J656),2)</f>
        <v>5.76</v>
      </c>
      <c r="M656" s="48">
        <f t="shared" ref="M656:M719" si="77">TRUNC(K656*G656,2)</f>
        <v>13913.02</v>
      </c>
      <c r="N656" s="48">
        <f t="shared" ref="N656:N719" si="78">TRUNC(L656*G656,2)</f>
        <v>63.36</v>
      </c>
      <c r="O656" s="50">
        <f t="shared" ref="O656:O719" si="79">TRUNC(M656+N656,2)</f>
        <v>13976.38</v>
      </c>
      <c r="P656" s="50">
        <v>0</v>
      </c>
      <c r="Q656" s="76"/>
      <c r="R656" s="139">
        <f>1*(S9+S10)</f>
        <v>11</v>
      </c>
      <c r="S656" s="152">
        <v>1032.76</v>
      </c>
      <c r="T656" s="153">
        <v>4.71</v>
      </c>
    </row>
    <row r="657" spans="2:20" ht="56">
      <c r="B657" s="5" t="s">
        <v>1562</v>
      </c>
      <c r="C657" s="45" t="s">
        <v>97</v>
      </c>
      <c r="D657" s="45" t="s">
        <v>1563</v>
      </c>
      <c r="E657" s="6" t="s">
        <v>1564</v>
      </c>
      <c r="F657" s="45" t="s">
        <v>104</v>
      </c>
      <c r="G657" s="46">
        <f t="shared" si="73"/>
        <v>11</v>
      </c>
      <c r="H657" s="46">
        <f>TRUNC(S657*(1-LOTE_01!$K$10),2)</f>
        <v>691.13</v>
      </c>
      <c r="I657" s="46">
        <f>TRUNC(T657*(1-LOTE_01!$K$10),2)</f>
        <v>4.71</v>
      </c>
      <c r="J657" s="100">
        <f t="shared" si="74"/>
        <v>0.22470000000000001</v>
      </c>
      <c r="K657" s="48">
        <f t="shared" si="75"/>
        <v>846.42</v>
      </c>
      <c r="L657" s="48">
        <f t="shared" si="76"/>
        <v>5.76</v>
      </c>
      <c r="M657" s="48">
        <f t="shared" si="77"/>
        <v>9310.6200000000008</v>
      </c>
      <c r="N657" s="48">
        <f t="shared" si="78"/>
        <v>63.36</v>
      </c>
      <c r="O657" s="50">
        <f t="shared" si="79"/>
        <v>9373.98</v>
      </c>
      <c r="P657" s="50">
        <v>0</v>
      </c>
      <c r="Q657" s="76"/>
      <c r="R657" s="139">
        <f>1*(S9+S10)</f>
        <v>11</v>
      </c>
      <c r="S657" s="152">
        <v>691.13</v>
      </c>
      <c r="T657" s="153">
        <v>4.71</v>
      </c>
    </row>
    <row r="658" spans="2:20" ht="56">
      <c r="B658" s="5" t="s">
        <v>1565</v>
      </c>
      <c r="C658" s="45" t="s">
        <v>97</v>
      </c>
      <c r="D658" s="45" t="s">
        <v>1566</v>
      </c>
      <c r="E658" s="6" t="s">
        <v>1567</v>
      </c>
      <c r="F658" s="45" t="s">
        <v>104</v>
      </c>
      <c r="G658" s="46">
        <f t="shared" ref="G658:G721" si="80">TRUNC(R658,2)</f>
        <v>33</v>
      </c>
      <c r="H658" s="46">
        <f>TRUNC(S658*(1-LOTE_01!$K$10),2)</f>
        <v>975.62</v>
      </c>
      <c r="I658" s="46">
        <f>TRUNC(T658*(1-LOTE_01!$K$10),2)</f>
        <v>6.56</v>
      </c>
      <c r="J658" s="100">
        <f t="shared" ref="J658:J721" si="81">$J$4</f>
        <v>0.22470000000000001</v>
      </c>
      <c r="K658" s="48">
        <f t="shared" si="75"/>
        <v>1194.8399999999999</v>
      </c>
      <c r="L658" s="48">
        <f t="shared" si="76"/>
        <v>8.0299999999999994</v>
      </c>
      <c r="M658" s="48">
        <f t="shared" si="77"/>
        <v>39429.72</v>
      </c>
      <c r="N658" s="48">
        <f t="shared" si="78"/>
        <v>264.99</v>
      </c>
      <c r="O658" s="50">
        <f t="shared" si="79"/>
        <v>39694.71</v>
      </c>
      <c r="P658" s="50">
        <v>0</v>
      </c>
      <c r="Q658" s="76"/>
      <c r="R658" s="139">
        <f>3*(S9+S10)</f>
        <v>33</v>
      </c>
      <c r="S658" s="152">
        <v>975.62</v>
      </c>
      <c r="T658" s="153">
        <v>6.56</v>
      </c>
    </row>
    <row r="659" spans="2:20" ht="56">
      <c r="B659" s="5" t="s">
        <v>1568</v>
      </c>
      <c r="C659" s="45" t="s">
        <v>97</v>
      </c>
      <c r="D659" s="45" t="s">
        <v>1569</v>
      </c>
      <c r="E659" s="6" t="s">
        <v>1570</v>
      </c>
      <c r="F659" s="45" t="s">
        <v>104</v>
      </c>
      <c r="G659" s="46">
        <f t="shared" si="80"/>
        <v>11</v>
      </c>
      <c r="H659" s="46">
        <f>TRUNC(S659*(1-LOTE_01!$K$10),2)</f>
        <v>153.85</v>
      </c>
      <c r="I659" s="46">
        <f>TRUNC(T659*(1-LOTE_01!$K$10),2)</f>
        <v>4.71</v>
      </c>
      <c r="J659" s="100">
        <f t="shared" si="81"/>
        <v>0.22470000000000001</v>
      </c>
      <c r="K659" s="48">
        <f t="shared" si="75"/>
        <v>188.42</v>
      </c>
      <c r="L659" s="48">
        <f t="shared" si="76"/>
        <v>5.76</v>
      </c>
      <c r="M659" s="48">
        <f t="shared" si="77"/>
        <v>2072.62</v>
      </c>
      <c r="N659" s="48">
        <f t="shared" si="78"/>
        <v>63.36</v>
      </c>
      <c r="O659" s="50">
        <f t="shared" si="79"/>
        <v>2135.98</v>
      </c>
      <c r="P659" s="50">
        <v>0</v>
      </c>
      <c r="Q659" s="76"/>
      <c r="R659" s="139">
        <f>1*(S9+S10)</f>
        <v>11</v>
      </c>
      <c r="S659" s="152">
        <v>153.85</v>
      </c>
      <c r="T659" s="153">
        <v>4.71</v>
      </c>
    </row>
    <row r="660" spans="2:20" ht="56">
      <c r="B660" s="5" t="s">
        <v>1571</v>
      </c>
      <c r="C660" s="45" t="s">
        <v>97</v>
      </c>
      <c r="D660" s="45" t="s">
        <v>1572</v>
      </c>
      <c r="E660" s="6" t="s">
        <v>1573</v>
      </c>
      <c r="F660" s="45" t="s">
        <v>104</v>
      </c>
      <c r="G660" s="46">
        <f t="shared" si="80"/>
        <v>44</v>
      </c>
      <c r="H660" s="46">
        <f>TRUNC(S660*(1-LOTE_01!$K$10),2)</f>
        <v>60.01</v>
      </c>
      <c r="I660" s="46">
        <f>TRUNC(T660*(1-LOTE_01!$K$10),2)</f>
        <v>4.71</v>
      </c>
      <c r="J660" s="100">
        <f t="shared" si="81"/>
        <v>0.22470000000000001</v>
      </c>
      <c r="K660" s="48">
        <f t="shared" si="75"/>
        <v>73.489999999999995</v>
      </c>
      <c r="L660" s="48">
        <f t="shared" si="76"/>
        <v>5.76</v>
      </c>
      <c r="M660" s="48">
        <f t="shared" si="77"/>
        <v>3233.56</v>
      </c>
      <c r="N660" s="48">
        <f t="shared" si="78"/>
        <v>253.44</v>
      </c>
      <c r="O660" s="50">
        <f t="shared" si="79"/>
        <v>3487</v>
      </c>
      <c r="P660" s="50">
        <v>0</v>
      </c>
      <c r="Q660" s="76"/>
      <c r="R660" s="139">
        <f>4*(S9+S10)</f>
        <v>44</v>
      </c>
      <c r="S660" s="152">
        <v>60.01</v>
      </c>
      <c r="T660" s="153">
        <v>4.71</v>
      </c>
    </row>
    <row r="661" spans="2:20" ht="42">
      <c r="B661" s="5" t="s">
        <v>1574</v>
      </c>
      <c r="C661" s="45" t="s">
        <v>97</v>
      </c>
      <c r="D661" s="45" t="s">
        <v>1575</v>
      </c>
      <c r="E661" s="6" t="s">
        <v>1576</v>
      </c>
      <c r="F661" s="45" t="s">
        <v>121</v>
      </c>
      <c r="G661" s="46">
        <f t="shared" si="80"/>
        <v>11</v>
      </c>
      <c r="H661" s="46">
        <f>TRUNC(S661*(1-LOTE_01!$K$10),2)</f>
        <v>2681.61</v>
      </c>
      <c r="I661" s="46">
        <f>TRUNC(T661*(1-LOTE_01!$K$10),2)</f>
        <v>19.98</v>
      </c>
      <c r="J661" s="100">
        <f t="shared" si="81"/>
        <v>0.22470000000000001</v>
      </c>
      <c r="K661" s="48">
        <f t="shared" si="75"/>
        <v>3284.16</v>
      </c>
      <c r="L661" s="48">
        <f t="shared" si="76"/>
        <v>24.46</v>
      </c>
      <c r="M661" s="48">
        <f t="shared" si="77"/>
        <v>36125.760000000002</v>
      </c>
      <c r="N661" s="48">
        <f t="shared" si="78"/>
        <v>269.06</v>
      </c>
      <c r="O661" s="50">
        <f t="shared" si="79"/>
        <v>36394.82</v>
      </c>
      <c r="P661" s="50">
        <v>0</v>
      </c>
      <c r="Q661" s="76"/>
      <c r="R661" s="139">
        <f>1*(S9+S10)</f>
        <v>11</v>
      </c>
      <c r="S661" s="152">
        <v>2681.61</v>
      </c>
      <c r="T661" s="153">
        <v>19.98</v>
      </c>
    </row>
    <row r="662" spans="2:20" ht="56">
      <c r="B662" s="5" t="s">
        <v>1577</v>
      </c>
      <c r="C662" s="45" t="s">
        <v>97</v>
      </c>
      <c r="D662" s="45" t="s">
        <v>1578</v>
      </c>
      <c r="E662" s="6" t="s">
        <v>1579</v>
      </c>
      <c r="F662" s="45" t="s">
        <v>121</v>
      </c>
      <c r="G662" s="46">
        <f t="shared" si="80"/>
        <v>11</v>
      </c>
      <c r="H662" s="46">
        <f>TRUNC(S662*(1-LOTE_01!$K$10),2)</f>
        <v>1221.3699999999999</v>
      </c>
      <c r="I662" s="46">
        <f>TRUNC(T662*(1-LOTE_01!$K$10),2)</f>
        <v>39.97</v>
      </c>
      <c r="J662" s="100">
        <f t="shared" si="81"/>
        <v>0.22470000000000001</v>
      </c>
      <c r="K662" s="48">
        <f t="shared" si="75"/>
        <v>1495.81</v>
      </c>
      <c r="L662" s="48">
        <f t="shared" si="76"/>
        <v>48.95</v>
      </c>
      <c r="M662" s="48">
        <f t="shared" si="77"/>
        <v>16453.91</v>
      </c>
      <c r="N662" s="48">
        <f t="shared" si="78"/>
        <v>538.45000000000005</v>
      </c>
      <c r="O662" s="50">
        <f t="shared" si="79"/>
        <v>16992.36</v>
      </c>
      <c r="P662" s="50">
        <v>0</v>
      </c>
      <c r="Q662" s="76"/>
      <c r="R662" s="139">
        <f>1*(S9+S10)</f>
        <v>11</v>
      </c>
      <c r="S662" s="152">
        <v>1221.3699999999999</v>
      </c>
      <c r="T662" s="153">
        <v>39.97</v>
      </c>
    </row>
    <row r="663" spans="2:20" ht="56">
      <c r="B663" s="5" t="s">
        <v>1580</v>
      </c>
      <c r="C663" s="45" t="s">
        <v>97</v>
      </c>
      <c r="D663" s="45" t="s">
        <v>1581</v>
      </c>
      <c r="E663" s="6" t="s">
        <v>1582</v>
      </c>
      <c r="F663" s="45" t="s">
        <v>104</v>
      </c>
      <c r="G663" s="46">
        <f t="shared" si="80"/>
        <v>11</v>
      </c>
      <c r="H663" s="46">
        <f>TRUNC(S663*(1-LOTE_01!$K$10),2)</f>
        <v>3500.5</v>
      </c>
      <c r="I663" s="46">
        <f>TRUNC(T663*(1-LOTE_01!$K$10),2)</f>
        <v>19.98</v>
      </c>
      <c r="J663" s="100">
        <f t="shared" si="81"/>
        <v>0.22470000000000001</v>
      </c>
      <c r="K663" s="48">
        <f t="shared" si="75"/>
        <v>4287.0600000000004</v>
      </c>
      <c r="L663" s="48">
        <f t="shared" si="76"/>
        <v>24.46</v>
      </c>
      <c r="M663" s="48">
        <f t="shared" si="77"/>
        <v>47157.66</v>
      </c>
      <c r="N663" s="48">
        <f t="shared" si="78"/>
        <v>269.06</v>
      </c>
      <c r="O663" s="50">
        <f t="shared" si="79"/>
        <v>47426.720000000001</v>
      </c>
      <c r="P663" s="50">
        <v>0</v>
      </c>
      <c r="Q663" s="76"/>
      <c r="R663" s="139">
        <f>S9+S10</f>
        <v>11</v>
      </c>
      <c r="S663" s="152">
        <v>3500.5</v>
      </c>
      <c r="T663" s="153">
        <v>19.98</v>
      </c>
    </row>
    <row r="664" spans="2:20">
      <c r="B664" s="101" t="s">
        <v>1583</v>
      </c>
      <c r="C664" s="102" t="s">
        <v>21</v>
      </c>
      <c r="D664" s="102" t="s">
        <v>21</v>
      </c>
      <c r="E664" s="103" t="s">
        <v>1584</v>
      </c>
      <c r="F664" s="102" t="s">
        <v>21</v>
      </c>
      <c r="G664" s="46">
        <f t="shared" si="80"/>
        <v>0</v>
      </c>
      <c r="H664" s="46"/>
      <c r="I664" s="46"/>
      <c r="J664" s="105"/>
      <c r="K664" s="48">
        <f t="shared" si="75"/>
        <v>0</v>
      </c>
      <c r="L664" s="48">
        <f t="shared" si="76"/>
        <v>0</v>
      </c>
      <c r="M664" s="48">
        <f t="shared" si="77"/>
        <v>0</v>
      </c>
      <c r="N664" s="48">
        <f t="shared" si="78"/>
        <v>0</v>
      </c>
      <c r="O664" s="50">
        <f t="shared" si="79"/>
        <v>0</v>
      </c>
      <c r="P664" s="50">
        <v>0</v>
      </c>
      <c r="Q664" s="76"/>
      <c r="R664" s="154"/>
      <c r="S664" s="152" t="s">
        <v>22</v>
      </c>
      <c r="T664" s="153" t="s">
        <v>22</v>
      </c>
    </row>
    <row r="665" spans="2:20" ht="42">
      <c r="B665" s="5" t="s">
        <v>1585</v>
      </c>
      <c r="C665" s="45" t="s">
        <v>135</v>
      </c>
      <c r="D665" s="45">
        <v>102181</v>
      </c>
      <c r="E665" s="6" t="s">
        <v>1773</v>
      </c>
      <c r="F665" s="45" t="s">
        <v>121</v>
      </c>
      <c r="G665" s="46">
        <f t="shared" si="80"/>
        <v>165</v>
      </c>
      <c r="H665" s="46">
        <f>TRUNC(S665*(1-LOTE_01!$K$10),2)</f>
        <v>651.29999999999995</v>
      </c>
      <c r="I665" s="46">
        <f>TRUNC(T665*(1-LOTE_01!$K$10),2)</f>
        <v>45.57</v>
      </c>
      <c r="J665" s="100">
        <f t="shared" si="81"/>
        <v>0.22470000000000001</v>
      </c>
      <c r="K665" s="48">
        <f t="shared" si="75"/>
        <v>797.64</v>
      </c>
      <c r="L665" s="48">
        <f t="shared" si="76"/>
        <v>55.8</v>
      </c>
      <c r="M665" s="48">
        <f t="shared" si="77"/>
        <v>131610.6</v>
      </c>
      <c r="N665" s="48">
        <f t="shared" si="78"/>
        <v>9207</v>
      </c>
      <c r="O665" s="50">
        <f t="shared" si="79"/>
        <v>140817.60000000001</v>
      </c>
      <c r="P665" s="50">
        <v>0</v>
      </c>
      <c r="Q665" s="76"/>
      <c r="R665" s="139">
        <f>5*3*(S9+S10)</f>
        <v>165</v>
      </c>
      <c r="S665" s="152">
        <v>651.29999999999995</v>
      </c>
      <c r="T665" s="153">
        <v>45.57</v>
      </c>
    </row>
    <row r="666" spans="2:20" ht="56">
      <c r="B666" s="5" t="s">
        <v>1586</v>
      </c>
      <c r="C666" s="45" t="s">
        <v>135</v>
      </c>
      <c r="D666" s="45">
        <v>102184</v>
      </c>
      <c r="E666" s="6" t="s">
        <v>1787</v>
      </c>
      <c r="F666" s="45" t="s">
        <v>210</v>
      </c>
      <c r="G666" s="46">
        <f t="shared" si="80"/>
        <v>11</v>
      </c>
      <c r="H666" s="46">
        <f>TRUNC(S666*(1-LOTE_01!$K$10),2)</f>
        <v>2038.55</v>
      </c>
      <c r="I666" s="46">
        <f>TRUNC(T666*(1-LOTE_01!$K$10),2)</f>
        <v>110.45</v>
      </c>
      <c r="J666" s="100">
        <f t="shared" si="81"/>
        <v>0.22470000000000001</v>
      </c>
      <c r="K666" s="48">
        <f t="shared" si="75"/>
        <v>2496.61</v>
      </c>
      <c r="L666" s="48">
        <f t="shared" si="76"/>
        <v>135.26</v>
      </c>
      <c r="M666" s="48">
        <f t="shared" si="77"/>
        <v>27462.71</v>
      </c>
      <c r="N666" s="48">
        <f t="shared" si="78"/>
        <v>1487.86</v>
      </c>
      <c r="O666" s="50">
        <f t="shared" si="79"/>
        <v>28950.57</v>
      </c>
      <c r="P666" s="50">
        <v>0</v>
      </c>
      <c r="Q666" s="76"/>
      <c r="R666" s="139">
        <f>1*(S9+S10)</f>
        <v>11</v>
      </c>
      <c r="S666" s="152">
        <v>2038.55</v>
      </c>
      <c r="T666" s="153">
        <v>110.45</v>
      </c>
    </row>
    <row r="667" spans="2:20" ht="70">
      <c r="B667" s="5" t="s">
        <v>1587</v>
      </c>
      <c r="C667" s="45" t="s">
        <v>135</v>
      </c>
      <c r="D667" s="45">
        <v>96366</v>
      </c>
      <c r="E667" s="6" t="s">
        <v>1588</v>
      </c>
      <c r="F667" s="45" t="s">
        <v>121</v>
      </c>
      <c r="G667" s="46">
        <f t="shared" si="80"/>
        <v>165</v>
      </c>
      <c r="H667" s="46">
        <f>TRUNC(S667*(1-LOTE_01!$K$10),2)</f>
        <v>180.01</v>
      </c>
      <c r="I667" s="46">
        <f>TRUNC(T667*(1-LOTE_01!$K$10),2)</f>
        <v>21.86</v>
      </c>
      <c r="J667" s="100">
        <f t="shared" si="81"/>
        <v>0.22470000000000001</v>
      </c>
      <c r="K667" s="48">
        <f t="shared" si="75"/>
        <v>220.45</v>
      </c>
      <c r="L667" s="48">
        <f t="shared" si="76"/>
        <v>26.77</v>
      </c>
      <c r="M667" s="48">
        <f t="shared" si="77"/>
        <v>36374.25</v>
      </c>
      <c r="N667" s="48">
        <f t="shared" si="78"/>
        <v>4417.05</v>
      </c>
      <c r="O667" s="50">
        <f t="shared" si="79"/>
        <v>40791.300000000003</v>
      </c>
      <c r="P667" s="50">
        <v>0</v>
      </c>
      <c r="Q667" s="76"/>
      <c r="R667" s="139">
        <f>5*3*(S9+S10)</f>
        <v>165</v>
      </c>
      <c r="S667" s="152">
        <v>180.01</v>
      </c>
      <c r="T667" s="153">
        <v>21.86</v>
      </c>
    </row>
    <row r="668" spans="2:20" ht="84">
      <c r="B668" s="5" t="s">
        <v>1589</v>
      </c>
      <c r="C668" s="45" t="s">
        <v>97</v>
      </c>
      <c r="D668" s="45" t="s">
        <v>1477</v>
      </c>
      <c r="E668" s="6" t="s">
        <v>1478</v>
      </c>
      <c r="F668" s="45" t="s">
        <v>121</v>
      </c>
      <c r="G668" s="46">
        <f t="shared" si="80"/>
        <v>192.5</v>
      </c>
      <c r="H668" s="46">
        <f>TRUNC(S668*(1-LOTE_01!$K$10),2)</f>
        <v>331.89</v>
      </c>
      <c r="I668" s="46">
        <f>TRUNC(T668*(1-LOTE_01!$K$10),2)</f>
        <v>32.4</v>
      </c>
      <c r="J668" s="100">
        <f t="shared" si="81"/>
        <v>0.22470000000000001</v>
      </c>
      <c r="K668" s="48">
        <f t="shared" si="75"/>
        <v>406.46</v>
      </c>
      <c r="L668" s="48">
        <f t="shared" si="76"/>
        <v>39.68</v>
      </c>
      <c r="M668" s="48">
        <f t="shared" si="77"/>
        <v>78243.55</v>
      </c>
      <c r="N668" s="48">
        <f t="shared" si="78"/>
        <v>7638.4</v>
      </c>
      <c r="O668" s="50">
        <f t="shared" si="79"/>
        <v>85881.95</v>
      </c>
      <c r="P668" s="50">
        <v>0</v>
      </c>
      <c r="Q668" s="76"/>
      <c r="R668" s="139">
        <f>5*3.5*(S9+S10)</f>
        <v>192.5</v>
      </c>
      <c r="S668" s="152">
        <v>331.89</v>
      </c>
      <c r="T668" s="153">
        <v>32.4</v>
      </c>
    </row>
    <row r="669" spans="2:20" ht="84">
      <c r="B669" s="5" t="s">
        <v>1590</v>
      </c>
      <c r="C669" s="45" t="s">
        <v>97</v>
      </c>
      <c r="D669" s="45" t="s">
        <v>1591</v>
      </c>
      <c r="E669" s="6" t="s">
        <v>1592</v>
      </c>
      <c r="F669" s="45" t="s">
        <v>104</v>
      </c>
      <c r="G669" s="46">
        <f t="shared" si="80"/>
        <v>11</v>
      </c>
      <c r="H669" s="46">
        <f>TRUNC(S669*(1-LOTE_01!$K$10),2)</f>
        <v>462.28</v>
      </c>
      <c r="I669" s="46">
        <f>TRUNC(T669*(1-LOTE_01!$K$10),2)</f>
        <v>4.37</v>
      </c>
      <c r="J669" s="100">
        <f t="shared" si="81"/>
        <v>0.22470000000000001</v>
      </c>
      <c r="K669" s="48">
        <f t="shared" si="75"/>
        <v>566.15</v>
      </c>
      <c r="L669" s="48">
        <f t="shared" si="76"/>
        <v>5.35</v>
      </c>
      <c r="M669" s="48">
        <f t="shared" si="77"/>
        <v>6227.65</v>
      </c>
      <c r="N669" s="48">
        <f t="shared" si="78"/>
        <v>58.85</v>
      </c>
      <c r="O669" s="50">
        <f t="shared" si="79"/>
        <v>6286.5</v>
      </c>
      <c r="P669" s="50">
        <v>0</v>
      </c>
      <c r="Q669" s="76"/>
      <c r="R669" s="139">
        <f>1*(S9+S10)</f>
        <v>11</v>
      </c>
      <c r="S669" s="152">
        <v>462.28</v>
      </c>
      <c r="T669" s="153">
        <v>4.37</v>
      </c>
    </row>
    <row r="670" spans="2:20" ht="56">
      <c r="B670" s="5" t="s">
        <v>1593</v>
      </c>
      <c r="C670" s="45" t="s">
        <v>97</v>
      </c>
      <c r="D670" s="45" t="s">
        <v>1594</v>
      </c>
      <c r="E670" s="6" t="s">
        <v>1595</v>
      </c>
      <c r="F670" s="45" t="s">
        <v>104</v>
      </c>
      <c r="G670" s="46">
        <f t="shared" si="80"/>
        <v>11</v>
      </c>
      <c r="H670" s="46">
        <f>TRUNC(S670*(1-LOTE_01!$K$10),2)</f>
        <v>4499.58</v>
      </c>
      <c r="I670" s="46">
        <f>TRUNC(T670*(1-LOTE_01!$K$10),2)</f>
        <v>19.98</v>
      </c>
      <c r="J670" s="100">
        <f t="shared" si="81"/>
        <v>0.22470000000000001</v>
      </c>
      <c r="K670" s="48">
        <f t="shared" si="75"/>
        <v>5510.63</v>
      </c>
      <c r="L670" s="48">
        <f t="shared" si="76"/>
        <v>24.46</v>
      </c>
      <c r="M670" s="48">
        <f t="shared" si="77"/>
        <v>60616.93</v>
      </c>
      <c r="N670" s="48">
        <f t="shared" si="78"/>
        <v>269.06</v>
      </c>
      <c r="O670" s="50">
        <f t="shared" si="79"/>
        <v>60885.99</v>
      </c>
      <c r="P670" s="50">
        <v>0</v>
      </c>
      <c r="Q670" s="76"/>
      <c r="R670" s="139">
        <f>1*(S9+S10)</f>
        <v>11</v>
      </c>
      <c r="S670" s="152">
        <v>4499.58</v>
      </c>
      <c r="T670" s="153">
        <v>19.98</v>
      </c>
    </row>
    <row r="671" spans="2:20">
      <c r="B671" s="5" t="s">
        <v>1596</v>
      </c>
      <c r="C671" s="45" t="s">
        <v>97</v>
      </c>
      <c r="D671" s="45" t="s">
        <v>1597</v>
      </c>
      <c r="E671" s="6" t="s">
        <v>1598</v>
      </c>
      <c r="F671" s="45" t="s">
        <v>121</v>
      </c>
      <c r="G671" s="46">
        <f t="shared" si="80"/>
        <v>165</v>
      </c>
      <c r="H671" s="46">
        <f>TRUNC(S671*(1-LOTE_01!$K$10),2)</f>
        <v>2093.96</v>
      </c>
      <c r="I671" s="46">
        <f>TRUNC(T671*(1-LOTE_01!$K$10),2)</f>
        <v>7.99</v>
      </c>
      <c r="J671" s="100">
        <f t="shared" si="81"/>
        <v>0.22470000000000001</v>
      </c>
      <c r="K671" s="48">
        <f t="shared" si="75"/>
        <v>2564.4699999999998</v>
      </c>
      <c r="L671" s="48">
        <f t="shared" si="76"/>
        <v>9.7799999999999994</v>
      </c>
      <c r="M671" s="48">
        <f t="shared" si="77"/>
        <v>423137.55</v>
      </c>
      <c r="N671" s="48">
        <f t="shared" si="78"/>
        <v>1613.7</v>
      </c>
      <c r="O671" s="50">
        <f t="shared" si="79"/>
        <v>424751.25</v>
      </c>
      <c r="P671" s="50">
        <v>0</v>
      </c>
      <c r="Q671" s="76"/>
      <c r="R671" s="139">
        <f>5*3*(S9+S10)</f>
        <v>165</v>
      </c>
      <c r="S671" s="152">
        <v>2093.96</v>
      </c>
      <c r="T671" s="153">
        <v>7.99</v>
      </c>
    </row>
    <row r="672" spans="2:20" ht="42">
      <c r="B672" s="5" t="s">
        <v>1599</v>
      </c>
      <c r="C672" s="45" t="s">
        <v>97</v>
      </c>
      <c r="D672" s="45" t="s">
        <v>1600</v>
      </c>
      <c r="E672" s="6" t="s">
        <v>1601</v>
      </c>
      <c r="F672" s="45" t="s">
        <v>121</v>
      </c>
      <c r="G672" s="46">
        <f t="shared" si="80"/>
        <v>165</v>
      </c>
      <c r="H672" s="46">
        <f>TRUNC(S672*(1-LOTE_01!$K$10),2)</f>
        <v>289.42</v>
      </c>
      <c r="I672" s="46">
        <f>TRUNC(T672*(1-LOTE_01!$K$10),2)</f>
        <v>11.47</v>
      </c>
      <c r="J672" s="100">
        <f t="shared" si="81"/>
        <v>0.22470000000000001</v>
      </c>
      <c r="K672" s="48">
        <f t="shared" si="75"/>
        <v>354.45</v>
      </c>
      <c r="L672" s="48">
        <f t="shared" si="76"/>
        <v>14.04</v>
      </c>
      <c r="M672" s="48">
        <f t="shared" si="77"/>
        <v>58484.25</v>
      </c>
      <c r="N672" s="48">
        <f t="shared" si="78"/>
        <v>2316.6</v>
      </c>
      <c r="O672" s="50">
        <f t="shared" si="79"/>
        <v>60800.85</v>
      </c>
      <c r="P672" s="50">
        <v>0</v>
      </c>
      <c r="Q672" s="76"/>
      <c r="R672" s="139">
        <f>5*3*(S9+S10)</f>
        <v>165</v>
      </c>
      <c r="S672" s="152">
        <v>289.42</v>
      </c>
      <c r="T672" s="153">
        <v>11.47</v>
      </c>
    </row>
    <row r="673" spans="2:20" ht="28">
      <c r="B673" s="5" t="s">
        <v>1602</v>
      </c>
      <c r="C673" s="45" t="s">
        <v>97</v>
      </c>
      <c r="D673" s="45" t="s">
        <v>1484</v>
      </c>
      <c r="E673" s="6" t="s">
        <v>1485</v>
      </c>
      <c r="F673" s="45" t="s">
        <v>121</v>
      </c>
      <c r="G673" s="46">
        <f t="shared" si="80"/>
        <v>55</v>
      </c>
      <c r="H673" s="46">
        <f>TRUNC(S673*(1-LOTE_01!$K$10),2)</f>
        <v>444.39</v>
      </c>
      <c r="I673" s="46">
        <f>TRUNC(T673*(1-LOTE_01!$K$10),2)</f>
        <v>4.71</v>
      </c>
      <c r="J673" s="100">
        <f t="shared" si="81"/>
        <v>0.22470000000000001</v>
      </c>
      <c r="K673" s="48">
        <f t="shared" si="75"/>
        <v>544.24</v>
      </c>
      <c r="L673" s="48">
        <f t="shared" si="76"/>
        <v>5.76</v>
      </c>
      <c r="M673" s="48">
        <f t="shared" si="77"/>
        <v>29933.200000000001</v>
      </c>
      <c r="N673" s="48">
        <f t="shared" si="78"/>
        <v>316.8</v>
      </c>
      <c r="O673" s="50">
        <f t="shared" si="79"/>
        <v>30250</v>
      </c>
      <c r="P673" s="50">
        <v>0</v>
      </c>
      <c r="Q673" s="76"/>
      <c r="R673" s="139">
        <f>1*5*(S9+S10)</f>
        <v>55</v>
      </c>
      <c r="S673" s="152">
        <v>444.39</v>
      </c>
      <c r="T673" s="153">
        <v>4.71</v>
      </c>
    </row>
    <row r="674" spans="2:20">
      <c r="B674" s="101" t="s">
        <v>1603</v>
      </c>
      <c r="C674" s="102" t="s">
        <v>21</v>
      </c>
      <c r="D674" s="102" t="s">
        <v>21</v>
      </c>
      <c r="E674" s="103" t="s">
        <v>1604</v>
      </c>
      <c r="F674" s="102" t="s">
        <v>21</v>
      </c>
      <c r="G674" s="46">
        <f t="shared" si="80"/>
        <v>0</v>
      </c>
      <c r="H674" s="46"/>
      <c r="I674" s="46"/>
      <c r="J674" s="105"/>
      <c r="K674" s="48">
        <f t="shared" si="75"/>
        <v>0</v>
      </c>
      <c r="L674" s="48">
        <f t="shared" si="76"/>
        <v>0</v>
      </c>
      <c r="M674" s="48">
        <f t="shared" si="77"/>
        <v>0</v>
      </c>
      <c r="N674" s="48">
        <f t="shared" si="78"/>
        <v>0</v>
      </c>
      <c r="O674" s="50">
        <f t="shared" si="79"/>
        <v>0</v>
      </c>
      <c r="P674" s="50">
        <v>0</v>
      </c>
      <c r="Q674" s="76"/>
      <c r="R674" s="154"/>
      <c r="S674" s="152" t="s">
        <v>22</v>
      </c>
      <c r="T674" s="153" t="s">
        <v>22</v>
      </c>
    </row>
    <row r="675" spans="2:20" ht="42">
      <c r="B675" s="5" t="s">
        <v>1605</v>
      </c>
      <c r="C675" s="45" t="s">
        <v>135</v>
      </c>
      <c r="D675" s="45">
        <v>102181</v>
      </c>
      <c r="E675" s="6" t="s">
        <v>1773</v>
      </c>
      <c r="F675" s="45" t="s">
        <v>121</v>
      </c>
      <c r="G675" s="46">
        <f t="shared" si="80"/>
        <v>198</v>
      </c>
      <c r="H675" s="46">
        <f>TRUNC(S675*(1-LOTE_01!$K$10),2)</f>
        <v>651.29999999999995</v>
      </c>
      <c r="I675" s="46">
        <f>TRUNC(T675*(1-LOTE_01!$K$10),2)</f>
        <v>45.57</v>
      </c>
      <c r="J675" s="100">
        <f t="shared" si="81"/>
        <v>0.22470000000000001</v>
      </c>
      <c r="K675" s="48">
        <f t="shared" si="75"/>
        <v>797.64</v>
      </c>
      <c r="L675" s="48">
        <f t="shared" si="76"/>
        <v>55.8</v>
      </c>
      <c r="M675" s="48">
        <f t="shared" si="77"/>
        <v>157932.72</v>
      </c>
      <c r="N675" s="48">
        <f t="shared" si="78"/>
        <v>11048.4</v>
      </c>
      <c r="O675" s="50">
        <f t="shared" si="79"/>
        <v>168981.12</v>
      </c>
      <c r="P675" s="50">
        <v>0</v>
      </c>
      <c r="Q675" s="76"/>
      <c r="R675" s="139">
        <f>6*3*(S9+S10)</f>
        <v>198</v>
      </c>
      <c r="S675" s="152">
        <v>651.29999999999995</v>
      </c>
      <c r="T675" s="153">
        <v>45.57</v>
      </c>
    </row>
    <row r="676" spans="2:20" ht="56">
      <c r="B676" s="5" t="s">
        <v>1606</v>
      </c>
      <c r="C676" s="45" t="s">
        <v>135</v>
      </c>
      <c r="D676" s="45">
        <v>102184</v>
      </c>
      <c r="E676" s="6" t="s">
        <v>1787</v>
      </c>
      <c r="F676" s="45" t="s">
        <v>210</v>
      </c>
      <c r="G676" s="46">
        <f t="shared" si="80"/>
        <v>11</v>
      </c>
      <c r="H676" s="46">
        <f>TRUNC(S676*(1-LOTE_01!$K$10),2)</f>
        <v>2038.55</v>
      </c>
      <c r="I676" s="46">
        <f>TRUNC(T676*(1-LOTE_01!$K$10),2)</f>
        <v>110.45</v>
      </c>
      <c r="J676" s="100">
        <f t="shared" si="81"/>
        <v>0.22470000000000001</v>
      </c>
      <c r="K676" s="48">
        <f t="shared" si="75"/>
        <v>2496.61</v>
      </c>
      <c r="L676" s="48">
        <f t="shared" si="76"/>
        <v>135.26</v>
      </c>
      <c r="M676" s="48">
        <f t="shared" si="77"/>
        <v>27462.71</v>
      </c>
      <c r="N676" s="48">
        <f t="shared" si="78"/>
        <v>1487.86</v>
      </c>
      <c r="O676" s="50">
        <f t="shared" si="79"/>
        <v>28950.57</v>
      </c>
      <c r="P676" s="50">
        <v>0</v>
      </c>
      <c r="Q676" s="76"/>
      <c r="R676" s="139">
        <f>1*(S9+S10)</f>
        <v>11</v>
      </c>
      <c r="S676" s="152">
        <v>2038.55</v>
      </c>
      <c r="T676" s="153">
        <v>110.45</v>
      </c>
    </row>
    <row r="677" spans="2:20" ht="84">
      <c r="B677" s="5" t="s">
        <v>1607</v>
      </c>
      <c r="C677" s="45" t="s">
        <v>97</v>
      </c>
      <c r="D677" s="45" t="s">
        <v>1477</v>
      </c>
      <c r="E677" s="6" t="s">
        <v>1478</v>
      </c>
      <c r="F677" s="45" t="s">
        <v>121</v>
      </c>
      <c r="G677" s="46">
        <f t="shared" si="80"/>
        <v>198</v>
      </c>
      <c r="H677" s="46">
        <f>TRUNC(S677*(1-LOTE_01!$K$10),2)</f>
        <v>331.89</v>
      </c>
      <c r="I677" s="46">
        <f>TRUNC(T677*(1-LOTE_01!$K$10),2)</f>
        <v>32.4</v>
      </c>
      <c r="J677" s="100">
        <f t="shared" si="81"/>
        <v>0.22470000000000001</v>
      </c>
      <c r="K677" s="48">
        <f t="shared" si="75"/>
        <v>406.46</v>
      </c>
      <c r="L677" s="48">
        <f t="shared" si="76"/>
        <v>39.68</v>
      </c>
      <c r="M677" s="48">
        <f t="shared" si="77"/>
        <v>80479.08</v>
      </c>
      <c r="N677" s="48">
        <f t="shared" si="78"/>
        <v>7856.64</v>
      </c>
      <c r="O677" s="50">
        <f t="shared" si="79"/>
        <v>88335.72</v>
      </c>
      <c r="P677" s="50">
        <v>0</v>
      </c>
      <c r="Q677" s="76"/>
      <c r="R677" s="139">
        <f>6*3*(S9+S10)</f>
        <v>198</v>
      </c>
      <c r="S677" s="152">
        <v>331.89</v>
      </c>
      <c r="T677" s="153">
        <v>32.4</v>
      </c>
    </row>
    <row r="678" spans="2:20" ht="84">
      <c r="B678" s="5" t="s">
        <v>1608</v>
      </c>
      <c r="C678" s="45" t="s">
        <v>97</v>
      </c>
      <c r="D678" s="45" t="s">
        <v>1591</v>
      </c>
      <c r="E678" s="6" t="s">
        <v>1592</v>
      </c>
      <c r="F678" s="45" t="s">
        <v>104</v>
      </c>
      <c r="G678" s="46">
        <f t="shared" si="80"/>
        <v>11</v>
      </c>
      <c r="H678" s="46">
        <f>TRUNC(S678*(1-LOTE_01!$K$10),2)</f>
        <v>462.28</v>
      </c>
      <c r="I678" s="46">
        <f>TRUNC(T678*(1-LOTE_01!$K$10),2)</f>
        <v>4.37</v>
      </c>
      <c r="J678" s="100">
        <f t="shared" si="81"/>
        <v>0.22470000000000001</v>
      </c>
      <c r="K678" s="48">
        <f t="shared" si="75"/>
        <v>566.15</v>
      </c>
      <c r="L678" s="48">
        <f t="shared" si="76"/>
        <v>5.35</v>
      </c>
      <c r="M678" s="48">
        <f t="shared" si="77"/>
        <v>6227.65</v>
      </c>
      <c r="N678" s="48">
        <f t="shared" si="78"/>
        <v>58.85</v>
      </c>
      <c r="O678" s="50">
        <f t="shared" si="79"/>
        <v>6286.5</v>
      </c>
      <c r="P678" s="50">
        <v>0</v>
      </c>
      <c r="Q678" s="76"/>
      <c r="R678" s="139">
        <f>1*(S9+S10)</f>
        <v>11</v>
      </c>
      <c r="S678" s="152">
        <v>462.28</v>
      </c>
      <c r="T678" s="153">
        <v>4.37</v>
      </c>
    </row>
    <row r="679" spans="2:20" ht="42">
      <c r="B679" s="5" t="s">
        <v>1609</v>
      </c>
      <c r="C679" s="45" t="s">
        <v>97</v>
      </c>
      <c r="D679" s="45" t="s">
        <v>1610</v>
      </c>
      <c r="E679" s="6" t="s">
        <v>1611</v>
      </c>
      <c r="F679" s="45" t="s">
        <v>104</v>
      </c>
      <c r="G679" s="46">
        <f t="shared" si="80"/>
        <v>11</v>
      </c>
      <c r="H679" s="46">
        <f>TRUNC(S679*(1-LOTE_01!$K$10),2)</f>
        <v>64.39</v>
      </c>
      <c r="I679" s="46">
        <f>TRUNC(T679*(1-LOTE_01!$K$10),2)</f>
        <v>0</v>
      </c>
      <c r="J679" s="100">
        <f t="shared" si="81"/>
        <v>0.22470000000000001</v>
      </c>
      <c r="K679" s="48">
        <f t="shared" si="75"/>
        <v>78.849999999999994</v>
      </c>
      <c r="L679" s="48">
        <f t="shared" si="76"/>
        <v>0</v>
      </c>
      <c r="M679" s="48">
        <f t="shared" si="77"/>
        <v>867.35</v>
      </c>
      <c r="N679" s="48">
        <f t="shared" si="78"/>
        <v>0</v>
      </c>
      <c r="O679" s="50">
        <f t="shared" si="79"/>
        <v>867.35</v>
      </c>
      <c r="P679" s="50">
        <v>0</v>
      </c>
      <c r="Q679" s="76"/>
      <c r="R679" s="140">
        <f>1*(S10+S9)</f>
        <v>11</v>
      </c>
      <c r="S679" s="152">
        <v>64.39</v>
      </c>
      <c r="T679" s="153">
        <v>0</v>
      </c>
    </row>
    <row r="680" spans="2:20">
      <c r="B680" s="5" t="s">
        <v>1612</v>
      </c>
      <c r="C680" s="45" t="s">
        <v>97</v>
      </c>
      <c r="D680" s="45" t="s">
        <v>1597</v>
      </c>
      <c r="E680" s="6" t="s">
        <v>1598</v>
      </c>
      <c r="F680" s="45" t="s">
        <v>121</v>
      </c>
      <c r="G680" s="46">
        <f t="shared" si="80"/>
        <v>198</v>
      </c>
      <c r="H680" s="46">
        <f>TRUNC(S680*(1-LOTE_01!$K$10),2)</f>
        <v>2093.96</v>
      </c>
      <c r="I680" s="46">
        <f>TRUNC(T680*(1-LOTE_01!$K$10),2)</f>
        <v>7.99</v>
      </c>
      <c r="J680" s="100">
        <f t="shared" si="81"/>
        <v>0.22470000000000001</v>
      </c>
      <c r="K680" s="48">
        <f t="shared" si="75"/>
        <v>2564.4699999999998</v>
      </c>
      <c r="L680" s="48">
        <f t="shared" si="76"/>
        <v>9.7799999999999994</v>
      </c>
      <c r="M680" s="48">
        <f t="shared" si="77"/>
        <v>507765.06</v>
      </c>
      <c r="N680" s="48">
        <f t="shared" si="78"/>
        <v>1936.44</v>
      </c>
      <c r="O680" s="50">
        <f t="shared" si="79"/>
        <v>509701.5</v>
      </c>
      <c r="P680" s="50">
        <v>0</v>
      </c>
      <c r="Q680" s="76"/>
      <c r="R680" s="139">
        <f>6*3*(S9+S10)</f>
        <v>198</v>
      </c>
      <c r="S680" s="152">
        <v>2093.96</v>
      </c>
      <c r="T680" s="153">
        <v>7.99</v>
      </c>
    </row>
    <row r="681" spans="2:20" ht="42">
      <c r="B681" s="5" t="s">
        <v>1613</v>
      </c>
      <c r="C681" s="45" t="s">
        <v>97</v>
      </c>
      <c r="D681" s="45" t="s">
        <v>1600</v>
      </c>
      <c r="E681" s="6" t="s">
        <v>1601</v>
      </c>
      <c r="F681" s="45" t="s">
        <v>121</v>
      </c>
      <c r="G681" s="46">
        <f t="shared" si="80"/>
        <v>165</v>
      </c>
      <c r="H681" s="46">
        <f>TRUNC(S681*(1-LOTE_01!$K$10),2)</f>
        <v>289.42</v>
      </c>
      <c r="I681" s="46">
        <f>TRUNC(T681*(1-LOTE_01!$K$10),2)</f>
        <v>11.47</v>
      </c>
      <c r="J681" s="100">
        <f t="shared" si="81"/>
        <v>0.22470000000000001</v>
      </c>
      <c r="K681" s="48">
        <f t="shared" si="75"/>
        <v>354.45</v>
      </c>
      <c r="L681" s="48">
        <f t="shared" si="76"/>
        <v>14.04</v>
      </c>
      <c r="M681" s="48">
        <f t="shared" si="77"/>
        <v>58484.25</v>
      </c>
      <c r="N681" s="48">
        <f t="shared" si="78"/>
        <v>2316.6</v>
      </c>
      <c r="O681" s="50">
        <f t="shared" si="79"/>
        <v>60800.85</v>
      </c>
      <c r="P681" s="50">
        <v>0</v>
      </c>
      <c r="Q681" s="76"/>
      <c r="R681" s="139">
        <f>5*3*(S9+S10)</f>
        <v>165</v>
      </c>
      <c r="S681" s="152">
        <v>289.42</v>
      </c>
      <c r="T681" s="153">
        <v>11.47</v>
      </c>
    </row>
    <row r="682" spans="2:20" ht="56">
      <c r="B682" s="5" t="s">
        <v>1614</v>
      </c>
      <c r="C682" s="45" t="s">
        <v>97</v>
      </c>
      <c r="D682" s="45" t="s">
        <v>1615</v>
      </c>
      <c r="E682" s="6" t="s">
        <v>1616</v>
      </c>
      <c r="F682" s="45" t="s">
        <v>104</v>
      </c>
      <c r="G682" s="46">
        <f t="shared" si="80"/>
        <v>11</v>
      </c>
      <c r="H682" s="46">
        <f>TRUNC(S682*(1-LOTE_01!$K$10),2)</f>
        <v>3318.83</v>
      </c>
      <c r="I682" s="46">
        <f>TRUNC(T682*(1-LOTE_01!$K$10),2)</f>
        <v>11.99</v>
      </c>
      <c r="J682" s="100">
        <f t="shared" si="81"/>
        <v>0.22470000000000001</v>
      </c>
      <c r="K682" s="48">
        <f t="shared" si="75"/>
        <v>4064.57</v>
      </c>
      <c r="L682" s="48">
        <f t="shared" si="76"/>
        <v>14.68</v>
      </c>
      <c r="M682" s="48">
        <f t="shared" si="77"/>
        <v>44710.27</v>
      </c>
      <c r="N682" s="48">
        <f t="shared" si="78"/>
        <v>161.47999999999999</v>
      </c>
      <c r="O682" s="50">
        <f t="shared" si="79"/>
        <v>44871.75</v>
      </c>
      <c r="P682" s="50">
        <v>0</v>
      </c>
      <c r="Q682" s="76"/>
      <c r="R682" s="139">
        <f>1*(S9+S10)</f>
        <v>11</v>
      </c>
      <c r="S682" s="152">
        <v>3318.83</v>
      </c>
      <c r="T682" s="153">
        <v>11.99</v>
      </c>
    </row>
    <row r="683" spans="2:20" ht="28">
      <c r="B683" s="5" t="s">
        <v>1617</v>
      </c>
      <c r="C683" s="45" t="s">
        <v>97</v>
      </c>
      <c r="D683" s="45" t="s">
        <v>1484</v>
      </c>
      <c r="E683" s="6" t="s">
        <v>1485</v>
      </c>
      <c r="F683" s="45" t="s">
        <v>121</v>
      </c>
      <c r="G683" s="46">
        <f t="shared" si="80"/>
        <v>60.5</v>
      </c>
      <c r="H683" s="46">
        <f>TRUNC(S683*(1-LOTE_01!$K$10),2)</f>
        <v>444.39</v>
      </c>
      <c r="I683" s="46">
        <f>TRUNC(T683*(1-LOTE_01!$K$10),2)</f>
        <v>4.71</v>
      </c>
      <c r="J683" s="100">
        <f t="shared" si="81"/>
        <v>0.22470000000000001</v>
      </c>
      <c r="K683" s="48">
        <f t="shared" si="75"/>
        <v>544.24</v>
      </c>
      <c r="L683" s="48">
        <f t="shared" si="76"/>
        <v>5.76</v>
      </c>
      <c r="M683" s="48">
        <f t="shared" si="77"/>
        <v>32926.519999999997</v>
      </c>
      <c r="N683" s="48">
        <f t="shared" si="78"/>
        <v>348.48</v>
      </c>
      <c r="O683" s="50">
        <f t="shared" si="79"/>
        <v>33275</v>
      </c>
      <c r="P683" s="50">
        <v>0</v>
      </c>
      <c r="Q683" s="76"/>
      <c r="R683" s="139">
        <f>1*5.5*(S9+S10)</f>
        <v>60.5</v>
      </c>
      <c r="S683" s="152">
        <v>444.39</v>
      </c>
      <c r="T683" s="153">
        <v>4.71</v>
      </c>
    </row>
    <row r="684" spans="2:20">
      <c r="B684" s="101" t="s">
        <v>57</v>
      </c>
      <c r="C684" s="102" t="s">
        <v>21</v>
      </c>
      <c r="D684" s="102" t="s">
        <v>21</v>
      </c>
      <c r="E684" s="103" t="s">
        <v>1618</v>
      </c>
      <c r="F684" s="102" t="s">
        <v>21</v>
      </c>
      <c r="G684" s="46">
        <f t="shared" si="80"/>
        <v>0</v>
      </c>
      <c r="H684" s="46"/>
      <c r="I684" s="46"/>
      <c r="J684" s="105"/>
      <c r="K684" s="48">
        <f t="shared" si="75"/>
        <v>0</v>
      </c>
      <c r="L684" s="48">
        <f t="shared" si="76"/>
        <v>0</v>
      </c>
      <c r="M684" s="48">
        <f t="shared" si="77"/>
        <v>0</v>
      </c>
      <c r="N684" s="48">
        <f t="shared" si="78"/>
        <v>0</v>
      </c>
      <c r="O684" s="50">
        <f t="shared" si="79"/>
        <v>0</v>
      </c>
      <c r="P684" s="104">
        <f>SUM(O685:O691)</f>
        <v>1164573.51</v>
      </c>
      <c r="Q684" s="76"/>
      <c r="R684" s="155"/>
      <c r="S684" s="152" t="s">
        <v>22</v>
      </c>
      <c r="T684" s="153" t="s">
        <v>22</v>
      </c>
    </row>
    <row r="685" spans="2:20" ht="56">
      <c r="B685" s="5" t="s">
        <v>1619</v>
      </c>
      <c r="C685" s="45" t="s">
        <v>135</v>
      </c>
      <c r="D685" s="45">
        <v>103247</v>
      </c>
      <c r="E685" s="6" t="s">
        <v>1620</v>
      </c>
      <c r="F685" s="45" t="s">
        <v>210</v>
      </c>
      <c r="G685" s="46">
        <f t="shared" si="80"/>
        <v>22</v>
      </c>
      <c r="H685" s="46">
        <f>TRUNC(S685*(1-LOTE_01!$K$10),2)</f>
        <v>2792.17</v>
      </c>
      <c r="I685" s="46">
        <f>TRUNC(T685*(1-LOTE_01!$K$10),2)</f>
        <v>99.77</v>
      </c>
      <c r="J685" s="100">
        <f>$J$5</f>
        <v>0.16500000000000001</v>
      </c>
      <c r="K685" s="48">
        <f t="shared" si="75"/>
        <v>3252.87</v>
      </c>
      <c r="L685" s="48">
        <f t="shared" si="76"/>
        <v>116.23</v>
      </c>
      <c r="M685" s="48">
        <f t="shared" si="77"/>
        <v>71563.14</v>
      </c>
      <c r="N685" s="48">
        <f t="shared" si="78"/>
        <v>2557.06</v>
      </c>
      <c r="O685" s="50">
        <f t="shared" si="79"/>
        <v>74120.2</v>
      </c>
      <c r="P685" s="50">
        <v>0</v>
      </c>
      <c r="Q685" s="76"/>
      <c r="R685" s="139">
        <f>2*(S9+S10)</f>
        <v>22</v>
      </c>
      <c r="S685" s="152">
        <v>2792.17</v>
      </c>
      <c r="T685" s="153">
        <v>99.77</v>
      </c>
    </row>
    <row r="686" spans="2:20" ht="56">
      <c r="B686" s="5" t="s">
        <v>1621</v>
      </c>
      <c r="C686" s="45" t="s">
        <v>135</v>
      </c>
      <c r="D686" s="45">
        <v>103250</v>
      </c>
      <c r="E686" s="6" t="s">
        <v>1622</v>
      </c>
      <c r="F686" s="45" t="s">
        <v>210</v>
      </c>
      <c r="G686" s="46">
        <f t="shared" si="80"/>
        <v>22</v>
      </c>
      <c r="H686" s="46">
        <f>TRUNC(S686*(1-LOTE_01!$K$10),2)</f>
        <v>4100.17</v>
      </c>
      <c r="I686" s="46">
        <f>TRUNC(T686*(1-LOTE_01!$K$10),2)</f>
        <v>107.72</v>
      </c>
      <c r="J686" s="100">
        <f t="shared" ref="J686:J691" si="82">$J$5</f>
        <v>0.16500000000000001</v>
      </c>
      <c r="K686" s="48">
        <f t="shared" si="75"/>
        <v>4776.6899999999996</v>
      </c>
      <c r="L686" s="48">
        <f t="shared" si="76"/>
        <v>125.49</v>
      </c>
      <c r="M686" s="48">
        <f t="shared" si="77"/>
        <v>105087.18</v>
      </c>
      <c r="N686" s="48">
        <f t="shared" si="78"/>
        <v>2760.78</v>
      </c>
      <c r="O686" s="50">
        <f t="shared" si="79"/>
        <v>107847.96</v>
      </c>
      <c r="P686" s="50">
        <v>0</v>
      </c>
      <c r="Q686" s="76"/>
      <c r="R686" s="139">
        <f>2*(S10+S9)</f>
        <v>22</v>
      </c>
      <c r="S686" s="152">
        <v>4100.17</v>
      </c>
      <c r="T686" s="153">
        <v>107.72</v>
      </c>
    </row>
    <row r="687" spans="2:20" ht="56">
      <c r="B687" s="5" t="s">
        <v>1623</v>
      </c>
      <c r="C687" s="45" t="s">
        <v>135</v>
      </c>
      <c r="D687" s="45">
        <v>103253</v>
      </c>
      <c r="E687" s="6" t="s">
        <v>1624</v>
      </c>
      <c r="F687" s="45" t="s">
        <v>210</v>
      </c>
      <c r="G687" s="46">
        <f t="shared" si="80"/>
        <v>22</v>
      </c>
      <c r="H687" s="46">
        <f>TRUNC(S687*(1-LOTE_01!$K$10),2)</f>
        <v>5629.53</v>
      </c>
      <c r="I687" s="46">
        <f>TRUNC(T687*(1-LOTE_01!$K$10),2)</f>
        <v>112.54</v>
      </c>
      <c r="J687" s="100">
        <f t="shared" si="82"/>
        <v>0.16500000000000001</v>
      </c>
      <c r="K687" s="48">
        <f t="shared" si="75"/>
        <v>6558.4</v>
      </c>
      <c r="L687" s="48">
        <f t="shared" si="76"/>
        <v>131.1</v>
      </c>
      <c r="M687" s="48">
        <f t="shared" si="77"/>
        <v>144284.79999999999</v>
      </c>
      <c r="N687" s="48">
        <f t="shared" si="78"/>
        <v>2884.2</v>
      </c>
      <c r="O687" s="50">
        <f t="shared" si="79"/>
        <v>147169</v>
      </c>
      <c r="P687" s="50">
        <v>0</v>
      </c>
      <c r="Q687" s="76"/>
      <c r="R687" s="139">
        <f>2*(S10+S9)</f>
        <v>22</v>
      </c>
      <c r="S687" s="152">
        <v>5629.53</v>
      </c>
      <c r="T687" s="153">
        <v>112.54</v>
      </c>
    </row>
    <row r="688" spans="2:20" ht="56">
      <c r="B688" s="5" t="s">
        <v>1625</v>
      </c>
      <c r="C688" s="45" t="s">
        <v>135</v>
      </c>
      <c r="D688" s="45">
        <v>103244</v>
      </c>
      <c r="E688" s="6" t="s">
        <v>1626</v>
      </c>
      <c r="F688" s="45" t="s">
        <v>210</v>
      </c>
      <c r="G688" s="46">
        <f t="shared" si="80"/>
        <v>22</v>
      </c>
      <c r="H688" s="46">
        <f>TRUNC(S688*(1-LOTE_01!$K$10),2)</f>
        <v>2504.23</v>
      </c>
      <c r="I688" s="46">
        <f>TRUNC(T688*(1-LOTE_01!$K$10),2)</f>
        <v>99.73</v>
      </c>
      <c r="J688" s="100">
        <f t="shared" si="82"/>
        <v>0.16500000000000001</v>
      </c>
      <c r="K688" s="48">
        <f t="shared" si="75"/>
        <v>2917.42</v>
      </c>
      <c r="L688" s="48">
        <f t="shared" si="76"/>
        <v>116.18</v>
      </c>
      <c r="M688" s="48">
        <f t="shared" si="77"/>
        <v>64183.24</v>
      </c>
      <c r="N688" s="48">
        <f t="shared" si="78"/>
        <v>2555.96</v>
      </c>
      <c r="O688" s="50">
        <f t="shared" si="79"/>
        <v>66739.199999999997</v>
      </c>
      <c r="P688" s="50">
        <v>0</v>
      </c>
      <c r="Q688" s="76"/>
      <c r="R688" s="139">
        <f>2*(S9+S10)</f>
        <v>22</v>
      </c>
      <c r="S688" s="152">
        <v>2504.23</v>
      </c>
      <c r="T688" s="153">
        <v>99.73</v>
      </c>
    </row>
    <row r="689" spans="2:20" ht="56">
      <c r="B689" s="5" t="s">
        <v>1627</v>
      </c>
      <c r="C689" s="45" t="s">
        <v>135</v>
      </c>
      <c r="D689" s="45">
        <v>103261</v>
      </c>
      <c r="E689" s="6" t="s">
        <v>1628</v>
      </c>
      <c r="F689" s="45" t="s">
        <v>210</v>
      </c>
      <c r="G689" s="46">
        <f t="shared" si="80"/>
        <v>11</v>
      </c>
      <c r="H689" s="46">
        <f>TRUNC(S689*(1-LOTE_01!$K$10),2)</f>
        <v>13277.72</v>
      </c>
      <c r="I689" s="46">
        <f>TRUNC(T689*(1-LOTE_01!$K$10),2)</f>
        <v>187.16</v>
      </c>
      <c r="J689" s="100">
        <f t="shared" si="82"/>
        <v>0.16500000000000001</v>
      </c>
      <c r="K689" s="48">
        <f t="shared" si="75"/>
        <v>15468.54</v>
      </c>
      <c r="L689" s="48">
        <f t="shared" si="76"/>
        <v>218.04</v>
      </c>
      <c r="M689" s="48">
        <f t="shared" si="77"/>
        <v>170153.94</v>
      </c>
      <c r="N689" s="48">
        <f t="shared" si="78"/>
        <v>2398.44</v>
      </c>
      <c r="O689" s="50">
        <f t="shared" si="79"/>
        <v>172552.38</v>
      </c>
      <c r="P689" s="50">
        <v>0</v>
      </c>
      <c r="Q689" s="76"/>
      <c r="R689" s="139">
        <f>1*(S9+S10)</f>
        <v>11</v>
      </c>
      <c r="S689" s="152">
        <v>13277.72</v>
      </c>
      <c r="T689" s="153">
        <v>187.16</v>
      </c>
    </row>
    <row r="690" spans="2:20" ht="42">
      <c r="B690" s="5" t="s">
        <v>1629</v>
      </c>
      <c r="C690" s="45" t="s">
        <v>135</v>
      </c>
      <c r="D690" s="45">
        <v>103277</v>
      </c>
      <c r="E690" s="6" t="s">
        <v>1630</v>
      </c>
      <c r="F690" s="45" t="s">
        <v>210</v>
      </c>
      <c r="G690" s="46">
        <f>IF($S$11=0,0,TRUNC(R690,2))</f>
        <v>4</v>
      </c>
      <c r="H690" s="46">
        <f>TRUNC(S690*(1-LOTE_01!$K$10),2)</f>
        <v>27959.61</v>
      </c>
      <c r="I690" s="46">
        <f>TRUNC(T690*(1-LOTE_01!$K$10),2)</f>
        <v>336.72</v>
      </c>
      <c r="J690" s="100">
        <f t="shared" si="82"/>
        <v>0.16500000000000001</v>
      </c>
      <c r="K690" s="48">
        <f t="shared" si="75"/>
        <v>32572.94</v>
      </c>
      <c r="L690" s="48">
        <f t="shared" si="76"/>
        <v>392.27</v>
      </c>
      <c r="M690" s="48">
        <f t="shared" si="77"/>
        <v>130291.76</v>
      </c>
      <c r="N690" s="48">
        <f t="shared" si="78"/>
        <v>1569.08</v>
      </c>
      <c r="O690" s="50">
        <f t="shared" si="79"/>
        <v>131860.84</v>
      </c>
      <c r="P690" s="50">
        <v>0</v>
      </c>
      <c r="Q690" s="76"/>
      <c r="R690" s="139">
        <f>IF(40%*R691&lt;1,1,ROUND(40%*R691,0))</f>
        <v>4</v>
      </c>
      <c r="S690" s="152">
        <v>27959.61</v>
      </c>
      <c r="T690" s="153">
        <v>336.72</v>
      </c>
    </row>
    <row r="691" spans="2:20" ht="42">
      <c r="B691" s="5" t="s">
        <v>1631</v>
      </c>
      <c r="C691" s="45" t="s">
        <v>135</v>
      </c>
      <c r="D691" s="45">
        <v>103278</v>
      </c>
      <c r="E691" s="6" t="s">
        <v>1632</v>
      </c>
      <c r="F691" s="45" t="s">
        <v>210</v>
      </c>
      <c r="G691" s="46">
        <f t="shared" si="80"/>
        <v>11</v>
      </c>
      <c r="H691" s="46">
        <f>TRUNC(S691*(1-LOTE_01!$K$10),2)</f>
        <v>35885.56</v>
      </c>
      <c r="I691" s="46">
        <f>TRUNC(T691*(1-LOTE_01!$K$10),2)</f>
        <v>344.18</v>
      </c>
      <c r="J691" s="100">
        <f t="shared" si="82"/>
        <v>0.16500000000000001</v>
      </c>
      <c r="K691" s="48">
        <f t="shared" si="75"/>
        <v>41806.67</v>
      </c>
      <c r="L691" s="48">
        <f t="shared" si="76"/>
        <v>400.96</v>
      </c>
      <c r="M691" s="48">
        <f t="shared" si="77"/>
        <v>459873.37</v>
      </c>
      <c r="N691" s="48">
        <f t="shared" si="78"/>
        <v>4410.5600000000004</v>
      </c>
      <c r="O691" s="50">
        <f t="shared" si="79"/>
        <v>464283.93</v>
      </c>
      <c r="P691" s="50">
        <v>0</v>
      </c>
      <c r="Q691" s="76"/>
      <c r="R691" s="139">
        <f>S10+S9</f>
        <v>11</v>
      </c>
      <c r="S691" s="152">
        <v>35885.56</v>
      </c>
      <c r="T691" s="153">
        <v>344.18</v>
      </c>
    </row>
    <row r="692" spans="2:20">
      <c r="B692" s="101" t="s">
        <v>58</v>
      </c>
      <c r="C692" s="102" t="s">
        <v>21</v>
      </c>
      <c r="D692" s="102" t="s">
        <v>21</v>
      </c>
      <c r="E692" s="103" t="s">
        <v>61</v>
      </c>
      <c r="F692" s="102" t="s">
        <v>21</v>
      </c>
      <c r="G692" s="46">
        <f t="shared" si="80"/>
        <v>0</v>
      </c>
      <c r="H692" s="46"/>
      <c r="I692" s="46"/>
      <c r="J692" s="105"/>
      <c r="K692" s="48">
        <f t="shared" si="75"/>
        <v>0</v>
      </c>
      <c r="L692" s="48">
        <f t="shared" si="76"/>
        <v>0</v>
      </c>
      <c r="M692" s="48">
        <f t="shared" si="77"/>
        <v>0</v>
      </c>
      <c r="N692" s="48">
        <f t="shared" si="78"/>
        <v>0</v>
      </c>
      <c r="O692" s="50">
        <f t="shared" si="79"/>
        <v>0</v>
      </c>
      <c r="P692" s="104">
        <f>SUM(O693:O714)</f>
        <v>439148.63000000006</v>
      </c>
      <c r="Q692" s="76"/>
      <c r="R692" s="154"/>
      <c r="S692" s="152" t="s">
        <v>22</v>
      </c>
      <c r="T692" s="153" t="s">
        <v>22</v>
      </c>
    </row>
    <row r="693" spans="2:20" ht="28">
      <c r="B693" s="5" t="s">
        <v>1633</v>
      </c>
      <c r="C693" s="45" t="s">
        <v>97</v>
      </c>
      <c r="D693" s="45" t="s">
        <v>1634</v>
      </c>
      <c r="E693" s="6" t="s">
        <v>1635</v>
      </c>
      <c r="F693" s="45" t="s">
        <v>104</v>
      </c>
      <c r="G693" s="46">
        <f t="shared" si="80"/>
        <v>10</v>
      </c>
      <c r="H693" s="46">
        <f>TRUNC(S693*(1-LOTE_01!$K$10),2)</f>
        <v>230.45</v>
      </c>
      <c r="I693" s="46">
        <f>TRUNC(T693*(1-LOTE_01!$K$10),2)</f>
        <v>150.54</v>
      </c>
      <c r="J693" s="100">
        <f t="shared" si="81"/>
        <v>0.22470000000000001</v>
      </c>
      <c r="K693" s="48">
        <f t="shared" si="75"/>
        <v>282.23</v>
      </c>
      <c r="L693" s="48">
        <f t="shared" si="76"/>
        <v>184.36</v>
      </c>
      <c r="M693" s="48">
        <f t="shared" si="77"/>
        <v>2822.3</v>
      </c>
      <c r="N693" s="48">
        <f t="shared" si="78"/>
        <v>1843.6</v>
      </c>
      <c r="O693" s="50">
        <f t="shared" si="79"/>
        <v>4665.8999999999996</v>
      </c>
      <c r="P693" s="50">
        <v>0</v>
      </c>
      <c r="Q693" s="76"/>
      <c r="R693" s="140">
        <f>IF((1*S9+1*S10)&gt;10,10,(1*S9+1*S10))</f>
        <v>10</v>
      </c>
      <c r="S693" s="152">
        <v>230.45</v>
      </c>
      <c r="T693" s="153">
        <v>150.54</v>
      </c>
    </row>
    <row r="694" spans="2:20" ht="42">
      <c r="B694" s="5" t="s">
        <v>1636</v>
      </c>
      <c r="C694" s="45" t="s">
        <v>97</v>
      </c>
      <c r="D694" s="45" t="s">
        <v>1637</v>
      </c>
      <c r="E694" s="6" t="s">
        <v>1638</v>
      </c>
      <c r="F694" s="45" t="s">
        <v>121</v>
      </c>
      <c r="G694" s="46">
        <f t="shared" si="80"/>
        <v>330</v>
      </c>
      <c r="H694" s="46">
        <f>TRUNC(S694*(1-LOTE_01!$K$10),2)</f>
        <v>220.16</v>
      </c>
      <c r="I694" s="46">
        <f>TRUNC(T694*(1-LOTE_01!$K$10),2)</f>
        <v>65.150000000000006</v>
      </c>
      <c r="J694" s="100">
        <f t="shared" si="81"/>
        <v>0.22470000000000001</v>
      </c>
      <c r="K694" s="48">
        <f t="shared" si="75"/>
        <v>269.62</v>
      </c>
      <c r="L694" s="48">
        <f t="shared" si="76"/>
        <v>79.78</v>
      </c>
      <c r="M694" s="48">
        <f t="shared" si="77"/>
        <v>88974.6</v>
      </c>
      <c r="N694" s="48">
        <f t="shared" si="78"/>
        <v>26327.4</v>
      </c>
      <c r="O694" s="50">
        <f t="shared" si="79"/>
        <v>115302</v>
      </c>
      <c r="P694" s="50">
        <v>0</v>
      </c>
      <c r="Q694" s="76"/>
      <c r="R694" s="139">
        <f>30*(S9+S10)</f>
        <v>330</v>
      </c>
      <c r="S694" s="152">
        <v>220.16</v>
      </c>
      <c r="T694" s="153">
        <v>65.150000000000006</v>
      </c>
    </row>
    <row r="695" spans="2:20" ht="28">
      <c r="B695" s="5" t="s">
        <v>1639</v>
      </c>
      <c r="C695" s="45" t="s">
        <v>97</v>
      </c>
      <c r="D695" s="45" t="s">
        <v>1640</v>
      </c>
      <c r="E695" s="6" t="s">
        <v>1641</v>
      </c>
      <c r="F695" s="45" t="s">
        <v>104</v>
      </c>
      <c r="G695" s="46">
        <f t="shared" si="80"/>
        <v>550</v>
      </c>
      <c r="H695" s="46">
        <f>TRUNC(S695*(1-LOTE_01!$K$10),2)</f>
        <v>3.73</v>
      </c>
      <c r="I695" s="46">
        <f>TRUNC(T695*(1-LOTE_01!$K$10),2)</f>
        <v>8.19</v>
      </c>
      <c r="J695" s="100">
        <f t="shared" si="81"/>
        <v>0.22470000000000001</v>
      </c>
      <c r="K695" s="48">
        <f t="shared" si="75"/>
        <v>4.5599999999999996</v>
      </c>
      <c r="L695" s="48">
        <f t="shared" si="76"/>
        <v>10.029999999999999</v>
      </c>
      <c r="M695" s="48">
        <f t="shared" si="77"/>
        <v>2508</v>
      </c>
      <c r="N695" s="48">
        <f t="shared" si="78"/>
        <v>5516.5</v>
      </c>
      <c r="O695" s="50">
        <f t="shared" si="79"/>
        <v>8024.5</v>
      </c>
      <c r="P695" s="50">
        <v>0</v>
      </c>
      <c r="Q695" s="76"/>
      <c r="R695" s="139">
        <f>50*(S9+S10)</f>
        <v>550</v>
      </c>
      <c r="S695" s="152">
        <v>3.73</v>
      </c>
      <c r="T695" s="153">
        <v>8.19</v>
      </c>
    </row>
    <row r="696" spans="2:20" ht="28">
      <c r="B696" s="5" t="s">
        <v>1642</v>
      </c>
      <c r="C696" s="45" t="s">
        <v>97</v>
      </c>
      <c r="D696" s="45" t="s">
        <v>1643</v>
      </c>
      <c r="E696" s="6" t="s">
        <v>1644</v>
      </c>
      <c r="F696" s="45" t="s">
        <v>104</v>
      </c>
      <c r="G696" s="46">
        <f t="shared" si="80"/>
        <v>33</v>
      </c>
      <c r="H696" s="46">
        <f>TRUNC(S696*(1-LOTE_01!$K$10),2)</f>
        <v>29.84</v>
      </c>
      <c r="I696" s="46">
        <f>TRUNC(T696*(1-LOTE_01!$K$10),2)</f>
        <v>65.56</v>
      </c>
      <c r="J696" s="100">
        <f t="shared" si="81"/>
        <v>0.22470000000000001</v>
      </c>
      <c r="K696" s="48">
        <f t="shared" si="75"/>
        <v>36.54</v>
      </c>
      <c r="L696" s="48">
        <f t="shared" si="76"/>
        <v>80.290000000000006</v>
      </c>
      <c r="M696" s="48">
        <f t="shared" si="77"/>
        <v>1205.82</v>
      </c>
      <c r="N696" s="48">
        <f t="shared" si="78"/>
        <v>2649.57</v>
      </c>
      <c r="O696" s="50">
        <f t="shared" si="79"/>
        <v>3855.39</v>
      </c>
      <c r="P696" s="50">
        <v>0</v>
      </c>
      <c r="Q696" s="76"/>
      <c r="R696" s="139">
        <f>3*(S9+S10)</f>
        <v>33</v>
      </c>
      <c r="S696" s="152">
        <v>29.84</v>
      </c>
      <c r="T696" s="153">
        <v>65.56</v>
      </c>
    </row>
    <row r="697" spans="2:20" ht="28">
      <c r="B697" s="5" t="s">
        <v>1645</v>
      </c>
      <c r="C697" s="45" t="s">
        <v>97</v>
      </c>
      <c r="D697" s="45" t="s">
        <v>1646</v>
      </c>
      <c r="E697" s="6" t="s">
        <v>1647</v>
      </c>
      <c r="F697" s="45" t="s">
        <v>104</v>
      </c>
      <c r="G697" s="46">
        <f t="shared" si="80"/>
        <v>11</v>
      </c>
      <c r="H697" s="46">
        <f>TRUNC(S697*(1-LOTE_01!$K$10),2)</f>
        <v>7028.46</v>
      </c>
      <c r="I697" s="46">
        <f>TRUNC(T697*(1-LOTE_01!$K$10),2)</f>
        <v>1468.12</v>
      </c>
      <c r="J697" s="100">
        <f t="shared" si="81"/>
        <v>0.22470000000000001</v>
      </c>
      <c r="K697" s="48">
        <f t="shared" si="75"/>
        <v>8607.75</v>
      </c>
      <c r="L697" s="48">
        <f t="shared" si="76"/>
        <v>1798</v>
      </c>
      <c r="M697" s="48">
        <f t="shared" si="77"/>
        <v>94685.25</v>
      </c>
      <c r="N697" s="48">
        <f t="shared" si="78"/>
        <v>19778</v>
      </c>
      <c r="O697" s="50">
        <f t="shared" si="79"/>
        <v>114463.25</v>
      </c>
      <c r="P697" s="50">
        <v>0</v>
      </c>
      <c r="Q697" s="76"/>
      <c r="R697" s="139">
        <f>1*(S9+S10)</f>
        <v>11</v>
      </c>
      <c r="S697" s="152">
        <v>7028.46</v>
      </c>
      <c r="T697" s="153">
        <v>1468.12</v>
      </c>
    </row>
    <row r="698" spans="2:20" ht="28">
      <c r="B698" s="5" t="s">
        <v>1648</v>
      </c>
      <c r="C698" s="45" t="s">
        <v>97</v>
      </c>
      <c r="D698" s="45" t="s">
        <v>331</v>
      </c>
      <c r="E698" s="6" t="s">
        <v>332</v>
      </c>
      <c r="F698" s="45" t="s">
        <v>104</v>
      </c>
      <c r="G698" s="46">
        <f t="shared" si="80"/>
        <v>11</v>
      </c>
      <c r="H698" s="46">
        <f>TRUNC(S698*(1-LOTE_01!$K$10),2)</f>
        <v>6742.13</v>
      </c>
      <c r="I698" s="46">
        <f>TRUNC(T698*(1-LOTE_01!$K$10),2)</f>
        <v>616.91999999999996</v>
      </c>
      <c r="J698" s="100">
        <f t="shared" si="81"/>
        <v>0.22470000000000001</v>
      </c>
      <c r="K698" s="48">
        <f t="shared" si="75"/>
        <v>8257.08</v>
      </c>
      <c r="L698" s="48">
        <f t="shared" si="76"/>
        <v>755.54</v>
      </c>
      <c r="M698" s="48">
        <f t="shared" si="77"/>
        <v>90827.88</v>
      </c>
      <c r="N698" s="48">
        <f t="shared" si="78"/>
        <v>8310.94</v>
      </c>
      <c r="O698" s="50">
        <f t="shared" si="79"/>
        <v>99138.82</v>
      </c>
      <c r="P698" s="50">
        <v>0</v>
      </c>
      <c r="Q698" s="76"/>
      <c r="R698" s="139">
        <f>1*(S9+S10)</f>
        <v>11</v>
      </c>
      <c r="S698" s="152">
        <v>6742.13</v>
      </c>
      <c r="T698" s="153">
        <v>616.91999999999996</v>
      </c>
    </row>
    <row r="699" spans="2:20" ht="42">
      <c r="B699" s="5" t="s">
        <v>1649</v>
      </c>
      <c r="C699" s="45" t="s">
        <v>97</v>
      </c>
      <c r="D699" s="45" t="s">
        <v>1650</v>
      </c>
      <c r="E699" s="6" t="s">
        <v>1651</v>
      </c>
      <c r="F699" s="45" t="s">
        <v>104</v>
      </c>
      <c r="G699" s="46">
        <f t="shared" si="80"/>
        <v>220</v>
      </c>
      <c r="H699" s="46">
        <f>TRUNC(S699*(1-LOTE_01!$K$10),2)</f>
        <v>18.32</v>
      </c>
      <c r="I699" s="46">
        <f>TRUNC(T699*(1-LOTE_01!$K$10),2)</f>
        <v>51.19</v>
      </c>
      <c r="J699" s="100">
        <f t="shared" si="81"/>
        <v>0.22470000000000001</v>
      </c>
      <c r="K699" s="48">
        <f t="shared" si="75"/>
        <v>22.43</v>
      </c>
      <c r="L699" s="48">
        <f t="shared" si="76"/>
        <v>62.69</v>
      </c>
      <c r="M699" s="48">
        <f t="shared" si="77"/>
        <v>4934.6000000000004</v>
      </c>
      <c r="N699" s="48">
        <f t="shared" si="78"/>
        <v>13791.8</v>
      </c>
      <c r="O699" s="50">
        <f t="shared" si="79"/>
        <v>18726.400000000001</v>
      </c>
      <c r="P699" s="50">
        <v>0</v>
      </c>
      <c r="Q699" s="76"/>
      <c r="R699" s="139">
        <f>20*(S9+S10)</f>
        <v>220</v>
      </c>
      <c r="S699" s="152">
        <v>18.32</v>
      </c>
      <c r="T699" s="153">
        <v>51.19</v>
      </c>
    </row>
    <row r="700" spans="2:20" ht="28">
      <c r="B700" s="5" t="s">
        <v>1652</v>
      </c>
      <c r="C700" s="45" t="s">
        <v>97</v>
      </c>
      <c r="D700" s="45" t="s">
        <v>1653</v>
      </c>
      <c r="E700" s="6" t="s">
        <v>1654</v>
      </c>
      <c r="F700" s="45" t="s">
        <v>104</v>
      </c>
      <c r="G700" s="46">
        <f t="shared" si="80"/>
        <v>22</v>
      </c>
      <c r="H700" s="46">
        <f>TRUNC(S700*(1-LOTE_01!$K$10),2)</f>
        <v>5.58</v>
      </c>
      <c r="I700" s="46">
        <f>TRUNC(T700*(1-LOTE_01!$K$10),2)</f>
        <v>4.09</v>
      </c>
      <c r="J700" s="100">
        <f t="shared" si="81"/>
        <v>0.22470000000000001</v>
      </c>
      <c r="K700" s="48">
        <f t="shared" si="75"/>
        <v>6.83</v>
      </c>
      <c r="L700" s="48">
        <f t="shared" si="76"/>
        <v>5</v>
      </c>
      <c r="M700" s="48">
        <f t="shared" si="77"/>
        <v>150.26</v>
      </c>
      <c r="N700" s="48">
        <f t="shared" si="78"/>
        <v>110</v>
      </c>
      <c r="O700" s="50">
        <f t="shared" si="79"/>
        <v>260.26</v>
      </c>
      <c r="P700" s="50">
        <v>0</v>
      </c>
      <c r="Q700" s="76"/>
      <c r="R700" s="139">
        <f>2*(S9+S10)</f>
        <v>22</v>
      </c>
      <c r="S700" s="152">
        <v>5.58</v>
      </c>
      <c r="T700" s="153">
        <v>4.09</v>
      </c>
    </row>
    <row r="701" spans="2:20" ht="70">
      <c r="B701" s="5" t="s">
        <v>1655</v>
      </c>
      <c r="C701" s="45" t="s">
        <v>97</v>
      </c>
      <c r="D701" s="45" t="s">
        <v>1656</v>
      </c>
      <c r="E701" s="6" t="s">
        <v>1657</v>
      </c>
      <c r="F701" s="45" t="s">
        <v>104</v>
      </c>
      <c r="G701" s="46">
        <f t="shared" si="80"/>
        <v>11</v>
      </c>
      <c r="H701" s="46">
        <f>TRUNC(S701*(1-LOTE_01!$K$10),2)</f>
        <v>931.49</v>
      </c>
      <c r="I701" s="46">
        <f>TRUNC(T701*(1-LOTE_01!$K$10),2)</f>
        <v>3.27</v>
      </c>
      <c r="J701" s="100">
        <f t="shared" si="81"/>
        <v>0.22470000000000001</v>
      </c>
      <c r="K701" s="48">
        <f t="shared" si="75"/>
        <v>1140.79</v>
      </c>
      <c r="L701" s="48">
        <f t="shared" si="76"/>
        <v>4</v>
      </c>
      <c r="M701" s="48">
        <f t="shared" si="77"/>
        <v>12548.69</v>
      </c>
      <c r="N701" s="48">
        <f t="shared" si="78"/>
        <v>44</v>
      </c>
      <c r="O701" s="50">
        <f t="shared" si="79"/>
        <v>12592.69</v>
      </c>
      <c r="P701" s="50">
        <v>0</v>
      </c>
      <c r="Q701" s="76"/>
      <c r="R701" s="139">
        <f>1*(S9+S10)</f>
        <v>11</v>
      </c>
      <c r="S701" s="152">
        <v>931.49</v>
      </c>
      <c r="T701" s="153">
        <v>3.27</v>
      </c>
    </row>
    <row r="702" spans="2:20" ht="28">
      <c r="B702" s="5" t="s">
        <v>1658</v>
      </c>
      <c r="C702" s="45" t="s">
        <v>97</v>
      </c>
      <c r="D702" s="45" t="s">
        <v>1659</v>
      </c>
      <c r="E702" s="6" t="s">
        <v>1660</v>
      </c>
      <c r="F702" s="45" t="s">
        <v>104</v>
      </c>
      <c r="G702" s="46">
        <f t="shared" si="80"/>
        <v>110</v>
      </c>
      <c r="H702" s="46">
        <f>TRUNC(S702*(1-LOTE_01!$K$10),2)</f>
        <v>3.53</v>
      </c>
      <c r="I702" s="46">
        <f>TRUNC(T702*(1-LOTE_01!$K$10),2)</f>
        <v>10.23</v>
      </c>
      <c r="J702" s="100">
        <f t="shared" si="81"/>
        <v>0.22470000000000001</v>
      </c>
      <c r="K702" s="48">
        <f t="shared" si="75"/>
        <v>4.32</v>
      </c>
      <c r="L702" s="48">
        <f t="shared" si="76"/>
        <v>12.52</v>
      </c>
      <c r="M702" s="48">
        <f t="shared" si="77"/>
        <v>475.2</v>
      </c>
      <c r="N702" s="48">
        <f t="shared" si="78"/>
        <v>1377.2</v>
      </c>
      <c r="O702" s="50">
        <f t="shared" si="79"/>
        <v>1852.4</v>
      </c>
      <c r="P702" s="50">
        <v>0</v>
      </c>
      <c r="Q702" s="76"/>
      <c r="R702" s="139">
        <f>10*(S9+S10)</f>
        <v>110</v>
      </c>
      <c r="S702" s="152">
        <v>3.53</v>
      </c>
      <c r="T702" s="153">
        <v>10.23</v>
      </c>
    </row>
    <row r="703" spans="2:20" ht="42">
      <c r="B703" s="5" t="s">
        <v>1661</v>
      </c>
      <c r="C703" s="45" t="s">
        <v>97</v>
      </c>
      <c r="D703" s="45" t="s">
        <v>1662</v>
      </c>
      <c r="E703" s="6" t="s">
        <v>1663</v>
      </c>
      <c r="F703" s="45" t="s">
        <v>104</v>
      </c>
      <c r="G703" s="46">
        <f t="shared" si="80"/>
        <v>11</v>
      </c>
      <c r="H703" s="46">
        <f>TRUNC(S703*(1-LOTE_01!$K$10),2)</f>
        <v>0</v>
      </c>
      <c r="I703" s="46">
        <f>TRUNC(T703*(1-LOTE_01!$K$10),2)</f>
        <v>260</v>
      </c>
      <c r="J703" s="100">
        <f t="shared" si="81"/>
        <v>0.22470000000000001</v>
      </c>
      <c r="K703" s="48">
        <f t="shared" si="75"/>
        <v>0</v>
      </c>
      <c r="L703" s="48">
        <f t="shared" si="76"/>
        <v>318.42</v>
      </c>
      <c r="M703" s="48">
        <f t="shared" si="77"/>
        <v>0</v>
      </c>
      <c r="N703" s="48">
        <f t="shared" si="78"/>
        <v>3502.62</v>
      </c>
      <c r="O703" s="50">
        <f t="shared" si="79"/>
        <v>3502.62</v>
      </c>
      <c r="P703" s="50">
        <v>0</v>
      </c>
      <c r="Q703" s="76"/>
      <c r="R703" s="139">
        <f>1*(S9+S10)</f>
        <v>11</v>
      </c>
      <c r="S703" s="152">
        <v>0</v>
      </c>
      <c r="T703" s="153">
        <v>260</v>
      </c>
    </row>
    <row r="704" spans="2:20" ht="42">
      <c r="B704" s="5" t="s">
        <v>1664</v>
      </c>
      <c r="C704" s="45" t="s">
        <v>97</v>
      </c>
      <c r="D704" s="45" t="s">
        <v>1665</v>
      </c>
      <c r="E704" s="6" t="s">
        <v>1666</v>
      </c>
      <c r="F704" s="45" t="s">
        <v>104</v>
      </c>
      <c r="G704" s="46">
        <f t="shared" si="80"/>
        <v>11</v>
      </c>
      <c r="H704" s="46">
        <f>TRUNC(S704*(1-LOTE_01!$K$10),2)</f>
        <v>0</v>
      </c>
      <c r="I704" s="46">
        <f>TRUNC(T704*(1-LOTE_01!$K$10),2)</f>
        <v>516.83000000000004</v>
      </c>
      <c r="J704" s="100">
        <f t="shared" si="81"/>
        <v>0.22470000000000001</v>
      </c>
      <c r="K704" s="48">
        <f t="shared" si="75"/>
        <v>0</v>
      </c>
      <c r="L704" s="48">
        <f t="shared" si="76"/>
        <v>632.96</v>
      </c>
      <c r="M704" s="48">
        <f t="shared" si="77"/>
        <v>0</v>
      </c>
      <c r="N704" s="48">
        <f t="shared" si="78"/>
        <v>6962.56</v>
      </c>
      <c r="O704" s="50">
        <f t="shared" si="79"/>
        <v>6962.56</v>
      </c>
      <c r="P704" s="50">
        <v>0</v>
      </c>
      <c r="Q704" s="76"/>
      <c r="R704" s="139">
        <f>1*(S9+S10)</f>
        <v>11</v>
      </c>
      <c r="S704" s="152">
        <v>0</v>
      </c>
      <c r="T704" s="153">
        <v>516.83000000000004</v>
      </c>
    </row>
    <row r="705" spans="2:20" ht="42">
      <c r="B705" s="5" t="s">
        <v>1667</v>
      </c>
      <c r="C705" s="45" t="s">
        <v>97</v>
      </c>
      <c r="D705" s="45" t="s">
        <v>1668</v>
      </c>
      <c r="E705" s="6" t="s">
        <v>1669</v>
      </c>
      <c r="F705" s="45" t="s">
        <v>104</v>
      </c>
      <c r="G705" s="46">
        <f t="shared" si="80"/>
        <v>11</v>
      </c>
      <c r="H705" s="46">
        <f>TRUNC(S705*(1-LOTE_01!$K$10),2)</f>
        <v>0</v>
      </c>
      <c r="I705" s="46">
        <f>TRUNC(T705*(1-LOTE_01!$K$10),2)</f>
        <v>779.3</v>
      </c>
      <c r="J705" s="100">
        <f t="shared" si="81"/>
        <v>0.22470000000000001</v>
      </c>
      <c r="K705" s="48">
        <f t="shared" si="75"/>
        <v>0</v>
      </c>
      <c r="L705" s="48">
        <f t="shared" si="76"/>
        <v>954.4</v>
      </c>
      <c r="M705" s="48">
        <f t="shared" si="77"/>
        <v>0</v>
      </c>
      <c r="N705" s="48">
        <f t="shared" si="78"/>
        <v>10498.4</v>
      </c>
      <c r="O705" s="50">
        <f t="shared" si="79"/>
        <v>10498.4</v>
      </c>
      <c r="P705" s="50">
        <v>0</v>
      </c>
      <c r="Q705" s="76"/>
      <c r="R705" s="139">
        <f>1*(S9+S10)</f>
        <v>11</v>
      </c>
      <c r="S705" s="152">
        <v>0</v>
      </c>
      <c r="T705" s="153">
        <v>779.3</v>
      </c>
    </row>
    <row r="706" spans="2:20" ht="42">
      <c r="B706" s="5" t="s">
        <v>1670</v>
      </c>
      <c r="C706" s="45" t="s">
        <v>97</v>
      </c>
      <c r="D706" s="45" t="s">
        <v>1671</v>
      </c>
      <c r="E706" s="6" t="s">
        <v>1672</v>
      </c>
      <c r="F706" s="45" t="s">
        <v>104</v>
      </c>
      <c r="G706" s="46">
        <f t="shared" si="80"/>
        <v>11</v>
      </c>
      <c r="H706" s="46">
        <f>TRUNC(S706*(1-LOTE_01!$K$10),2)</f>
        <v>339.54</v>
      </c>
      <c r="I706" s="46">
        <f>TRUNC(T706*(1-LOTE_01!$K$10),2)</f>
        <v>0</v>
      </c>
      <c r="J706" s="100">
        <f t="shared" si="81"/>
        <v>0.22470000000000001</v>
      </c>
      <c r="K706" s="48">
        <f t="shared" si="75"/>
        <v>415.83</v>
      </c>
      <c r="L706" s="48">
        <f t="shared" si="76"/>
        <v>0</v>
      </c>
      <c r="M706" s="48">
        <f t="shared" si="77"/>
        <v>4574.13</v>
      </c>
      <c r="N706" s="48">
        <f t="shared" si="78"/>
        <v>0</v>
      </c>
      <c r="O706" s="50">
        <f t="shared" si="79"/>
        <v>4574.13</v>
      </c>
      <c r="P706" s="50">
        <v>0</v>
      </c>
      <c r="Q706" s="76"/>
      <c r="R706" s="139">
        <f>1*(S9+S10)</f>
        <v>11</v>
      </c>
      <c r="S706" s="152">
        <v>339.54</v>
      </c>
      <c r="T706" s="153">
        <v>0</v>
      </c>
    </row>
    <row r="707" spans="2:20" ht="42">
      <c r="B707" s="5" t="s">
        <v>1673</v>
      </c>
      <c r="C707" s="45" t="s">
        <v>97</v>
      </c>
      <c r="D707" s="45" t="s">
        <v>1674</v>
      </c>
      <c r="E707" s="6" t="s">
        <v>1675</v>
      </c>
      <c r="F707" s="45" t="s">
        <v>104</v>
      </c>
      <c r="G707" s="46">
        <f t="shared" si="80"/>
        <v>11</v>
      </c>
      <c r="H707" s="46">
        <f>TRUNC(S707*(1-LOTE_01!$K$10),2)</f>
        <v>0</v>
      </c>
      <c r="I707" s="46">
        <f>TRUNC(T707*(1-LOTE_01!$K$10),2)</f>
        <v>667.87</v>
      </c>
      <c r="J707" s="100">
        <f t="shared" si="81"/>
        <v>0.22470000000000001</v>
      </c>
      <c r="K707" s="48">
        <f t="shared" si="75"/>
        <v>0</v>
      </c>
      <c r="L707" s="48">
        <f t="shared" si="76"/>
        <v>817.94</v>
      </c>
      <c r="M707" s="48">
        <f t="shared" si="77"/>
        <v>0</v>
      </c>
      <c r="N707" s="48">
        <f t="shared" si="78"/>
        <v>8997.34</v>
      </c>
      <c r="O707" s="50">
        <f t="shared" si="79"/>
        <v>8997.34</v>
      </c>
      <c r="P707" s="50">
        <v>0</v>
      </c>
      <c r="Q707" s="76"/>
      <c r="R707" s="139">
        <f>1*(S9+S10)</f>
        <v>11</v>
      </c>
      <c r="S707" s="152">
        <v>0</v>
      </c>
      <c r="T707" s="153">
        <v>667.87</v>
      </c>
    </row>
    <row r="708" spans="2:20" ht="42">
      <c r="B708" s="5" t="s">
        <v>1676</v>
      </c>
      <c r="C708" s="45" t="s">
        <v>97</v>
      </c>
      <c r="D708" s="45" t="s">
        <v>1677</v>
      </c>
      <c r="E708" s="6" t="s">
        <v>1678</v>
      </c>
      <c r="F708" s="45" t="s">
        <v>104</v>
      </c>
      <c r="G708" s="46">
        <f t="shared" si="80"/>
        <v>22</v>
      </c>
      <c r="H708" s="46">
        <f>TRUNC(S708*(1-LOTE_01!$K$10),2)</f>
        <v>262.02999999999997</v>
      </c>
      <c r="I708" s="46">
        <f>TRUNC(T708*(1-LOTE_01!$K$10),2)</f>
        <v>23.19</v>
      </c>
      <c r="J708" s="100">
        <f t="shared" si="81"/>
        <v>0.22470000000000001</v>
      </c>
      <c r="K708" s="48">
        <f t="shared" si="75"/>
        <v>320.89999999999998</v>
      </c>
      <c r="L708" s="48">
        <f t="shared" si="76"/>
        <v>28.4</v>
      </c>
      <c r="M708" s="48">
        <f t="shared" si="77"/>
        <v>7059.8</v>
      </c>
      <c r="N708" s="48">
        <f t="shared" si="78"/>
        <v>624.79999999999995</v>
      </c>
      <c r="O708" s="50">
        <f t="shared" si="79"/>
        <v>7684.6</v>
      </c>
      <c r="P708" s="50">
        <v>0</v>
      </c>
      <c r="Q708" s="76"/>
      <c r="R708" s="139">
        <f>2*(S9+S10)</f>
        <v>22</v>
      </c>
      <c r="S708" s="152">
        <v>262.02999999999997</v>
      </c>
      <c r="T708" s="153">
        <v>23.19</v>
      </c>
    </row>
    <row r="709" spans="2:20" ht="28">
      <c r="B709" s="5" t="s">
        <v>1679</v>
      </c>
      <c r="C709" s="45" t="s">
        <v>97</v>
      </c>
      <c r="D709" s="45" t="s">
        <v>1680</v>
      </c>
      <c r="E709" s="6" t="s">
        <v>1681</v>
      </c>
      <c r="F709" s="45" t="s">
        <v>104</v>
      </c>
      <c r="G709" s="46">
        <f t="shared" si="80"/>
        <v>22</v>
      </c>
      <c r="H709" s="46">
        <f>TRUNC(S709*(1-LOTE_01!$K$10),2)</f>
        <v>7.37</v>
      </c>
      <c r="I709" s="46">
        <f>TRUNC(T709*(1-LOTE_01!$K$10),2)</f>
        <v>19.79</v>
      </c>
      <c r="J709" s="100">
        <f t="shared" si="81"/>
        <v>0.22470000000000001</v>
      </c>
      <c r="K709" s="48">
        <f t="shared" si="75"/>
        <v>9.02</v>
      </c>
      <c r="L709" s="48">
        <f t="shared" si="76"/>
        <v>24.23</v>
      </c>
      <c r="M709" s="48">
        <f t="shared" si="77"/>
        <v>198.44</v>
      </c>
      <c r="N709" s="48">
        <f t="shared" si="78"/>
        <v>533.05999999999995</v>
      </c>
      <c r="O709" s="50">
        <f t="shared" si="79"/>
        <v>731.5</v>
      </c>
      <c r="P709" s="50">
        <v>0</v>
      </c>
      <c r="Q709" s="76"/>
      <c r="R709" s="139">
        <f>2*(S9+S10)</f>
        <v>22</v>
      </c>
      <c r="S709" s="152">
        <v>7.37</v>
      </c>
      <c r="T709" s="153">
        <v>19.79</v>
      </c>
    </row>
    <row r="710" spans="2:20" ht="28">
      <c r="B710" s="5" t="s">
        <v>1682</v>
      </c>
      <c r="C710" s="45" t="s">
        <v>165</v>
      </c>
      <c r="D710" s="45" t="s">
        <v>1683</v>
      </c>
      <c r="E710" s="6" t="s">
        <v>1684</v>
      </c>
      <c r="F710" s="45" t="s">
        <v>531</v>
      </c>
      <c r="G710" s="46">
        <f t="shared" si="80"/>
        <v>55</v>
      </c>
      <c r="H710" s="46">
        <f>TRUNC(S710*(1-LOTE_01!$K$10),2)</f>
        <v>16.989999999999998</v>
      </c>
      <c r="I710" s="46">
        <f>TRUNC(T710*(1-LOTE_01!$K$10),2)</f>
        <v>2.5299999999999998</v>
      </c>
      <c r="J710" s="100">
        <f t="shared" si="81"/>
        <v>0.22470000000000001</v>
      </c>
      <c r="K710" s="48">
        <f t="shared" si="75"/>
        <v>20.8</v>
      </c>
      <c r="L710" s="48">
        <f t="shared" si="76"/>
        <v>3.09</v>
      </c>
      <c r="M710" s="48">
        <f t="shared" si="77"/>
        <v>1144</v>
      </c>
      <c r="N710" s="48">
        <f t="shared" si="78"/>
        <v>169.95</v>
      </c>
      <c r="O710" s="50">
        <f t="shared" si="79"/>
        <v>1313.95</v>
      </c>
      <c r="P710" s="50">
        <v>0</v>
      </c>
      <c r="Q710" s="76"/>
      <c r="R710" s="139">
        <f>5*(S9+S10)</f>
        <v>55</v>
      </c>
      <c r="S710" s="152">
        <v>16.989999999999998</v>
      </c>
      <c r="T710" s="153">
        <v>2.5299999999999998</v>
      </c>
    </row>
    <row r="711" spans="2:20" ht="42">
      <c r="B711" s="5" t="s">
        <v>1685</v>
      </c>
      <c r="C711" s="45" t="s">
        <v>97</v>
      </c>
      <c r="D711" s="45" t="s">
        <v>1686</v>
      </c>
      <c r="E711" s="6" t="s">
        <v>1687</v>
      </c>
      <c r="F711" s="45" t="s">
        <v>187</v>
      </c>
      <c r="G711" s="46">
        <f t="shared" si="80"/>
        <v>55</v>
      </c>
      <c r="H711" s="46">
        <f>TRUNC(S711*(1-LOTE_01!$K$10),2)</f>
        <v>9.59</v>
      </c>
      <c r="I711" s="46">
        <f>TRUNC(T711*(1-LOTE_01!$K$10),2)</f>
        <v>1.31</v>
      </c>
      <c r="J711" s="100">
        <f t="shared" si="81"/>
        <v>0.22470000000000001</v>
      </c>
      <c r="K711" s="48">
        <f t="shared" si="75"/>
        <v>11.74</v>
      </c>
      <c r="L711" s="48">
        <f t="shared" si="76"/>
        <v>1.6</v>
      </c>
      <c r="M711" s="48">
        <f t="shared" si="77"/>
        <v>645.70000000000005</v>
      </c>
      <c r="N711" s="48">
        <f t="shared" si="78"/>
        <v>88</v>
      </c>
      <c r="O711" s="50">
        <f t="shared" si="79"/>
        <v>733.7</v>
      </c>
      <c r="P711" s="50">
        <v>0</v>
      </c>
      <c r="Q711" s="76"/>
      <c r="R711" s="139">
        <f>5*(S9+S10)</f>
        <v>55</v>
      </c>
      <c r="S711" s="152">
        <v>9.59</v>
      </c>
      <c r="T711" s="153">
        <v>1.31</v>
      </c>
    </row>
    <row r="712" spans="2:20" ht="28">
      <c r="B712" s="5" t="s">
        <v>1688</v>
      </c>
      <c r="C712" s="45" t="s">
        <v>97</v>
      </c>
      <c r="D712" s="45" t="s">
        <v>1689</v>
      </c>
      <c r="E712" s="6" t="s">
        <v>1690</v>
      </c>
      <c r="F712" s="45" t="s">
        <v>519</v>
      </c>
      <c r="G712" s="46">
        <f t="shared" si="80"/>
        <v>55</v>
      </c>
      <c r="H712" s="46">
        <f>TRUNC(S712*(1-LOTE_01!$K$10),2)</f>
        <v>32.49</v>
      </c>
      <c r="I712" s="46">
        <f>TRUNC(T712*(1-LOTE_01!$K$10),2)</f>
        <v>7.99</v>
      </c>
      <c r="J712" s="100">
        <f t="shared" si="81"/>
        <v>0.22470000000000001</v>
      </c>
      <c r="K712" s="48">
        <f t="shared" si="75"/>
        <v>39.79</v>
      </c>
      <c r="L712" s="48">
        <f t="shared" si="76"/>
        <v>9.7799999999999994</v>
      </c>
      <c r="M712" s="48">
        <f t="shared" si="77"/>
        <v>2188.4499999999998</v>
      </c>
      <c r="N712" s="48">
        <f t="shared" si="78"/>
        <v>537.9</v>
      </c>
      <c r="O712" s="50">
        <f t="shared" si="79"/>
        <v>2726.35</v>
      </c>
      <c r="P712" s="50">
        <v>0</v>
      </c>
      <c r="Q712" s="76"/>
      <c r="R712" s="139">
        <f>5*(S9+S10)</f>
        <v>55</v>
      </c>
      <c r="S712" s="152">
        <v>32.49</v>
      </c>
      <c r="T712" s="153">
        <v>7.99</v>
      </c>
    </row>
    <row r="713" spans="2:20" ht="28">
      <c r="B713" s="5" t="s">
        <v>1691</v>
      </c>
      <c r="C713" s="45" t="s">
        <v>165</v>
      </c>
      <c r="D713" s="45" t="s">
        <v>1692</v>
      </c>
      <c r="E713" s="6" t="s">
        <v>1693</v>
      </c>
      <c r="F713" s="45" t="s">
        <v>182</v>
      </c>
      <c r="G713" s="46">
        <f t="shared" si="80"/>
        <v>22</v>
      </c>
      <c r="H713" s="46">
        <f>TRUNC(S713*(1-LOTE_01!$K$10),2)</f>
        <v>362.97</v>
      </c>
      <c r="I713" s="46">
        <f>TRUNC(T713*(1-LOTE_01!$K$10),2)</f>
        <v>20.239999999999998</v>
      </c>
      <c r="J713" s="100">
        <f t="shared" si="81"/>
        <v>0.22470000000000001</v>
      </c>
      <c r="K713" s="48">
        <f t="shared" si="75"/>
        <v>444.52</v>
      </c>
      <c r="L713" s="48">
        <f t="shared" si="76"/>
        <v>24.78</v>
      </c>
      <c r="M713" s="48">
        <f t="shared" si="77"/>
        <v>9779.44</v>
      </c>
      <c r="N713" s="48">
        <f t="shared" si="78"/>
        <v>545.16</v>
      </c>
      <c r="O713" s="50">
        <f t="shared" si="79"/>
        <v>10324.6</v>
      </c>
      <c r="P713" s="50">
        <v>0</v>
      </c>
      <c r="Q713" s="76"/>
      <c r="R713" s="139">
        <f>2*(S9+S10)</f>
        <v>22</v>
      </c>
      <c r="S713" s="152">
        <v>362.97</v>
      </c>
      <c r="T713" s="153">
        <v>20.239999999999998</v>
      </c>
    </row>
    <row r="714" spans="2:20" ht="28">
      <c r="B714" s="5" t="s">
        <v>1694</v>
      </c>
      <c r="C714" s="45" t="s">
        <v>165</v>
      </c>
      <c r="D714" s="45" t="s">
        <v>1695</v>
      </c>
      <c r="E714" s="6" t="s">
        <v>1696</v>
      </c>
      <c r="F714" s="45" t="s">
        <v>559</v>
      </c>
      <c r="G714" s="46">
        <f t="shared" si="80"/>
        <v>33</v>
      </c>
      <c r="H714" s="46">
        <f>TRUNC(S714*(1-LOTE_01!$K$10),2)</f>
        <v>51.85</v>
      </c>
      <c r="I714" s="46">
        <f>TRUNC(T714*(1-LOTE_01!$K$10),2)</f>
        <v>3.02</v>
      </c>
      <c r="J714" s="100">
        <f t="shared" si="81"/>
        <v>0.22470000000000001</v>
      </c>
      <c r="K714" s="48">
        <f t="shared" si="75"/>
        <v>63.5</v>
      </c>
      <c r="L714" s="48">
        <f t="shared" si="76"/>
        <v>3.69</v>
      </c>
      <c r="M714" s="48">
        <f t="shared" si="77"/>
        <v>2095.5</v>
      </c>
      <c r="N714" s="48">
        <f t="shared" si="78"/>
        <v>121.77</v>
      </c>
      <c r="O714" s="50">
        <f t="shared" si="79"/>
        <v>2217.27</v>
      </c>
      <c r="P714" s="50">
        <v>0</v>
      </c>
      <c r="Q714" s="76"/>
      <c r="R714" s="139">
        <f>3*(S9+S10)</f>
        <v>33</v>
      </c>
      <c r="S714" s="152">
        <v>51.85</v>
      </c>
      <c r="T714" s="153">
        <v>3.02</v>
      </c>
    </row>
    <row r="715" spans="2:20">
      <c r="B715" s="101" t="s">
        <v>1697</v>
      </c>
      <c r="C715" s="102" t="s">
        <v>21</v>
      </c>
      <c r="D715" s="102" t="s">
        <v>21</v>
      </c>
      <c r="E715" s="103" t="s">
        <v>62</v>
      </c>
      <c r="F715" s="102" t="s">
        <v>21</v>
      </c>
      <c r="G715" s="46">
        <f t="shared" si="80"/>
        <v>0</v>
      </c>
      <c r="H715" s="46"/>
      <c r="I715" s="46"/>
      <c r="J715" s="105"/>
      <c r="K715" s="48">
        <f t="shared" si="75"/>
        <v>0</v>
      </c>
      <c r="L715" s="48">
        <f t="shared" si="76"/>
        <v>0</v>
      </c>
      <c r="M715" s="48">
        <f t="shared" si="77"/>
        <v>0</v>
      </c>
      <c r="N715" s="48">
        <f t="shared" si="78"/>
        <v>0</v>
      </c>
      <c r="O715" s="50">
        <f t="shared" si="79"/>
        <v>0</v>
      </c>
      <c r="P715" s="104">
        <f>SUM(O716:O737)</f>
        <v>446399.95999999996</v>
      </c>
      <c r="Q715" s="76"/>
      <c r="R715" s="139"/>
      <c r="S715" s="152" t="s">
        <v>22</v>
      </c>
      <c r="T715" s="153" t="s">
        <v>22</v>
      </c>
    </row>
    <row r="716" spans="2:20" ht="28">
      <c r="B716" s="5" t="s">
        <v>1698</v>
      </c>
      <c r="C716" s="45" t="s">
        <v>165</v>
      </c>
      <c r="D716" s="45" t="s">
        <v>1699</v>
      </c>
      <c r="E716" s="6" t="s">
        <v>1700</v>
      </c>
      <c r="F716" s="45" t="s">
        <v>168</v>
      </c>
      <c r="G716" s="46">
        <f t="shared" si="80"/>
        <v>4400</v>
      </c>
      <c r="H716" s="46">
        <f>TRUNC(S716*(1-LOTE_01!$K$10),2)</f>
        <v>0</v>
      </c>
      <c r="I716" s="46">
        <f>TRUNC(T716*(1-LOTE_01!$K$10),2)</f>
        <v>8.85</v>
      </c>
      <c r="J716" s="100">
        <f t="shared" si="81"/>
        <v>0.22470000000000001</v>
      </c>
      <c r="K716" s="48">
        <f t="shared" si="75"/>
        <v>0</v>
      </c>
      <c r="L716" s="48">
        <f t="shared" si="76"/>
        <v>10.83</v>
      </c>
      <c r="M716" s="48">
        <f t="shared" si="77"/>
        <v>0</v>
      </c>
      <c r="N716" s="48">
        <f t="shared" si="78"/>
        <v>47652</v>
      </c>
      <c r="O716" s="50">
        <f t="shared" si="79"/>
        <v>47652</v>
      </c>
      <c r="P716" s="50">
        <v>0</v>
      </c>
      <c r="Q716" s="76"/>
      <c r="R716" s="139">
        <f>400*(S9+S10)</f>
        <v>4400</v>
      </c>
      <c r="S716" s="152">
        <v>0</v>
      </c>
      <c r="T716" s="153">
        <v>8.85</v>
      </c>
    </row>
    <row r="717" spans="2:20" ht="28">
      <c r="B717" s="5" t="s">
        <v>1701</v>
      </c>
      <c r="C717" s="45" t="s">
        <v>97</v>
      </c>
      <c r="D717" s="45" t="s">
        <v>1702</v>
      </c>
      <c r="E717" s="6" t="s">
        <v>1703</v>
      </c>
      <c r="F717" s="45" t="s">
        <v>104</v>
      </c>
      <c r="G717" s="46">
        <f t="shared" si="80"/>
        <v>11</v>
      </c>
      <c r="H717" s="46">
        <f>TRUNC(S717*(1-LOTE_01!$K$10),2)</f>
        <v>266</v>
      </c>
      <c r="I717" s="46">
        <f>TRUNC(T717*(1-LOTE_01!$K$10),2)</f>
        <v>0</v>
      </c>
      <c r="J717" s="100">
        <f t="shared" si="81"/>
        <v>0.22470000000000001</v>
      </c>
      <c r="K717" s="48">
        <f t="shared" si="75"/>
        <v>325.77</v>
      </c>
      <c r="L717" s="48">
        <f t="shared" si="76"/>
        <v>0</v>
      </c>
      <c r="M717" s="48">
        <f t="shared" si="77"/>
        <v>3583.47</v>
      </c>
      <c r="N717" s="48">
        <f t="shared" si="78"/>
        <v>0</v>
      </c>
      <c r="O717" s="50">
        <f t="shared" si="79"/>
        <v>3583.47</v>
      </c>
      <c r="P717" s="50">
        <v>0</v>
      </c>
      <c r="Q717" s="76"/>
      <c r="R717" s="139">
        <f>1*(S9+S10)</f>
        <v>11</v>
      </c>
      <c r="S717" s="152">
        <v>266</v>
      </c>
      <c r="T717" s="153">
        <v>0</v>
      </c>
    </row>
    <row r="718" spans="2:20" ht="42">
      <c r="B718" s="5" t="s">
        <v>1704</v>
      </c>
      <c r="C718" s="45" t="s">
        <v>135</v>
      </c>
      <c r="D718" s="45">
        <v>99814</v>
      </c>
      <c r="E718" s="6" t="s">
        <v>1839</v>
      </c>
      <c r="F718" s="45" t="s">
        <v>121</v>
      </c>
      <c r="G718" s="46">
        <f t="shared" si="80"/>
        <v>11</v>
      </c>
      <c r="H718" s="46">
        <f>TRUNC(S718*(1-LOTE_01!$K$10),2)</f>
        <v>0.56000000000000005</v>
      </c>
      <c r="I718" s="46">
        <f>TRUNC(T718*(1-LOTE_01!$K$10),2)</f>
        <v>1.1200000000000001</v>
      </c>
      <c r="J718" s="100">
        <f t="shared" si="81"/>
        <v>0.22470000000000001</v>
      </c>
      <c r="K718" s="48">
        <f t="shared" si="75"/>
        <v>0.68</v>
      </c>
      <c r="L718" s="48">
        <f t="shared" si="76"/>
        <v>1.37</v>
      </c>
      <c r="M718" s="48">
        <f t="shared" si="77"/>
        <v>7.48</v>
      </c>
      <c r="N718" s="48">
        <f t="shared" si="78"/>
        <v>15.07</v>
      </c>
      <c r="O718" s="50">
        <f t="shared" si="79"/>
        <v>22.55</v>
      </c>
      <c r="P718" s="50">
        <v>0</v>
      </c>
      <c r="Q718" s="76"/>
      <c r="R718" s="139">
        <f>1*(S9+S10)</f>
        <v>11</v>
      </c>
      <c r="S718" s="152">
        <v>0.55999999999999983</v>
      </c>
      <c r="T718" s="153">
        <v>1.1200000000000001</v>
      </c>
    </row>
    <row r="719" spans="2:20" ht="28">
      <c r="B719" s="5" t="s">
        <v>1705</v>
      </c>
      <c r="C719" s="45" t="s">
        <v>135</v>
      </c>
      <c r="D719" s="45">
        <v>98524</v>
      </c>
      <c r="E719" s="6" t="s">
        <v>1706</v>
      </c>
      <c r="F719" s="45" t="s">
        <v>121</v>
      </c>
      <c r="G719" s="46">
        <f t="shared" si="80"/>
        <v>11</v>
      </c>
      <c r="H719" s="46">
        <f>TRUNC(S719*(1-LOTE_01!$K$10),2)</f>
        <v>1.59</v>
      </c>
      <c r="I719" s="46">
        <f>TRUNC(T719*(1-LOTE_01!$K$10),2)</f>
        <v>3.49</v>
      </c>
      <c r="J719" s="100">
        <f t="shared" si="81"/>
        <v>0.22470000000000001</v>
      </c>
      <c r="K719" s="48">
        <f t="shared" si="75"/>
        <v>1.94</v>
      </c>
      <c r="L719" s="48">
        <f t="shared" si="76"/>
        <v>4.2699999999999996</v>
      </c>
      <c r="M719" s="48">
        <f t="shared" si="77"/>
        <v>21.34</v>
      </c>
      <c r="N719" s="48">
        <f t="shared" si="78"/>
        <v>46.97</v>
      </c>
      <c r="O719" s="50">
        <f t="shared" si="79"/>
        <v>68.31</v>
      </c>
      <c r="P719" s="50">
        <v>0</v>
      </c>
      <c r="Q719" s="76"/>
      <c r="R719" s="139">
        <f>1*(S9+S10)</f>
        <v>11</v>
      </c>
      <c r="S719" s="152">
        <v>1.5899999999999999</v>
      </c>
      <c r="T719" s="153">
        <v>3.49</v>
      </c>
    </row>
    <row r="720" spans="2:20" ht="42">
      <c r="B720" s="5" t="s">
        <v>1707</v>
      </c>
      <c r="C720" s="45" t="s">
        <v>135</v>
      </c>
      <c r="D720" s="45">
        <v>98531</v>
      </c>
      <c r="E720" s="6" t="s">
        <v>1708</v>
      </c>
      <c r="F720" s="45" t="s">
        <v>210</v>
      </c>
      <c r="G720" s="46">
        <f t="shared" si="80"/>
        <v>11</v>
      </c>
      <c r="H720" s="46">
        <f>TRUNC(S720*(1-LOTE_01!$K$10),2)</f>
        <v>211.44</v>
      </c>
      <c r="I720" s="46">
        <f>TRUNC(T720*(1-LOTE_01!$K$10),2)</f>
        <v>197.69</v>
      </c>
      <c r="J720" s="100">
        <f t="shared" si="81"/>
        <v>0.22470000000000001</v>
      </c>
      <c r="K720" s="48">
        <f t="shared" ref="K720:K737" si="83">TRUNC(H720*(1+J720),2)</f>
        <v>258.95</v>
      </c>
      <c r="L720" s="48">
        <f t="shared" ref="L720:L737" si="84">TRUNC(I720*(1+J720),2)</f>
        <v>242.11</v>
      </c>
      <c r="M720" s="48">
        <f t="shared" ref="M720:M737" si="85">TRUNC(K720*G720,2)</f>
        <v>2848.45</v>
      </c>
      <c r="N720" s="48">
        <f t="shared" ref="N720:N737" si="86">TRUNC(L720*G720,2)</f>
        <v>2663.21</v>
      </c>
      <c r="O720" s="50">
        <f t="shared" ref="O720:O737" si="87">TRUNC(M720+N720,2)</f>
        <v>5511.66</v>
      </c>
      <c r="P720" s="50">
        <v>0</v>
      </c>
      <c r="Q720" s="76"/>
      <c r="R720" s="139">
        <f>1*(S9+S10)</f>
        <v>11</v>
      </c>
      <c r="S720" s="152">
        <v>211.44</v>
      </c>
      <c r="T720" s="153">
        <v>197.69</v>
      </c>
    </row>
    <row r="721" spans="2:20" ht="42">
      <c r="B721" s="5" t="s">
        <v>1709</v>
      </c>
      <c r="C721" s="45" t="s">
        <v>135</v>
      </c>
      <c r="D721" s="45">
        <v>99805</v>
      </c>
      <c r="E721" s="6" t="s">
        <v>1840</v>
      </c>
      <c r="F721" s="45" t="s">
        <v>121</v>
      </c>
      <c r="G721" s="46">
        <f t="shared" si="80"/>
        <v>4400</v>
      </c>
      <c r="H721" s="46">
        <f>TRUNC(S721*(1-LOTE_01!$K$10),2)</f>
        <v>4.1100000000000003</v>
      </c>
      <c r="I721" s="46">
        <f>TRUNC(T721*(1-LOTE_01!$K$10),2)</f>
        <v>7.42</v>
      </c>
      <c r="J721" s="100">
        <f t="shared" si="81"/>
        <v>0.22470000000000001</v>
      </c>
      <c r="K721" s="48">
        <f t="shared" si="83"/>
        <v>5.03</v>
      </c>
      <c r="L721" s="48">
        <f t="shared" si="84"/>
        <v>9.08</v>
      </c>
      <c r="M721" s="48">
        <f t="shared" si="85"/>
        <v>22132</v>
      </c>
      <c r="N721" s="48">
        <f t="shared" si="86"/>
        <v>39952</v>
      </c>
      <c r="O721" s="50">
        <f t="shared" si="87"/>
        <v>62084</v>
      </c>
      <c r="P721" s="50">
        <v>0</v>
      </c>
      <c r="Q721" s="76"/>
      <c r="R721" s="139">
        <f>400*(S9+S10)</f>
        <v>4400</v>
      </c>
      <c r="S721" s="152">
        <v>4.1099999999999994</v>
      </c>
      <c r="T721" s="153">
        <v>7.42</v>
      </c>
    </row>
    <row r="722" spans="2:20" ht="42">
      <c r="B722" s="5" t="s">
        <v>1710</v>
      </c>
      <c r="C722" s="45" t="s">
        <v>135</v>
      </c>
      <c r="D722" s="45">
        <v>99802</v>
      </c>
      <c r="E722" s="6" t="s">
        <v>1841</v>
      </c>
      <c r="F722" s="45" t="s">
        <v>121</v>
      </c>
      <c r="G722" s="46">
        <f t="shared" ref="G722:G737" si="88">TRUNC(R722,2)</f>
        <v>4400</v>
      </c>
      <c r="H722" s="46">
        <f>TRUNC(S722*(1-LOTE_01!$K$10),2)</f>
        <v>0.18</v>
      </c>
      <c r="I722" s="46">
        <f>TRUNC(T722*(1-LOTE_01!$K$10),2)</f>
        <v>0.37</v>
      </c>
      <c r="J722" s="100">
        <f t="shared" ref="J722:J737" si="89">$J$4</f>
        <v>0.22470000000000001</v>
      </c>
      <c r="K722" s="48">
        <f t="shared" si="83"/>
        <v>0.22</v>
      </c>
      <c r="L722" s="48">
        <f t="shared" si="84"/>
        <v>0.45</v>
      </c>
      <c r="M722" s="48">
        <f t="shared" si="85"/>
        <v>968</v>
      </c>
      <c r="N722" s="48">
        <f t="shared" si="86"/>
        <v>1980</v>
      </c>
      <c r="O722" s="50">
        <f t="shared" si="87"/>
        <v>2948</v>
      </c>
      <c r="P722" s="50">
        <v>0</v>
      </c>
      <c r="Q722" s="76"/>
      <c r="R722" s="139">
        <f>400*(S9+S10)</f>
        <v>4400</v>
      </c>
      <c r="S722" s="152">
        <v>0.18000000000000005</v>
      </c>
      <c r="T722" s="153">
        <v>0.37</v>
      </c>
    </row>
    <row r="723" spans="2:20" ht="42">
      <c r="B723" s="5" t="s">
        <v>1711</v>
      </c>
      <c r="C723" s="45" t="s">
        <v>135</v>
      </c>
      <c r="D723" s="45">
        <v>99803</v>
      </c>
      <c r="E723" s="6" t="s">
        <v>1842</v>
      </c>
      <c r="F723" s="45" t="s">
        <v>121</v>
      </c>
      <c r="G723" s="46">
        <f t="shared" si="88"/>
        <v>550</v>
      </c>
      <c r="H723" s="46">
        <f>TRUNC(S723*(1-LOTE_01!$K$10),2)</f>
        <v>1.32</v>
      </c>
      <c r="I723" s="46">
        <f>TRUNC(T723*(1-LOTE_01!$K$10),2)</f>
        <v>2.86</v>
      </c>
      <c r="J723" s="100">
        <f t="shared" si="89"/>
        <v>0.22470000000000001</v>
      </c>
      <c r="K723" s="48">
        <f t="shared" si="83"/>
        <v>1.61</v>
      </c>
      <c r="L723" s="48">
        <f t="shared" si="84"/>
        <v>3.5</v>
      </c>
      <c r="M723" s="48">
        <f t="shared" si="85"/>
        <v>885.5</v>
      </c>
      <c r="N723" s="48">
        <f t="shared" si="86"/>
        <v>1925</v>
      </c>
      <c r="O723" s="50">
        <f t="shared" si="87"/>
        <v>2810.5</v>
      </c>
      <c r="P723" s="50">
        <v>0</v>
      </c>
      <c r="Q723" s="76"/>
      <c r="R723" s="139">
        <f>50*(S9+S10)</f>
        <v>550</v>
      </c>
      <c r="S723" s="152">
        <v>1.3199999999999998</v>
      </c>
      <c r="T723" s="153">
        <v>2.86</v>
      </c>
    </row>
    <row r="724" spans="2:20" ht="56">
      <c r="B724" s="5" t="s">
        <v>1712</v>
      </c>
      <c r="C724" s="45" t="s">
        <v>135</v>
      </c>
      <c r="D724" s="45">
        <v>99810</v>
      </c>
      <c r="E724" s="6" t="s">
        <v>1843</v>
      </c>
      <c r="F724" s="45" t="s">
        <v>121</v>
      </c>
      <c r="G724" s="46">
        <f t="shared" si="88"/>
        <v>4400</v>
      </c>
      <c r="H724" s="46">
        <f>TRUNC(S724*(1-LOTE_01!$K$10),2)</f>
        <v>2.1800000000000002</v>
      </c>
      <c r="I724" s="46">
        <f>TRUNC(T724*(1-LOTE_01!$K$10),2)</f>
        <v>4.6100000000000003</v>
      </c>
      <c r="J724" s="100">
        <f t="shared" si="89"/>
        <v>0.22470000000000001</v>
      </c>
      <c r="K724" s="48">
        <f t="shared" si="83"/>
        <v>2.66</v>
      </c>
      <c r="L724" s="48">
        <f t="shared" si="84"/>
        <v>5.64</v>
      </c>
      <c r="M724" s="48">
        <f t="shared" si="85"/>
        <v>11704</v>
      </c>
      <c r="N724" s="48">
        <f t="shared" si="86"/>
        <v>24816</v>
      </c>
      <c r="O724" s="50">
        <f t="shared" si="87"/>
        <v>36520</v>
      </c>
      <c r="P724" s="50">
        <v>0</v>
      </c>
      <c r="Q724" s="76"/>
      <c r="R724" s="139">
        <f>400*(S9+S10)</f>
        <v>4400</v>
      </c>
      <c r="S724" s="152">
        <v>2.1799999999999997</v>
      </c>
      <c r="T724" s="153">
        <v>4.6100000000000003</v>
      </c>
    </row>
    <row r="725" spans="2:20" ht="42">
      <c r="B725" s="5" t="s">
        <v>1713</v>
      </c>
      <c r="C725" s="45" t="s">
        <v>135</v>
      </c>
      <c r="D725" s="45">
        <v>99806</v>
      </c>
      <c r="E725" s="6" t="s">
        <v>1844</v>
      </c>
      <c r="F725" s="45" t="s">
        <v>121</v>
      </c>
      <c r="G725" s="46">
        <f t="shared" si="88"/>
        <v>4400</v>
      </c>
      <c r="H725" s="46">
        <f>TRUNC(S725*(1-LOTE_01!$K$10),2)</f>
        <v>0.94</v>
      </c>
      <c r="I725" s="46">
        <f>TRUNC(T725*(1-LOTE_01!$K$10),2)</f>
        <v>2.09</v>
      </c>
      <c r="J725" s="100">
        <f t="shared" si="89"/>
        <v>0.22470000000000001</v>
      </c>
      <c r="K725" s="48">
        <f t="shared" si="83"/>
        <v>1.1499999999999999</v>
      </c>
      <c r="L725" s="48">
        <f t="shared" si="84"/>
        <v>2.5499999999999998</v>
      </c>
      <c r="M725" s="48">
        <f t="shared" si="85"/>
        <v>5060</v>
      </c>
      <c r="N725" s="48">
        <f t="shared" si="86"/>
        <v>11220</v>
      </c>
      <c r="O725" s="50">
        <f t="shared" si="87"/>
        <v>16280</v>
      </c>
      <c r="P725" s="50">
        <v>0</v>
      </c>
      <c r="Q725" s="76"/>
      <c r="R725" s="139">
        <f>400*(S9+S10)</f>
        <v>4400</v>
      </c>
      <c r="S725" s="152">
        <v>0.94</v>
      </c>
      <c r="T725" s="153">
        <v>2.09</v>
      </c>
    </row>
    <row r="726" spans="2:20">
      <c r="B726" s="5" t="s">
        <v>1714</v>
      </c>
      <c r="C726" s="45" t="s">
        <v>97</v>
      </c>
      <c r="D726" s="45" t="s">
        <v>1717</v>
      </c>
      <c r="E726" s="6" t="s">
        <v>1718</v>
      </c>
      <c r="F726" s="45" t="s">
        <v>121</v>
      </c>
      <c r="G726" s="46">
        <f t="shared" si="88"/>
        <v>550</v>
      </c>
      <c r="H726" s="46">
        <f>TRUNC(S726*(1-LOTE_01!$K$10),2)</f>
        <v>5.47</v>
      </c>
      <c r="I726" s="46">
        <f>TRUNC(T726*(1-LOTE_01!$K$10),2)</f>
        <v>9.83</v>
      </c>
      <c r="J726" s="100">
        <f t="shared" si="89"/>
        <v>0.22470000000000001</v>
      </c>
      <c r="K726" s="48">
        <f t="shared" si="83"/>
        <v>6.69</v>
      </c>
      <c r="L726" s="48">
        <f t="shared" si="84"/>
        <v>12.03</v>
      </c>
      <c r="M726" s="48">
        <f t="shared" si="85"/>
        <v>3679.5</v>
      </c>
      <c r="N726" s="48">
        <f t="shared" si="86"/>
        <v>6616.5</v>
      </c>
      <c r="O726" s="50">
        <f t="shared" si="87"/>
        <v>10296</v>
      </c>
      <c r="P726" s="50">
        <v>0</v>
      </c>
      <c r="Q726" s="76"/>
      <c r="R726" s="139">
        <f>50*(S9+S10)</f>
        <v>550</v>
      </c>
      <c r="S726" s="152">
        <v>5.47</v>
      </c>
      <c r="T726" s="153">
        <v>9.83</v>
      </c>
    </row>
    <row r="727" spans="2:20" ht="28">
      <c r="B727" s="5" t="s">
        <v>1715</v>
      </c>
      <c r="C727" s="45" t="s">
        <v>135</v>
      </c>
      <c r="D727" s="45">
        <v>99823</v>
      </c>
      <c r="E727" s="6" t="s">
        <v>1845</v>
      </c>
      <c r="F727" s="45" t="s">
        <v>121</v>
      </c>
      <c r="G727" s="46">
        <f t="shared" si="88"/>
        <v>4400</v>
      </c>
      <c r="H727" s="46">
        <f>TRUNC(S727*(1-LOTE_01!$K$10),2)</f>
        <v>1.29</v>
      </c>
      <c r="I727" s="46">
        <f>TRUNC(T727*(1-LOTE_01!$K$10),2)</f>
        <v>1.26</v>
      </c>
      <c r="J727" s="100">
        <f t="shared" si="89"/>
        <v>0.22470000000000001</v>
      </c>
      <c r="K727" s="48">
        <f t="shared" si="83"/>
        <v>1.57</v>
      </c>
      <c r="L727" s="48">
        <f t="shared" si="84"/>
        <v>1.54</v>
      </c>
      <c r="M727" s="48">
        <f t="shared" si="85"/>
        <v>6908</v>
      </c>
      <c r="N727" s="48">
        <f t="shared" si="86"/>
        <v>6776</v>
      </c>
      <c r="O727" s="50">
        <f t="shared" si="87"/>
        <v>13684</v>
      </c>
      <c r="P727" s="50">
        <v>0</v>
      </c>
      <c r="Q727" s="76"/>
      <c r="R727" s="139">
        <f>400*(S9+S10)</f>
        <v>4400</v>
      </c>
      <c r="S727" s="152">
        <v>1.2899999999999998</v>
      </c>
      <c r="T727" s="153">
        <v>1.26</v>
      </c>
    </row>
    <row r="728" spans="2:20" ht="42">
      <c r="B728" s="5" t="s">
        <v>1716</v>
      </c>
      <c r="C728" s="45" t="s">
        <v>135</v>
      </c>
      <c r="D728" s="45">
        <v>99821</v>
      </c>
      <c r="E728" s="6" t="s">
        <v>1846</v>
      </c>
      <c r="F728" s="45" t="s">
        <v>121</v>
      </c>
      <c r="G728" s="46">
        <f t="shared" si="88"/>
        <v>550</v>
      </c>
      <c r="H728" s="46">
        <f>TRUNC(S728*(1-LOTE_01!$K$10),2)</f>
        <v>2.84</v>
      </c>
      <c r="I728" s="46">
        <f>TRUNC(T728*(1-LOTE_01!$K$10),2)</f>
        <v>2.17</v>
      </c>
      <c r="J728" s="100">
        <f t="shared" si="89"/>
        <v>0.22470000000000001</v>
      </c>
      <c r="K728" s="48">
        <f t="shared" si="83"/>
        <v>3.47</v>
      </c>
      <c r="L728" s="48">
        <f t="shared" si="84"/>
        <v>2.65</v>
      </c>
      <c r="M728" s="48">
        <f t="shared" si="85"/>
        <v>1908.5</v>
      </c>
      <c r="N728" s="48">
        <f t="shared" si="86"/>
        <v>1457.5</v>
      </c>
      <c r="O728" s="50">
        <f t="shared" si="87"/>
        <v>3366</v>
      </c>
      <c r="P728" s="50">
        <v>0</v>
      </c>
      <c r="Q728" s="76"/>
      <c r="R728" s="139">
        <f>50*(S9+S10)</f>
        <v>550</v>
      </c>
      <c r="S728" s="152">
        <v>2.84</v>
      </c>
      <c r="T728" s="153">
        <v>2.17</v>
      </c>
    </row>
    <row r="729" spans="2:20" ht="28">
      <c r="B729" s="5" t="s">
        <v>1719</v>
      </c>
      <c r="C729" s="45" t="s">
        <v>135</v>
      </c>
      <c r="D729" s="45">
        <v>99826</v>
      </c>
      <c r="E729" s="6" t="s">
        <v>1847</v>
      </c>
      <c r="F729" s="45" t="s">
        <v>121</v>
      </c>
      <c r="G729" s="46">
        <f t="shared" si="88"/>
        <v>550</v>
      </c>
      <c r="H729" s="46">
        <f>TRUNC(S729*(1-LOTE_01!$K$10),2)</f>
        <v>0.54</v>
      </c>
      <c r="I729" s="46">
        <f>TRUNC(T729*(1-LOTE_01!$K$10),2)</f>
        <v>1.1499999999999999</v>
      </c>
      <c r="J729" s="100">
        <f t="shared" si="89"/>
        <v>0.22470000000000001</v>
      </c>
      <c r="K729" s="48">
        <f t="shared" si="83"/>
        <v>0.66</v>
      </c>
      <c r="L729" s="48">
        <f t="shared" si="84"/>
        <v>1.4</v>
      </c>
      <c r="M729" s="48">
        <f t="shared" si="85"/>
        <v>363</v>
      </c>
      <c r="N729" s="48">
        <f t="shared" si="86"/>
        <v>770</v>
      </c>
      <c r="O729" s="50">
        <f t="shared" si="87"/>
        <v>1133</v>
      </c>
      <c r="P729" s="50">
        <v>0</v>
      </c>
      <c r="Q729" s="76"/>
      <c r="R729" s="139">
        <f>50*(S9+S10)</f>
        <v>550</v>
      </c>
      <c r="S729" s="152">
        <v>0.54</v>
      </c>
      <c r="T729" s="153">
        <v>1.1499999999999999</v>
      </c>
    </row>
    <row r="730" spans="2:20" ht="28">
      <c r="B730" s="5" t="s">
        <v>1720</v>
      </c>
      <c r="C730" s="45" t="s">
        <v>135</v>
      </c>
      <c r="D730" s="45">
        <v>99822</v>
      </c>
      <c r="E730" s="6" t="s">
        <v>1848</v>
      </c>
      <c r="F730" s="45" t="s">
        <v>121</v>
      </c>
      <c r="G730" s="46">
        <f t="shared" si="88"/>
        <v>72.599999999999994</v>
      </c>
      <c r="H730" s="46">
        <f>TRUNC(S730*(1-LOTE_01!$K$10),2)</f>
        <v>0.35</v>
      </c>
      <c r="I730" s="46">
        <f>TRUNC(T730*(1-LOTE_01!$K$10),2)</f>
        <v>0.75</v>
      </c>
      <c r="J730" s="100">
        <f t="shared" si="89"/>
        <v>0.22470000000000001</v>
      </c>
      <c r="K730" s="48">
        <f t="shared" si="83"/>
        <v>0.42</v>
      </c>
      <c r="L730" s="48">
        <f t="shared" si="84"/>
        <v>0.91</v>
      </c>
      <c r="M730" s="48">
        <f t="shared" si="85"/>
        <v>30.49</v>
      </c>
      <c r="N730" s="48">
        <f t="shared" si="86"/>
        <v>66.06</v>
      </c>
      <c r="O730" s="50">
        <f t="shared" si="87"/>
        <v>96.55</v>
      </c>
      <c r="P730" s="50">
        <v>0</v>
      </c>
      <c r="Q730" s="76"/>
      <c r="R730" s="139">
        <f>2.2*1*3*(S9+S10)</f>
        <v>72.600000000000009</v>
      </c>
      <c r="S730" s="152">
        <v>0.35000000000000009</v>
      </c>
      <c r="T730" s="153">
        <v>0.75</v>
      </c>
    </row>
    <row r="731" spans="2:20" ht="42">
      <c r="B731" s="5" t="s">
        <v>1721</v>
      </c>
      <c r="C731" s="45" t="s">
        <v>135</v>
      </c>
      <c r="D731" s="45">
        <v>99825</v>
      </c>
      <c r="E731" s="6" t="s">
        <v>1849</v>
      </c>
      <c r="F731" s="45" t="s">
        <v>121</v>
      </c>
      <c r="G731" s="46">
        <f t="shared" si="88"/>
        <v>24.2</v>
      </c>
      <c r="H731" s="46">
        <f>TRUNC(S731*(1-LOTE_01!$K$10),2)</f>
        <v>2.56</v>
      </c>
      <c r="I731" s="46">
        <f>TRUNC(T731*(1-LOTE_01!$K$10),2)</f>
        <v>2.25</v>
      </c>
      <c r="J731" s="100">
        <f t="shared" si="89"/>
        <v>0.22470000000000001</v>
      </c>
      <c r="K731" s="48">
        <f t="shared" si="83"/>
        <v>3.13</v>
      </c>
      <c r="L731" s="48">
        <f t="shared" si="84"/>
        <v>2.75</v>
      </c>
      <c r="M731" s="48">
        <f t="shared" si="85"/>
        <v>75.739999999999995</v>
      </c>
      <c r="N731" s="48">
        <f t="shared" si="86"/>
        <v>66.55</v>
      </c>
      <c r="O731" s="50">
        <f t="shared" si="87"/>
        <v>142.29</v>
      </c>
      <c r="P731" s="50">
        <v>0</v>
      </c>
      <c r="Q731" s="76"/>
      <c r="R731" s="139">
        <f>2.2*1*(S9+S10)</f>
        <v>24.200000000000003</v>
      </c>
      <c r="S731" s="152">
        <v>2.5599999999999996</v>
      </c>
      <c r="T731" s="153">
        <v>2.25</v>
      </c>
    </row>
    <row r="732" spans="2:20" ht="28">
      <c r="B732" s="5" t="s">
        <v>1722</v>
      </c>
      <c r="C732" s="45" t="s">
        <v>135</v>
      </c>
      <c r="D732" s="45">
        <v>99824</v>
      </c>
      <c r="E732" s="6" t="s">
        <v>1850</v>
      </c>
      <c r="F732" s="45" t="s">
        <v>121</v>
      </c>
      <c r="G732" s="46">
        <f t="shared" si="88"/>
        <v>72.599999999999994</v>
      </c>
      <c r="H732" s="46">
        <f>TRUNC(S732*(1-LOTE_01!$K$10),2)</f>
        <v>1.35</v>
      </c>
      <c r="I732" s="46">
        <f>TRUNC(T732*(1-LOTE_01!$K$10),2)</f>
        <v>1.53</v>
      </c>
      <c r="J732" s="100">
        <f t="shared" si="89"/>
        <v>0.22470000000000001</v>
      </c>
      <c r="K732" s="48">
        <f t="shared" si="83"/>
        <v>1.65</v>
      </c>
      <c r="L732" s="48">
        <f t="shared" si="84"/>
        <v>1.87</v>
      </c>
      <c r="M732" s="48">
        <f t="shared" si="85"/>
        <v>119.79</v>
      </c>
      <c r="N732" s="48">
        <f t="shared" si="86"/>
        <v>135.76</v>
      </c>
      <c r="O732" s="50">
        <f t="shared" si="87"/>
        <v>255.55</v>
      </c>
      <c r="P732" s="50">
        <v>0</v>
      </c>
      <c r="Q732" s="76"/>
      <c r="R732" s="139">
        <f>2.2*1*3*(S9+S10)</f>
        <v>72.600000000000009</v>
      </c>
      <c r="S732" s="152">
        <v>1.3499999999999999</v>
      </c>
      <c r="T732" s="153">
        <v>1.53</v>
      </c>
    </row>
    <row r="733" spans="2:20" ht="28">
      <c r="B733" s="5" t="s">
        <v>1723</v>
      </c>
      <c r="C733" s="45" t="s">
        <v>135</v>
      </c>
      <c r="D733" s="45">
        <v>99811</v>
      </c>
      <c r="E733" s="6" t="s">
        <v>1851</v>
      </c>
      <c r="F733" s="45" t="s">
        <v>121</v>
      </c>
      <c r="G733" s="46">
        <f t="shared" si="88"/>
        <v>550</v>
      </c>
      <c r="H733" s="46">
        <f>TRUNC(S733*(1-LOTE_01!$K$10),2)</f>
        <v>0.22</v>
      </c>
      <c r="I733" s="46">
        <f>TRUNC(T733*(1-LOTE_01!$K$10),2)</f>
        <v>0.46</v>
      </c>
      <c r="J733" s="100">
        <f t="shared" si="89"/>
        <v>0.22470000000000001</v>
      </c>
      <c r="K733" s="48">
        <f t="shared" si="83"/>
        <v>0.26</v>
      </c>
      <c r="L733" s="48">
        <f t="shared" si="84"/>
        <v>0.56000000000000005</v>
      </c>
      <c r="M733" s="48">
        <f t="shared" si="85"/>
        <v>143</v>
      </c>
      <c r="N733" s="48">
        <f t="shared" si="86"/>
        <v>308</v>
      </c>
      <c r="O733" s="50">
        <f t="shared" si="87"/>
        <v>451</v>
      </c>
      <c r="P733" s="50">
        <v>0</v>
      </c>
      <c r="Q733" s="76"/>
      <c r="R733" s="139">
        <f>50*(S9+S10)</f>
        <v>550</v>
      </c>
      <c r="S733" s="152">
        <v>0.22000000000000003</v>
      </c>
      <c r="T733" s="153">
        <v>0.46</v>
      </c>
    </row>
    <row r="734" spans="2:20" ht="42">
      <c r="B734" s="5" t="s">
        <v>1724</v>
      </c>
      <c r="C734" s="45" t="s">
        <v>135</v>
      </c>
      <c r="D734" s="45">
        <v>99805</v>
      </c>
      <c r="E734" s="6" t="s">
        <v>1840</v>
      </c>
      <c r="F734" s="45" t="s">
        <v>121</v>
      </c>
      <c r="G734" s="46">
        <f t="shared" si="88"/>
        <v>4400</v>
      </c>
      <c r="H734" s="46">
        <f>TRUNC(S734*(1-LOTE_01!$K$10),2)</f>
        <v>4.1100000000000003</v>
      </c>
      <c r="I734" s="46">
        <f>TRUNC(T734*(1-LOTE_01!$K$10),2)</f>
        <v>7.42</v>
      </c>
      <c r="J734" s="100">
        <f t="shared" si="89"/>
        <v>0.22470000000000001</v>
      </c>
      <c r="K734" s="48">
        <f t="shared" si="83"/>
        <v>5.03</v>
      </c>
      <c r="L734" s="48">
        <f t="shared" si="84"/>
        <v>9.08</v>
      </c>
      <c r="M734" s="48">
        <f t="shared" si="85"/>
        <v>22132</v>
      </c>
      <c r="N734" s="48">
        <f t="shared" si="86"/>
        <v>39952</v>
      </c>
      <c r="O734" s="50">
        <f t="shared" si="87"/>
        <v>62084</v>
      </c>
      <c r="P734" s="50">
        <v>0</v>
      </c>
      <c r="Q734" s="76"/>
      <c r="R734" s="139">
        <f>400*(S9+S10)</f>
        <v>4400</v>
      </c>
      <c r="S734" s="152">
        <v>4.1099999999999994</v>
      </c>
      <c r="T734" s="153">
        <v>7.42</v>
      </c>
    </row>
    <row r="735" spans="2:20">
      <c r="B735" s="5" t="s">
        <v>1725</v>
      </c>
      <c r="C735" s="45" t="s">
        <v>97</v>
      </c>
      <c r="D735" s="45" t="s">
        <v>1728</v>
      </c>
      <c r="E735" s="6" t="s">
        <v>1729</v>
      </c>
      <c r="F735" s="45" t="s">
        <v>104</v>
      </c>
      <c r="G735" s="46">
        <f t="shared" si="88"/>
        <v>11</v>
      </c>
      <c r="H735" s="46">
        <f>TRUNC(S735*(1-LOTE_01!$K$10),2)</f>
        <v>920.91</v>
      </c>
      <c r="I735" s="46">
        <f>TRUNC(T735*(1-LOTE_01!$K$10),2)</f>
        <v>221.33</v>
      </c>
      <c r="J735" s="100">
        <f t="shared" si="89"/>
        <v>0.22470000000000001</v>
      </c>
      <c r="K735" s="48">
        <f t="shared" si="83"/>
        <v>1127.83</v>
      </c>
      <c r="L735" s="48">
        <f t="shared" si="84"/>
        <v>271.06</v>
      </c>
      <c r="M735" s="48">
        <f t="shared" si="85"/>
        <v>12406.13</v>
      </c>
      <c r="N735" s="48">
        <f t="shared" si="86"/>
        <v>2981.66</v>
      </c>
      <c r="O735" s="50">
        <f t="shared" si="87"/>
        <v>15387.79</v>
      </c>
      <c r="P735" s="50">
        <v>0</v>
      </c>
      <c r="Q735" s="76"/>
      <c r="R735" s="139">
        <f>1*(S9+S10)</f>
        <v>11</v>
      </c>
      <c r="S735" s="152">
        <v>920.91</v>
      </c>
      <c r="T735" s="153">
        <v>221.33</v>
      </c>
    </row>
    <row r="736" spans="2:20">
      <c r="B736" s="5" t="s">
        <v>1726</v>
      </c>
      <c r="C736" s="45" t="s">
        <v>97</v>
      </c>
      <c r="D736" s="45" t="s">
        <v>1730</v>
      </c>
      <c r="E736" s="6" t="s">
        <v>1731</v>
      </c>
      <c r="F736" s="45" t="s">
        <v>104</v>
      </c>
      <c r="G736" s="46">
        <f t="shared" si="88"/>
        <v>11</v>
      </c>
      <c r="H736" s="46">
        <f>TRUNC(S736*(1-LOTE_01!$K$10),2)</f>
        <v>2302.4699999999998</v>
      </c>
      <c r="I736" s="46">
        <f>TRUNC(T736*(1-LOTE_01!$K$10),2)</f>
        <v>327.55</v>
      </c>
      <c r="J736" s="100">
        <f t="shared" si="89"/>
        <v>0.22470000000000001</v>
      </c>
      <c r="K736" s="48">
        <f t="shared" si="83"/>
        <v>2819.83</v>
      </c>
      <c r="L736" s="48">
        <f t="shared" si="84"/>
        <v>401.15</v>
      </c>
      <c r="M736" s="48">
        <f t="shared" si="85"/>
        <v>31018.13</v>
      </c>
      <c r="N736" s="48">
        <f t="shared" si="86"/>
        <v>4412.6499999999996</v>
      </c>
      <c r="O736" s="50">
        <f t="shared" si="87"/>
        <v>35430.78</v>
      </c>
      <c r="P736" s="50">
        <v>0</v>
      </c>
      <c r="Q736" s="76"/>
      <c r="R736" s="139">
        <f>1*(S9+S10)</f>
        <v>11</v>
      </c>
      <c r="S736" s="152">
        <v>2302.4699999999998</v>
      </c>
      <c r="T736" s="153">
        <v>327.55</v>
      </c>
    </row>
    <row r="737" spans="2:20">
      <c r="B737" s="5" t="s">
        <v>1727</v>
      </c>
      <c r="C737" s="45" t="s">
        <v>97</v>
      </c>
      <c r="D737" s="45" t="s">
        <v>1732</v>
      </c>
      <c r="E737" s="6" t="s">
        <v>1733</v>
      </c>
      <c r="F737" s="45" t="s">
        <v>104</v>
      </c>
      <c r="G737" s="46">
        <f t="shared" si="88"/>
        <v>11</v>
      </c>
      <c r="H737" s="46">
        <f>TRUNC(S737*(1-LOTE_01!$K$10),2)</f>
        <v>8405.8700000000008</v>
      </c>
      <c r="I737" s="46">
        <f>TRUNC(T737*(1-LOTE_01!$K$10),2)</f>
        <v>991.06</v>
      </c>
      <c r="J737" s="100">
        <f t="shared" si="89"/>
        <v>0.22470000000000001</v>
      </c>
      <c r="K737" s="48">
        <f t="shared" si="83"/>
        <v>10294.66</v>
      </c>
      <c r="L737" s="48">
        <f t="shared" si="84"/>
        <v>1213.75</v>
      </c>
      <c r="M737" s="48">
        <f t="shared" si="85"/>
        <v>113241.26</v>
      </c>
      <c r="N737" s="48">
        <f t="shared" si="86"/>
        <v>13351.25</v>
      </c>
      <c r="O737" s="50">
        <f t="shared" si="87"/>
        <v>126592.51</v>
      </c>
      <c r="P737" s="50">
        <v>0</v>
      </c>
      <c r="Q737" s="76"/>
      <c r="R737" s="139">
        <f>1*(S9+S10)</f>
        <v>11</v>
      </c>
      <c r="S737" s="152">
        <v>8405.8700000000008</v>
      </c>
      <c r="T737" s="153">
        <v>991.06</v>
      </c>
    </row>
    <row r="738" spans="2:20">
      <c r="B738" s="5"/>
      <c r="C738" s="45"/>
      <c r="D738" s="45"/>
      <c r="E738" s="6"/>
      <c r="F738" s="45"/>
      <c r="G738" s="124"/>
      <c r="H738" s="46"/>
      <c r="I738" s="47"/>
      <c r="J738" s="47"/>
      <c r="K738" s="47"/>
      <c r="L738" s="47"/>
      <c r="M738" s="48">
        <f t="shared" ref="M738" si="90">G738*H738</f>
        <v>0</v>
      </c>
      <c r="N738" s="49">
        <f t="shared" ref="N738" si="91">G738*I738</f>
        <v>0</v>
      </c>
      <c r="O738" s="50">
        <f t="shared" ref="O738" si="92">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SUM(M15:M738)</f>
        <v>20526587.070000004</v>
      </c>
      <c r="N741" s="58">
        <f>SUM(N15:N740)</f>
        <v>5973603.9900000039</v>
      </c>
      <c r="O741" s="58">
        <f t="shared" ref="O741:P741" si="93">SUM(O15:O740)</f>
        <v>26500191.060000014</v>
      </c>
      <c r="P741" s="58">
        <f t="shared" si="93"/>
        <v>26500191.059999999</v>
      </c>
      <c r="Q741" s="78"/>
      <c r="R741" s="78"/>
      <c r="S741" s="78"/>
    </row>
  </sheetData>
  <sheetProtection deleteRows="0" selectLockedCells="1"/>
  <protectedRanges>
    <protectedRange sqref="E15:F33 G739:O739 R738 P738:Q740 S15 E179:F471 G179:G429 G124 G132 G134 G150:G159 G431:G689 E177:G178 M738:O738 H22:J737 G15:Q16 G17:J21 G22:G114 S738:T738 G161:G176 E35:F176 B15:B739 G691:G737 K17:Q737 E473:F739" name="Intervalo1"/>
    <protectedRange sqref="R739:S739" name="Intervalo1_1"/>
    <protectedRange sqref="H738:L738" name="Intervalo1_2"/>
    <protectedRange sqref="E472:F472" name="Intervalo1_4"/>
    <protectedRange sqref="E34:F34" name="Intervalo1_5"/>
    <protectedRange sqref="R15" name="Intervalo1_3_1_2_1"/>
    <protectedRange sqref="G115:G123 G125:G131 G133 G135:G149 G160 G430 G690" name="Intervalo1_7_1"/>
    <protectedRange sqref="R663 R684 R192:R194 R306 R310" name="Intervalo1_3_1_1"/>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_1"/>
    <protectedRange sqref="R33 R40 R114 R124 R134 R150 R170 R179 R188 R197 R207 R692 R253 R286 R311 R333:R334 R375 R394 R406 R440 R477 R495 R540 R581 R605 R624:R625 R638:R662 R680:R683 R664:R678 R242 R694:R737" name="Intervalo1_3_1_2_1_1"/>
    <protectedRange sqref="R365:R372" name="Intervalo1_3_1_3_1_1"/>
    <protectedRange sqref="R177:R178" name="Intervalo1_3_2_1"/>
    <protectedRange sqref="S16:T737" name="Intervalo1_6"/>
  </protectedRanges>
  <autoFilter ref="B14:P741" xr:uid="{00000000-0009-0000-0000-000001000000}"/>
  <mergeCells count="4">
    <mergeCell ref="H13:I13"/>
    <mergeCell ref="J13:J14"/>
    <mergeCell ref="M13:P13"/>
    <mergeCell ref="K13:L13"/>
  </mergeCells>
  <phoneticPr fontId="30" type="noConversion"/>
  <conditionalFormatting sqref="R15:R176 R179:R683 S16:S737">
    <cfRule type="expression" dxfId="63" priority="4" stopIfTrue="1">
      <formula>P15="-"</formula>
    </cfRule>
  </conditionalFormatting>
  <conditionalFormatting sqref="R15:R683">
    <cfRule type="cellIs" dxfId="62" priority="2" stopIfTrue="1" operator="equal">
      <formula>""</formula>
    </cfRule>
  </conditionalFormatting>
  <conditionalFormatting sqref="R177:R178">
    <cfRule type="expression" dxfId="61" priority="3" stopIfTrue="1">
      <formula>Q177="-"</formula>
    </cfRule>
  </conditionalFormatting>
  <conditionalFormatting sqref="R684">
    <cfRule type="cellIs" dxfId="60" priority="7" stopIfTrue="1" operator="equal">
      <formula>0</formula>
    </cfRule>
    <cfRule type="expression" dxfId="59" priority="8" stopIfTrue="1">
      <formula>I684="-"</formula>
    </cfRule>
  </conditionalFormatting>
  <conditionalFormatting sqref="R685:R737">
    <cfRule type="cellIs" dxfId="58" priority="5" stopIfTrue="1" operator="equal">
      <formula>""</formula>
    </cfRule>
    <cfRule type="expression" dxfId="57" priority="6" stopIfTrue="1">
      <formula>P685="-"</formula>
    </cfRule>
  </conditionalFormatting>
  <conditionalFormatting sqref="T16:T737">
    <cfRule type="expression" dxfId="56" priority="1" stopIfTrue="1">
      <formula>Q16="-"</formula>
    </cfRule>
  </conditionalFormatting>
  <pageMargins left="0.51181102362204722" right="0.51181102362204722" top="0.78740157480314965" bottom="0.78740157480314965" header="0.31496062992125984" footer="0.31496062992125984"/>
  <pageSetup paperSize="9" scale="60" orientation="landscape" r:id="rId1"/>
  <headerFooter>
    <oddHeader>&amp;R&amp;"Aptos"&amp;12&amp;K000000 #INTERNA&amp;1#_x000D_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741"/>
  <sheetViews>
    <sheetView topLeftCell="G730" zoomScale="85" zoomScaleNormal="85" workbookViewId="0">
      <selection activeCell="O8" sqref="O8"/>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2.54296875" style="66" customWidth="1"/>
    <col min="12" max="12" width="11.36328125" style="66" customWidth="1"/>
    <col min="13" max="14" width="14.90625" style="51" customWidth="1"/>
    <col min="15" max="15" width="16.1796875" style="51" customWidth="1"/>
    <col min="16" max="16" width="15" style="51" customWidth="1"/>
    <col min="17" max="17" width="8.6328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69</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1.1415999999999999</v>
      </c>
    </row>
    <row r="6" spans="2:20" s="8" customFormat="1">
      <c r="D6" s="4"/>
      <c r="E6" s="16" t="s">
        <v>2</v>
      </c>
      <c r="F6" s="23" t="s">
        <v>1759</v>
      </c>
      <c r="G6" s="121"/>
      <c r="H6" s="18"/>
      <c r="N6" s="27" t="s">
        <v>4</v>
      </c>
      <c r="O6" s="28">
        <f>O741</f>
        <v>34212915.520000011</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79</v>
      </c>
      <c r="F9" s="33"/>
      <c r="G9" s="34"/>
      <c r="H9" s="34"/>
      <c r="I9" s="35"/>
      <c r="J9" s="35"/>
      <c r="K9" s="35"/>
      <c r="L9" s="35"/>
      <c r="M9" s="31"/>
      <c r="N9" s="67"/>
      <c r="O9" s="68"/>
      <c r="R9" s="143" t="s">
        <v>1744</v>
      </c>
      <c r="S9" s="144">
        <v>8</v>
      </c>
    </row>
    <row r="10" spans="2:20" s="8" customFormat="1">
      <c r="C10" s="24" t="s">
        <v>1746</v>
      </c>
      <c r="D10" s="32" t="s">
        <v>135</v>
      </c>
      <c r="E10" s="132" t="s">
        <v>1747</v>
      </c>
      <c r="F10" s="133" t="s">
        <v>1852</v>
      </c>
      <c r="G10" s="134" t="s">
        <v>1748</v>
      </c>
      <c r="H10" s="2"/>
      <c r="I10" s="133">
        <v>46054</v>
      </c>
      <c r="J10" s="35"/>
      <c r="K10" s="35"/>
      <c r="L10" s="35"/>
      <c r="M10" s="31"/>
      <c r="N10" s="67"/>
      <c r="O10" s="68"/>
      <c r="R10" s="143" t="s">
        <v>1743</v>
      </c>
      <c r="S10" s="144">
        <v>6</v>
      </c>
    </row>
    <row r="11" spans="2:20" s="8" customFormat="1">
      <c r="C11" s="135"/>
      <c r="E11" s="136" t="s">
        <v>165</v>
      </c>
      <c r="F11" s="137" t="s">
        <v>1853</v>
      </c>
      <c r="G11" s="134" t="s">
        <v>1749</v>
      </c>
      <c r="H11" s="134"/>
      <c r="I11" s="133">
        <v>46082</v>
      </c>
      <c r="J11" s="35"/>
      <c r="K11" s="35"/>
      <c r="L11" s="35"/>
      <c r="M11" s="31"/>
      <c r="N11" s="67"/>
      <c r="O11" s="68"/>
      <c r="R11" s="145" t="s">
        <v>77</v>
      </c>
      <c r="S11" s="146">
        <f>S9+S10</f>
        <v>14</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t="s">
        <v>21</v>
      </c>
      <c r="P15" s="104">
        <f>SUM(O16:O32)</f>
        <v>2004288.56</v>
      </c>
      <c r="Q15" s="107"/>
      <c r="R15" s="139"/>
      <c r="S15" s="76" t="s">
        <v>22</v>
      </c>
      <c r="T15" s="51" t="s">
        <v>22</v>
      </c>
    </row>
    <row r="16" spans="2:20" ht="28">
      <c r="B16" s="5" t="s">
        <v>96</v>
      </c>
      <c r="C16" s="45" t="s">
        <v>97</v>
      </c>
      <c r="D16" s="45" t="s">
        <v>98</v>
      </c>
      <c r="E16" s="6" t="s">
        <v>99</v>
      </c>
      <c r="F16" s="45" t="s">
        <v>100</v>
      </c>
      <c r="G16" s="46">
        <f>TRUNC(R16,2)</f>
        <v>14</v>
      </c>
      <c r="H16" s="46">
        <f>TRUNC(S16*(1-LOTE_01!$K$10),2)</f>
        <v>1083.29</v>
      </c>
      <c r="I16" s="46">
        <f>TRUNC(T16*(1-LOTE_01!$K$10),2)</f>
        <v>0</v>
      </c>
      <c r="J16" s="100">
        <f>$J$4</f>
        <v>0.22470000000000001</v>
      </c>
      <c r="K16" s="48">
        <f>TRUNC(H16*(1+J16),2)</f>
        <v>1326.7</v>
      </c>
      <c r="L16" s="48">
        <f>TRUNC(I16*(1+J16),2)</f>
        <v>0</v>
      </c>
      <c r="M16" s="48">
        <f>TRUNC(K16*G16,2)</f>
        <v>18573.8</v>
      </c>
      <c r="N16" s="48">
        <f>TRUNC(L16*G16,2)</f>
        <v>0</v>
      </c>
      <c r="O16" s="50">
        <f>TRUNC(M16+N16,2)</f>
        <v>18573.8</v>
      </c>
      <c r="P16" s="50">
        <v>0</v>
      </c>
      <c r="Q16" s="76"/>
      <c r="R16" s="140">
        <f>S9+S10</f>
        <v>14</v>
      </c>
      <c r="S16" s="79">
        <v>1083.29</v>
      </c>
      <c r="T16" s="80">
        <v>0</v>
      </c>
    </row>
    <row r="17" spans="2:20" ht="28">
      <c r="B17" s="5" t="s">
        <v>101</v>
      </c>
      <c r="C17" s="45" t="s">
        <v>97</v>
      </c>
      <c r="D17" s="45" t="s">
        <v>102</v>
      </c>
      <c r="E17" s="6" t="s">
        <v>103</v>
      </c>
      <c r="F17" s="45" t="s">
        <v>104</v>
      </c>
      <c r="G17" s="46">
        <f t="shared" ref="G17:G80" si="0">TRUNC(R17,2)</f>
        <v>14</v>
      </c>
      <c r="H17" s="46">
        <f>TRUNC(S17*(1-LOTE_01!$K$10),2)</f>
        <v>881.17</v>
      </c>
      <c r="I17" s="46">
        <f>TRUNC(T17*(1-LOTE_01!$K$10),2)</f>
        <v>0</v>
      </c>
      <c r="J17" s="100">
        <f t="shared" ref="J17:J80" si="1">$J$4</f>
        <v>0.22470000000000001</v>
      </c>
      <c r="K17" s="48">
        <f t="shared" ref="K17:K80" si="2">TRUNC(H17*(1+J17),2)</f>
        <v>1079.1600000000001</v>
      </c>
      <c r="L17" s="48">
        <f t="shared" ref="L17:L80" si="3">TRUNC(I17*(1+J17),2)</f>
        <v>0</v>
      </c>
      <c r="M17" s="48">
        <f t="shared" ref="M17:M80" si="4">TRUNC(K17*G17,2)</f>
        <v>15108.24</v>
      </c>
      <c r="N17" s="48">
        <f t="shared" ref="N17:N80" si="5">TRUNC(L17*G17,2)</f>
        <v>0</v>
      </c>
      <c r="O17" s="50">
        <f t="shared" ref="O17:O80" si="6">TRUNC(M17+N17,2)</f>
        <v>15108.24</v>
      </c>
      <c r="P17" s="50">
        <v>0</v>
      </c>
      <c r="Q17" s="76"/>
      <c r="R17" s="140">
        <f>IF((S9+S10)&gt;50,50,(S9+S10))</f>
        <v>14</v>
      </c>
      <c r="S17" s="79">
        <v>881.17</v>
      </c>
      <c r="T17" s="80">
        <v>0</v>
      </c>
    </row>
    <row r="18" spans="2:20" ht="70">
      <c r="B18" s="5" t="s">
        <v>105</v>
      </c>
      <c r="C18" s="45" t="s">
        <v>97</v>
      </c>
      <c r="D18" s="45" t="s">
        <v>106</v>
      </c>
      <c r="E18" s="6" t="s">
        <v>107</v>
      </c>
      <c r="F18" s="45" t="s">
        <v>104</v>
      </c>
      <c r="G18" s="46">
        <f t="shared" si="0"/>
        <v>14</v>
      </c>
      <c r="H18" s="46">
        <f>TRUNC(S18*(1-LOTE_01!$K$10),2)</f>
        <v>325.76</v>
      </c>
      <c r="I18" s="46">
        <f>TRUNC(T18*(1-LOTE_01!$K$10),2)</f>
        <v>0</v>
      </c>
      <c r="J18" s="100">
        <f t="shared" si="1"/>
        <v>0.22470000000000001</v>
      </c>
      <c r="K18" s="48">
        <f t="shared" si="2"/>
        <v>398.95</v>
      </c>
      <c r="L18" s="48">
        <f t="shared" si="3"/>
        <v>0</v>
      </c>
      <c r="M18" s="48">
        <f t="shared" si="4"/>
        <v>5585.3</v>
      </c>
      <c r="N18" s="48">
        <f t="shared" si="5"/>
        <v>0</v>
      </c>
      <c r="O18" s="50">
        <f t="shared" si="6"/>
        <v>5585.3</v>
      </c>
      <c r="P18" s="50">
        <v>0</v>
      </c>
      <c r="Q18" s="76"/>
      <c r="R18" s="140">
        <f>1*(S9+S10)</f>
        <v>14</v>
      </c>
      <c r="S18" s="79">
        <v>325.76</v>
      </c>
      <c r="T18" s="80">
        <v>0</v>
      </c>
    </row>
    <row r="19" spans="2:20" ht="84">
      <c r="B19" s="5" t="s">
        <v>108</v>
      </c>
      <c r="C19" s="45" t="s">
        <v>97</v>
      </c>
      <c r="D19" s="45" t="s">
        <v>109</v>
      </c>
      <c r="E19" s="6" t="s">
        <v>110</v>
      </c>
      <c r="F19" s="45" t="s">
        <v>111</v>
      </c>
      <c r="G19" s="46">
        <f t="shared" si="0"/>
        <v>14</v>
      </c>
      <c r="H19" s="46">
        <f>TRUNC(S19*(1-LOTE_01!$K$10),2)</f>
        <v>448.8</v>
      </c>
      <c r="I19" s="46">
        <f>TRUNC(T19*(1-LOTE_01!$K$10),2)</f>
        <v>24895.200000000001</v>
      </c>
      <c r="J19" s="100">
        <f t="shared" si="1"/>
        <v>0.22470000000000001</v>
      </c>
      <c r="K19" s="48">
        <f t="shared" si="2"/>
        <v>549.64</v>
      </c>
      <c r="L19" s="48">
        <f t="shared" si="3"/>
        <v>30489.15</v>
      </c>
      <c r="M19" s="48">
        <f t="shared" si="4"/>
        <v>7694.96</v>
      </c>
      <c r="N19" s="48">
        <f t="shared" si="5"/>
        <v>426848.1</v>
      </c>
      <c r="O19" s="50">
        <f t="shared" si="6"/>
        <v>434543.06</v>
      </c>
      <c r="P19" s="50">
        <v>0</v>
      </c>
      <c r="Q19" s="76"/>
      <c r="R19" s="140">
        <f>S9+S10</f>
        <v>14</v>
      </c>
      <c r="S19" s="79">
        <v>448.8</v>
      </c>
      <c r="T19" s="80">
        <v>24895.200000000001</v>
      </c>
    </row>
    <row r="20" spans="2:20" ht="70">
      <c r="B20" s="5" t="s">
        <v>112</v>
      </c>
      <c r="C20" s="45" t="s">
        <v>97</v>
      </c>
      <c r="D20" s="45" t="s">
        <v>113</v>
      </c>
      <c r="E20" s="6" t="s">
        <v>114</v>
      </c>
      <c r="F20" s="45" t="s">
        <v>111</v>
      </c>
      <c r="G20" s="46">
        <f t="shared" si="0"/>
        <v>28</v>
      </c>
      <c r="H20" s="46">
        <f>TRUNC(S20*(1-LOTE_01!$K$10),2)</f>
        <v>612.47</v>
      </c>
      <c r="I20" s="46">
        <f>TRUNC(T20*(1-LOTE_01!$K$10),2)</f>
        <v>9447.68</v>
      </c>
      <c r="J20" s="100">
        <f t="shared" si="1"/>
        <v>0.22470000000000001</v>
      </c>
      <c r="K20" s="48">
        <f t="shared" si="2"/>
        <v>750.09</v>
      </c>
      <c r="L20" s="48">
        <f t="shared" si="3"/>
        <v>11570.57</v>
      </c>
      <c r="M20" s="48">
        <f t="shared" si="4"/>
        <v>21002.52</v>
      </c>
      <c r="N20" s="48">
        <f t="shared" si="5"/>
        <v>323975.96000000002</v>
      </c>
      <c r="O20" s="50">
        <f t="shared" si="6"/>
        <v>344978.48</v>
      </c>
      <c r="P20" s="50">
        <v>0</v>
      </c>
      <c r="Q20" s="76"/>
      <c r="R20" s="140">
        <f>2*S9+2*S10</f>
        <v>28</v>
      </c>
      <c r="S20" s="79">
        <v>612.47</v>
      </c>
      <c r="T20" s="80">
        <v>9447.68</v>
      </c>
    </row>
    <row r="21" spans="2:20" ht="70">
      <c r="B21" s="5" t="s">
        <v>115</v>
      </c>
      <c r="C21" s="45" t="s">
        <v>97</v>
      </c>
      <c r="D21" s="45" t="s">
        <v>116</v>
      </c>
      <c r="E21" s="6" t="s">
        <v>117</v>
      </c>
      <c r="F21" s="45" t="s">
        <v>111</v>
      </c>
      <c r="G21" s="46">
        <f t="shared" si="0"/>
        <v>28</v>
      </c>
      <c r="H21" s="46">
        <f>TRUNC(S21*(1-LOTE_01!$K$10),2)</f>
        <v>671.06</v>
      </c>
      <c r="I21" s="46">
        <f>TRUNC(T21*(1-LOTE_01!$K$10),2)</f>
        <v>9249.81</v>
      </c>
      <c r="J21" s="100">
        <f t="shared" si="1"/>
        <v>0.22470000000000001</v>
      </c>
      <c r="K21" s="48">
        <f t="shared" si="2"/>
        <v>821.84</v>
      </c>
      <c r="L21" s="48">
        <f t="shared" si="3"/>
        <v>11328.24</v>
      </c>
      <c r="M21" s="48">
        <f t="shared" si="4"/>
        <v>23011.52</v>
      </c>
      <c r="N21" s="48">
        <f t="shared" si="5"/>
        <v>317190.71999999997</v>
      </c>
      <c r="O21" s="50">
        <f t="shared" si="6"/>
        <v>340202.23999999999</v>
      </c>
      <c r="P21" s="50">
        <v>0</v>
      </c>
      <c r="Q21" s="76"/>
      <c r="R21" s="140">
        <f>2*S9+2*S10</f>
        <v>28</v>
      </c>
      <c r="S21" s="79">
        <v>671.06</v>
      </c>
      <c r="T21" s="80">
        <v>9249.81</v>
      </c>
    </row>
    <row r="22" spans="2:20">
      <c r="B22" s="5" t="s">
        <v>118</v>
      </c>
      <c r="C22" s="45" t="s">
        <v>97</v>
      </c>
      <c r="D22" s="45" t="s">
        <v>119</v>
      </c>
      <c r="E22" s="6" t="s">
        <v>120</v>
      </c>
      <c r="F22" s="45" t="s">
        <v>121</v>
      </c>
      <c r="G22" s="46">
        <f t="shared" si="0"/>
        <v>5600</v>
      </c>
      <c r="H22" s="46">
        <f>TRUNC(S22*(1-LOTE_01!$K$10),2)</f>
        <v>0</v>
      </c>
      <c r="I22" s="46">
        <f>TRUNC(T22*(1-LOTE_01!$K$10),2)</f>
        <v>27.5</v>
      </c>
      <c r="J22" s="100">
        <f t="shared" si="1"/>
        <v>0.22470000000000001</v>
      </c>
      <c r="K22" s="48">
        <f t="shared" si="2"/>
        <v>0</v>
      </c>
      <c r="L22" s="48">
        <f t="shared" si="3"/>
        <v>33.67</v>
      </c>
      <c r="M22" s="48">
        <f t="shared" si="4"/>
        <v>0</v>
      </c>
      <c r="N22" s="48">
        <f t="shared" si="5"/>
        <v>188552</v>
      </c>
      <c r="O22" s="50">
        <f t="shared" si="6"/>
        <v>188552</v>
      </c>
      <c r="P22" s="50">
        <v>0</v>
      </c>
      <c r="Q22" s="76"/>
      <c r="R22" s="140">
        <f>400*(S9+S10)</f>
        <v>5600</v>
      </c>
      <c r="S22" s="79">
        <v>0</v>
      </c>
      <c r="T22" s="80">
        <v>27.5</v>
      </c>
    </row>
    <row r="23" spans="2:20" ht="28">
      <c r="B23" s="5" t="s">
        <v>122</v>
      </c>
      <c r="C23" s="45" t="s">
        <v>97</v>
      </c>
      <c r="D23" s="45" t="s">
        <v>123</v>
      </c>
      <c r="E23" s="6" t="s">
        <v>124</v>
      </c>
      <c r="F23" s="45" t="s">
        <v>121</v>
      </c>
      <c r="G23" s="46">
        <f t="shared" si="0"/>
        <v>5600</v>
      </c>
      <c r="H23" s="46">
        <f>TRUNC(S23*(1-LOTE_01!$K$10),2)</f>
        <v>0</v>
      </c>
      <c r="I23" s="46">
        <f>TRUNC(T23*(1-LOTE_01!$K$10),2)</f>
        <v>3.6</v>
      </c>
      <c r="J23" s="100">
        <f t="shared" si="1"/>
        <v>0.22470000000000001</v>
      </c>
      <c r="K23" s="48">
        <f t="shared" si="2"/>
        <v>0</v>
      </c>
      <c r="L23" s="48">
        <f t="shared" si="3"/>
        <v>4.4000000000000004</v>
      </c>
      <c r="M23" s="48">
        <f t="shared" si="4"/>
        <v>0</v>
      </c>
      <c r="N23" s="48">
        <f t="shared" si="5"/>
        <v>24640</v>
      </c>
      <c r="O23" s="50">
        <f t="shared" si="6"/>
        <v>24640</v>
      </c>
      <c r="P23" s="50">
        <v>0</v>
      </c>
      <c r="Q23" s="76"/>
      <c r="R23" s="140">
        <f>400*(S9+S10)</f>
        <v>5600</v>
      </c>
      <c r="S23" s="79">
        <v>0</v>
      </c>
      <c r="T23" s="80">
        <v>3.6</v>
      </c>
    </row>
    <row r="24" spans="2:20" ht="28">
      <c r="B24" s="5" t="s">
        <v>125</v>
      </c>
      <c r="C24" s="45" t="s">
        <v>97</v>
      </c>
      <c r="D24" s="45" t="s">
        <v>126</v>
      </c>
      <c r="E24" s="6" t="s">
        <v>127</v>
      </c>
      <c r="F24" s="45" t="s">
        <v>121</v>
      </c>
      <c r="G24" s="46">
        <f t="shared" si="0"/>
        <v>5600</v>
      </c>
      <c r="H24" s="46">
        <f>TRUNC(S24*(1-LOTE_01!$K$10),2)</f>
        <v>0</v>
      </c>
      <c r="I24" s="46">
        <f>TRUNC(T24*(1-LOTE_01!$K$10),2)</f>
        <v>8.5</v>
      </c>
      <c r="J24" s="100">
        <f t="shared" si="1"/>
        <v>0.22470000000000001</v>
      </c>
      <c r="K24" s="48">
        <f t="shared" si="2"/>
        <v>0</v>
      </c>
      <c r="L24" s="48">
        <f t="shared" si="3"/>
        <v>10.4</v>
      </c>
      <c r="M24" s="48">
        <f t="shared" si="4"/>
        <v>0</v>
      </c>
      <c r="N24" s="48">
        <f t="shared" si="5"/>
        <v>58240</v>
      </c>
      <c r="O24" s="50">
        <f t="shared" si="6"/>
        <v>58240</v>
      </c>
      <c r="P24" s="50">
        <v>0</v>
      </c>
      <c r="Q24" s="76"/>
      <c r="R24" s="140">
        <f>400*(S9+S10)</f>
        <v>5600</v>
      </c>
      <c r="S24" s="79">
        <v>0</v>
      </c>
      <c r="T24" s="80">
        <v>8.5</v>
      </c>
    </row>
    <row r="25" spans="2:20" ht="28">
      <c r="B25" s="5" t="s">
        <v>128</v>
      </c>
      <c r="C25" s="45" t="s">
        <v>97</v>
      </c>
      <c r="D25" s="45" t="s">
        <v>129</v>
      </c>
      <c r="E25" s="6" t="s">
        <v>130</v>
      </c>
      <c r="F25" s="45" t="s">
        <v>121</v>
      </c>
      <c r="G25" s="46">
        <f t="shared" si="0"/>
        <v>5600</v>
      </c>
      <c r="H25" s="46">
        <f>TRUNC(S25*(1-LOTE_01!$K$10),2)</f>
        <v>0</v>
      </c>
      <c r="I25" s="46">
        <f>TRUNC(T25*(1-LOTE_01!$K$10),2)</f>
        <v>5</v>
      </c>
      <c r="J25" s="100">
        <f t="shared" si="1"/>
        <v>0.22470000000000001</v>
      </c>
      <c r="K25" s="48">
        <f t="shared" si="2"/>
        <v>0</v>
      </c>
      <c r="L25" s="48">
        <f t="shared" si="3"/>
        <v>6.12</v>
      </c>
      <c r="M25" s="48">
        <f t="shared" si="4"/>
        <v>0</v>
      </c>
      <c r="N25" s="48">
        <f t="shared" si="5"/>
        <v>34272</v>
      </c>
      <c r="O25" s="50">
        <f t="shared" si="6"/>
        <v>34272</v>
      </c>
      <c r="P25" s="50">
        <v>0</v>
      </c>
      <c r="Q25" s="76"/>
      <c r="R25" s="140">
        <f>400*(S9+S10)</f>
        <v>5600</v>
      </c>
      <c r="S25" s="79">
        <v>0</v>
      </c>
      <c r="T25" s="80">
        <v>5</v>
      </c>
    </row>
    <row r="26" spans="2:20" ht="28">
      <c r="B26" s="5" t="s">
        <v>131</v>
      </c>
      <c r="C26" s="45" t="s">
        <v>97</v>
      </c>
      <c r="D26" s="45" t="s">
        <v>132</v>
      </c>
      <c r="E26" s="6" t="s">
        <v>133</v>
      </c>
      <c r="F26" s="45" t="s">
        <v>121</v>
      </c>
      <c r="G26" s="46">
        <f t="shared" si="0"/>
        <v>5600</v>
      </c>
      <c r="H26" s="46">
        <f>TRUNC(S26*(1-LOTE_01!$K$10),2)</f>
        <v>0</v>
      </c>
      <c r="I26" s="46">
        <f>TRUNC(T26*(1-LOTE_01!$K$10),2)</f>
        <v>5.5</v>
      </c>
      <c r="J26" s="100">
        <f t="shared" si="1"/>
        <v>0.22470000000000001</v>
      </c>
      <c r="K26" s="48">
        <f t="shared" si="2"/>
        <v>0</v>
      </c>
      <c r="L26" s="48">
        <f t="shared" si="3"/>
        <v>6.73</v>
      </c>
      <c r="M26" s="48">
        <f t="shared" si="4"/>
        <v>0</v>
      </c>
      <c r="N26" s="48">
        <f t="shared" si="5"/>
        <v>37688</v>
      </c>
      <c r="O26" s="50">
        <f t="shared" si="6"/>
        <v>37688</v>
      </c>
      <c r="P26" s="50">
        <v>0</v>
      </c>
      <c r="Q26" s="76"/>
      <c r="R26" s="140">
        <f>400*(S9+S10)</f>
        <v>5600</v>
      </c>
      <c r="S26" s="79">
        <v>0</v>
      </c>
      <c r="T26" s="80">
        <v>5.5</v>
      </c>
    </row>
    <row r="27" spans="2:20" ht="28">
      <c r="B27" s="5" t="s">
        <v>134</v>
      </c>
      <c r="C27" s="45" t="s">
        <v>135</v>
      </c>
      <c r="D27" s="45">
        <v>90769</v>
      </c>
      <c r="E27" s="6" t="s">
        <v>136</v>
      </c>
      <c r="F27" s="45" t="s">
        <v>137</v>
      </c>
      <c r="G27" s="46">
        <f t="shared" si="0"/>
        <v>700</v>
      </c>
      <c r="H27" s="46">
        <f>TRUNC(S27*(1-LOTE_01!$K$10),2)</f>
        <v>2.54</v>
      </c>
      <c r="I27" s="46">
        <f>TRUNC(T27*(1-LOTE_01!$K$10),2)</f>
        <v>145.97999999999999</v>
      </c>
      <c r="J27" s="100">
        <f t="shared" si="1"/>
        <v>0.22470000000000001</v>
      </c>
      <c r="K27" s="48">
        <f t="shared" si="2"/>
        <v>3.11</v>
      </c>
      <c r="L27" s="48">
        <f t="shared" si="3"/>
        <v>178.78</v>
      </c>
      <c r="M27" s="48">
        <f t="shared" si="4"/>
        <v>2177</v>
      </c>
      <c r="N27" s="48">
        <f t="shared" si="5"/>
        <v>125146</v>
      </c>
      <c r="O27" s="50">
        <f t="shared" si="6"/>
        <v>127323</v>
      </c>
      <c r="P27" s="50">
        <v>0</v>
      </c>
      <c r="Q27" s="76"/>
      <c r="R27" s="140">
        <f>IF((50*S10+50*S9),(50*S10+50*S9))</f>
        <v>700</v>
      </c>
      <c r="S27" s="79">
        <v>2.5400000000000205</v>
      </c>
      <c r="T27" s="80">
        <v>145.97999999999999</v>
      </c>
    </row>
    <row r="28" spans="2:20" ht="28">
      <c r="B28" s="5" t="s">
        <v>138</v>
      </c>
      <c r="C28" s="45" t="s">
        <v>135</v>
      </c>
      <c r="D28" s="45">
        <v>90778</v>
      </c>
      <c r="E28" s="6" t="s">
        <v>139</v>
      </c>
      <c r="F28" s="45" t="s">
        <v>137</v>
      </c>
      <c r="G28" s="46">
        <f t="shared" si="0"/>
        <v>700</v>
      </c>
      <c r="H28" s="46">
        <f>TRUNC(S28*(1-LOTE_01!$K$10),2)</f>
        <v>2.54</v>
      </c>
      <c r="I28" s="46">
        <f>TRUNC(T28*(1-LOTE_01!$K$10),2)</f>
        <v>148.21</v>
      </c>
      <c r="J28" s="100">
        <f t="shared" si="1"/>
        <v>0.22470000000000001</v>
      </c>
      <c r="K28" s="48">
        <f t="shared" si="2"/>
        <v>3.11</v>
      </c>
      <c r="L28" s="48">
        <f t="shared" si="3"/>
        <v>181.51</v>
      </c>
      <c r="M28" s="48">
        <f t="shared" si="4"/>
        <v>2177</v>
      </c>
      <c r="N28" s="48">
        <f t="shared" si="5"/>
        <v>127057</v>
      </c>
      <c r="O28" s="50">
        <f t="shared" si="6"/>
        <v>129234</v>
      </c>
      <c r="P28" s="50">
        <v>0</v>
      </c>
      <c r="Q28" s="76"/>
      <c r="R28" s="140">
        <f>IF((50*S10+50*S9)&gt;1000,1000,(50*S10+50*S9))</f>
        <v>700</v>
      </c>
      <c r="S28" s="79">
        <v>2.5499999999999829</v>
      </c>
      <c r="T28" s="80">
        <v>148.21</v>
      </c>
    </row>
    <row r="29" spans="2:20" ht="42">
      <c r="B29" s="5" t="s">
        <v>140</v>
      </c>
      <c r="C29" s="45" t="s">
        <v>97</v>
      </c>
      <c r="D29" s="45" t="s">
        <v>141</v>
      </c>
      <c r="E29" s="6" t="s">
        <v>142</v>
      </c>
      <c r="F29" s="45" t="s">
        <v>111</v>
      </c>
      <c r="G29" s="46">
        <f t="shared" si="0"/>
        <v>10</v>
      </c>
      <c r="H29" s="46">
        <f>TRUNC(S29*(1-LOTE_01!$K$10),2)</f>
        <v>65.760000000000005</v>
      </c>
      <c r="I29" s="46">
        <f>TRUNC(T29*(1-LOTE_01!$K$10),2)</f>
        <v>2175.12</v>
      </c>
      <c r="J29" s="100">
        <f t="shared" si="1"/>
        <v>0.22470000000000001</v>
      </c>
      <c r="K29" s="48">
        <f t="shared" si="2"/>
        <v>80.53</v>
      </c>
      <c r="L29" s="48">
        <f t="shared" si="3"/>
        <v>2663.86</v>
      </c>
      <c r="M29" s="48">
        <f t="shared" si="4"/>
        <v>805.3</v>
      </c>
      <c r="N29" s="48">
        <f t="shared" si="5"/>
        <v>26638.6</v>
      </c>
      <c r="O29" s="50">
        <f t="shared" si="6"/>
        <v>27443.9</v>
      </c>
      <c r="P29" s="50">
        <v>0</v>
      </c>
      <c r="Q29" s="76"/>
      <c r="R29" s="140">
        <f>IF((2*S9+2*S10)&gt;10,10,(2*S9+2*S10))</f>
        <v>10</v>
      </c>
      <c r="S29" s="79">
        <v>65.760000000000005</v>
      </c>
      <c r="T29" s="80">
        <v>2175.12</v>
      </c>
    </row>
    <row r="30" spans="2:20">
      <c r="B30" s="5" t="s">
        <v>143</v>
      </c>
      <c r="C30" s="45" t="s">
        <v>97</v>
      </c>
      <c r="D30" s="45" t="s">
        <v>144</v>
      </c>
      <c r="E30" s="6" t="s">
        <v>145</v>
      </c>
      <c r="F30" s="45" t="s">
        <v>104</v>
      </c>
      <c r="G30" s="46">
        <f t="shared" si="0"/>
        <v>14</v>
      </c>
      <c r="H30" s="46">
        <f>TRUNC(S30*(1-LOTE_01!$K$10),2)</f>
        <v>875.05</v>
      </c>
      <c r="I30" s="46">
        <f>TRUNC(T30*(1-LOTE_01!$K$10),2)</f>
        <v>325.91000000000003</v>
      </c>
      <c r="J30" s="100">
        <f t="shared" si="1"/>
        <v>0.22470000000000001</v>
      </c>
      <c r="K30" s="48">
        <f t="shared" si="2"/>
        <v>1071.67</v>
      </c>
      <c r="L30" s="48">
        <f t="shared" si="3"/>
        <v>399.14</v>
      </c>
      <c r="M30" s="48">
        <f t="shared" si="4"/>
        <v>15003.38</v>
      </c>
      <c r="N30" s="48">
        <f t="shared" si="5"/>
        <v>5587.96</v>
      </c>
      <c r="O30" s="50">
        <f t="shared" si="6"/>
        <v>20591.34</v>
      </c>
      <c r="P30" s="50">
        <v>0</v>
      </c>
      <c r="Q30" s="76"/>
      <c r="R30" s="140">
        <f>S9+S10</f>
        <v>14</v>
      </c>
      <c r="S30" s="79">
        <v>875.05</v>
      </c>
      <c r="T30" s="80">
        <v>325.91000000000003</v>
      </c>
    </row>
    <row r="31" spans="2:20" ht="28">
      <c r="B31" s="5" t="s">
        <v>146</v>
      </c>
      <c r="C31" s="45" t="s">
        <v>97</v>
      </c>
      <c r="D31" s="45" t="s">
        <v>147</v>
      </c>
      <c r="E31" s="6" t="s">
        <v>148</v>
      </c>
      <c r="F31" s="45" t="s">
        <v>104</v>
      </c>
      <c r="G31" s="46">
        <f t="shared" si="0"/>
        <v>14</v>
      </c>
      <c r="H31" s="46">
        <f>TRUNC(S31*(1-LOTE_01!$K$10),2)</f>
        <v>1645.54</v>
      </c>
      <c r="I31" s="46">
        <f>TRUNC(T31*(1-LOTE_01!$K$10),2)</f>
        <v>508.45</v>
      </c>
      <c r="J31" s="100">
        <f t="shared" si="1"/>
        <v>0.22470000000000001</v>
      </c>
      <c r="K31" s="48">
        <f t="shared" si="2"/>
        <v>2015.29</v>
      </c>
      <c r="L31" s="48">
        <f t="shared" si="3"/>
        <v>622.69000000000005</v>
      </c>
      <c r="M31" s="48">
        <f t="shared" si="4"/>
        <v>28214.06</v>
      </c>
      <c r="N31" s="48">
        <f t="shared" si="5"/>
        <v>8717.66</v>
      </c>
      <c r="O31" s="50">
        <f t="shared" si="6"/>
        <v>36931.72</v>
      </c>
      <c r="P31" s="50">
        <v>0</v>
      </c>
      <c r="Q31" s="76"/>
      <c r="R31" s="140">
        <f>S9+S10</f>
        <v>14</v>
      </c>
      <c r="S31" s="79">
        <v>1645.54</v>
      </c>
      <c r="T31" s="80">
        <v>508.45</v>
      </c>
    </row>
    <row r="32" spans="2:20" ht="28">
      <c r="B32" s="5" t="s">
        <v>149</v>
      </c>
      <c r="C32" s="45" t="s">
        <v>97</v>
      </c>
      <c r="D32" s="45" t="s">
        <v>150</v>
      </c>
      <c r="E32" s="6" t="s">
        <v>151</v>
      </c>
      <c r="F32" s="45" t="s">
        <v>104</v>
      </c>
      <c r="G32" s="46">
        <f t="shared" si="0"/>
        <v>14</v>
      </c>
      <c r="H32" s="46">
        <f>TRUNC(S32*(1-LOTE_01!$K$10),2)</f>
        <v>7916.44</v>
      </c>
      <c r="I32" s="46">
        <f>TRUNC(T32*(1-LOTE_01!$K$10),2)</f>
        <v>1437.55</v>
      </c>
      <c r="J32" s="100">
        <f t="shared" si="1"/>
        <v>0.22470000000000001</v>
      </c>
      <c r="K32" s="48">
        <f t="shared" si="2"/>
        <v>9695.26</v>
      </c>
      <c r="L32" s="48">
        <f t="shared" si="3"/>
        <v>1760.56</v>
      </c>
      <c r="M32" s="48">
        <f t="shared" si="4"/>
        <v>135733.64000000001</v>
      </c>
      <c r="N32" s="48">
        <f t="shared" si="5"/>
        <v>24647.84</v>
      </c>
      <c r="O32" s="50">
        <f t="shared" si="6"/>
        <v>160381.48000000001</v>
      </c>
      <c r="P32" s="50">
        <v>0</v>
      </c>
      <c r="Q32" s="76"/>
      <c r="R32" s="140">
        <f>S9+S10</f>
        <v>14</v>
      </c>
      <c r="S32" s="79">
        <v>7916.44</v>
      </c>
      <c r="T32" s="80">
        <v>1437.55</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234750.18</v>
      </c>
      <c r="Q33" s="107"/>
      <c r="R33" s="154"/>
      <c r="S33" s="43" t="s">
        <v>22</v>
      </c>
      <c r="T33" s="44" t="s">
        <v>22</v>
      </c>
    </row>
    <row r="34" spans="2:20" ht="56">
      <c r="B34" s="5" t="s">
        <v>152</v>
      </c>
      <c r="C34" s="45" t="s">
        <v>135</v>
      </c>
      <c r="D34" s="45">
        <v>103689</v>
      </c>
      <c r="E34" s="6" t="s">
        <v>153</v>
      </c>
      <c r="F34" s="45" t="s">
        <v>121</v>
      </c>
      <c r="G34" s="46">
        <f t="shared" si="0"/>
        <v>21</v>
      </c>
      <c r="H34" s="46">
        <f>TRUNC(S34*(1-LOTE_01!$K$10),2)</f>
        <v>468.01</v>
      </c>
      <c r="I34" s="46">
        <f>TRUNC(T34*(1-LOTE_01!$K$10),2)</f>
        <v>31.25</v>
      </c>
      <c r="J34" s="100">
        <f t="shared" si="1"/>
        <v>0.22470000000000001</v>
      </c>
      <c r="K34" s="48">
        <f t="shared" si="2"/>
        <v>573.16999999999996</v>
      </c>
      <c r="L34" s="48">
        <f t="shared" si="3"/>
        <v>38.270000000000003</v>
      </c>
      <c r="M34" s="48">
        <f t="shared" si="4"/>
        <v>12036.57</v>
      </c>
      <c r="N34" s="48">
        <f t="shared" si="5"/>
        <v>803.67</v>
      </c>
      <c r="O34" s="50">
        <f t="shared" si="6"/>
        <v>12840.24</v>
      </c>
      <c r="P34" s="50">
        <v>0</v>
      </c>
      <c r="Q34" s="76"/>
      <c r="R34" s="140">
        <f>1.5*1*(S9+S10)</f>
        <v>21</v>
      </c>
      <c r="S34" s="79">
        <v>468.01</v>
      </c>
      <c r="T34" s="80">
        <v>31.25</v>
      </c>
    </row>
    <row r="35" spans="2:20" ht="112">
      <c r="B35" s="5" t="s">
        <v>154</v>
      </c>
      <c r="C35" s="45" t="s">
        <v>97</v>
      </c>
      <c r="D35" s="45" t="s">
        <v>155</v>
      </c>
      <c r="E35" s="6" t="s">
        <v>156</v>
      </c>
      <c r="F35" s="45" t="s">
        <v>157</v>
      </c>
      <c r="G35" s="46">
        <f t="shared" si="0"/>
        <v>420</v>
      </c>
      <c r="H35" s="46">
        <f>TRUNC(S35*(1-LOTE_01!$K$10),2)</f>
        <v>35.200000000000003</v>
      </c>
      <c r="I35" s="46">
        <f>TRUNC(T35*(1-LOTE_01!$K$10),2)</f>
        <v>0</v>
      </c>
      <c r="J35" s="100">
        <f t="shared" si="1"/>
        <v>0.22470000000000001</v>
      </c>
      <c r="K35" s="48">
        <f t="shared" si="2"/>
        <v>43.1</v>
      </c>
      <c r="L35" s="48">
        <f t="shared" si="3"/>
        <v>0</v>
      </c>
      <c r="M35" s="48">
        <f t="shared" si="4"/>
        <v>18102</v>
      </c>
      <c r="N35" s="48">
        <f t="shared" si="5"/>
        <v>0</v>
      </c>
      <c r="O35" s="50">
        <f t="shared" si="6"/>
        <v>18102</v>
      </c>
      <c r="P35" s="50">
        <v>0</v>
      </c>
      <c r="Q35" s="76"/>
      <c r="R35" s="140">
        <f>10*3*(S9+S10)</f>
        <v>420</v>
      </c>
      <c r="S35" s="79">
        <v>35.200000000000003</v>
      </c>
      <c r="T35" s="80">
        <v>0</v>
      </c>
    </row>
    <row r="36" spans="2:20" ht="70">
      <c r="B36" s="5" t="s">
        <v>158</v>
      </c>
      <c r="C36" s="45" t="s">
        <v>135</v>
      </c>
      <c r="D36" s="45">
        <v>97063</v>
      </c>
      <c r="E36" s="6" t="s">
        <v>159</v>
      </c>
      <c r="F36" s="45" t="s">
        <v>121</v>
      </c>
      <c r="G36" s="46">
        <f t="shared" si="0"/>
        <v>1008</v>
      </c>
      <c r="H36" s="46">
        <f>TRUNC(S36*(1-LOTE_01!$K$10),2)</f>
        <v>7.48</v>
      </c>
      <c r="I36" s="46">
        <f>TRUNC(T36*(1-LOTE_01!$K$10),2)</f>
        <v>15.84</v>
      </c>
      <c r="J36" s="100">
        <f t="shared" si="1"/>
        <v>0.22470000000000001</v>
      </c>
      <c r="K36" s="48">
        <f t="shared" si="2"/>
        <v>9.16</v>
      </c>
      <c r="L36" s="48">
        <f t="shared" si="3"/>
        <v>19.39</v>
      </c>
      <c r="M36" s="48">
        <f t="shared" si="4"/>
        <v>9233.2800000000007</v>
      </c>
      <c r="N36" s="48">
        <f t="shared" si="5"/>
        <v>19545.12</v>
      </c>
      <c r="O36" s="50">
        <f t="shared" si="6"/>
        <v>28778.400000000001</v>
      </c>
      <c r="P36" s="50">
        <v>0</v>
      </c>
      <c r="Q36" s="76"/>
      <c r="R36" s="140">
        <f>6*12*(S9+S10)</f>
        <v>1008</v>
      </c>
      <c r="S36" s="79">
        <v>7.48</v>
      </c>
      <c r="T36" s="80">
        <v>15.84</v>
      </c>
    </row>
    <row r="37" spans="2:20" ht="84">
      <c r="B37" s="5" t="s">
        <v>160</v>
      </c>
      <c r="C37" s="45" t="s">
        <v>135</v>
      </c>
      <c r="D37" s="45">
        <v>100981</v>
      </c>
      <c r="E37" s="6" t="s">
        <v>1768</v>
      </c>
      <c r="F37" s="45" t="s">
        <v>161</v>
      </c>
      <c r="G37" s="46">
        <f t="shared" si="0"/>
        <v>504</v>
      </c>
      <c r="H37" s="46">
        <f>TRUNC(S37*(1-LOTE_01!$K$10),2)</f>
        <v>8.44</v>
      </c>
      <c r="I37" s="46">
        <f>TRUNC(T37*(1-LOTE_01!$K$10),2)</f>
        <v>2.36</v>
      </c>
      <c r="J37" s="100">
        <f t="shared" si="1"/>
        <v>0.22470000000000001</v>
      </c>
      <c r="K37" s="48">
        <f t="shared" si="2"/>
        <v>10.33</v>
      </c>
      <c r="L37" s="48">
        <f t="shared" si="3"/>
        <v>2.89</v>
      </c>
      <c r="M37" s="48">
        <f t="shared" si="4"/>
        <v>5206.32</v>
      </c>
      <c r="N37" s="48">
        <f t="shared" si="5"/>
        <v>1456.56</v>
      </c>
      <c r="O37" s="50">
        <f t="shared" si="6"/>
        <v>6662.88</v>
      </c>
      <c r="P37" s="50">
        <v>0</v>
      </c>
      <c r="Q37" s="76"/>
      <c r="R37" s="140">
        <f>6*6*(S9+S10)</f>
        <v>504</v>
      </c>
      <c r="S37" s="79">
        <v>8.4400000000000013</v>
      </c>
      <c r="T37" s="80">
        <v>2.36</v>
      </c>
    </row>
    <row r="38" spans="2:20" ht="56">
      <c r="B38" s="5" t="s">
        <v>162</v>
      </c>
      <c r="C38" s="45" t="s">
        <v>135</v>
      </c>
      <c r="D38" s="45">
        <v>97914</v>
      </c>
      <c r="E38" s="6" t="s">
        <v>1769</v>
      </c>
      <c r="F38" s="45" t="s">
        <v>163</v>
      </c>
      <c r="G38" s="46">
        <f t="shared" si="0"/>
        <v>30240</v>
      </c>
      <c r="H38" s="46">
        <f>TRUNC(S38*(1-LOTE_01!$K$10),2)</f>
        <v>2.86</v>
      </c>
      <c r="I38" s="46">
        <f>TRUNC(T38*(1-LOTE_01!$K$10),2)</f>
        <v>0.69</v>
      </c>
      <c r="J38" s="100">
        <f t="shared" si="1"/>
        <v>0.22470000000000001</v>
      </c>
      <c r="K38" s="48">
        <f t="shared" si="2"/>
        <v>3.5</v>
      </c>
      <c r="L38" s="48">
        <f t="shared" si="3"/>
        <v>0.84</v>
      </c>
      <c r="M38" s="48">
        <f t="shared" si="4"/>
        <v>105840</v>
      </c>
      <c r="N38" s="48">
        <f t="shared" si="5"/>
        <v>25401.599999999999</v>
      </c>
      <c r="O38" s="50">
        <f t="shared" si="6"/>
        <v>131241.60000000001</v>
      </c>
      <c r="P38" s="50">
        <v>0</v>
      </c>
      <c r="Q38" s="76"/>
      <c r="R38" s="140">
        <f>R37*60</f>
        <v>30240</v>
      </c>
      <c r="S38" s="79">
        <v>2.86</v>
      </c>
      <c r="T38" s="80">
        <v>0.69</v>
      </c>
    </row>
    <row r="39" spans="2:20" ht="28">
      <c r="B39" s="5" t="s">
        <v>164</v>
      </c>
      <c r="C39" s="45" t="s">
        <v>165</v>
      </c>
      <c r="D39" s="45" t="s">
        <v>166</v>
      </c>
      <c r="E39" s="6" t="s">
        <v>167</v>
      </c>
      <c r="F39" s="45" t="s">
        <v>168</v>
      </c>
      <c r="G39" s="46">
        <f t="shared" si="0"/>
        <v>42</v>
      </c>
      <c r="H39" s="46">
        <f>TRUNC(S39*(1-LOTE_01!$K$10),2)</f>
        <v>487.75</v>
      </c>
      <c r="I39" s="46">
        <f>TRUNC(T39*(1-LOTE_01!$K$10),2)</f>
        <v>234.01</v>
      </c>
      <c r="J39" s="100">
        <f t="shared" si="1"/>
        <v>0.22470000000000001</v>
      </c>
      <c r="K39" s="48">
        <f t="shared" si="2"/>
        <v>597.34</v>
      </c>
      <c r="L39" s="48">
        <f t="shared" si="3"/>
        <v>286.58999999999997</v>
      </c>
      <c r="M39" s="48">
        <f t="shared" si="4"/>
        <v>25088.28</v>
      </c>
      <c r="N39" s="48">
        <f t="shared" si="5"/>
        <v>12036.78</v>
      </c>
      <c r="O39" s="50">
        <f t="shared" si="6"/>
        <v>37125.06</v>
      </c>
      <c r="P39" s="50">
        <v>0</v>
      </c>
      <c r="Q39" s="76"/>
      <c r="R39" s="140">
        <f>IF((3*S9+3*S10)&gt;50,50,(3*S9+3*S10))</f>
        <v>42</v>
      </c>
      <c r="S39" s="79">
        <v>487.75</v>
      </c>
      <c r="T39" s="80">
        <v>234.01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723003.8899999999</v>
      </c>
      <c r="Q40" s="107"/>
      <c r="R40" s="154"/>
      <c r="S40" s="43" t="s">
        <v>22</v>
      </c>
      <c r="T40" s="44" t="s">
        <v>22</v>
      </c>
    </row>
    <row r="41" spans="2:20" ht="42">
      <c r="B41" s="5" t="s">
        <v>169</v>
      </c>
      <c r="C41" s="45" t="s">
        <v>135</v>
      </c>
      <c r="D41" s="45">
        <v>97622</v>
      </c>
      <c r="E41" s="6" t="s">
        <v>170</v>
      </c>
      <c r="F41" s="45" t="s">
        <v>161</v>
      </c>
      <c r="G41" s="46">
        <f t="shared" si="0"/>
        <v>280</v>
      </c>
      <c r="H41" s="46">
        <f>TRUNC(S41*(1-LOTE_01!$K$10),2)</f>
        <v>27.41</v>
      </c>
      <c r="I41" s="46">
        <f>TRUNC(T41*(1-LOTE_01!$K$10),2)</f>
        <v>43.68</v>
      </c>
      <c r="J41" s="100">
        <f t="shared" si="1"/>
        <v>0.22470000000000001</v>
      </c>
      <c r="K41" s="48">
        <f t="shared" si="2"/>
        <v>33.56</v>
      </c>
      <c r="L41" s="48">
        <f t="shared" si="3"/>
        <v>53.49</v>
      </c>
      <c r="M41" s="48">
        <f t="shared" si="4"/>
        <v>9396.7999999999993</v>
      </c>
      <c r="N41" s="48">
        <f t="shared" si="5"/>
        <v>14977.2</v>
      </c>
      <c r="O41" s="50">
        <f t="shared" si="6"/>
        <v>24374</v>
      </c>
      <c r="P41" s="50">
        <v>0</v>
      </c>
      <c r="Q41" s="76"/>
      <c r="R41" s="140">
        <f>20*S9+20*S10</f>
        <v>280</v>
      </c>
      <c r="S41" s="79">
        <v>27.410000000000004</v>
      </c>
      <c r="T41" s="80">
        <v>43.68</v>
      </c>
    </row>
    <row r="42" spans="2:20" ht="42">
      <c r="B42" s="5" t="s">
        <v>171</v>
      </c>
      <c r="C42" s="45" t="s">
        <v>135</v>
      </c>
      <c r="D42" s="45">
        <v>97624</v>
      </c>
      <c r="E42" s="6" t="s">
        <v>172</v>
      </c>
      <c r="F42" s="45" t="s">
        <v>161</v>
      </c>
      <c r="G42" s="46">
        <f t="shared" si="0"/>
        <v>10</v>
      </c>
      <c r="H42" s="46">
        <f>TRUNC(S42*(1-LOTE_01!$K$10),2)</f>
        <v>51.54</v>
      </c>
      <c r="I42" s="46">
        <f>TRUNC(T42*(1-LOTE_01!$K$10),2)</f>
        <v>82.11</v>
      </c>
      <c r="J42" s="100">
        <f t="shared" si="1"/>
        <v>0.22470000000000001</v>
      </c>
      <c r="K42" s="48">
        <f t="shared" si="2"/>
        <v>63.12</v>
      </c>
      <c r="L42" s="48">
        <f t="shared" si="3"/>
        <v>100.56</v>
      </c>
      <c r="M42" s="48">
        <f t="shared" si="4"/>
        <v>631.20000000000005</v>
      </c>
      <c r="N42" s="48">
        <f t="shared" si="5"/>
        <v>1005.6</v>
      </c>
      <c r="O42" s="50">
        <f t="shared" si="6"/>
        <v>1636.8</v>
      </c>
      <c r="P42" s="50">
        <v>0</v>
      </c>
      <c r="Q42" s="76"/>
      <c r="R42" s="140">
        <f>IF((5*S9+5*S10)&gt;10,10,(5*S9+5*S10))</f>
        <v>10</v>
      </c>
      <c r="S42" s="79">
        <v>51.540000000000006</v>
      </c>
      <c r="T42" s="80">
        <v>82.11</v>
      </c>
    </row>
    <row r="43" spans="2:20" ht="56">
      <c r="B43" s="5" t="s">
        <v>173</v>
      </c>
      <c r="C43" s="45" t="s">
        <v>135</v>
      </c>
      <c r="D43" s="45">
        <v>97625</v>
      </c>
      <c r="E43" s="6" t="s">
        <v>174</v>
      </c>
      <c r="F43" s="45" t="s">
        <v>161</v>
      </c>
      <c r="G43" s="46">
        <f t="shared" si="0"/>
        <v>100</v>
      </c>
      <c r="H43" s="46">
        <f>TRUNC(S43*(1-LOTE_01!$K$10),2)</f>
        <v>48.69</v>
      </c>
      <c r="I43" s="46">
        <f>TRUNC(T43*(1-LOTE_01!$K$10),2)</f>
        <v>11.79</v>
      </c>
      <c r="J43" s="100">
        <f t="shared" si="1"/>
        <v>0.22470000000000001</v>
      </c>
      <c r="K43" s="48">
        <f t="shared" si="2"/>
        <v>59.63</v>
      </c>
      <c r="L43" s="48">
        <f t="shared" si="3"/>
        <v>14.43</v>
      </c>
      <c r="M43" s="48">
        <f t="shared" si="4"/>
        <v>5963</v>
      </c>
      <c r="N43" s="48">
        <f t="shared" si="5"/>
        <v>1443</v>
      </c>
      <c r="O43" s="50">
        <f t="shared" si="6"/>
        <v>7406</v>
      </c>
      <c r="P43" s="50">
        <v>0</v>
      </c>
      <c r="Q43" s="76"/>
      <c r="R43" s="140">
        <f>IF((5*S9+10*S10)&gt;200,200,(5*S9+10*S10))</f>
        <v>100</v>
      </c>
      <c r="S43" s="79">
        <v>48.69</v>
      </c>
      <c r="T43" s="80">
        <v>11.79</v>
      </c>
    </row>
    <row r="44" spans="2:20" ht="56">
      <c r="B44" s="5" t="s">
        <v>175</v>
      </c>
      <c r="C44" s="45" t="s">
        <v>135</v>
      </c>
      <c r="D44" s="45">
        <v>97626</v>
      </c>
      <c r="E44" s="6" t="s">
        <v>176</v>
      </c>
      <c r="F44" s="45" t="s">
        <v>161</v>
      </c>
      <c r="G44" s="46">
        <f t="shared" si="0"/>
        <v>10</v>
      </c>
      <c r="H44" s="46">
        <f>TRUNC(S44*(1-LOTE_01!$K$10),2)</f>
        <v>275.49</v>
      </c>
      <c r="I44" s="46">
        <f>TRUNC(T44*(1-LOTE_01!$K$10),2)</f>
        <v>438.93</v>
      </c>
      <c r="J44" s="100">
        <f t="shared" si="1"/>
        <v>0.22470000000000001</v>
      </c>
      <c r="K44" s="48">
        <f t="shared" si="2"/>
        <v>337.39</v>
      </c>
      <c r="L44" s="48">
        <f t="shared" si="3"/>
        <v>537.54999999999995</v>
      </c>
      <c r="M44" s="48">
        <f t="shared" si="4"/>
        <v>3373.9</v>
      </c>
      <c r="N44" s="48">
        <f t="shared" si="5"/>
        <v>5375.5</v>
      </c>
      <c r="O44" s="50">
        <f t="shared" si="6"/>
        <v>8749.4</v>
      </c>
      <c r="P44" s="50">
        <v>0</v>
      </c>
      <c r="Q44" s="76"/>
      <c r="R44" s="140">
        <f>IF((S9+S10)&gt;10,10,(S9+S10))</f>
        <v>10</v>
      </c>
      <c r="S44" s="79">
        <v>275.48999999999995</v>
      </c>
      <c r="T44" s="80">
        <v>438.93</v>
      </c>
    </row>
    <row r="45" spans="2:20" ht="42">
      <c r="B45" s="5" t="s">
        <v>177</v>
      </c>
      <c r="C45" s="45" t="s">
        <v>135</v>
      </c>
      <c r="D45" s="45">
        <v>97628</v>
      </c>
      <c r="E45" s="6" t="s">
        <v>178</v>
      </c>
      <c r="F45" s="45" t="s">
        <v>161</v>
      </c>
      <c r="G45" s="46">
        <f t="shared" si="0"/>
        <v>5</v>
      </c>
      <c r="H45" s="46">
        <f>TRUNC(S45*(1-LOTE_01!$K$10),2)</f>
        <v>128.31</v>
      </c>
      <c r="I45" s="46">
        <f>TRUNC(T45*(1-LOTE_01!$K$10),2)</f>
        <v>204.42</v>
      </c>
      <c r="J45" s="100">
        <f t="shared" si="1"/>
        <v>0.22470000000000001</v>
      </c>
      <c r="K45" s="48">
        <f t="shared" si="2"/>
        <v>157.13999999999999</v>
      </c>
      <c r="L45" s="48">
        <f t="shared" si="3"/>
        <v>250.35</v>
      </c>
      <c r="M45" s="48">
        <f t="shared" si="4"/>
        <v>785.7</v>
      </c>
      <c r="N45" s="48">
        <f t="shared" si="5"/>
        <v>1251.75</v>
      </c>
      <c r="O45" s="50">
        <f t="shared" si="6"/>
        <v>2037.45</v>
      </c>
      <c r="P45" s="50">
        <v>0</v>
      </c>
      <c r="Q45" s="76"/>
      <c r="R45" s="140">
        <f>IF((S10+S9)&gt;5,5,(S10+S9))</f>
        <v>5</v>
      </c>
      <c r="S45" s="79">
        <v>128.31000000000003</v>
      </c>
      <c r="T45" s="80">
        <v>204.42</v>
      </c>
    </row>
    <row r="46" spans="2:20" ht="28">
      <c r="B46" s="5" t="s">
        <v>179</v>
      </c>
      <c r="C46" s="45" t="s">
        <v>165</v>
      </c>
      <c r="D46" s="45" t="s">
        <v>180</v>
      </c>
      <c r="E46" s="6" t="s">
        <v>181</v>
      </c>
      <c r="F46" s="45" t="s">
        <v>182</v>
      </c>
      <c r="G46" s="46">
        <f t="shared" si="0"/>
        <v>5</v>
      </c>
      <c r="H46" s="46">
        <f>TRUNC(S46*(1-LOTE_01!$K$10),2)</f>
        <v>0</v>
      </c>
      <c r="I46" s="46">
        <f>TRUNC(T46*(1-LOTE_01!$K$10),2)</f>
        <v>195</v>
      </c>
      <c r="J46" s="100">
        <f t="shared" si="1"/>
        <v>0.22470000000000001</v>
      </c>
      <c r="K46" s="48">
        <f t="shared" si="2"/>
        <v>0</v>
      </c>
      <c r="L46" s="48">
        <f t="shared" si="3"/>
        <v>238.81</v>
      </c>
      <c r="M46" s="48">
        <f t="shared" si="4"/>
        <v>0</v>
      </c>
      <c r="N46" s="48">
        <f t="shared" si="5"/>
        <v>1194.05</v>
      </c>
      <c r="O46" s="50">
        <f t="shared" si="6"/>
        <v>1194.05</v>
      </c>
      <c r="P46" s="50">
        <v>0</v>
      </c>
      <c r="Q46" s="76"/>
      <c r="R46" s="140">
        <f>IF((S10+S9)&gt;5,5,(S10+S9))</f>
        <v>5</v>
      </c>
      <c r="S46" s="79">
        <v>0</v>
      </c>
      <c r="T46" s="80">
        <v>195</v>
      </c>
    </row>
    <row r="47" spans="2:20" ht="42">
      <c r="B47" s="5" t="s">
        <v>183</v>
      </c>
      <c r="C47" s="45" t="s">
        <v>135</v>
      </c>
      <c r="D47" s="45">
        <v>97631</v>
      </c>
      <c r="E47" s="6" t="s">
        <v>184</v>
      </c>
      <c r="F47" s="45" t="s">
        <v>121</v>
      </c>
      <c r="G47" s="46">
        <f t="shared" si="0"/>
        <v>1000</v>
      </c>
      <c r="H47" s="46">
        <f>TRUNC(S47*(1-LOTE_01!$K$10),2)</f>
        <v>5.41</v>
      </c>
      <c r="I47" s="46">
        <f>TRUNC(T47*(1-LOTE_01!$K$10),2)</f>
        <v>8.84</v>
      </c>
      <c r="J47" s="100">
        <f t="shared" si="1"/>
        <v>0.22470000000000001</v>
      </c>
      <c r="K47" s="48">
        <f t="shared" si="2"/>
        <v>6.62</v>
      </c>
      <c r="L47" s="48">
        <f t="shared" si="3"/>
        <v>10.82</v>
      </c>
      <c r="M47" s="48">
        <f t="shared" si="4"/>
        <v>6620</v>
      </c>
      <c r="N47" s="48">
        <f t="shared" si="5"/>
        <v>10820</v>
      </c>
      <c r="O47" s="50">
        <f t="shared" si="6"/>
        <v>17440</v>
      </c>
      <c r="P47" s="50">
        <v>0</v>
      </c>
      <c r="Q47" s="76"/>
      <c r="R47" s="140">
        <f>IF((50*S9+100*S10)&gt;1000,1000,(50*S9+100*S10))</f>
        <v>1000</v>
      </c>
      <c r="S47" s="79">
        <v>5.41</v>
      </c>
      <c r="T47" s="80">
        <v>8.84</v>
      </c>
    </row>
    <row r="48" spans="2:20" ht="42">
      <c r="B48" s="5" t="s">
        <v>185</v>
      </c>
      <c r="C48" s="45" t="s">
        <v>135</v>
      </c>
      <c r="D48" s="45">
        <v>97632</v>
      </c>
      <c r="E48" s="6" t="s">
        <v>186</v>
      </c>
      <c r="F48" s="45" t="s">
        <v>187</v>
      </c>
      <c r="G48" s="46">
        <f t="shared" si="0"/>
        <v>1400</v>
      </c>
      <c r="H48" s="46">
        <f>TRUNC(S48*(1-LOTE_01!$K$10),2)</f>
        <v>1.24</v>
      </c>
      <c r="I48" s="46">
        <f>TRUNC(T48*(1-LOTE_01!$K$10),2)</f>
        <v>2.14</v>
      </c>
      <c r="J48" s="100">
        <f t="shared" si="1"/>
        <v>0.22470000000000001</v>
      </c>
      <c r="K48" s="48">
        <f t="shared" si="2"/>
        <v>1.51</v>
      </c>
      <c r="L48" s="48">
        <f t="shared" si="3"/>
        <v>2.62</v>
      </c>
      <c r="M48" s="48">
        <f t="shared" si="4"/>
        <v>2114</v>
      </c>
      <c r="N48" s="48">
        <f t="shared" si="5"/>
        <v>3668</v>
      </c>
      <c r="O48" s="50">
        <f t="shared" si="6"/>
        <v>5782</v>
      </c>
      <c r="P48" s="50">
        <v>0</v>
      </c>
      <c r="Q48" s="76"/>
      <c r="R48" s="140">
        <f>100*S9+100*S10</f>
        <v>1400</v>
      </c>
      <c r="S48" s="79">
        <v>1.2399999999999998</v>
      </c>
      <c r="T48" s="80">
        <v>2.14</v>
      </c>
    </row>
    <row r="49" spans="2:20" ht="42">
      <c r="B49" s="5" t="s">
        <v>188</v>
      </c>
      <c r="C49" s="45" t="s">
        <v>135</v>
      </c>
      <c r="D49" s="45">
        <v>97633</v>
      </c>
      <c r="E49" s="6" t="s">
        <v>189</v>
      </c>
      <c r="F49" s="45" t="s">
        <v>121</v>
      </c>
      <c r="G49" s="46">
        <f t="shared" si="0"/>
        <v>2800</v>
      </c>
      <c r="H49" s="46">
        <f>TRUNC(S49*(1-LOTE_01!$K$10),2)</f>
        <v>10.8</v>
      </c>
      <c r="I49" s="46">
        <f>TRUNC(T49*(1-LOTE_01!$K$10),2)</f>
        <v>18.78</v>
      </c>
      <c r="J49" s="100">
        <f t="shared" si="1"/>
        <v>0.22470000000000001</v>
      </c>
      <c r="K49" s="48">
        <f t="shared" si="2"/>
        <v>13.22</v>
      </c>
      <c r="L49" s="48">
        <f t="shared" si="3"/>
        <v>22.99</v>
      </c>
      <c r="M49" s="48">
        <f t="shared" si="4"/>
        <v>37016</v>
      </c>
      <c r="N49" s="48">
        <f t="shared" si="5"/>
        <v>64372</v>
      </c>
      <c r="O49" s="50">
        <f t="shared" si="6"/>
        <v>101388</v>
      </c>
      <c r="P49" s="50">
        <v>0</v>
      </c>
      <c r="Q49" s="76"/>
      <c r="R49" s="140">
        <f>400*S10+50*S9</f>
        <v>2800</v>
      </c>
      <c r="S49" s="79">
        <v>10.799999999999997</v>
      </c>
      <c r="T49" s="80">
        <v>18.78</v>
      </c>
    </row>
    <row r="50" spans="2:20" ht="28">
      <c r="B50" s="5" t="s">
        <v>190</v>
      </c>
      <c r="C50" s="45" t="s">
        <v>165</v>
      </c>
      <c r="D50" s="45" t="s">
        <v>191</v>
      </c>
      <c r="E50" s="6" t="s">
        <v>192</v>
      </c>
      <c r="F50" s="45" t="s">
        <v>168</v>
      </c>
      <c r="G50" s="46">
        <f t="shared" si="0"/>
        <v>2560</v>
      </c>
      <c r="H50" s="46">
        <f>TRUNC(S50*(1-LOTE_01!$K$10),2)</f>
        <v>0</v>
      </c>
      <c r="I50" s="46">
        <f>TRUNC(T50*(1-LOTE_01!$K$10),2)</f>
        <v>3.75</v>
      </c>
      <c r="J50" s="100">
        <f t="shared" si="1"/>
        <v>0.22470000000000001</v>
      </c>
      <c r="K50" s="48">
        <f t="shared" si="2"/>
        <v>0</v>
      </c>
      <c r="L50" s="48">
        <f t="shared" si="3"/>
        <v>4.59</v>
      </c>
      <c r="M50" s="48">
        <f t="shared" si="4"/>
        <v>0</v>
      </c>
      <c r="N50" s="48">
        <f t="shared" si="5"/>
        <v>11750.4</v>
      </c>
      <c r="O50" s="50">
        <f t="shared" si="6"/>
        <v>11750.4</v>
      </c>
      <c r="P50" s="50">
        <v>0</v>
      </c>
      <c r="Q50" s="76"/>
      <c r="R50" s="140">
        <f>400*S10+20*S9</f>
        <v>2560</v>
      </c>
      <c r="S50" s="79">
        <v>0</v>
      </c>
      <c r="T50" s="80">
        <v>3.75</v>
      </c>
    </row>
    <row r="51" spans="2:20" ht="56">
      <c r="B51" s="5" t="s">
        <v>193</v>
      </c>
      <c r="C51" s="45" t="s">
        <v>135</v>
      </c>
      <c r="D51" s="45">
        <v>97627</v>
      </c>
      <c r="E51" s="6" t="s">
        <v>194</v>
      </c>
      <c r="F51" s="45" t="s">
        <v>161</v>
      </c>
      <c r="G51" s="46">
        <f t="shared" si="0"/>
        <v>10</v>
      </c>
      <c r="H51" s="46">
        <f>TRUNC(S51*(1-LOTE_01!$K$10),2)</f>
        <v>83.85</v>
      </c>
      <c r="I51" s="46">
        <f>TRUNC(T51*(1-LOTE_01!$K$10),2)</f>
        <v>172.87</v>
      </c>
      <c r="J51" s="100">
        <f t="shared" si="1"/>
        <v>0.22470000000000001</v>
      </c>
      <c r="K51" s="48">
        <f t="shared" si="2"/>
        <v>102.69</v>
      </c>
      <c r="L51" s="48">
        <f t="shared" si="3"/>
        <v>211.71</v>
      </c>
      <c r="M51" s="48">
        <f t="shared" si="4"/>
        <v>1026.9000000000001</v>
      </c>
      <c r="N51" s="48">
        <f t="shared" si="5"/>
        <v>2117.1</v>
      </c>
      <c r="O51" s="50">
        <f t="shared" si="6"/>
        <v>3144</v>
      </c>
      <c r="P51" s="50">
        <v>0</v>
      </c>
      <c r="Q51" s="76"/>
      <c r="R51" s="140">
        <f>IF((S9+S10)&gt;10,10,(S9+S10))</f>
        <v>10</v>
      </c>
      <c r="S51" s="79">
        <v>83.850000000000023</v>
      </c>
      <c r="T51" s="80">
        <v>172.87</v>
      </c>
    </row>
    <row r="52" spans="2:20" ht="28">
      <c r="B52" s="5" t="s">
        <v>195</v>
      </c>
      <c r="C52" s="45" t="s">
        <v>165</v>
      </c>
      <c r="D52" s="45" t="s">
        <v>196</v>
      </c>
      <c r="E52" s="6" t="s">
        <v>197</v>
      </c>
      <c r="F52" s="45" t="s">
        <v>168</v>
      </c>
      <c r="G52" s="46">
        <f t="shared" si="0"/>
        <v>1000</v>
      </c>
      <c r="H52" s="46">
        <f>TRUNC(S52*(1-LOTE_01!$K$10),2)</f>
        <v>0</v>
      </c>
      <c r="I52" s="46">
        <f>TRUNC(T52*(1-LOTE_01!$K$10),2)</f>
        <v>19.5</v>
      </c>
      <c r="J52" s="100">
        <f t="shared" si="1"/>
        <v>0.22470000000000001</v>
      </c>
      <c r="K52" s="48">
        <f t="shared" si="2"/>
        <v>0</v>
      </c>
      <c r="L52" s="48">
        <f t="shared" si="3"/>
        <v>23.88</v>
      </c>
      <c r="M52" s="48">
        <f t="shared" si="4"/>
        <v>0</v>
      </c>
      <c r="N52" s="48">
        <f t="shared" si="5"/>
        <v>23880</v>
      </c>
      <c r="O52" s="50">
        <f t="shared" si="6"/>
        <v>23880</v>
      </c>
      <c r="P52" s="50">
        <v>0</v>
      </c>
      <c r="Q52" s="76"/>
      <c r="R52" s="140">
        <f>IF((50*S9+100*S10)&gt;1000,1000,(50*S9+100*S10))</f>
        <v>1000</v>
      </c>
      <c r="S52" s="79">
        <v>0</v>
      </c>
      <c r="T52" s="80">
        <v>19.5</v>
      </c>
    </row>
    <row r="53" spans="2:20" ht="28">
      <c r="B53" s="5" t="s">
        <v>198</v>
      </c>
      <c r="C53" s="45" t="s">
        <v>165</v>
      </c>
      <c r="D53" s="45" t="s">
        <v>199</v>
      </c>
      <c r="E53" s="6" t="s">
        <v>200</v>
      </c>
      <c r="F53" s="45" t="s">
        <v>168</v>
      </c>
      <c r="G53" s="46">
        <f t="shared" si="0"/>
        <v>200</v>
      </c>
      <c r="H53" s="46">
        <f>TRUNC(S53*(1-LOTE_01!$K$10),2)</f>
        <v>0</v>
      </c>
      <c r="I53" s="46">
        <f>TRUNC(T53*(1-LOTE_01!$K$10),2)</f>
        <v>10.5</v>
      </c>
      <c r="J53" s="100">
        <f t="shared" si="1"/>
        <v>0.22470000000000001</v>
      </c>
      <c r="K53" s="48">
        <f t="shared" si="2"/>
        <v>0</v>
      </c>
      <c r="L53" s="48">
        <f t="shared" si="3"/>
        <v>12.85</v>
      </c>
      <c r="M53" s="48">
        <f t="shared" si="4"/>
        <v>0</v>
      </c>
      <c r="N53" s="48">
        <f t="shared" si="5"/>
        <v>2570</v>
      </c>
      <c r="O53" s="50">
        <f t="shared" si="6"/>
        <v>2570</v>
      </c>
      <c r="P53" s="50">
        <v>0</v>
      </c>
      <c r="Q53" s="76"/>
      <c r="R53" s="140">
        <f>IF(50*(S10+S9)&gt;200,200,50*(S10+S9))</f>
        <v>200</v>
      </c>
      <c r="S53" s="79">
        <v>0</v>
      </c>
      <c r="T53" s="80">
        <v>10.5</v>
      </c>
    </row>
    <row r="54" spans="2:20" ht="28">
      <c r="B54" s="5" t="s">
        <v>201</v>
      </c>
      <c r="C54" s="45" t="s">
        <v>165</v>
      </c>
      <c r="D54" s="45" t="s">
        <v>202</v>
      </c>
      <c r="E54" s="6" t="s">
        <v>203</v>
      </c>
      <c r="F54" s="45" t="s">
        <v>168</v>
      </c>
      <c r="G54" s="46">
        <f t="shared" si="0"/>
        <v>200</v>
      </c>
      <c r="H54" s="46">
        <f>TRUNC(S54*(1-LOTE_01!$K$10),2)</f>
        <v>0</v>
      </c>
      <c r="I54" s="46">
        <f>TRUNC(T54*(1-LOTE_01!$K$10),2)</f>
        <v>18.59</v>
      </c>
      <c r="J54" s="100">
        <f t="shared" si="1"/>
        <v>0.22470000000000001</v>
      </c>
      <c r="K54" s="48">
        <f t="shared" si="2"/>
        <v>0</v>
      </c>
      <c r="L54" s="48">
        <f t="shared" si="3"/>
        <v>22.76</v>
      </c>
      <c r="M54" s="48">
        <f t="shared" si="4"/>
        <v>0</v>
      </c>
      <c r="N54" s="48">
        <f t="shared" si="5"/>
        <v>4552</v>
      </c>
      <c r="O54" s="50">
        <f t="shared" si="6"/>
        <v>4552</v>
      </c>
      <c r="P54" s="50">
        <v>0</v>
      </c>
      <c r="Q54" s="76"/>
      <c r="R54" s="140">
        <f>IF(20*(S10+S9)&gt;200,200,20*(S10+S9))</f>
        <v>200</v>
      </c>
      <c r="S54" s="79">
        <v>0</v>
      </c>
      <c r="T54" s="80">
        <v>18.59</v>
      </c>
    </row>
    <row r="55" spans="2:20" ht="42">
      <c r="B55" s="5" t="s">
        <v>204</v>
      </c>
      <c r="C55" s="45" t="s">
        <v>165</v>
      </c>
      <c r="D55" s="45" t="s">
        <v>205</v>
      </c>
      <c r="E55" s="6" t="s">
        <v>206</v>
      </c>
      <c r="F55" s="45" t="s">
        <v>168</v>
      </c>
      <c r="G55" s="46">
        <f t="shared" si="0"/>
        <v>5600</v>
      </c>
      <c r="H55" s="46">
        <f>TRUNC(S55*(1-LOTE_01!$K$10),2)</f>
        <v>0</v>
      </c>
      <c r="I55" s="46">
        <f>TRUNC(T55*(1-LOTE_01!$K$10),2)</f>
        <v>21</v>
      </c>
      <c r="J55" s="100">
        <f t="shared" si="1"/>
        <v>0.22470000000000001</v>
      </c>
      <c r="K55" s="48">
        <f t="shared" si="2"/>
        <v>0</v>
      </c>
      <c r="L55" s="48">
        <f t="shared" si="3"/>
        <v>25.71</v>
      </c>
      <c r="M55" s="48">
        <f t="shared" si="4"/>
        <v>0</v>
      </c>
      <c r="N55" s="48">
        <f t="shared" si="5"/>
        <v>143976</v>
      </c>
      <c r="O55" s="50">
        <f t="shared" si="6"/>
        <v>143976</v>
      </c>
      <c r="P55" s="50">
        <v>0</v>
      </c>
      <c r="Q55" s="76"/>
      <c r="R55" s="140">
        <f>400*(S10+S9)</f>
        <v>5600</v>
      </c>
      <c r="S55" s="79">
        <v>0</v>
      </c>
      <c r="T55" s="80">
        <v>21</v>
      </c>
    </row>
    <row r="56" spans="2:20" ht="28">
      <c r="B56" s="5" t="s">
        <v>207</v>
      </c>
      <c r="C56" s="45" t="s">
        <v>165</v>
      </c>
      <c r="D56" s="45" t="s">
        <v>196</v>
      </c>
      <c r="E56" s="6" t="s">
        <v>197</v>
      </c>
      <c r="F56" s="45" t="s">
        <v>168</v>
      </c>
      <c r="G56" s="46">
        <f t="shared" si="0"/>
        <v>1000</v>
      </c>
      <c r="H56" s="46">
        <f>TRUNC(S56*(1-LOTE_01!$K$10),2)</f>
        <v>0</v>
      </c>
      <c r="I56" s="46">
        <f>TRUNC(T56*(1-LOTE_01!$K$10),2)</f>
        <v>19.5</v>
      </c>
      <c r="J56" s="100">
        <f t="shared" si="1"/>
        <v>0.22470000000000001</v>
      </c>
      <c r="K56" s="48">
        <f t="shared" si="2"/>
        <v>0</v>
      </c>
      <c r="L56" s="48">
        <f t="shared" si="3"/>
        <v>23.88</v>
      </c>
      <c r="M56" s="48">
        <f t="shared" si="4"/>
        <v>0</v>
      </c>
      <c r="N56" s="48">
        <f t="shared" si="5"/>
        <v>23880</v>
      </c>
      <c r="O56" s="50">
        <f t="shared" si="6"/>
        <v>23880</v>
      </c>
      <c r="P56" s="50">
        <v>0</v>
      </c>
      <c r="Q56" s="76"/>
      <c r="R56" s="140">
        <f>IF((50*S9+100*S10)&gt;1000,1000,(50*S9+100*S10))</f>
        <v>1000</v>
      </c>
      <c r="S56" s="79">
        <v>0</v>
      </c>
      <c r="T56" s="80">
        <v>19.5</v>
      </c>
    </row>
    <row r="57" spans="2:20" ht="42">
      <c r="B57" s="5" t="s">
        <v>208</v>
      </c>
      <c r="C57" s="45" t="s">
        <v>135</v>
      </c>
      <c r="D57" s="45">
        <v>97666</v>
      </c>
      <c r="E57" s="6" t="s">
        <v>209</v>
      </c>
      <c r="F57" s="45" t="s">
        <v>210</v>
      </c>
      <c r="G57" s="46">
        <f t="shared" si="0"/>
        <v>30</v>
      </c>
      <c r="H57" s="46">
        <f>TRUNC(S57*(1-LOTE_01!$K$10),2)</f>
        <v>4.29</v>
      </c>
      <c r="I57" s="46">
        <f>TRUNC(T57*(1-LOTE_01!$K$10),2)</f>
        <v>7.2</v>
      </c>
      <c r="J57" s="100">
        <f t="shared" si="1"/>
        <v>0.22470000000000001</v>
      </c>
      <c r="K57" s="48">
        <f t="shared" si="2"/>
        <v>5.25</v>
      </c>
      <c r="L57" s="48">
        <f t="shared" si="3"/>
        <v>8.81</v>
      </c>
      <c r="M57" s="48">
        <f t="shared" si="4"/>
        <v>157.5</v>
      </c>
      <c r="N57" s="48">
        <f t="shared" si="5"/>
        <v>264.3</v>
      </c>
      <c r="O57" s="50">
        <f t="shared" si="6"/>
        <v>421.8</v>
      </c>
      <c r="P57" s="50">
        <v>0</v>
      </c>
      <c r="Q57" s="76"/>
      <c r="R57" s="140">
        <f>IF((2*S9+8*S10)&gt;30,30,(2*S9+8*S10))</f>
        <v>30</v>
      </c>
      <c r="S57" s="79">
        <v>4.29</v>
      </c>
      <c r="T57" s="80">
        <v>7.2</v>
      </c>
    </row>
    <row r="58" spans="2:20" ht="56">
      <c r="B58" s="5" t="s">
        <v>211</v>
      </c>
      <c r="C58" s="45" t="s">
        <v>135</v>
      </c>
      <c r="D58" s="45">
        <v>97635</v>
      </c>
      <c r="E58" s="6" t="s">
        <v>212</v>
      </c>
      <c r="F58" s="45" t="s">
        <v>121</v>
      </c>
      <c r="G58" s="46">
        <f t="shared" si="0"/>
        <v>300</v>
      </c>
      <c r="H58" s="46">
        <f>TRUNC(S58*(1-LOTE_01!$K$10),2)</f>
        <v>7.47</v>
      </c>
      <c r="I58" s="46">
        <f>TRUNC(T58*(1-LOTE_01!$K$10),2)</f>
        <v>12.94</v>
      </c>
      <c r="J58" s="100">
        <f t="shared" si="1"/>
        <v>0.22470000000000001</v>
      </c>
      <c r="K58" s="48">
        <f t="shared" si="2"/>
        <v>9.14</v>
      </c>
      <c r="L58" s="48">
        <f t="shared" si="3"/>
        <v>15.84</v>
      </c>
      <c r="M58" s="48">
        <f t="shared" si="4"/>
        <v>2742</v>
      </c>
      <c r="N58" s="48">
        <f t="shared" si="5"/>
        <v>4752</v>
      </c>
      <c r="O58" s="50">
        <f t="shared" si="6"/>
        <v>7494</v>
      </c>
      <c r="P58" s="50">
        <v>0</v>
      </c>
      <c r="Q58" s="76"/>
      <c r="R58" s="140">
        <f>IF((50*S9+100*S10)&gt;300,300,(50*S9+100*S10))</f>
        <v>300</v>
      </c>
      <c r="S58" s="79">
        <v>7.4700000000000006</v>
      </c>
      <c r="T58" s="80">
        <v>12.94</v>
      </c>
    </row>
    <row r="59" spans="2:20" ht="56">
      <c r="B59" s="5" t="s">
        <v>213</v>
      </c>
      <c r="C59" s="45" t="s">
        <v>135</v>
      </c>
      <c r="D59" s="45">
        <v>97643</v>
      </c>
      <c r="E59" s="6" t="s">
        <v>214</v>
      </c>
      <c r="F59" s="45" t="s">
        <v>121</v>
      </c>
      <c r="G59" s="46">
        <f t="shared" si="0"/>
        <v>200</v>
      </c>
      <c r="H59" s="46">
        <f>TRUNC(S59*(1-LOTE_01!$K$10),2)</f>
        <v>11.83</v>
      </c>
      <c r="I59" s="46">
        <f>TRUNC(T59*(1-LOTE_01!$K$10),2)</f>
        <v>19.62</v>
      </c>
      <c r="J59" s="100">
        <f t="shared" si="1"/>
        <v>0.22470000000000001</v>
      </c>
      <c r="K59" s="48">
        <f t="shared" si="2"/>
        <v>14.48</v>
      </c>
      <c r="L59" s="48">
        <f t="shared" si="3"/>
        <v>24.02</v>
      </c>
      <c r="M59" s="48">
        <f t="shared" si="4"/>
        <v>2896</v>
      </c>
      <c r="N59" s="48">
        <f t="shared" si="5"/>
        <v>4804</v>
      </c>
      <c r="O59" s="50">
        <f t="shared" si="6"/>
        <v>7700</v>
      </c>
      <c r="P59" s="50">
        <v>0</v>
      </c>
      <c r="Q59" s="76"/>
      <c r="R59" s="140">
        <f>IF((50*S9+50*S10)&gt;200,200,(50*S9+50*S10))</f>
        <v>200</v>
      </c>
      <c r="S59" s="79">
        <v>11.829999999999998</v>
      </c>
      <c r="T59" s="80">
        <v>19.62</v>
      </c>
    </row>
    <row r="60" spans="2:20" ht="28">
      <c r="B60" s="5" t="s">
        <v>215</v>
      </c>
      <c r="C60" s="45" t="s">
        <v>165</v>
      </c>
      <c r="D60" s="45" t="s">
        <v>216</v>
      </c>
      <c r="E60" s="6" t="s">
        <v>217</v>
      </c>
      <c r="F60" s="45" t="s">
        <v>168</v>
      </c>
      <c r="G60" s="46">
        <f t="shared" si="0"/>
        <v>50</v>
      </c>
      <c r="H60" s="46">
        <f>TRUNC(S60*(1-LOTE_01!$K$10),2)</f>
        <v>0</v>
      </c>
      <c r="I60" s="46">
        <f>TRUNC(T60*(1-LOTE_01!$K$10),2)</f>
        <v>1.5</v>
      </c>
      <c r="J60" s="100">
        <f t="shared" si="1"/>
        <v>0.22470000000000001</v>
      </c>
      <c r="K60" s="48">
        <f t="shared" si="2"/>
        <v>0</v>
      </c>
      <c r="L60" s="48">
        <f t="shared" si="3"/>
        <v>1.83</v>
      </c>
      <c r="M60" s="48">
        <f t="shared" si="4"/>
        <v>0</v>
      </c>
      <c r="N60" s="48">
        <f t="shared" si="5"/>
        <v>91.5</v>
      </c>
      <c r="O60" s="50">
        <f t="shared" si="6"/>
        <v>91.5</v>
      </c>
      <c r="P60" s="50">
        <v>0</v>
      </c>
      <c r="Q60" s="76"/>
      <c r="R60" s="140">
        <f>IF((50*S9+50*S10)&gt;50,50,(50*S9+50*S10))</f>
        <v>50</v>
      </c>
      <c r="S60" s="79">
        <v>0</v>
      </c>
      <c r="T60" s="80">
        <v>1.5</v>
      </c>
    </row>
    <row r="61" spans="2:20" ht="28">
      <c r="B61" s="5" t="s">
        <v>218</v>
      </c>
      <c r="C61" s="45" t="s">
        <v>165</v>
      </c>
      <c r="D61" s="45" t="s">
        <v>219</v>
      </c>
      <c r="E61" s="6" t="s">
        <v>220</v>
      </c>
      <c r="F61" s="45" t="s">
        <v>168</v>
      </c>
      <c r="G61" s="46">
        <f t="shared" si="0"/>
        <v>500</v>
      </c>
      <c r="H61" s="46">
        <f>TRUNC(S61*(1-LOTE_01!$K$10),2)</f>
        <v>0</v>
      </c>
      <c r="I61" s="46">
        <f>TRUNC(T61*(1-LOTE_01!$K$10),2)</f>
        <v>13.5</v>
      </c>
      <c r="J61" s="100">
        <f t="shared" si="1"/>
        <v>0.22470000000000001</v>
      </c>
      <c r="K61" s="48">
        <f t="shared" si="2"/>
        <v>0</v>
      </c>
      <c r="L61" s="48">
        <f t="shared" si="3"/>
        <v>16.53</v>
      </c>
      <c r="M61" s="48">
        <f t="shared" si="4"/>
        <v>0</v>
      </c>
      <c r="N61" s="48">
        <f t="shared" si="5"/>
        <v>8265</v>
      </c>
      <c r="O61" s="50">
        <f t="shared" si="6"/>
        <v>8265</v>
      </c>
      <c r="P61" s="50">
        <v>0</v>
      </c>
      <c r="Q61" s="76"/>
      <c r="R61" s="140">
        <f>IF((20*S9+200*S10)&gt;500,500,((20*S9+200*S10)))</f>
        <v>500</v>
      </c>
      <c r="S61" s="79">
        <v>0</v>
      </c>
      <c r="T61" s="80">
        <v>13.5</v>
      </c>
    </row>
    <row r="62" spans="2:20" ht="42">
      <c r="B62" s="5" t="s">
        <v>221</v>
      </c>
      <c r="C62" s="45" t="s">
        <v>135</v>
      </c>
      <c r="D62" s="45">
        <v>97641</v>
      </c>
      <c r="E62" s="6" t="s">
        <v>222</v>
      </c>
      <c r="F62" s="45" t="s">
        <v>121</v>
      </c>
      <c r="G62" s="46">
        <f t="shared" si="0"/>
        <v>160</v>
      </c>
      <c r="H62" s="46">
        <f>TRUNC(S62*(1-LOTE_01!$K$10),2)</f>
        <v>1.39</v>
      </c>
      <c r="I62" s="46">
        <f>TRUNC(T62*(1-LOTE_01!$K$10),2)</f>
        <v>2.23</v>
      </c>
      <c r="J62" s="100">
        <f t="shared" si="1"/>
        <v>0.22470000000000001</v>
      </c>
      <c r="K62" s="48">
        <f t="shared" si="2"/>
        <v>1.7</v>
      </c>
      <c r="L62" s="48">
        <f t="shared" si="3"/>
        <v>2.73</v>
      </c>
      <c r="M62" s="48">
        <f t="shared" si="4"/>
        <v>272</v>
      </c>
      <c r="N62" s="48">
        <f t="shared" si="5"/>
        <v>436.8</v>
      </c>
      <c r="O62" s="50">
        <f t="shared" si="6"/>
        <v>708.8</v>
      </c>
      <c r="P62" s="50">
        <v>0</v>
      </c>
      <c r="Q62" s="76"/>
      <c r="R62" s="140">
        <f>IF((5*S9+20*S10)&gt;500,500,(5*S9+20*S10))</f>
        <v>160</v>
      </c>
      <c r="S62" s="79">
        <v>1.3900000000000001</v>
      </c>
      <c r="T62" s="80">
        <v>2.23</v>
      </c>
    </row>
    <row r="63" spans="2:20" ht="42">
      <c r="B63" s="5" t="s">
        <v>223</v>
      </c>
      <c r="C63" s="45" t="s">
        <v>135</v>
      </c>
      <c r="D63" s="45">
        <v>97640</v>
      </c>
      <c r="E63" s="6" t="s">
        <v>224</v>
      </c>
      <c r="F63" s="45" t="s">
        <v>121</v>
      </c>
      <c r="G63" s="46">
        <f t="shared" si="0"/>
        <v>2000</v>
      </c>
      <c r="H63" s="46">
        <f>TRUNC(S63*(1-LOTE_01!$K$10),2)</f>
        <v>0.91</v>
      </c>
      <c r="I63" s="46">
        <f>TRUNC(T63*(1-LOTE_01!$K$10),2)</f>
        <v>1.57</v>
      </c>
      <c r="J63" s="100">
        <f t="shared" si="1"/>
        <v>0.22470000000000001</v>
      </c>
      <c r="K63" s="48">
        <f t="shared" si="2"/>
        <v>1.1100000000000001</v>
      </c>
      <c r="L63" s="48">
        <f t="shared" si="3"/>
        <v>1.92</v>
      </c>
      <c r="M63" s="48">
        <f t="shared" si="4"/>
        <v>2220</v>
      </c>
      <c r="N63" s="48">
        <f t="shared" si="5"/>
        <v>3840</v>
      </c>
      <c r="O63" s="50">
        <f t="shared" si="6"/>
        <v>6060</v>
      </c>
      <c r="P63" s="50">
        <v>0</v>
      </c>
      <c r="Q63" s="76"/>
      <c r="R63" s="140">
        <f>IF((200*S9+200*S10)&gt;2000,2000,((20*S9+200*S10)))</f>
        <v>2000</v>
      </c>
      <c r="S63" s="79">
        <v>0.90999999999999992</v>
      </c>
      <c r="T63" s="80">
        <v>1.57</v>
      </c>
    </row>
    <row r="64" spans="2:20" ht="42">
      <c r="B64" s="5" t="s">
        <v>225</v>
      </c>
      <c r="C64" s="45" t="s">
        <v>135</v>
      </c>
      <c r="D64" s="45">
        <v>97663</v>
      </c>
      <c r="E64" s="6" t="s">
        <v>226</v>
      </c>
      <c r="F64" s="45" t="s">
        <v>210</v>
      </c>
      <c r="G64" s="46">
        <f t="shared" si="0"/>
        <v>700</v>
      </c>
      <c r="H64" s="46">
        <f>TRUNC(S64*(1-LOTE_01!$K$10),2)</f>
        <v>5.88</v>
      </c>
      <c r="I64" s="46">
        <f>TRUNC(T64*(1-LOTE_01!$K$10),2)</f>
        <v>9.89</v>
      </c>
      <c r="J64" s="100">
        <f t="shared" si="1"/>
        <v>0.22470000000000001</v>
      </c>
      <c r="K64" s="48">
        <f t="shared" si="2"/>
        <v>7.2</v>
      </c>
      <c r="L64" s="48">
        <f t="shared" si="3"/>
        <v>12.11</v>
      </c>
      <c r="M64" s="48">
        <f t="shared" si="4"/>
        <v>5040</v>
      </c>
      <c r="N64" s="48">
        <f t="shared" si="5"/>
        <v>8477</v>
      </c>
      <c r="O64" s="50">
        <f t="shared" si="6"/>
        <v>13517</v>
      </c>
      <c r="P64" s="50">
        <v>0</v>
      </c>
      <c r="Q64" s="76"/>
      <c r="R64" s="140">
        <f>50*(S9+S10)</f>
        <v>700</v>
      </c>
      <c r="S64" s="79">
        <v>5.879999999999999</v>
      </c>
      <c r="T64" s="80">
        <v>9.89</v>
      </c>
    </row>
    <row r="65" spans="2:20" ht="42">
      <c r="B65" s="5" t="s">
        <v>227</v>
      </c>
      <c r="C65" s="45" t="s">
        <v>135</v>
      </c>
      <c r="D65" s="45">
        <v>97638</v>
      </c>
      <c r="E65" s="6" t="s">
        <v>228</v>
      </c>
      <c r="F65" s="45" t="s">
        <v>121</v>
      </c>
      <c r="G65" s="46">
        <f t="shared" si="0"/>
        <v>500</v>
      </c>
      <c r="H65" s="46">
        <f>TRUNC(S65*(1-LOTE_01!$K$10),2)</f>
        <v>3.9</v>
      </c>
      <c r="I65" s="46">
        <f>TRUNC(T65*(1-LOTE_01!$K$10),2)</f>
        <v>6.71</v>
      </c>
      <c r="J65" s="100">
        <f t="shared" si="1"/>
        <v>0.22470000000000001</v>
      </c>
      <c r="K65" s="48">
        <f t="shared" si="2"/>
        <v>4.7699999999999996</v>
      </c>
      <c r="L65" s="48">
        <f t="shared" si="3"/>
        <v>8.2100000000000009</v>
      </c>
      <c r="M65" s="48">
        <f t="shared" si="4"/>
        <v>2385</v>
      </c>
      <c r="N65" s="48">
        <f t="shared" si="5"/>
        <v>4105</v>
      </c>
      <c r="O65" s="50">
        <f t="shared" si="6"/>
        <v>6490</v>
      </c>
      <c r="P65" s="50">
        <v>0</v>
      </c>
      <c r="Q65" s="76"/>
      <c r="R65" s="140">
        <f>IF((20*S9+100*S10)&gt;500,500,(20*S9+100*S10))</f>
        <v>500</v>
      </c>
      <c r="S65" s="79">
        <v>3.8999999999999995</v>
      </c>
      <c r="T65" s="80">
        <v>6.71</v>
      </c>
    </row>
    <row r="66" spans="2:20" ht="56">
      <c r="B66" s="5" t="s">
        <v>229</v>
      </c>
      <c r="C66" s="45" t="s">
        <v>135</v>
      </c>
      <c r="D66" s="45">
        <v>97642</v>
      </c>
      <c r="E66" s="6" t="s">
        <v>230</v>
      </c>
      <c r="F66" s="45" t="s">
        <v>121</v>
      </c>
      <c r="G66" s="46">
        <f t="shared" si="0"/>
        <v>1280</v>
      </c>
      <c r="H66" s="46">
        <f>TRUNC(S66*(1-LOTE_01!$K$10),2)</f>
        <v>1.32</v>
      </c>
      <c r="I66" s="46">
        <f>TRUNC(T66*(1-LOTE_01!$K$10),2)</f>
        <v>2.23</v>
      </c>
      <c r="J66" s="100">
        <f t="shared" si="1"/>
        <v>0.22470000000000001</v>
      </c>
      <c r="K66" s="48">
        <f t="shared" si="2"/>
        <v>1.61</v>
      </c>
      <c r="L66" s="48">
        <f t="shared" si="3"/>
        <v>2.73</v>
      </c>
      <c r="M66" s="48">
        <f t="shared" si="4"/>
        <v>2060.8000000000002</v>
      </c>
      <c r="N66" s="48">
        <f t="shared" si="5"/>
        <v>3494.4</v>
      </c>
      <c r="O66" s="50">
        <f t="shared" si="6"/>
        <v>5555.2</v>
      </c>
      <c r="P66" s="50">
        <v>0</v>
      </c>
      <c r="Q66" s="76"/>
      <c r="R66" s="140">
        <f>IF((10*S9+200*S10)&gt;2000,2000,((10*S9+200*S10)))</f>
        <v>1280</v>
      </c>
      <c r="S66" s="79">
        <v>1.3199999999999998</v>
      </c>
      <c r="T66" s="80">
        <v>2.23</v>
      </c>
    </row>
    <row r="67" spans="2:20" ht="42">
      <c r="B67" s="5" t="s">
        <v>231</v>
      </c>
      <c r="C67" s="45" t="s">
        <v>135</v>
      </c>
      <c r="D67" s="45">
        <v>97650</v>
      </c>
      <c r="E67" s="6" t="s">
        <v>232</v>
      </c>
      <c r="F67" s="45" t="s">
        <v>121</v>
      </c>
      <c r="G67" s="46">
        <f t="shared" si="0"/>
        <v>1000</v>
      </c>
      <c r="H67" s="46">
        <f>TRUNC(S67*(1-LOTE_01!$K$10),2)</f>
        <v>3.6</v>
      </c>
      <c r="I67" s="46">
        <f>TRUNC(T67*(1-LOTE_01!$K$10),2)</f>
        <v>5.94</v>
      </c>
      <c r="J67" s="100">
        <f t="shared" si="1"/>
        <v>0.22470000000000001</v>
      </c>
      <c r="K67" s="48">
        <f t="shared" si="2"/>
        <v>4.4000000000000004</v>
      </c>
      <c r="L67" s="48">
        <f t="shared" si="3"/>
        <v>7.27</v>
      </c>
      <c r="M67" s="48">
        <f t="shared" si="4"/>
        <v>4400</v>
      </c>
      <c r="N67" s="48">
        <f t="shared" si="5"/>
        <v>7270</v>
      </c>
      <c r="O67" s="50">
        <f t="shared" si="6"/>
        <v>11670</v>
      </c>
      <c r="P67" s="50">
        <v>0</v>
      </c>
      <c r="Q67" s="76"/>
      <c r="R67" s="140">
        <f>IF((20*S9+300*S10)&gt;1000,1000,(20*S9+100*S10))</f>
        <v>1000</v>
      </c>
      <c r="S67" s="79">
        <v>3.5999999999999988</v>
      </c>
      <c r="T67" s="80">
        <v>5.94</v>
      </c>
    </row>
    <row r="68" spans="2:20" ht="56">
      <c r="B68" s="5" t="s">
        <v>233</v>
      </c>
      <c r="C68" s="45" t="s">
        <v>135</v>
      </c>
      <c r="D68" s="45">
        <v>97637</v>
      </c>
      <c r="E68" s="6" t="s">
        <v>234</v>
      </c>
      <c r="F68" s="45" t="s">
        <v>121</v>
      </c>
      <c r="G68" s="46">
        <f t="shared" si="0"/>
        <v>100</v>
      </c>
      <c r="H68" s="46">
        <f>TRUNC(S68*(1-LOTE_01!$K$10),2)</f>
        <v>1.35</v>
      </c>
      <c r="I68" s="46">
        <f>TRUNC(T68*(1-LOTE_01!$K$10),2)</f>
        <v>2.29</v>
      </c>
      <c r="J68" s="100">
        <f t="shared" si="1"/>
        <v>0.22470000000000001</v>
      </c>
      <c r="K68" s="48">
        <f t="shared" si="2"/>
        <v>1.65</v>
      </c>
      <c r="L68" s="48">
        <f t="shared" si="3"/>
        <v>2.8</v>
      </c>
      <c r="M68" s="48">
        <f t="shared" si="4"/>
        <v>165</v>
      </c>
      <c r="N68" s="48">
        <f t="shared" si="5"/>
        <v>280</v>
      </c>
      <c r="O68" s="50">
        <f t="shared" si="6"/>
        <v>445</v>
      </c>
      <c r="P68" s="50">
        <v>0</v>
      </c>
      <c r="Q68" s="76"/>
      <c r="R68" s="140">
        <f>IF((10*S9+30*3*S10)&gt;100,100,(10*S9+15*3*S10))</f>
        <v>100</v>
      </c>
      <c r="S68" s="79">
        <v>1.35</v>
      </c>
      <c r="T68" s="80">
        <v>2.29</v>
      </c>
    </row>
    <row r="69" spans="2:20" ht="42">
      <c r="B69" s="5" t="s">
        <v>235</v>
      </c>
      <c r="C69" s="45" t="s">
        <v>135</v>
      </c>
      <c r="D69" s="45">
        <v>97644</v>
      </c>
      <c r="E69" s="6" t="s">
        <v>236</v>
      </c>
      <c r="F69" s="45" t="s">
        <v>121</v>
      </c>
      <c r="G69" s="46">
        <f t="shared" si="0"/>
        <v>79.38</v>
      </c>
      <c r="H69" s="46">
        <f>TRUNC(S69*(1-LOTE_01!$K$10),2)</f>
        <v>4.4800000000000004</v>
      </c>
      <c r="I69" s="46">
        <f>TRUNC(T69*(1-LOTE_01!$K$10),2)</f>
        <v>7.41</v>
      </c>
      <c r="J69" s="100">
        <f t="shared" si="1"/>
        <v>0.22470000000000001</v>
      </c>
      <c r="K69" s="48">
        <f t="shared" si="2"/>
        <v>5.48</v>
      </c>
      <c r="L69" s="48">
        <f t="shared" si="3"/>
        <v>9.07</v>
      </c>
      <c r="M69" s="48">
        <f t="shared" si="4"/>
        <v>435</v>
      </c>
      <c r="N69" s="48">
        <f t="shared" si="5"/>
        <v>719.97</v>
      </c>
      <c r="O69" s="50">
        <f t="shared" si="6"/>
        <v>1154.97</v>
      </c>
      <c r="P69" s="50">
        <v>0</v>
      </c>
      <c r="Q69" s="76"/>
      <c r="R69" s="140">
        <f>IF((0.9*2.1*3*S9+0.9*2.1*3*S10)&gt;100,100,(0.9*2.1*3*S9+0.9*2.1*3*S10))</f>
        <v>79.38</v>
      </c>
      <c r="S69" s="79">
        <v>4.4800000000000004</v>
      </c>
      <c r="T69" s="80">
        <v>7.41</v>
      </c>
    </row>
    <row r="70" spans="2:20" ht="42">
      <c r="B70" s="5" t="s">
        <v>237</v>
      </c>
      <c r="C70" s="45" t="s">
        <v>135</v>
      </c>
      <c r="D70" s="45">
        <v>97645</v>
      </c>
      <c r="E70" s="6" t="s">
        <v>238</v>
      </c>
      <c r="F70" s="45" t="s">
        <v>121</v>
      </c>
      <c r="G70" s="46">
        <f t="shared" si="0"/>
        <v>100</v>
      </c>
      <c r="H70" s="46">
        <f>TRUNC(S70*(1-LOTE_01!$K$10),2)</f>
        <v>11.55</v>
      </c>
      <c r="I70" s="46">
        <f>TRUNC(T70*(1-LOTE_01!$K$10),2)</f>
        <v>19.14</v>
      </c>
      <c r="J70" s="100">
        <f t="shared" si="1"/>
        <v>0.22470000000000001</v>
      </c>
      <c r="K70" s="48">
        <f t="shared" si="2"/>
        <v>14.14</v>
      </c>
      <c r="L70" s="48">
        <f t="shared" si="3"/>
        <v>23.44</v>
      </c>
      <c r="M70" s="48">
        <f t="shared" si="4"/>
        <v>1414</v>
      </c>
      <c r="N70" s="48">
        <f t="shared" si="5"/>
        <v>2344</v>
      </c>
      <c r="O70" s="50">
        <f t="shared" si="6"/>
        <v>3758</v>
      </c>
      <c r="P70" s="50">
        <v>0</v>
      </c>
      <c r="Q70" s="76"/>
      <c r="R70" s="140">
        <f>IF((1.5*1*5*2*S9+1.5*1.5*3*(S10))&gt;100,100,(1.5*1*5*2*S9+1.5*1.5*3*(S10)))</f>
        <v>100</v>
      </c>
      <c r="S70" s="79">
        <v>11.55</v>
      </c>
      <c r="T70" s="80">
        <v>19.14</v>
      </c>
    </row>
    <row r="71" spans="2:20" ht="56">
      <c r="B71" s="5" t="s">
        <v>239</v>
      </c>
      <c r="C71" s="45" t="s">
        <v>135</v>
      </c>
      <c r="D71" s="45">
        <v>97647</v>
      </c>
      <c r="E71" s="6" t="s">
        <v>240</v>
      </c>
      <c r="F71" s="45" t="s">
        <v>121</v>
      </c>
      <c r="G71" s="46">
        <f t="shared" si="0"/>
        <v>3000</v>
      </c>
      <c r="H71" s="46">
        <f>TRUNC(S71*(1-LOTE_01!$K$10),2)</f>
        <v>1.67</v>
      </c>
      <c r="I71" s="46">
        <f>TRUNC(T71*(1-LOTE_01!$K$10),2)</f>
        <v>2.75</v>
      </c>
      <c r="J71" s="100">
        <f t="shared" si="1"/>
        <v>0.22470000000000001</v>
      </c>
      <c r="K71" s="48">
        <f t="shared" si="2"/>
        <v>2.04</v>
      </c>
      <c r="L71" s="48">
        <f t="shared" si="3"/>
        <v>3.36</v>
      </c>
      <c r="M71" s="48">
        <f t="shared" si="4"/>
        <v>6120</v>
      </c>
      <c r="N71" s="48">
        <f t="shared" si="5"/>
        <v>10080</v>
      </c>
      <c r="O71" s="50">
        <f t="shared" si="6"/>
        <v>16200</v>
      </c>
      <c r="P71" s="50">
        <v>0</v>
      </c>
      <c r="Q71" s="76"/>
      <c r="R71" s="140">
        <f>IF((200*S9+300*S10)&gt;3000,3000,(20*S9+200*S10))</f>
        <v>3000</v>
      </c>
      <c r="S71" s="79">
        <v>1.67</v>
      </c>
      <c r="T71" s="80">
        <v>2.75</v>
      </c>
    </row>
    <row r="72" spans="2:20" ht="42">
      <c r="B72" s="5" t="s">
        <v>241</v>
      </c>
      <c r="C72" s="45" t="s">
        <v>97</v>
      </c>
      <c r="D72" s="45" t="s">
        <v>242</v>
      </c>
      <c r="E72" s="6" t="s">
        <v>243</v>
      </c>
      <c r="F72" s="45" t="s">
        <v>121</v>
      </c>
      <c r="G72" s="46">
        <f t="shared" si="0"/>
        <v>1280</v>
      </c>
      <c r="H72" s="46">
        <f>TRUNC(S72*(1-LOTE_01!$K$10),2)</f>
        <v>7.53</v>
      </c>
      <c r="I72" s="46">
        <f>TRUNC(T72*(1-LOTE_01!$K$10),2)</f>
        <v>12.57</v>
      </c>
      <c r="J72" s="100">
        <f t="shared" si="1"/>
        <v>0.22470000000000001</v>
      </c>
      <c r="K72" s="48">
        <f t="shared" si="2"/>
        <v>9.2200000000000006</v>
      </c>
      <c r="L72" s="48">
        <f t="shared" si="3"/>
        <v>15.39</v>
      </c>
      <c r="M72" s="48">
        <f t="shared" si="4"/>
        <v>11801.6</v>
      </c>
      <c r="N72" s="48">
        <f t="shared" si="5"/>
        <v>19699.2</v>
      </c>
      <c r="O72" s="50">
        <f t="shared" si="6"/>
        <v>31500.799999999999</v>
      </c>
      <c r="P72" s="50">
        <v>0</v>
      </c>
      <c r="Q72" s="76"/>
      <c r="R72" s="140">
        <f>10*S9+200*S10</f>
        <v>1280</v>
      </c>
      <c r="S72" s="79">
        <v>7.53</v>
      </c>
      <c r="T72" s="80">
        <v>12.57</v>
      </c>
    </row>
    <row r="73" spans="2:20" ht="42">
      <c r="B73" s="5" t="s">
        <v>244</v>
      </c>
      <c r="C73" s="45" t="s">
        <v>135</v>
      </c>
      <c r="D73" s="45">
        <v>97655</v>
      </c>
      <c r="E73" s="6" t="s">
        <v>245</v>
      </c>
      <c r="F73" s="45" t="s">
        <v>121</v>
      </c>
      <c r="G73" s="46">
        <f t="shared" si="0"/>
        <v>500</v>
      </c>
      <c r="H73" s="46">
        <f>TRUNC(S73*(1-LOTE_01!$K$10),2)</f>
        <v>29.67</v>
      </c>
      <c r="I73" s="46">
        <f>TRUNC(T73*(1-LOTE_01!$K$10),2)</f>
        <v>13.34</v>
      </c>
      <c r="J73" s="100">
        <f t="shared" si="1"/>
        <v>0.22470000000000001</v>
      </c>
      <c r="K73" s="48">
        <f t="shared" si="2"/>
        <v>36.33</v>
      </c>
      <c r="L73" s="48">
        <f t="shared" si="3"/>
        <v>16.329999999999998</v>
      </c>
      <c r="M73" s="48">
        <f t="shared" si="4"/>
        <v>18165</v>
      </c>
      <c r="N73" s="48">
        <f t="shared" si="5"/>
        <v>8165</v>
      </c>
      <c r="O73" s="50">
        <f t="shared" si="6"/>
        <v>26330</v>
      </c>
      <c r="P73" s="50">
        <v>0</v>
      </c>
      <c r="Q73" s="76"/>
      <c r="R73" s="140">
        <f>IF((20*S9+100*S10)&gt;500,500,(20*S9+100*S10))</f>
        <v>500</v>
      </c>
      <c r="S73" s="79">
        <v>29.669999999999998</v>
      </c>
      <c r="T73" s="80">
        <v>13.34</v>
      </c>
    </row>
    <row r="74" spans="2:20" ht="42">
      <c r="B74" s="5" t="s">
        <v>246</v>
      </c>
      <c r="C74" s="45" t="s">
        <v>97</v>
      </c>
      <c r="D74" s="45" t="s">
        <v>247</v>
      </c>
      <c r="E74" s="6" t="s">
        <v>248</v>
      </c>
      <c r="F74" s="45" t="s">
        <v>104</v>
      </c>
      <c r="G74" s="46">
        <f t="shared" si="0"/>
        <v>14</v>
      </c>
      <c r="H74" s="46">
        <f>TRUNC(S74*(1-LOTE_01!$K$10),2)</f>
        <v>0</v>
      </c>
      <c r="I74" s="46">
        <f>TRUNC(T74*(1-LOTE_01!$K$10),2)</f>
        <v>69.09</v>
      </c>
      <c r="J74" s="100">
        <f t="shared" si="1"/>
        <v>0.22470000000000001</v>
      </c>
      <c r="K74" s="48">
        <f t="shared" si="2"/>
        <v>0</v>
      </c>
      <c r="L74" s="48">
        <f t="shared" si="3"/>
        <v>84.61</v>
      </c>
      <c r="M74" s="48">
        <f t="shared" si="4"/>
        <v>0</v>
      </c>
      <c r="N74" s="48">
        <f t="shared" si="5"/>
        <v>1184.54</v>
      </c>
      <c r="O74" s="50">
        <f t="shared" si="6"/>
        <v>1184.54</v>
      </c>
      <c r="P74" s="50">
        <v>0</v>
      </c>
      <c r="Q74" s="76"/>
      <c r="R74" s="140">
        <f>IF((1*S9+2*S10)&gt;20,20,(1*S9+1*S10))</f>
        <v>14</v>
      </c>
      <c r="S74" s="79">
        <v>0</v>
      </c>
      <c r="T74" s="80">
        <v>69.09</v>
      </c>
    </row>
    <row r="75" spans="2:20" ht="42">
      <c r="B75" s="5" t="s">
        <v>249</v>
      </c>
      <c r="C75" s="45" t="s">
        <v>135</v>
      </c>
      <c r="D75" s="45">
        <v>102190</v>
      </c>
      <c r="E75" s="6" t="s">
        <v>1770</v>
      </c>
      <c r="F75" s="45" t="s">
        <v>121</v>
      </c>
      <c r="G75" s="46">
        <f t="shared" si="0"/>
        <v>70</v>
      </c>
      <c r="H75" s="46">
        <f>TRUNC(S75*(1-LOTE_01!$K$10),2)</f>
        <v>7.9</v>
      </c>
      <c r="I75" s="46">
        <f>TRUNC(T75*(1-LOTE_01!$K$10),2)</f>
        <v>13.05</v>
      </c>
      <c r="J75" s="100">
        <f t="shared" si="1"/>
        <v>0.22470000000000001</v>
      </c>
      <c r="K75" s="48">
        <f t="shared" si="2"/>
        <v>9.67</v>
      </c>
      <c r="L75" s="48">
        <f t="shared" si="3"/>
        <v>15.98</v>
      </c>
      <c r="M75" s="48">
        <f t="shared" si="4"/>
        <v>676.9</v>
      </c>
      <c r="N75" s="48">
        <f t="shared" si="5"/>
        <v>1118.5999999999999</v>
      </c>
      <c r="O75" s="50">
        <f t="shared" si="6"/>
        <v>1795.5</v>
      </c>
      <c r="P75" s="50">
        <v>0</v>
      </c>
      <c r="Q75" s="76"/>
      <c r="R75" s="140">
        <f>IF((5*S9+5*S10)&gt;100,100,(5*S9+5*S10))</f>
        <v>70</v>
      </c>
      <c r="S75" s="79">
        <v>7.8999999999999986</v>
      </c>
      <c r="T75" s="80">
        <v>13.05</v>
      </c>
    </row>
    <row r="76" spans="2:20" ht="56">
      <c r="B76" s="5" t="s">
        <v>250</v>
      </c>
      <c r="C76" s="45" t="s">
        <v>135</v>
      </c>
      <c r="D76" s="45">
        <v>97662</v>
      </c>
      <c r="E76" s="6" t="s">
        <v>251</v>
      </c>
      <c r="F76" s="45" t="s">
        <v>187</v>
      </c>
      <c r="G76" s="46">
        <f t="shared" si="0"/>
        <v>500</v>
      </c>
      <c r="H76" s="46">
        <f>TRUNC(S76*(1-LOTE_01!$K$10),2)</f>
        <v>0.23</v>
      </c>
      <c r="I76" s="46">
        <f>TRUNC(T76*(1-LOTE_01!$K$10),2)</f>
        <v>0.4</v>
      </c>
      <c r="J76" s="100">
        <f t="shared" si="1"/>
        <v>0.22470000000000001</v>
      </c>
      <c r="K76" s="48">
        <f t="shared" si="2"/>
        <v>0.28000000000000003</v>
      </c>
      <c r="L76" s="48">
        <f t="shared" si="3"/>
        <v>0.48</v>
      </c>
      <c r="M76" s="48">
        <f t="shared" si="4"/>
        <v>140</v>
      </c>
      <c r="N76" s="48">
        <f t="shared" si="5"/>
        <v>240</v>
      </c>
      <c r="O76" s="50">
        <f t="shared" si="6"/>
        <v>380</v>
      </c>
      <c r="P76" s="50">
        <v>0</v>
      </c>
      <c r="Q76" s="76"/>
      <c r="R76" s="140">
        <f>IF((5*S9+100*S10)&gt;500,500,(5*S9+100*S10))</f>
        <v>500</v>
      </c>
      <c r="S76" s="79">
        <v>0.22999999999999998</v>
      </c>
      <c r="T76" s="80">
        <v>0.4</v>
      </c>
    </row>
    <row r="77" spans="2:20" ht="42">
      <c r="B77" s="5" t="s">
        <v>252</v>
      </c>
      <c r="C77" s="45" t="s">
        <v>135</v>
      </c>
      <c r="D77" s="45">
        <v>97664</v>
      </c>
      <c r="E77" s="6" t="s">
        <v>253</v>
      </c>
      <c r="F77" s="45" t="s">
        <v>210</v>
      </c>
      <c r="G77" s="46">
        <f t="shared" si="0"/>
        <v>30</v>
      </c>
      <c r="H77" s="46">
        <f>TRUNC(S77*(1-LOTE_01!$K$10),2)</f>
        <v>0.74</v>
      </c>
      <c r="I77" s="46">
        <f>TRUNC(T77*(1-LOTE_01!$K$10),2)</f>
        <v>1.22</v>
      </c>
      <c r="J77" s="100">
        <f t="shared" si="1"/>
        <v>0.22470000000000001</v>
      </c>
      <c r="K77" s="48">
        <f t="shared" si="2"/>
        <v>0.9</v>
      </c>
      <c r="L77" s="48">
        <f t="shared" si="3"/>
        <v>1.49</v>
      </c>
      <c r="M77" s="48">
        <f t="shared" si="4"/>
        <v>27</v>
      </c>
      <c r="N77" s="48">
        <f t="shared" si="5"/>
        <v>44.7</v>
      </c>
      <c r="O77" s="50">
        <f t="shared" si="6"/>
        <v>71.7</v>
      </c>
      <c r="P77" s="50">
        <v>0</v>
      </c>
      <c r="Q77" s="76"/>
      <c r="R77" s="140">
        <f>IF((2*S9+8*S10)&gt;30,30,(2*S9+8*S10))</f>
        <v>30</v>
      </c>
      <c r="S77" s="79">
        <v>0.74</v>
      </c>
      <c r="T77" s="80">
        <v>1.22</v>
      </c>
    </row>
    <row r="78" spans="2:20" ht="28">
      <c r="B78" s="5" t="s">
        <v>254</v>
      </c>
      <c r="C78" s="45" t="s">
        <v>97</v>
      </c>
      <c r="D78" s="45" t="s">
        <v>255</v>
      </c>
      <c r="E78" s="6" t="s">
        <v>256</v>
      </c>
      <c r="F78" s="45" t="s">
        <v>121</v>
      </c>
      <c r="G78" s="46">
        <f t="shared" si="0"/>
        <v>500</v>
      </c>
      <c r="H78" s="46">
        <f>TRUNC(S78*(1-LOTE_01!$K$10),2)</f>
        <v>3.22</v>
      </c>
      <c r="I78" s="46">
        <f>TRUNC(T78*(1-LOTE_01!$K$10),2)</f>
        <v>4.9000000000000004</v>
      </c>
      <c r="J78" s="100">
        <f t="shared" si="1"/>
        <v>0.22470000000000001</v>
      </c>
      <c r="K78" s="48">
        <f t="shared" si="2"/>
        <v>3.94</v>
      </c>
      <c r="L78" s="48">
        <f t="shared" si="3"/>
        <v>6</v>
      </c>
      <c r="M78" s="48">
        <f t="shared" si="4"/>
        <v>1970</v>
      </c>
      <c r="N78" s="48">
        <f t="shared" si="5"/>
        <v>3000</v>
      </c>
      <c r="O78" s="50">
        <f t="shared" si="6"/>
        <v>4970</v>
      </c>
      <c r="P78" s="50">
        <v>0</v>
      </c>
      <c r="Q78" s="76"/>
      <c r="R78" s="140">
        <f>IF((30*S9+3*20*S10)&gt;500,500,(30*S9+3*20*S10))</f>
        <v>500</v>
      </c>
      <c r="S78" s="79">
        <v>3.22</v>
      </c>
      <c r="T78" s="80">
        <v>4.9000000000000004</v>
      </c>
    </row>
    <row r="79" spans="2:20" ht="28">
      <c r="B79" s="5" t="s">
        <v>257</v>
      </c>
      <c r="C79" s="45" t="s">
        <v>97</v>
      </c>
      <c r="D79" s="45" t="s">
        <v>258</v>
      </c>
      <c r="E79" s="6" t="s">
        <v>259</v>
      </c>
      <c r="F79" s="45" t="s">
        <v>121</v>
      </c>
      <c r="G79" s="46">
        <f t="shared" si="0"/>
        <v>14</v>
      </c>
      <c r="H79" s="46">
        <f>TRUNC(S79*(1-LOTE_01!$K$10),2)</f>
        <v>12.36</v>
      </c>
      <c r="I79" s="46">
        <f>TRUNC(T79*(1-LOTE_01!$K$10),2)</f>
        <v>19.64</v>
      </c>
      <c r="J79" s="100">
        <f t="shared" si="1"/>
        <v>0.22470000000000001</v>
      </c>
      <c r="K79" s="48">
        <f t="shared" si="2"/>
        <v>15.13</v>
      </c>
      <c r="L79" s="48">
        <f t="shared" si="3"/>
        <v>24.05</v>
      </c>
      <c r="M79" s="48">
        <f t="shared" si="4"/>
        <v>211.82</v>
      </c>
      <c r="N79" s="48">
        <f t="shared" si="5"/>
        <v>336.7</v>
      </c>
      <c r="O79" s="50">
        <f t="shared" si="6"/>
        <v>548.52</v>
      </c>
      <c r="P79" s="50">
        <v>0</v>
      </c>
      <c r="Q79" s="76"/>
      <c r="R79" s="140">
        <f>IF((S9+S10)&gt;20,20,(S9+S10))</f>
        <v>14</v>
      </c>
      <c r="S79" s="79">
        <v>12.36</v>
      </c>
      <c r="T79" s="80">
        <v>19.64</v>
      </c>
    </row>
    <row r="80" spans="2:20" ht="28">
      <c r="B80" s="5" t="s">
        <v>260</v>
      </c>
      <c r="C80" s="45" t="s">
        <v>97</v>
      </c>
      <c r="D80" s="45" t="s">
        <v>261</v>
      </c>
      <c r="E80" s="6" t="s">
        <v>262</v>
      </c>
      <c r="F80" s="45" t="s">
        <v>121</v>
      </c>
      <c r="G80" s="46">
        <f t="shared" si="0"/>
        <v>46</v>
      </c>
      <c r="H80" s="46">
        <f>TRUNC(S80*(1-LOTE_01!$K$10),2)</f>
        <v>9.9</v>
      </c>
      <c r="I80" s="46">
        <f>TRUNC(T80*(1-LOTE_01!$K$10),2)</f>
        <v>16.84</v>
      </c>
      <c r="J80" s="100">
        <f t="shared" si="1"/>
        <v>0.22470000000000001</v>
      </c>
      <c r="K80" s="48">
        <f t="shared" si="2"/>
        <v>12.12</v>
      </c>
      <c r="L80" s="48">
        <f t="shared" si="3"/>
        <v>20.62</v>
      </c>
      <c r="M80" s="48">
        <f t="shared" si="4"/>
        <v>557.52</v>
      </c>
      <c r="N80" s="48">
        <f t="shared" si="5"/>
        <v>948.52</v>
      </c>
      <c r="O80" s="50">
        <f t="shared" si="6"/>
        <v>1506.04</v>
      </c>
      <c r="P80" s="50">
        <v>0</v>
      </c>
      <c r="Q80" s="76"/>
      <c r="R80" s="140">
        <f>IF((5*S10)&gt;50,50,(2*S9+5*S10))</f>
        <v>46</v>
      </c>
      <c r="S80" s="79">
        <v>9.9</v>
      </c>
      <c r="T80" s="80">
        <v>16.84</v>
      </c>
    </row>
    <row r="81" spans="2:20" ht="28">
      <c r="B81" s="5" t="s">
        <v>263</v>
      </c>
      <c r="C81" s="45" t="s">
        <v>97</v>
      </c>
      <c r="D81" s="45" t="s">
        <v>264</v>
      </c>
      <c r="E81" s="6" t="s">
        <v>265</v>
      </c>
      <c r="F81" s="45" t="s">
        <v>104</v>
      </c>
      <c r="G81" s="46">
        <f t="shared" ref="G81:G134" si="7">TRUNC(R81,2)</f>
        <v>14</v>
      </c>
      <c r="H81" s="46">
        <f>TRUNC(S81*(1-LOTE_01!$K$10),2)</f>
        <v>10.75</v>
      </c>
      <c r="I81" s="46">
        <f>TRUNC(T81*(1-LOTE_01!$K$10),2)</f>
        <v>16.34</v>
      </c>
      <c r="J81" s="100">
        <f t="shared" ref="J81:J144" si="8">$J$4</f>
        <v>0.22470000000000001</v>
      </c>
      <c r="K81" s="48">
        <f t="shared" ref="K81:K144" si="9">TRUNC(H81*(1+J81),2)</f>
        <v>13.16</v>
      </c>
      <c r="L81" s="48">
        <f t="shared" ref="L81:L144" si="10">TRUNC(I81*(1+J81),2)</f>
        <v>20.010000000000002</v>
      </c>
      <c r="M81" s="48">
        <f t="shared" ref="M81:M144" si="11">TRUNC(K81*G81,2)</f>
        <v>184.24</v>
      </c>
      <c r="N81" s="48">
        <f t="shared" ref="N81:N144" si="12">TRUNC(L81*G81,2)</f>
        <v>280.14</v>
      </c>
      <c r="O81" s="50">
        <f t="shared" ref="O81:O144" si="13">TRUNC(M81+N81,2)</f>
        <v>464.38</v>
      </c>
      <c r="P81" s="50">
        <v>0</v>
      </c>
      <c r="Q81" s="76"/>
      <c r="R81" s="140">
        <f>1*S9+1*S10</f>
        <v>14</v>
      </c>
      <c r="S81" s="79">
        <v>10.75</v>
      </c>
      <c r="T81" s="80">
        <v>16.34</v>
      </c>
    </row>
    <row r="82" spans="2:20" ht="28">
      <c r="B82" s="5" t="s">
        <v>266</v>
      </c>
      <c r="C82" s="45" t="s">
        <v>97</v>
      </c>
      <c r="D82" s="45" t="s">
        <v>267</v>
      </c>
      <c r="E82" s="6" t="s">
        <v>268</v>
      </c>
      <c r="F82" s="45" t="s">
        <v>104</v>
      </c>
      <c r="G82" s="46">
        <f t="shared" si="7"/>
        <v>28</v>
      </c>
      <c r="H82" s="46">
        <f>TRUNC(S82*(1-LOTE_01!$K$10),2)</f>
        <v>4.3</v>
      </c>
      <c r="I82" s="46">
        <f>TRUNC(T82*(1-LOTE_01!$K$10),2)</f>
        <v>6.53</v>
      </c>
      <c r="J82" s="100">
        <f t="shared" si="8"/>
        <v>0.22470000000000001</v>
      </c>
      <c r="K82" s="48">
        <f t="shared" si="9"/>
        <v>5.26</v>
      </c>
      <c r="L82" s="48">
        <f t="shared" si="10"/>
        <v>7.99</v>
      </c>
      <c r="M82" s="48">
        <f t="shared" si="11"/>
        <v>147.28</v>
      </c>
      <c r="N82" s="48">
        <f t="shared" si="12"/>
        <v>223.72</v>
      </c>
      <c r="O82" s="50">
        <f t="shared" si="13"/>
        <v>371</v>
      </c>
      <c r="P82" s="50">
        <v>0</v>
      </c>
      <c r="Q82" s="76"/>
      <c r="R82" s="140">
        <f>2*S9+2*(S10)</f>
        <v>28</v>
      </c>
      <c r="S82" s="79">
        <v>4.3</v>
      </c>
      <c r="T82" s="80">
        <v>6.53</v>
      </c>
    </row>
    <row r="83" spans="2:20" ht="28">
      <c r="B83" s="5" t="s">
        <v>269</v>
      </c>
      <c r="C83" s="45" t="s">
        <v>97</v>
      </c>
      <c r="D83" s="45" t="s">
        <v>270</v>
      </c>
      <c r="E83" s="6" t="s">
        <v>271</v>
      </c>
      <c r="F83" s="45" t="s">
        <v>104</v>
      </c>
      <c r="G83" s="46">
        <f t="shared" si="7"/>
        <v>28</v>
      </c>
      <c r="H83" s="46">
        <f>TRUNC(S83*(1-LOTE_01!$K$10),2)</f>
        <v>5.37</v>
      </c>
      <c r="I83" s="46">
        <f>TRUNC(T83*(1-LOTE_01!$K$10),2)</f>
        <v>8.17</v>
      </c>
      <c r="J83" s="100">
        <f t="shared" si="8"/>
        <v>0.22470000000000001</v>
      </c>
      <c r="K83" s="48">
        <f t="shared" si="9"/>
        <v>6.57</v>
      </c>
      <c r="L83" s="48">
        <f t="shared" si="10"/>
        <v>10</v>
      </c>
      <c r="M83" s="48">
        <f t="shared" si="11"/>
        <v>183.96</v>
      </c>
      <c r="N83" s="48">
        <f t="shared" si="12"/>
        <v>280</v>
      </c>
      <c r="O83" s="50">
        <f t="shared" si="13"/>
        <v>463.96</v>
      </c>
      <c r="P83" s="50">
        <v>0</v>
      </c>
      <c r="Q83" s="76"/>
      <c r="R83" s="140">
        <f>2*S9+2*(S10)</f>
        <v>28</v>
      </c>
      <c r="S83" s="79">
        <v>5.37</v>
      </c>
      <c r="T83" s="80">
        <v>8.17</v>
      </c>
    </row>
    <row r="84" spans="2:20">
      <c r="B84" s="5" t="s">
        <v>272</v>
      </c>
      <c r="C84" s="45" t="s">
        <v>97</v>
      </c>
      <c r="D84" s="45" t="s">
        <v>273</v>
      </c>
      <c r="E84" s="6" t="s">
        <v>274</v>
      </c>
      <c r="F84" s="45" t="s">
        <v>104</v>
      </c>
      <c r="G84" s="46">
        <f t="shared" si="7"/>
        <v>140</v>
      </c>
      <c r="H84" s="46">
        <f>TRUNC(S84*(1-LOTE_01!$K$10),2)</f>
        <v>2.15</v>
      </c>
      <c r="I84" s="46">
        <f>TRUNC(T84*(1-LOTE_01!$K$10),2)</f>
        <v>3.26</v>
      </c>
      <c r="J84" s="100">
        <f t="shared" si="8"/>
        <v>0.22470000000000001</v>
      </c>
      <c r="K84" s="48">
        <f t="shared" si="9"/>
        <v>2.63</v>
      </c>
      <c r="L84" s="48">
        <f t="shared" si="10"/>
        <v>3.99</v>
      </c>
      <c r="M84" s="48">
        <f t="shared" si="11"/>
        <v>368.2</v>
      </c>
      <c r="N84" s="48">
        <f t="shared" si="12"/>
        <v>558.6</v>
      </c>
      <c r="O84" s="50">
        <f t="shared" si="13"/>
        <v>926.8</v>
      </c>
      <c r="P84" s="50">
        <v>0</v>
      </c>
      <c r="Q84" s="76"/>
      <c r="R84" s="140">
        <f>10*S9+10*S10</f>
        <v>140</v>
      </c>
      <c r="S84" s="79">
        <v>2.15</v>
      </c>
      <c r="T84" s="80">
        <v>3.26</v>
      </c>
    </row>
    <row r="85" spans="2:20" ht="28">
      <c r="B85" s="5" t="s">
        <v>275</v>
      </c>
      <c r="C85" s="45" t="s">
        <v>97</v>
      </c>
      <c r="D85" s="45" t="s">
        <v>276</v>
      </c>
      <c r="E85" s="6" t="s">
        <v>277</v>
      </c>
      <c r="F85" s="45" t="s">
        <v>104</v>
      </c>
      <c r="G85" s="46">
        <f t="shared" si="7"/>
        <v>70</v>
      </c>
      <c r="H85" s="46">
        <f>TRUNC(S85*(1-LOTE_01!$K$10),2)</f>
        <v>4.3</v>
      </c>
      <c r="I85" s="46">
        <f>TRUNC(T85*(1-LOTE_01!$K$10),2)</f>
        <v>6.53</v>
      </c>
      <c r="J85" s="100">
        <f t="shared" si="8"/>
        <v>0.22470000000000001</v>
      </c>
      <c r="K85" s="48">
        <f t="shared" si="9"/>
        <v>5.26</v>
      </c>
      <c r="L85" s="48">
        <f t="shared" si="10"/>
        <v>7.99</v>
      </c>
      <c r="M85" s="48">
        <f t="shared" si="11"/>
        <v>368.2</v>
      </c>
      <c r="N85" s="48">
        <f t="shared" si="12"/>
        <v>559.29999999999995</v>
      </c>
      <c r="O85" s="50">
        <f t="shared" si="13"/>
        <v>927.5</v>
      </c>
      <c r="P85" s="50">
        <v>0</v>
      </c>
      <c r="Q85" s="76"/>
      <c r="R85" s="140">
        <f>5*S9+5*(S10)</f>
        <v>70</v>
      </c>
      <c r="S85" s="79">
        <v>4.3</v>
      </c>
      <c r="T85" s="80">
        <v>6.53</v>
      </c>
    </row>
    <row r="86" spans="2:20" ht="28">
      <c r="B86" s="5" t="s">
        <v>278</v>
      </c>
      <c r="C86" s="45" t="s">
        <v>97</v>
      </c>
      <c r="D86" s="45" t="s">
        <v>279</v>
      </c>
      <c r="E86" s="6" t="s">
        <v>280</v>
      </c>
      <c r="F86" s="45" t="s">
        <v>104</v>
      </c>
      <c r="G86" s="46">
        <f t="shared" si="7"/>
        <v>10</v>
      </c>
      <c r="H86" s="46">
        <f>TRUNC(S86*(1-LOTE_01!$K$10),2)</f>
        <v>649.4</v>
      </c>
      <c r="I86" s="46">
        <f>TRUNC(T86*(1-LOTE_01!$K$10),2)</f>
        <v>199.26</v>
      </c>
      <c r="J86" s="100">
        <f t="shared" si="8"/>
        <v>0.22470000000000001</v>
      </c>
      <c r="K86" s="48">
        <f t="shared" si="9"/>
        <v>795.32</v>
      </c>
      <c r="L86" s="48">
        <f t="shared" si="10"/>
        <v>244.03</v>
      </c>
      <c r="M86" s="48">
        <f t="shared" si="11"/>
        <v>7953.2</v>
      </c>
      <c r="N86" s="48">
        <f t="shared" si="12"/>
        <v>2440.3000000000002</v>
      </c>
      <c r="O86" s="50">
        <f t="shared" si="13"/>
        <v>10393.5</v>
      </c>
      <c r="P86" s="50">
        <v>0</v>
      </c>
      <c r="Q86" s="76"/>
      <c r="R86" s="140">
        <f>IF((1*S9+1*S10)&gt;10,10,(1*S9+1*S10))</f>
        <v>10</v>
      </c>
      <c r="S86" s="79">
        <v>649.4</v>
      </c>
      <c r="T86" s="80">
        <v>199.26</v>
      </c>
    </row>
    <row r="87" spans="2:20" ht="42">
      <c r="B87" s="5" t="s">
        <v>281</v>
      </c>
      <c r="C87" s="45" t="s">
        <v>97</v>
      </c>
      <c r="D87" s="45" t="s">
        <v>282</v>
      </c>
      <c r="E87" s="6" t="s">
        <v>283</v>
      </c>
      <c r="F87" s="45" t="s">
        <v>104</v>
      </c>
      <c r="G87" s="46">
        <f t="shared" si="7"/>
        <v>14</v>
      </c>
      <c r="H87" s="46">
        <f>TRUNC(S87*(1-LOTE_01!$K$10),2)</f>
        <v>331.97</v>
      </c>
      <c r="I87" s="46">
        <f>TRUNC(T87*(1-LOTE_01!$K$10),2)</f>
        <v>74.84</v>
      </c>
      <c r="J87" s="100">
        <f t="shared" si="8"/>
        <v>0.22470000000000001</v>
      </c>
      <c r="K87" s="48">
        <f t="shared" si="9"/>
        <v>406.56</v>
      </c>
      <c r="L87" s="48">
        <f t="shared" si="10"/>
        <v>91.65</v>
      </c>
      <c r="M87" s="48">
        <f t="shared" si="11"/>
        <v>5691.84</v>
      </c>
      <c r="N87" s="48">
        <f t="shared" si="12"/>
        <v>1283.0999999999999</v>
      </c>
      <c r="O87" s="50">
        <f t="shared" si="13"/>
        <v>6974.94</v>
      </c>
      <c r="P87" s="50">
        <v>0</v>
      </c>
      <c r="Q87" s="76"/>
      <c r="R87" s="140">
        <f>1*S9+1*S10</f>
        <v>14</v>
      </c>
      <c r="S87" s="79">
        <v>331.97</v>
      </c>
      <c r="T87" s="80">
        <v>74.84</v>
      </c>
    </row>
    <row r="88" spans="2:20" ht="42">
      <c r="B88" s="5" t="s">
        <v>284</v>
      </c>
      <c r="C88" s="45" t="s">
        <v>97</v>
      </c>
      <c r="D88" s="45" t="s">
        <v>285</v>
      </c>
      <c r="E88" s="6" t="s">
        <v>286</v>
      </c>
      <c r="F88" s="45" t="s">
        <v>104</v>
      </c>
      <c r="G88" s="46">
        <f t="shared" si="7"/>
        <v>30</v>
      </c>
      <c r="H88" s="46">
        <f>TRUNC(S88*(1-LOTE_01!$K$10),2)</f>
        <v>21.28</v>
      </c>
      <c r="I88" s="46">
        <f>TRUNC(T88*(1-LOTE_01!$K$10),2)</f>
        <v>38.090000000000003</v>
      </c>
      <c r="J88" s="100">
        <f t="shared" si="8"/>
        <v>0.22470000000000001</v>
      </c>
      <c r="K88" s="48">
        <f t="shared" si="9"/>
        <v>26.06</v>
      </c>
      <c r="L88" s="48">
        <f t="shared" si="10"/>
        <v>46.64</v>
      </c>
      <c r="M88" s="48">
        <f t="shared" si="11"/>
        <v>781.8</v>
      </c>
      <c r="N88" s="48">
        <f t="shared" si="12"/>
        <v>1399.2</v>
      </c>
      <c r="O88" s="50">
        <f t="shared" si="13"/>
        <v>2181</v>
      </c>
      <c r="P88" s="50">
        <v>0</v>
      </c>
      <c r="Q88" s="76"/>
      <c r="R88" s="140">
        <f>IF((1*S9+5*S10)&gt;30,30,(1*S9+5*S10))</f>
        <v>30</v>
      </c>
      <c r="S88" s="79">
        <v>21.28</v>
      </c>
      <c r="T88" s="80">
        <v>38.090000000000003</v>
      </c>
    </row>
    <row r="89" spans="2:20" ht="28">
      <c r="B89" s="5" t="s">
        <v>287</v>
      </c>
      <c r="C89" s="45" t="s">
        <v>97</v>
      </c>
      <c r="D89" s="45" t="s">
        <v>288</v>
      </c>
      <c r="E89" s="6" t="s">
        <v>289</v>
      </c>
      <c r="F89" s="45" t="s">
        <v>104</v>
      </c>
      <c r="G89" s="46">
        <f t="shared" si="7"/>
        <v>30</v>
      </c>
      <c r="H89" s="46">
        <f>TRUNC(S89*(1-LOTE_01!$K$10),2)</f>
        <v>10.77</v>
      </c>
      <c r="I89" s="46">
        <f>TRUNC(T89*(1-LOTE_01!$K$10),2)</f>
        <v>19.170000000000002</v>
      </c>
      <c r="J89" s="100">
        <f t="shared" si="8"/>
        <v>0.22470000000000001</v>
      </c>
      <c r="K89" s="48">
        <f t="shared" si="9"/>
        <v>13.19</v>
      </c>
      <c r="L89" s="48">
        <f t="shared" si="10"/>
        <v>23.47</v>
      </c>
      <c r="M89" s="48">
        <f t="shared" si="11"/>
        <v>395.7</v>
      </c>
      <c r="N89" s="48">
        <f t="shared" si="12"/>
        <v>704.1</v>
      </c>
      <c r="O89" s="50">
        <f t="shared" si="13"/>
        <v>1099.8</v>
      </c>
      <c r="P89" s="50">
        <v>0</v>
      </c>
      <c r="Q89" s="76"/>
      <c r="R89" s="140">
        <f>IF((1*S9+5*S10)&gt;30,30,(1*S9+5*S10))</f>
        <v>30</v>
      </c>
      <c r="S89" s="79">
        <v>10.77</v>
      </c>
      <c r="T89" s="80">
        <v>19.170000000000002</v>
      </c>
    </row>
    <row r="90" spans="2:20" ht="28">
      <c r="B90" s="5" t="s">
        <v>290</v>
      </c>
      <c r="C90" s="45" t="s">
        <v>135</v>
      </c>
      <c r="D90" s="45">
        <v>102192</v>
      </c>
      <c r="E90" s="6" t="s">
        <v>1771</v>
      </c>
      <c r="F90" s="45" t="s">
        <v>121</v>
      </c>
      <c r="G90" s="46">
        <f t="shared" si="7"/>
        <v>460</v>
      </c>
      <c r="H90" s="46">
        <f>TRUNC(S90*(1-LOTE_01!$K$10),2)</f>
        <v>7.55</v>
      </c>
      <c r="I90" s="46">
        <f>TRUNC(T90*(1-LOTE_01!$K$10),2)</f>
        <v>12.48</v>
      </c>
      <c r="J90" s="100">
        <f t="shared" si="8"/>
        <v>0.22470000000000001</v>
      </c>
      <c r="K90" s="48">
        <f t="shared" si="9"/>
        <v>9.24</v>
      </c>
      <c r="L90" s="48">
        <f t="shared" si="10"/>
        <v>15.28</v>
      </c>
      <c r="M90" s="48">
        <f t="shared" si="11"/>
        <v>4250.3999999999996</v>
      </c>
      <c r="N90" s="48">
        <f t="shared" si="12"/>
        <v>7028.8</v>
      </c>
      <c r="O90" s="50">
        <f t="shared" si="13"/>
        <v>11279.2</v>
      </c>
      <c r="P90" s="50">
        <v>0</v>
      </c>
      <c r="Q90" s="76"/>
      <c r="R90" s="140">
        <f>IF((20*S9+50*S10)&gt;500,500,50*S10+20*S9)</f>
        <v>460</v>
      </c>
      <c r="S90" s="79">
        <v>7.5500000000000007</v>
      </c>
      <c r="T90" s="80">
        <v>12.48</v>
      </c>
    </row>
    <row r="91" spans="2:20" ht="42">
      <c r="B91" s="5" t="s">
        <v>291</v>
      </c>
      <c r="C91" s="45" t="s">
        <v>97</v>
      </c>
      <c r="D91" s="45" t="s">
        <v>292</v>
      </c>
      <c r="E91" s="6" t="s">
        <v>293</v>
      </c>
      <c r="F91" s="45" t="s">
        <v>104</v>
      </c>
      <c r="G91" s="46">
        <f t="shared" si="7"/>
        <v>14</v>
      </c>
      <c r="H91" s="46">
        <f>TRUNC(S91*(1-LOTE_01!$K$10),2)</f>
        <v>331.96</v>
      </c>
      <c r="I91" s="46">
        <f>TRUNC(T91*(1-LOTE_01!$K$10),2)</f>
        <v>73.87</v>
      </c>
      <c r="J91" s="100">
        <f t="shared" si="8"/>
        <v>0.22470000000000001</v>
      </c>
      <c r="K91" s="48">
        <f t="shared" si="9"/>
        <v>406.55</v>
      </c>
      <c r="L91" s="48">
        <f t="shared" si="10"/>
        <v>90.46</v>
      </c>
      <c r="M91" s="48">
        <f t="shared" si="11"/>
        <v>5691.7</v>
      </c>
      <c r="N91" s="48">
        <f t="shared" si="12"/>
        <v>1266.44</v>
      </c>
      <c r="O91" s="50">
        <f t="shared" si="13"/>
        <v>6958.14</v>
      </c>
      <c r="P91" s="50">
        <v>0</v>
      </c>
      <c r="Q91" s="76"/>
      <c r="R91" s="140">
        <f>1*S9+1*S10</f>
        <v>14</v>
      </c>
      <c r="S91" s="79">
        <v>331.96</v>
      </c>
      <c r="T91" s="80">
        <v>73.87</v>
      </c>
    </row>
    <row r="92" spans="2:20" ht="28">
      <c r="B92" s="5" t="s">
        <v>294</v>
      </c>
      <c r="C92" s="45" t="s">
        <v>97</v>
      </c>
      <c r="D92" s="45" t="s">
        <v>295</v>
      </c>
      <c r="E92" s="6" t="s">
        <v>296</v>
      </c>
      <c r="F92" s="45" t="s">
        <v>121</v>
      </c>
      <c r="G92" s="46">
        <f t="shared" si="7"/>
        <v>10</v>
      </c>
      <c r="H92" s="46">
        <f>TRUNC(S92*(1-LOTE_01!$K$10),2)</f>
        <v>10.8</v>
      </c>
      <c r="I92" s="46">
        <f>TRUNC(T92*(1-LOTE_01!$K$10),2)</f>
        <v>27.13</v>
      </c>
      <c r="J92" s="100">
        <f t="shared" si="8"/>
        <v>0.22470000000000001</v>
      </c>
      <c r="K92" s="48">
        <f t="shared" si="9"/>
        <v>13.22</v>
      </c>
      <c r="L92" s="48">
        <f t="shared" si="10"/>
        <v>33.22</v>
      </c>
      <c r="M92" s="48">
        <f t="shared" si="11"/>
        <v>132.19999999999999</v>
      </c>
      <c r="N92" s="48">
        <f t="shared" si="12"/>
        <v>332.2</v>
      </c>
      <c r="O92" s="50">
        <f t="shared" si="13"/>
        <v>464.4</v>
      </c>
      <c r="P92" s="50">
        <v>0</v>
      </c>
      <c r="Q92" s="76"/>
      <c r="R92" s="140">
        <f>IF((1*S9+1*S10)&gt;10,10,(1*S9+1*S10))</f>
        <v>10</v>
      </c>
      <c r="S92" s="79">
        <v>10.8</v>
      </c>
      <c r="T92" s="80">
        <v>27.13</v>
      </c>
    </row>
    <row r="93" spans="2:20" ht="70">
      <c r="B93" s="5" t="s">
        <v>297</v>
      </c>
      <c r="C93" s="45" t="s">
        <v>97</v>
      </c>
      <c r="D93" s="45" t="s">
        <v>298</v>
      </c>
      <c r="E93" s="6" t="s">
        <v>299</v>
      </c>
      <c r="F93" s="45" t="s">
        <v>121</v>
      </c>
      <c r="G93" s="46">
        <f t="shared" si="7"/>
        <v>280</v>
      </c>
      <c r="H93" s="46">
        <f>TRUNC(S93*(1-LOTE_01!$K$10),2)</f>
        <v>0</v>
      </c>
      <c r="I93" s="46">
        <f>TRUNC(T93*(1-LOTE_01!$K$10),2)</f>
        <v>53.16</v>
      </c>
      <c r="J93" s="100">
        <f t="shared" si="8"/>
        <v>0.22470000000000001</v>
      </c>
      <c r="K93" s="48">
        <f t="shared" si="9"/>
        <v>0</v>
      </c>
      <c r="L93" s="48">
        <f t="shared" si="10"/>
        <v>65.099999999999994</v>
      </c>
      <c r="M93" s="48">
        <f t="shared" si="11"/>
        <v>0</v>
      </c>
      <c r="N93" s="48">
        <f t="shared" si="12"/>
        <v>18228</v>
      </c>
      <c r="O93" s="50">
        <f t="shared" si="13"/>
        <v>18228</v>
      </c>
      <c r="P93" s="50">
        <v>0</v>
      </c>
      <c r="Q93" s="76"/>
      <c r="R93" s="140">
        <f>20*S9+20*S10</f>
        <v>280</v>
      </c>
      <c r="S93" s="79">
        <v>0</v>
      </c>
      <c r="T93" s="80">
        <v>53.16</v>
      </c>
    </row>
    <row r="94" spans="2:20" ht="28">
      <c r="B94" s="5" t="s">
        <v>300</v>
      </c>
      <c r="C94" s="45" t="s">
        <v>97</v>
      </c>
      <c r="D94" s="45" t="s">
        <v>301</v>
      </c>
      <c r="E94" s="6" t="s">
        <v>302</v>
      </c>
      <c r="F94" s="45" t="s">
        <v>104</v>
      </c>
      <c r="G94" s="46">
        <f t="shared" si="7"/>
        <v>42</v>
      </c>
      <c r="H94" s="46">
        <f>TRUNC(S94*(1-LOTE_01!$K$10),2)</f>
        <v>2.15</v>
      </c>
      <c r="I94" s="46">
        <f>TRUNC(T94*(1-LOTE_01!$K$10),2)</f>
        <v>3.26</v>
      </c>
      <c r="J94" s="100">
        <f t="shared" si="8"/>
        <v>0.22470000000000001</v>
      </c>
      <c r="K94" s="48">
        <f t="shared" si="9"/>
        <v>2.63</v>
      </c>
      <c r="L94" s="48">
        <f t="shared" si="10"/>
        <v>3.99</v>
      </c>
      <c r="M94" s="48">
        <f t="shared" si="11"/>
        <v>110.46</v>
      </c>
      <c r="N94" s="48">
        <f t="shared" si="12"/>
        <v>167.58</v>
      </c>
      <c r="O94" s="50">
        <f t="shared" si="13"/>
        <v>278.04000000000002</v>
      </c>
      <c r="P94" s="50">
        <v>0</v>
      </c>
      <c r="Q94" s="76"/>
      <c r="R94" s="140">
        <f>3*S9+3*S10</f>
        <v>42</v>
      </c>
      <c r="S94" s="79">
        <v>2.15</v>
      </c>
      <c r="T94" s="80">
        <v>3.26</v>
      </c>
    </row>
    <row r="95" spans="2:20" ht="28">
      <c r="B95" s="5" t="s">
        <v>303</v>
      </c>
      <c r="C95" s="45" t="s">
        <v>97</v>
      </c>
      <c r="D95" s="45" t="s">
        <v>304</v>
      </c>
      <c r="E95" s="6" t="s">
        <v>305</v>
      </c>
      <c r="F95" s="45" t="s">
        <v>121</v>
      </c>
      <c r="G95" s="46">
        <f t="shared" si="7"/>
        <v>50</v>
      </c>
      <c r="H95" s="46">
        <f>TRUNC(S95*(1-LOTE_01!$K$10),2)</f>
        <v>8.2799999999999994</v>
      </c>
      <c r="I95" s="46">
        <f>TRUNC(T95*(1-LOTE_01!$K$10),2)</f>
        <v>12.97</v>
      </c>
      <c r="J95" s="100">
        <f t="shared" si="8"/>
        <v>0.22470000000000001</v>
      </c>
      <c r="K95" s="48">
        <f t="shared" si="9"/>
        <v>10.14</v>
      </c>
      <c r="L95" s="48">
        <f t="shared" si="10"/>
        <v>15.88</v>
      </c>
      <c r="M95" s="48">
        <f t="shared" si="11"/>
        <v>507</v>
      </c>
      <c r="N95" s="48">
        <f t="shared" si="12"/>
        <v>794</v>
      </c>
      <c r="O95" s="50">
        <f t="shared" si="13"/>
        <v>1301</v>
      </c>
      <c r="P95" s="50">
        <v>0</v>
      </c>
      <c r="Q95" s="76"/>
      <c r="R95" s="140">
        <f>IF((10*S10+1*S9)&gt;50,50,(10*S10+1*S9))</f>
        <v>50</v>
      </c>
      <c r="S95" s="79">
        <v>8.2799999999999994</v>
      </c>
      <c r="T95" s="80">
        <v>12.97</v>
      </c>
    </row>
    <row r="96" spans="2:20" ht="28">
      <c r="B96" s="5" t="s">
        <v>306</v>
      </c>
      <c r="C96" s="45" t="s">
        <v>97</v>
      </c>
      <c r="D96" s="45" t="s">
        <v>307</v>
      </c>
      <c r="E96" s="6" t="s">
        <v>308</v>
      </c>
      <c r="F96" s="45" t="s">
        <v>104</v>
      </c>
      <c r="G96" s="46">
        <f t="shared" si="7"/>
        <v>10</v>
      </c>
      <c r="H96" s="46">
        <f>TRUNC(S96*(1-LOTE_01!$K$10),2)</f>
        <v>14.09</v>
      </c>
      <c r="I96" s="46">
        <f>TRUNC(T96*(1-LOTE_01!$K$10),2)</f>
        <v>23.1</v>
      </c>
      <c r="J96" s="100">
        <f t="shared" si="8"/>
        <v>0.22470000000000001</v>
      </c>
      <c r="K96" s="48">
        <f t="shared" si="9"/>
        <v>17.25</v>
      </c>
      <c r="L96" s="48">
        <f t="shared" si="10"/>
        <v>28.29</v>
      </c>
      <c r="M96" s="48">
        <f t="shared" si="11"/>
        <v>172.5</v>
      </c>
      <c r="N96" s="48">
        <f t="shared" si="12"/>
        <v>282.89999999999998</v>
      </c>
      <c r="O96" s="50">
        <f t="shared" si="13"/>
        <v>455.4</v>
      </c>
      <c r="P96" s="50">
        <v>0</v>
      </c>
      <c r="Q96" s="76"/>
      <c r="R96" s="140">
        <f>IF((1*S9+2*S10)&gt;10,10,(1*S9+2*S10))</f>
        <v>10</v>
      </c>
      <c r="S96" s="79">
        <v>14.09</v>
      </c>
      <c r="T96" s="80">
        <v>23.1</v>
      </c>
    </row>
    <row r="97" spans="2:20">
      <c r="B97" s="5" t="s">
        <v>309</v>
      </c>
      <c r="C97" s="45" t="s">
        <v>97</v>
      </c>
      <c r="D97" s="45" t="s">
        <v>310</v>
      </c>
      <c r="E97" s="6" t="s">
        <v>311</v>
      </c>
      <c r="F97" s="45" t="s">
        <v>104</v>
      </c>
      <c r="G97" s="46">
        <f t="shared" si="7"/>
        <v>280</v>
      </c>
      <c r="H97" s="46">
        <f>TRUNC(S97*(1-LOTE_01!$K$10),2)</f>
        <v>1.07</v>
      </c>
      <c r="I97" s="46">
        <f>TRUNC(T97*(1-LOTE_01!$K$10),2)</f>
        <v>1.63</v>
      </c>
      <c r="J97" s="100">
        <f t="shared" si="8"/>
        <v>0.22470000000000001</v>
      </c>
      <c r="K97" s="48">
        <f t="shared" si="9"/>
        <v>1.31</v>
      </c>
      <c r="L97" s="48">
        <f t="shared" si="10"/>
        <v>1.99</v>
      </c>
      <c r="M97" s="48">
        <f t="shared" si="11"/>
        <v>366.8</v>
      </c>
      <c r="N97" s="48">
        <f t="shared" si="12"/>
        <v>557.20000000000005</v>
      </c>
      <c r="O97" s="50">
        <f t="shared" si="13"/>
        <v>924</v>
      </c>
      <c r="P97" s="50">
        <v>0</v>
      </c>
      <c r="Q97" s="76"/>
      <c r="R97" s="140">
        <f>20*S9+20*S10</f>
        <v>280</v>
      </c>
      <c r="S97" s="79">
        <v>1.07</v>
      </c>
      <c r="T97" s="80">
        <v>1.63</v>
      </c>
    </row>
    <row r="98" spans="2:20" ht="42">
      <c r="B98" s="5" t="s">
        <v>312</v>
      </c>
      <c r="C98" s="45" t="s">
        <v>97</v>
      </c>
      <c r="D98" s="45" t="s">
        <v>313</v>
      </c>
      <c r="E98" s="6" t="s">
        <v>314</v>
      </c>
      <c r="F98" s="45" t="s">
        <v>104</v>
      </c>
      <c r="G98" s="46">
        <f t="shared" si="7"/>
        <v>5</v>
      </c>
      <c r="H98" s="46">
        <f>TRUNC(S98*(1-LOTE_01!$K$10),2)</f>
        <v>21.54</v>
      </c>
      <c r="I98" s="46">
        <f>TRUNC(T98*(1-LOTE_01!$K$10),2)</f>
        <v>38.35</v>
      </c>
      <c r="J98" s="100">
        <f t="shared" si="8"/>
        <v>0.22470000000000001</v>
      </c>
      <c r="K98" s="48">
        <f t="shared" si="9"/>
        <v>26.38</v>
      </c>
      <c r="L98" s="48">
        <f t="shared" si="10"/>
        <v>46.96</v>
      </c>
      <c r="M98" s="48">
        <f t="shared" si="11"/>
        <v>131.9</v>
      </c>
      <c r="N98" s="48">
        <f t="shared" si="12"/>
        <v>234.8</v>
      </c>
      <c r="O98" s="50">
        <f t="shared" si="13"/>
        <v>366.7</v>
      </c>
      <c r="P98" s="50">
        <v>0</v>
      </c>
      <c r="Q98" s="76"/>
      <c r="R98" s="140">
        <f>IF((1*S9+1*S10)&gt;5,5,(1*S9+1*S10))</f>
        <v>5</v>
      </c>
      <c r="S98" s="79">
        <v>21.54</v>
      </c>
      <c r="T98" s="80">
        <v>38.35</v>
      </c>
    </row>
    <row r="99" spans="2:20" ht="28">
      <c r="B99" s="5" t="s">
        <v>315</v>
      </c>
      <c r="C99" s="45" t="s">
        <v>97</v>
      </c>
      <c r="D99" s="45" t="s">
        <v>316</v>
      </c>
      <c r="E99" s="6" t="s">
        <v>317</v>
      </c>
      <c r="F99" s="45" t="s">
        <v>104</v>
      </c>
      <c r="G99" s="46">
        <f t="shared" si="7"/>
        <v>28</v>
      </c>
      <c r="H99" s="46">
        <f>TRUNC(S99*(1-LOTE_01!$K$10),2)</f>
        <v>2.63</v>
      </c>
      <c r="I99" s="46">
        <f>TRUNC(T99*(1-LOTE_01!$K$10),2)</f>
        <v>5.13</v>
      </c>
      <c r="J99" s="100">
        <f t="shared" si="8"/>
        <v>0.22470000000000001</v>
      </c>
      <c r="K99" s="48">
        <f t="shared" si="9"/>
        <v>3.22</v>
      </c>
      <c r="L99" s="48">
        <f t="shared" si="10"/>
        <v>6.28</v>
      </c>
      <c r="M99" s="48">
        <f t="shared" si="11"/>
        <v>90.16</v>
      </c>
      <c r="N99" s="48">
        <f t="shared" si="12"/>
        <v>175.84</v>
      </c>
      <c r="O99" s="50">
        <f t="shared" si="13"/>
        <v>266</v>
      </c>
      <c r="P99" s="50">
        <v>0</v>
      </c>
      <c r="Q99" s="76"/>
      <c r="R99" s="140">
        <f>IF((2*S9+2*S10)&gt;50,50,(2*S9+2*S10))</f>
        <v>28</v>
      </c>
      <c r="S99" s="79">
        <v>2.63</v>
      </c>
      <c r="T99" s="80">
        <v>5.13</v>
      </c>
    </row>
    <row r="100" spans="2:20" ht="28">
      <c r="B100" s="5" t="s">
        <v>318</v>
      </c>
      <c r="C100" s="45" t="s">
        <v>97</v>
      </c>
      <c r="D100" s="45" t="s">
        <v>319</v>
      </c>
      <c r="E100" s="6" t="s">
        <v>320</v>
      </c>
      <c r="F100" s="45" t="s">
        <v>187</v>
      </c>
      <c r="G100" s="46">
        <f t="shared" si="7"/>
        <v>100</v>
      </c>
      <c r="H100" s="46">
        <f>TRUNC(S100*(1-LOTE_01!$K$10),2)</f>
        <v>2.98</v>
      </c>
      <c r="I100" s="46">
        <f>TRUNC(T100*(1-LOTE_01!$K$10),2)</f>
        <v>4.53</v>
      </c>
      <c r="J100" s="100">
        <f t="shared" si="8"/>
        <v>0.22470000000000001</v>
      </c>
      <c r="K100" s="48">
        <f t="shared" si="9"/>
        <v>3.64</v>
      </c>
      <c r="L100" s="48">
        <f t="shared" si="10"/>
        <v>5.54</v>
      </c>
      <c r="M100" s="48">
        <f t="shared" si="11"/>
        <v>364</v>
      </c>
      <c r="N100" s="48">
        <f t="shared" si="12"/>
        <v>554</v>
      </c>
      <c r="O100" s="50">
        <f t="shared" si="13"/>
        <v>918</v>
      </c>
      <c r="P100" s="50">
        <v>0</v>
      </c>
      <c r="Q100" s="76"/>
      <c r="R100" s="140">
        <f>IF((10*S9+30*S10)&gt;100,100,(10*S9+30*S10))</f>
        <v>100</v>
      </c>
      <c r="S100" s="79">
        <v>2.98</v>
      </c>
      <c r="T100" s="80">
        <v>4.53</v>
      </c>
    </row>
    <row r="101" spans="2:20" ht="28">
      <c r="B101" s="5" t="s">
        <v>321</v>
      </c>
      <c r="C101" s="45" t="s">
        <v>97</v>
      </c>
      <c r="D101" s="45" t="s">
        <v>322</v>
      </c>
      <c r="E101" s="6" t="s">
        <v>323</v>
      </c>
      <c r="F101" s="45" t="s">
        <v>121</v>
      </c>
      <c r="G101" s="46">
        <f t="shared" si="7"/>
        <v>140</v>
      </c>
      <c r="H101" s="46">
        <f>TRUNC(S101*(1-LOTE_01!$K$10),2)</f>
        <v>12.91</v>
      </c>
      <c r="I101" s="46">
        <f>TRUNC(T101*(1-LOTE_01!$K$10),2)</f>
        <v>21.87</v>
      </c>
      <c r="J101" s="100">
        <f t="shared" si="8"/>
        <v>0.22470000000000001</v>
      </c>
      <c r="K101" s="48">
        <f t="shared" si="9"/>
        <v>15.81</v>
      </c>
      <c r="L101" s="48">
        <f t="shared" si="10"/>
        <v>26.78</v>
      </c>
      <c r="M101" s="48">
        <f t="shared" si="11"/>
        <v>2213.4</v>
      </c>
      <c r="N101" s="48">
        <f t="shared" si="12"/>
        <v>3749.2</v>
      </c>
      <c r="O101" s="50">
        <f t="shared" si="13"/>
        <v>5962.6</v>
      </c>
      <c r="P101" s="50">
        <v>0</v>
      </c>
      <c r="Q101" s="76"/>
      <c r="R101" s="140">
        <f>10*S9+10*S10</f>
        <v>140</v>
      </c>
      <c r="S101" s="79">
        <v>12.91</v>
      </c>
      <c r="T101" s="80">
        <v>21.87</v>
      </c>
    </row>
    <row r="102" spans="2:20" ht="28">
      <c r="B102" s="5" t="s">
        <v>324</v>
      </c>
      <c r="C102" s="45" t="s">
        <v>97</v>
      </c>
      <c r="D102" s="45" t="s">
        <v>325</v>
      </c>
      <c r="E102" s="6" t="s">
        <v>326</v>
      </c>
      <c r="F102" s="45" t="s">
        <v>104</v>
      </c>
      <c r="G102" s="46">
        <f t="shared" si="7"/>
        <v>34</v>
      </c>
      <c r="H102" s="46">
        <f>TRUNC(S102*(1-LOTE_01!$K$10),2)</f>
        <v>5.26</v>
      </c>
      <c r="I102" s="46">
        <f>TRUNC(T102*(1-LOTE_01!$K$10),2)</f>
        <v>10.26</v>
      </c>
      <c r="J102" s="100">
        <f t="shared" si="8"/>
        <v>0.22470000000000001</v>
      </c>
      <c r="K102" s="48">
        <f t="shared" si="9"/>
        <v>6.44</v>
      </c>
      <c r="L102" s="48">
        <f t="shared" si="10"/>
        <v>12.56</v>
      </c>
      <c r="M102" s="48">
        <f t="shared" si="11"/>
        <v>218.96</v>
      </c>
      <c r="N102" s="48">
        <f t="shared" si="12"/>
        <v>427.04</v>
      </c>
      <c r="O102" s="50">
        <f t="shared" si="13"/>
        <v>646</v>
      </c>
      <c r="P102" s="50">
        <v>0</v>
      </c>
      <c r="Q102" s="76"/>
      <c r="R102" s="140">
        <f>2*S9+3*S10</f>
        <v>34</v>
      </c>
      <c r="S102" s="79">
        <v>5.26</v>
      </c>
      <c r="T102" s="80">
        <v>10.26</v>
      </c>
    </row>
    <row r="103" spans="2:20" ht="28">
      <c r="B103" s="5" t="s">
        <v>327</v>
      </c>
      <c r="C103" s="45" t="s">
        <v>97</v>
      </c>
      <c r="D103" s="45" t="s">
        <v>328</v>
      </c>
      <c r="E103" s="6" t="s">
        <v>329</v>
      </c>
      <c r="F103" s="45" t="s">
        <v>104</v>
      </c>
      <c r="G103" s="46">
        <f t="shared" si="7"/>
        <v>10</v>
      </c>
      <c r="H103" s="46">
        <f>TRUNC(S103*(1-LOTE_01!$K$10),2)</f>
        <v>38.61</v>
      </c>
      <c r="I103" s="46">
        <f>TRUNC(T103*(1-LOTE_01!$K$10),2)</f>
        <v>63.94</v>
      </c>
      <c r="J103" s="100">
        <f t="shared" si="8"/>
        <v>0.22470000000000001</v>
      </c>
      <c r="K103" s="48">
        <f t="shared" si="9"/>
        <v>47.28</v>
      </c>
      <c r="L103" s="48">
        <f t="shared" si="10"/>
        <v>78.3</v>
      </c>
      <c r="M103" s="48">
        <f t="shared" si="11"/>
        <v>472.8</v>
      </c>
      <c r="N103" s="48">
        <f t="shared" si="12"/>
        <v>783</v>
      </c>
      <c r="O103" s="50">
        <f t="shared" si="13"/>
        <v>1255.8</v>
      </c>
      <c r="P103" s="50">
        <v>0</v>
      </c>
      <c r="Q103" s="76"/>
      <c r="R103" s="140">
        <f>IF((1*S9+1*S10)&gt;10,10,(1*S9+1*S10))</f>
        <v>10</v>
      </c>
      <c r="S103" s="79">
        <v>38.61</v>
      </c>
      <c r="T103" s="80">
        <v>63.94</v>
      </c>
    </row>
    <row r="104" spans="2:20" ht="28">
      <c r="B104" s="5" t="s">
        <v>330</v>
      </c>
      <c r="C104" s="45" t="s">
        <v>97</v>
      </c>
      <c r="D104" s="45" t="s">
        <v>331</v>
      </c>
      <c r="E104" s="6" t="s">
        <v>332</v>
      </c>
      <c r="F104" s="45" t="s">
        <v>104</v>
      </c>
      <c r="G104" s="46">
        <f t="shared" si="7"/>
        <v>10</v>
      </c>
      <c r="H104" s="46">
        <f>TRUNC(S104*(1-LOTE_01!$K$10),2)</f>
        <v>7652.84</v>
      </c>
      <c r="I104" s="46">
        <f>TRUNC(T104*(1-LOTE_01!$K$10),2)</f>
        <v>687.8</v>
      </c>
      <c r="J104" s="100">
        <f t="shared" si="8"/>
        <v>0.22470000000000001</v>
      </c>
      <c r="K104" s="48">
        <f t="shared" si="9"/>
        <v>9372.43</v>
      </c>
      <c r="L104" s="48">
        <f t="shared" si="10"/>
        <v>842.34</v>
      </c>
      <c r="M104" s="48">
        <f t="shared" si="11"/>
        <v>93724.3</v>
      </c>
      <c r="N104" s="48">
        <f t="shared" si="12"/>
        <v>8423.4</v>
      </c>
      <c r="O104" s="50">
        <f t="shared" si="13"/>
        <v>102147.7</v>
      </c>
      <c r="P104" s="50">
        <v>0</v>
      </c>
      <c r="Q104" s="76"/>
      <c r="R104" s="140">
        <f>IF((1*S9+1*S10)&gt;10,10,(1*S9+1*S10))</f>
        <v>10</v>
      </c>
      <c r="S104" s="79">
        <v>7652.84</v>
      </c>
      <c r="T104" s="80">
        <v>687.8</v>
      </c>
    </row>
    <row r="105" spans="2:20" ht="28">
      <c r="B105" s="5" t="s">
        <v>333</v>
      </c>
      <c r="C105" s="45" t="s">
        <v>97</v>
      </c>
      <c r="D105" s="45" t="s">
        <v>334</v>
      </c>
      <c r="E105" s="6" t="s">
        <v>335</v>
      </c>
      <c r="F105" s="45" t="s">
        <v>104</v>
      </c>
      <c r="G105" s="46">
        <f t="shared" si="7"/>
        <v>40</v>
      </c>
      <c r="H105" s="46">
        <f>TRUNC(S105*(1-LOTE_01!$K$10),2)</f>
        <v>3.22</v>
      </c>
      <c r="I105" s="46">
        <f>TRUNC(T105*(1-LOTE_01!$K$10),2)</f>
        <v>4.9000000000000004</v>
      </c>
      <c r="J105" s="100">
        <f t="shared" si="8"/>
        <v>0.22470000000000001</v>
      </c>
      <c r="K105" s="48">
        <f t="shared" si="9"/>
        <v>3.94</v>
      </c>
      <c r="L105" s="48">
        <f t="shared" si="10"/>
        <v>6</v>
      </c>
      <c r="M105" s="48">
        <f t="shared" si="11"/>
        <v>157.6</v>
      </c>
      <c r="N105" s="48">
        <f t="shared" si="12"/>
        <v>240</v>
      </c>
      <c r="O105" s="50">
        <f t="shared" si="13"/>
        <v>397.6</v>
      </c>
      <c r="P105" s="50">
        <v>0</v>
      </c>
      <c r="Q105" s="76"/>
      <c r="R105" s="140">
        <f>2*S9+4*S10</f>
        <v>40</v>
      </c>
      <c r="S105" s="79">
        <v>3.22</v>
      </c>
      <c r="T105" s="80">
        <v>4.9000000000000004</v>
      </c>
    </row>
    <row r="106" spans="2:20">
      <c r="B106" s="5" t="s">
        <v>336</v>
      </c>
      <c r="C106" s="45" t="s">
        <v>97</v>
      </c>
      <c r="D106" s="45" t="s">
        <v>337</v>
      </c>
      <c r="E106" s="6" t="s">
        <v>338</v>
      </c>
      <c r="F106" s="45" t="s">
        <v>104</v>
      </c>
      <c r="G106" s="46">
        <f t="shared" si="7"/>
        <v>340</v>
      </c>
      <c r="H106" s="46">
        <f>TRUNC(S106*(1-LOTE_01!$K$10),2)</f>
        <v>1.07</v>
      </c>
      <c r="I106" s="46">
        <f>TRUNC(T106*(1-LOTE_01!$K$10),2)</f>
        <v>1.63</v>
      </c>
      <c r="J106" s="100">
        <f t="shared" si="8"/>
        <v>0.22470000000000001</v>
      </c>
      <c r="K106" s="48">
        <f t="shared" si="9"/>
        <v>1.31</v>
      </c>
      <c r="L106" s="48">
        <f t="shared" si="10"/>
        <v>1.99</v>
      </c>
      <c r="M106" s="48">
        <f t="shared" si="11"/>
        <v>445.4</v>
      </c>
      <c r="N106" s="48">
        <f t="shared" si="12"/>
        <v>676.6</v>
      </c>
      <c r="O106" s="50">
        <f t="shared" si="13"/>
        <v>1122</v>
      </c>
      <c r="P106" s="50">
        <v>0</v>
      </c>
      <c r="Q106" s="76"/>
      <c r="R106" s="140">
        <f>20*S9+30*S10</f>
        <v>340</v>
      </c>
      <c r="S106" s="79">
        <v>1.07</v>
      </c>
      <c r="T106" s="80">
        <v>1.63</v>
      </c>
    </row>
    <row r="107" spans="2:20" ht="28">
      <c r="B107" s="5" t="s">
        <v>339</v>
      </c>
      <c r="C107" s="45" t="s">
        <v>97</v>
      </c>
      <c r="D107" s="45" t="s">
        <v>301</v>
      </c>
      <c r="E107" s="6" t="s">
        <v>302</v>
      </c>
      <c r="F107" s="45" t="s">
        <v>104</v>
      </c>
      <c r="G107" s="46">
        <f t="shared" si="7"/>
        <v>28</v>
      </c>
      <c r="H107" s="46">
        <f>TRUNC(S107*(1-LOTE_01!$K$10),2)</f>
        <v>2.15</v>
      </c>
      <c r="I107" s="46">
        <f>TRUNC(T107*(1-LOTE_01!$K$10),2)</f>
        <v>3.26</v>
      </c>
      <c r="J107" s="100">
        <f t="shared" si="8"/>
        <v>0.22470000000000001</v>
      </c>
      <c r="K107" s="48">
        <f t="shared" si="9"/>
        <v>2.63</v>
      </c>
      <c r="L107" s="48">
        <f t="shared" si="10"/>
        <v>3.99</v>
      </c>
      <c r="M107" s="48">
        <f t="shared" si="11"/>
        <v>73.64</v>
      </c>
      <c r="N107" s="48">
        <f t="shared" si="12"/>
        <v>111.72</v>
      </c>
      <c r="O107" s="50">
        <f t="shared" si="13"/>
        <v>185.36</v>
      </c>
      <c r="P107" s="50">
        <v>0</v>
      </c>
      <c r="Q107" s="76"/>
      <c r="R107" s="140">
        <f>2*S9+2*S10</f>
        <v>28</v>
      </c>
      <c r="S107" s="79">
        <v>2.15</v>
      </c>
      <c r="T107" s="80">
        <v>3.26</v>
      </c>
    </row>
    <row r="108" spans="2:20" ht="42">
      <c r="B108" s="5" t="s">
        <v>340</v>
      </c>
      <c r="C108" s="45" t="s">
        <v>135</v>
      </c>
      <c r="D108" s="45">
        <v>90436</v>
      </c>
      <c r="E108" s="6" t="s">
        <v>341</v>
      </c>
      <c r="F108" s="45" t="s">
        <v>210</v>
      </c>
      <c r="G108" s="46">
        <f t="shared" si="7"/>
        <v>20</v>
      </c>
      <c r="H108" s="46">
        <f>TRUNC(S108*(1-LOTE_01!$K$10),2)</f>
        <v>5.71</v>
      </c>
      <c r="I108" s="46">
        <f>TRUNC(T108*(1-LOTE_01!$K$10),2)</f>
        <v>11.86</v>
      </c>
      <c r="J108" s="100">
        <f t="shared" si="8"/>
        <v>0.22470000000000001</v>
      </c>
      <c r="K108" s="48">
        <f t="shared" si="9"/>
        <v>6.99</v>
      </c>
      <c r="L108" s="48">
        <f t="shared" si="10"/>
        <v>14.52</v>
      </c>
      <c r="M108" s="48">
        <f t="shared" si="11"/>
        <v>139.80000000000001</v>
      </c>
      <c r="N108" s="48">
        <f t="shared" si="12"/>
        <v>290.39999999999998</v>
      </c>
      <c r="O108" s="50">
        <f t="shared" si="13"/>
        <v>430.2</v>
      </c>
      <c r="P108" s="50">
        <v>0</v>
      </c>
      <c r="Q108" s="76"/>
      <c r="R108" s="140">
        <f>IF((2*S9+2*S10)&gt;20,20,(2*S9+2*S10))</f>
        <v>20</v>
      </c>
      <c r="S108" s="79">
        <v>5.7100000000000009</v>
      </c>
      <c r="T108" s="80">
        <v>11.86</v>
      </c>
    </row>
    <row r="109" spans="2:20" ht="56">
      <c r="B109" s="5" t="s">
        <v>342</v>
      </c>
      <c r="C109" s="45" t="s">
        <v>135</v>
      </c>
      <c r="D109" s="45">
        <v>90437</v>
      </c>
      <c r="E109" s="6" t="s">
        <v>343</v>
      </c>
      <c r="F109" s="45" t="s">
        <v>210</v>
      </c>
      <c r="G109" s="46">
        <f t="shared" si="7"/>
        <v>20</v>
      </c>
      <c r="H109" s="46">
        <f>TRUNC(S109*(1-LOTE_01!$K$10),2)</f>
        <v>15.19</v>
      </c>
      <c r="I109" s="46">
        <f>TRUNC(T109*(1-LOTE_01!$K$10),2)</f>
        <v>31.65</v>
      </c>
      <c r="J109" s="100">
        <f t="shared" si="8"/>
        <v>0.22470000000000001</v>
      </c>
      <c r="K109" s="48">
        <f t="shared" si="9"/>
        <v>18.600000000000001</v>
      </c>
      <c r="L109" s="48">
        <f t="shared" si="10"/>
        <v>38.76</v>
      </c>
      <c r="M109" s="48">
        <f t="shared" si="11"/>
        <v>372</v>
      </c>
      <c r="N109" s="48">
        <f t="shared" si="12"/>
        <v>775.2</v>
      </c>
      <c r="O109" s="50">
        <f t="shared" si="13"/>
        <v>1147.2</v>
      </c>
      <c r="P109" s="50">
        <v>0</v>
      </c>
      <c r="Q109" s="76"/>
      <c r="R109" s="140">
        <f>IF((2*S9+2*S10)&gt;20,20,(2*S9+2*S10))</f>
        <v>20</v>
      </c>
      <c r="S109" s="79">
        <v>15.190000000000005</v>
      </c>
      <c r="T109" s="80">
        <v>31.65</v>
      </c>
    </row>
    <row r="110" spans="2:20" ht="56">
      <c r="B110" s="5" t="s">
        <v>344</v>
      </c>
      <c r="C110" s="45" t="s">
        <v>135</v>
      </c>
      <c r="D110" s="45">
        <v>90438</v>
      </c>
      <c r="E110" s="6" t="s">
        <v>345</v>
      </c>
      <c r="F110" s="45" t="s">
        <v>210</v>
      </c>
      <c r="G110" s="46">
        <f t="shared" si="7"/>
        <v>20</v>
      </c>
      <c r="H110" s="46">
        <f>TRUNC(S110*(1-LOTE_01!$K$10),2)</f>
        <v>22.2</v>
      </c>
      <c r="I110" s="46">
        <f>TRUNC(T110*(1-LOTE_01!$K$10),2)</f>
        <v>46.21</v>
      </c>
      <c r="J110" s="100">
        <f t="shared" si="8"/>
        <v>0.22470000000000001</v>
      </c>
      <c r="K110" s="48">
        <f t="shared" si="9"/>
        <v>27.18</v>
      </c>
      <c r="L110" s="48">
        <f t="shared" si="10"/>
        <v>56.59</v>
      </c>
      <c r="M110" s="48">
        <f t="shared" si="11"/>
        <v>543.6</v>
      </c>
      <c r="N110" s="48">
        <f t="shared" si="12"/>
        <v>1131.8</v>
      </c>
      <c r="O110" s="50">
        <f t="shared" si="13"/>
        <v>1675.4</v>
      </c>
      <c r="P110" s="50">
        <v>0</v>
      </c>
      <c r="Q110" s="76"/>
      <c r="R110" s="140">
        <f>IF((2*S9+2*S10)&gt;20,20,(2*S9+2*S10))</f>
        <v>20</v>
      </c>
      <c r="S110" s="79">
        <v>22.199999999999996</v>
      </c>
      <c r="T110" s="80">
        <v>46.21</v>
      </c>
    </row>
    <row r="111" spans="2:20" ht="56">
      <c r="B111" s="5" t="s">
        <v>346</v>
      </c>
      <c r="C111" s="45" t="s">
        <v>135</v>
      </c>
      <c r="D111" s="45">
        <v>90439</v>
      </c>
      <c r="E111" s="6" t="s">
        <v>347</v>
      </c>
      <c r="F111" s="45" t="s">
        <v>210</v>
      </c>
      <c r="G111" s="46">
        <f t="shared" si="7"/>
        <v>10</v>
      </c>
      <c r="H111" s="46">
        <f>TRUNC(S111*(1-LOTE_01!$K$10),2)</f>
        <v>4.1100000000000003</v>
      </c>
      <c r="I111" s="46">
        <f>TRUNC(T111*(1-LOTE_01!$K$10),2)</f>
        <v>9</v>
      </c>
      <c r="J111" s="100">
        <f t="shared" si="8"/>
        <v>0.22470000000000001</v>
      </c>
      <c r="K111" s="48">
        <f t="shared" si="9"/>
        <v>5.03</v>
      </c>
      <c r="L111" s="48">
        <f t="shared" si="10"/>
        <v>11.02</v>
      </c>
      <c r="M111" s="48">
        <f t="shared" si="11"/>
        <v>50.3</v>
      </c>
      <c r="N111" s="48">
        <f t="shared" si="12"/>
        <v>110.2</v>
      </c>
      <c r="O111" s="50">
        <f t="shared" si="13"/>
        <v>160.5</v>
      </c>
      <c r="P111" s="50">
        <v>0</v>
      </c>
      <c r="Q111" s="76"/>
      <c r="R111" s="140">
        <f>IF((2*S9+2*S10)&gt;10,10,(2*S9+2*S10))</f>
        <v>10</v>
      </c>
      <c r="S111" s="79">
        <v>4.1099999999999994</v>
      </c>
      <c r="T111" s="80">
        <v>9</v>
      </c>
    </row>
    <row r="112" spans="2:20" ht="70">
      <c r="B112" s="5" t="s">
        <v>348</v>
      </c>
      <c r="C112" s="45" t="s">
        <v>135</v>
      </c>
      <c r="D112" s="45">
        <v>90440</v>
      </c>
      <c r="E112" s="6" t="s">
        <v>349</v>
      </c>
      <c r="F112" s="45" t="s">
        <v>210</v>
      </c>
      <c r="G112" s="46">
        <f t="shared" si="7"/>
        <v>10</v>
      </c>
      <c r="H112" s="46">
        <f>TRUNC(S112*(1-LOTE_01!$K$10),2)</f>
        <v>10.94</v>
      </c>
      <c r="I112" s="46">
        <f>TRUNC(T112*(1-LOTE_01!$K$10),2)</f>
        <v>24.02</v>
      </c>
      <c r="J112" s="100">
        <f t="shared" si="8"/>
        <v>0.22470000000000001</v>
      </c>
      <c r="K112" s="48">
        <f t="shared" si="9"/>
        <v>13.39</v>
      </c>
      <c r="L112" s="48">
        <f t="shared" si="10"/>
        <v>29.41</v>
      </c>
      <c r="M112" s="48">
        <f t="shared" si="11"/>
        <v>133.9</v>
      </c>
      <c r="N112" s="48">
        <f t="shared" si="12"/>
        <v>294.10000000000002</v>
      </c>
      <c r="O112" s="50">
        <f t="shared" si="13"/>
        <v>428</v>
      </c>
      <c r="P112" s="50">
        <v>0</v>
      </c>
      <c r="Q112" s="76"/>
      <c r="R112" s="140">
        <f>IF((2*S9+2*S10)&gt;10,10,(2*S9+2*S10))</f>
        <v>10</v>
      </c>
      <c r="S112" s="79">
        <v>10.940000000000001</v>
      </c>
      <c r="T112" s="80">
        <v>24.02</v>
      </c>
    </row>
    <row r="113" spans="2:20" ht="70">
      <c r="B113" s="5" t="s">
        <v>350</v>
      </c>
      <c r="C113" s="45" t="s">
        <v>135</v>
      </c>
      <c r="D113" s="45">
        <v>90441</v>
      </c>
      <c r="E113" s="6" t="s">
        <v>351</v>
      </c>
      <c r="F113" s="45" t="s">
        <v>210</v>
      </c>
      <c r="G113" s="46">
        <f t="shared" si="7"/>
        <v>10</v>
      </c>
      <c r="H113" s="46">
        <f>TRUNC(S113*(1-LOTE_01!$K$10),2)</f>
        <v>15.97</v>
      </c>
      <c r="I113" s="46">
        <f>TRUNC(T113*(1-LOTE_01!$K$10),2)</f>
        <v>35.1</v>
      </c>
      <c r="J113" s="100">
        <f t="shared" si="8"/>
        <v>0.22470000000000001</v>
      </c>
      <c r="K113" s="48">
        <f t="shared" si="9"/>
        <v>19.55</v>
      </c>
      <c r="L113" s="48">
        <f t="shared" si="10"/>
        <v>42.98</v>
      </c>
      <c r="M113" s="48">
        <f t="shared" si="11"/>
        <v>195.5</v>
      </c>
      <c r="N113" s="48">
        <f t="shared" si="12"/>
        <v>429.8</v>
      </c>
      <c r="O113" s="50">
        <f t="shared" si="13"/>
        <v>625.29999999999995</v>
      </c>
      <c r="P113" s="50">
        <v>0</v>
      </c>
      <c r="Q113" s="76"/>
      <c r="R113" s="140">
        <f>IF((2*S9+2*S10)&gt;10,10,(2*S9+2*S10))</f>
        <v>10</v>
      </c>
      <c r="S113" s="79">
        <v>15.969999999999999</v>
      </c>
      <c r="T113" s="80">
        <v>35.1</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3047.1000000000004</v>
      </c>
      <c r="Q114" s="76"/>
      <c r="R114" s="154"/>
      <c r="S114" s="79" t="s">
        <v>22</v>
      </c>
      <c r="T114" s="80" t="s">
        <v>22</v>
      </c>
    </row>
    <row r="115" spans="2:20" ht="28">
      <c r="B115" s="5" t="s">
        <v>352</v>
      </c>
      <c r="C115" s="45" t="s">
        <v>135</v>
      </c>
      <c r="D115" s="45">
        <v>94319</v>
      </c>
      <c r="E115" s="6" t="s">
        <v>353</v>
      </c>
      <c r="F115" s="45" t="s">
        <v>161</v>
      </c>
      <c r="G115" s="46">
        <f>IF($S$11=0,0,TRUNC(R115,2))</f>
        <v>5</v>
      </c>
      <c r="H115" s="46">
        <f>TRUNC(S115*(1-LOTE_01!$K$10),2)</f>
        <v>68.790000000000006</v>
      </c>
      <c r="I115" s="46">
        <f>TRUNC(T115*(1-LOTE_01!$K$10),2)</f>
        <v>18.98</v>
      </c>
      <c r="J115" s="100">
        <f t="shared" si="8"/>
        <v>0.22470000000000001</v>
      </c>
      <c r="K115" s="48">
        <f t="shared" si="9"/>
        <v>84.24</v>
      </c>
      <c r="L115" s="48">
        <f t="shared" si="10"/>
        <v>23.24</v>
      </c>
      <c r="M115" s="48">
        <f t="shared" si="11"/>
        <v>421.2</v>
      </c>
      <c r="N115" s="48">
        <f t="shared" si="12"/>
        <v>116.2</v>
      </c>
      <c r="O115" s="50">
        <f t="shared" si="13"/>
        <v>537.4</v>
      </c>
      <c r="P115" s="50">
        <v>0</v>
      </c>
      <c r="Q115" s="76"/>
      <c r="R115" s="140">
        <f>IF((1*S10)&gt;5,5,1)</f>
        <v>5</v>
      </c>
      <c r="S115" s="79">
        <v>68.789999999999992</v>
      </c>
      <c r="T115" s="80">
        <v>18.98</v>
      </c>
    </row>
    <row r="116" spans="2:20" ht="28">
      <c r="B116" s="5" t="s">
        <v>354</v>
      </c>
      <c r="C116" s="45" t="s">
        <v>135</v>
      </c>
      <c r="D116" s="45">
        <v>94342</v>
      </c>
      <c r="E116" s="6" t="s">
        <v>355</v>
      </c>
      <c r="F116" s="45" t="s">
        <v>161</v>
      </c>
      <c r="G116" s="46">
        <f t="shared" ref="G116:G123" si="14">IF($S$11=0,0,TRUNC(R116,2))</f>
        <v>5</v>
      </c>
      <c r="H116" s="46">
        <f>TRUNC(S116*(1-LOTE_01!$K$10),2)</f>
        <v>85.11</v>
      </c>
      <c r="I116" s="46">
        <f>TRUNC(T116*(1-LOTE_01!$K$10),2)</f>
        <v>18.27</v>
      </c>
      <c r="J116" s="100">
        <f t="shared" si="8"/>
        <v>0.22470000000000001</v>
      </c>
      <c r="K116" s="48">
        <f t="shared" si="9"/>
        <v>104.23</v>
      </c>
      <c r="L116" s="48">
        <f t="shared" si="10"/>
        <v>22.37</v>
      </c>
      <c r="M116" s="48">
        <f t="shared" si="11"/>
        <v>521.15</v>
      </c>
      <c r="N116" s="48">
        <f t="shared" si="12"/>
        <v>111.85</v>
      </c>
      <c r="O116" s="50">
        <f t="shared" si="13"/>
        <v>633</v>
      </c>
      <c r="P116" s="50">
        <v>0</v>
      </c>
      <c r="Q116" s="76"/>
      <c r="R116" s="140">
        <f>IF((1*S10)&gt;5,5,1)</f>
        <v>5</v>
      </c>
      <c r="S116" s="79">
        <v>85.11</v>
      </c>
      <c r="T116" s="80">
        <v>18.27</v>
      </c>
    </row>
    <row r="117" spans="2:20" ht="28">
      <c r="B117" s="5" t="s">
        <v>356</v>
      </c>
      <c r="C117" s="45" t="s">
        <v>165</v>
      </c>
      <c r="D117" s="45" t="s">
        <v>357</v>
      </c>
      <c r="E117" s="6" t="s">
        <v>358</v>
      </c>
      <c r="F117" s="45" t="s">
        <v>182</v>
      </c>
      <c r="G117" s="46">
        <f t="shared" si="14"/>
        <v>5</v>
      </c>
      <c r="H117" s="46">
        <f>TRUNC(S117*(1-LOTE_01!$K$10),2)</f>
        <v>14.6</v>
      </c>
      <c r="I117" s="46">
        <f>TRUNC(T117*(1-LOTE_01!$K$10),2)</f>
        <v>0.7</v>
      </c>
      <c r="J117" s="100">
        <f t="shared" si="8"/>
        <v>0.22470000000000001</v>
      </c>
      <c r="K117" s="48">
        <f t="shared" si="9"/>
        <v>17.88</v>
      </c>
      <c r="L117" s="48">
        <f t="shared" si="10"/>
        <v>0.85</v>
      </c>
      <c r="M117" s="48">
        <f t="shared" si="11"/>
        <v>89.4</v>
      </c>
      <c r="N117" s="48">
        <f t="shared" si="12"/>
        <v>4.25</v>
      </c>
      <c r="O117" s="50">
        <f t="shared" si="13"/>
        <v>93.65</v>
      </c>
      <c r="P117" s="50">
        <v>0</v>
      </c>
      <c r="Q117" s="76"/>
      <c r="R117" s="140">
        <f>IF((1*S10)&gt;5,5,1)</f>
        <v>5</v>
      </c>
      <c r="S117" s="79">
        <v>14.6</v>
      </c>
      <c r="T117" s="80">
        <v>0.7</v>
      </c>
    </row>
    <row r="118" spans="2:20" ht="28">
      <c r="B118" s="5" t="s">
        <v>359</v>
      </c>
      <c r="C118" s="45" t="s">
        <v>165</v>
      </c>
      <c r="D118" s="45" t="s">
        <v>360</v>
      </c>
      <c r="E118" s="6" t="s">
        <v>361</v>
      </c>
      <c r="F118" s="45" t="s">
        <v>182</v>
      </c>
      <c r="G118" s="46">
        <f t="shared" si="14"/>
        <v>5</v>
      </c>
      <c r="H118" s="46">
        <f>TRUNC(S118*(1-LOTE_01!$K$10),2)</f>
        <v>24.77</v>
      </c>
      <c r="I118" s="46">
        <f>TRUNC(T118*(1-LOTE_01!$K$10),2)</f>
        <v>28.37</v>
      </c>
      <c r="J118" s="100">
        <f t="shared" si="8"/>
        <v>0.22470000000000001</v>
      </c>
      <c r="K118" s="48">
        <f t="shared" si="9"/>
        <v>30.33</v>
      </c>
      <c r="L118" s="48">
        <f t="shared" si="10"/>
        <v>34.74</v>
      </c>
      <c r="M118" s="48">
        <f t="shared" si="11"/>
        <v>151.65</v>
      </c>
      <c r="N118" s="48">
        <f t="shared" si="12"/>
        <v>173.7</v>
      </c>
      <c r="O118" s="50">
        <f t="shared" si="13"/>
        <v>325.35000000000002</v>
      </c>
      <c r="P118" s="50">
        <v>0</v>
      </c>
      <c r="Q118" s="76"/>
      <c r="R118" s="140">
        <f>IF((1*S10)&gt;5,5,1)</f>
        <v>5</v>
      </c>
      <c r="S118" s="79">
        <v>24.77</v>
      </c>
      <c r="T118" s="80">
        <v>28.37</v>
      </c>
    </row>
    <row r="119" spans="2:20" ht="28">
      <c r="B119" s="5" t="s">
        <v>362</v>
      </c>
      <c r="C119" s="45" t="s">
        <v>135</v>
      </c>
      <c r="D119" s="45">
        <v>93358</v>
      </c>
      <c r="E119" s="6" t="s">
        <v>363</v>
      </c>
      <c r="F119" s="45" t="s">
        <v>161</v>
      </c>
      <c r="G119" s="46">
        <f t="shared" si="14"/>
        <v>5</v>
      </c>
      <c r="H119" s="46">
        <f>TRUNC(S119*(1-LOTE_01!$K$10),2)</f>
        <v>42.52</v>
      </c>
      <c r="I119" s="46">
        <f>TRUNC(T119*(1-LOTE_01!$K$10),2)</f>
        <v>64.64</v>
      </c>
      <c r="J119" s="100">
        <f t="shared" si="8"/>
        <v>0.22470000000000001</v>
      </c>
      <c r="K119" s="48">
        <f t="shared" si="9"/>
        <v>52.07</v>
      </c>
      <c r="L119" s="48">
        <f t="shared" si="10"/>
        <v>79.16</v>
      </c>
      <c r="M119" s="48">
        <f t="shared" si="11"/>
        <v>260.35000000000002</v>
      </c>
      <c r="N119" s="48">
        <f t="shared" si="12"/>
        <v>395.8</v>
      </c>
      <c r="O119" s="50">
        <f t="shared" si="13"/>
        <v>656.15</v>
      </c>
      <c r="P119" s="50">
        <v>0</v>
      </c>
      <c r="Q119" s="76"/>
      <c r="R119" s="140">
        <f>IF((1*S10)&gt;5,5,1)</f>
        <v>5</v>
      </c>
      <c r="S119" s="79">
        <v>42.519999999999996</v>
      </c>
      <c r="T119" s="80">
        <v>64.64</v>
      </c>
    </row>
    <row r="120" spans="2:20" ht="28">
      <c r="B120" s="5" t="s">
        <v>364</v>
      </c>
      <c r="C120" s="45" t="s">
        <v>165</v>
      </c>
      <c r="D120" s="45" t="s">
        <v>365</v>
      </c>
      <c r="E120" s="6" t="s">
        <v>366</v>
      </c>
      <c r="F120" s="45" t="s">
        <v>182</v>
      </c>
      <c r="G120" s="46">
        <f t="shared" si="14"/>
        <v>5</v>
      </c>
      <c r="H120" s="46">
        <f>TRUNC(S120*(1-LOTE_01!$K$10),2)</f>
        <v>0</v>
      </c>
      <c r="I120" s="46">
        <f>TRUNC(T120*(1-LOTE_01!$K$10),2)</f>
        <v>52.71</v>
      </c>
      <c r="J120" s="100">
        <f t="shared" si="8"/>
        <v>0.22470000000000001</v>
      </c>
      <c r="K120" s="48">
        <f t="shared" si="9"/>
        <v>0</v>
      </c>
      <c r="L120" s="48">
        <f t="shared" si="10"/>
        <v>64.55</v>
      </c>
      <c r="M120" s="48">
        <f t="shared" si="11"/>
        <v>0</v>
      </c>
      <c r="N120" s="48">
        <f t="shared" si="12"/>
        <v>322.75</v>
      </c>
      <c r="O120" s="50">
        <f t="shared" si="13"/>
        <v>322.75</v>
      </c>
      <c r="P120" s="50">
        <v>0</v>
      </c>
      <c r="Q120" s="76"/>
      <c r="R120" s="140">
        <f>IF((1*S10)&gt;5,5,1)</f>
        <v>5</v>
      </c>
      <c r="S120" s="79">
        <v>0</v>
      </c>
      <c r="T120" s="80">
        <v>52.71</v>
      </c>
    </row>
    <row r="121" spans="2:20" ht="28">
      <c r="B121" s="5" t="s">
        <v>367</v>
      </c>
      <c r="C121" s="45" t="s">
        <v>165</v>
      </c>
      <c r="D121" s="45" t="s">
        <v>368</v>
      </c>
      <c r="E121" s="6" t="s">
        <v>369</v>
      </c>
      <c r="F121" s="45" t="s">
        <v>182</v>
      </c>
      <c r="G121" s="46">
        <f t="shared" si="14"/>
        <v>5</v>
      </c>
      <c r="H121" s="46">
        <f>TRUNC(S121*(1-LOTE_01!$K$10),2)</f>
        <v>0</v>
      </c>
      <c r="I121" s="46">
        <f>TRUNC(T121*(1-LOTE_01!$K$10),2)</f>
        <v>5.93</v>
      </c>
      <c r="J121" s="100">
        <f t="shared" si="8"/>
        <v>0.22470000000000001</v>
      </c>
      <c r="K121" s="48">
        <f t="shared" si="9"/>
        <v>0</v>
      </c>
      <c r="L121" s="48">
        <f t="shared" si="10"/>
        <v>7.26</v>
      </c>
      <c r="M121" s="48">
        <f t="shared" si="11"/>
        <v>0</v>
      </c>
      <c r="N121" s="48">
        <f t="shared" si="12"/>
        <v>36.299999999999997</v>
      </c>
      <c r="O121" s="50">
        <f t="shared" si="13"/>
        <v>36.299999999999997</v>
      </c>
      <c r="P121" s="50">
        <v>0</v>
      </c>
      <c r="Q121" s="76"/>
      <c r="R121" s="140">
        <f>IF((1*S10)&gt;5,5,1)</f>
        <v>5</v>
      </c>
      <c r="S121" s="79">
        <v>0</v>
      </c>
      <c r="T121" s="80">
        <v>5.93</v>
      </c>
    </row>
    <row r="122" spans="2:20" ht="28">
      <c r="B122" s="5" t="s">
        <v>370</v>
      </c>
      <c r="C122" s="45" t="s">
        <v>165</v>
      </c>
      <c r="D122" s="45" t="s">
        <v>371</v>
      </c>
      <c r="E122" s="6" t="s">
        <v>372</v>
      </c>
      <c r="F122" s="45" t="s">
        <v>182</v>
      </c>
      <c r="G122" s="46">
        <f t="shared" si="14"/>
        <v>5</v>
      </c>
      <c r="H122" s="46">
        <f>TRUNC(S122*(1-LOTE_01!$K$10),2)</f>
        <v>0</v>
      </c>
      <c r="I122" s="46">
        <f>TRUNC(T122*(1-LOTE_01!$K$10),2)</f>
        <v>52.5</v>
      </c>
      <c r="J122" s="100">
        <f t="shared" si="8"/>
        <v>0.22470000000000001</v>
      </c>
      <c r="K122" s="48">
        <f t="shared" si="9"/>
        <v>0</v>
      </c>
      <c r="L122" s="48">
        <f t="shared" si="10"/>
        <v>64.290000000000006</v>
      </c>
      <c r="M122" s="48">
        <f t="shared" si="11"/>
        <v>0</v>
      </c>
      <c r="N122" s="48">
        <f t="shared" si="12"/>
        <v>321.45</v>
      </c>
      <c r="O122" s="50">
        <f t="shared" si="13"/>
        <v>321.45</v>
      </c>
      <c r="P122" s="50">
        <v>0</v>
      </c>
      <c r="Q122" s="76"/>
      <c r="R122" s="140">
        <f>IF((1*S10)&gt;5,5,1)</f>
        <v>5</v>
      </c>
      <c r="S122" s="79">
        <v>0</v>
      </c>
      <c r="T122" s="80">
        <v>52.5</v>
      </c>
    </row>
    <row r="123" spans="2:20" ht="28">
      <c r="B123" s="5" t="s">
        <v>373</v>
      </c>
      <c r="C123" s="45" t="s">
        <v>165</v>
      </c>
      <c r="D123" s="45" t="s">
        <v>374</v>
      </c>
      <c r="E123" s="6" t="s">
        <v>375</v>
      </c>
      <c r="F123" s="45" t="s">
        <v>168</v>
      </c>
      <c r="G123" s="46">
        <f t="shared" si="14"/>
        <v>5</v>
      </c>
      <c r="H123" s="46">
        <f>TRUNC(S123*(1-LOTE_01!$K$10),2)</f>
        <v>0</v>
      </c>
      <c r="I123" s="46">
        <f>TRUNC(T123*(1-LOTE_01!$K$10),2)</f>
        <v>19.77</v>
      </c>
      <c r="J123" s="100">
        <f t="shared" si="8"/>
        <v>0.22470000000000001</v>
      </c>
      <c r="K123" s="48">
        <f t="shared" si="9"/>
        <v>0</v>
      </c>
      <c r="L123" s="48">
        <f t="shared" si="10"/>
        <v>24.21</v>
      </c>
      <c r="M123" s="48">
        <f t="shared" si="11"/>
        <v>0</v>
      </c>
      <c r="N123" s="48">
        <f t="shared" si="12"/>
        <v>121.05</v>
      </c>
      <c r="O123" s="50">
        <f t="shared" si="13"/>
        <v>121.05</v>
      </c>
      <c r="P123" s="50">
        <v>0</v>
      </c>
      <c r="Q123" s="76"/>
      <c r="R123" s="140">
        <f>IF((1*S10)&gt;5,5,1)</f>
        <v>5</v>
      </c>
      <c r="S123" s="79">
        <v>0</v>
      </c>
      <c r="T123" s="80">
        <v>19.77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35308.649999999994</v>
      </c>
      <c r="Q124" s="76"/>
      <c r="R124" s="154"/>
      <c r="S124" s="79" t="s">
        <v>22</v>
      </c>
      <c r="T124" s="80" t="s">
        <v>22</v>
      </c>
    </row>
    <row r="125" spans="2:20" ht="70">
      <c r="B125" s="5" t="s">
        <v>376</v>
      </c>
      <c r="C125" s="45" t="s">
        <v>135</v>
      </c>
      <c r="D125" s="45">
        <v>94962</v>
      </c>
      <c r="E125" s="6" t="s">
        <v>377</v>
      </c>
      <c r="F125" s="45" t="s">
        <v>161</v>
      </c>
      <c r="G125" s="46">
        <f t="shared" ref="G125:G131" si="15">IF($S$11=0,0,TRUNC(R125,2))</f>
        <v>5</v>
      </c>
      <c r="H125" s="46">
        <f>TRUNC(S125*(1-LOTE_01!$K$10),2)</f>
        <v>506.99</v>
      </c>
      <c r="I125" s="46">
        <f>TRUNC(T125*(1-LOTE_01!$K$10),2)</f>
        <v>71.69</v>
      </c>
      <c r="J125" s="100">
        <f t="shared" si="8"/>
        <v>0.22470000000000001</v>
      </c>
      <c r="K125" s="48">
        <f t="shared" si="9"/>
        <v>620.91</v>
      </c>
      <c r="L125" s="48">
        <f t="shared" si="10"/>
        <v>87.79</v>
      </c>
      <c r="M125" s="48">
        <f t="shared" si="11"/>
        <v>3104.55</v>
      </c>
      <c r="N125" s="48">
        <f t="shared" si="12"/>
        <v>438.95</v>
      </c>
      <c r="O125" s="50">
        <f t="shared" si="13"/>
        <v>3543.5</v>
      </c>
      <c r="P125" s="50">
        <v>0</v>
      </c>
      <c r="Q125" s="76"/>
      <c r="R125" s="140">
        <f>IF((1*S10)&gt;5,5,1)</f>
        <v>5</v>
      </c>
      <c r="S125" s="79">
        <v>506.98999999999995</v>
      </c>
      <c r="T125" s="80">
        <v>71.69</v>
      </c>
    </row>
    <row r="126" spans="2:20" ht="56">
      <c r="B126" s="5" t="s">
        <v>378</v>
      </c>
      <c r="C126" s="45" t="s">
        <v>135</v>
      </c>
      <c r="D126" s="45">
        <v>94963</v>
      </c>
      <c r="E126" s="6" t="s">
        <v>379</v>
      </c>
      <c r="F126" s="45" t="s">
        <v>161</v>
      </c>
      <c r="G126" s="46">
        <f t="shared" si="15"/>
        <v>5</v>
      </c>
      <c r="H126" s="46">
        <f>TRUNC(S126*(1-LOTE_01!$K$10),2)</f>
        <v>566.23</v>
      </c>
      <c r="I126" s="46">
        <f>TRUNC(T126*(1-LOTE_01!$K$10),2)</f>
        <v>71.34</v>
      </c>
      <c r="J126" s="100">
        <f t="shared" si="8"/>
        <v>0.22470000000000001</v>
      </c>
      <c r="K126" s="48">
        <f t="shared" si="9"/>
        <v>693.46</v>
      </c>
      <c r="L126" s="48">
        <f t="shared" si="10"/>
        <v>87.37</v>
      </c>
      <c r="M126" s="48">
        <f t="shared" si="11"/>
        <v>3467.3</v>
      </c>
      <c r="N126" s="48">
        <f t="shared" si="12"/>
        <v>436.85</v>
      </c>
      <c r="O126" s="50">
        <f t="shared" si="13"/>
        <v>3904.15</v>
      </c>
      <c r="P126" s="50">
        <v>0</v>
      </c>
      <c r="Q126" s="76"/>
      <c r="R126" s="140">
        <f>IF((1*S10)&gt;5,5,1)</f>
        <v>5</v>
      </c>
      <c r="S126" s="79">
        <v>566.23</v>
      </c>
      <c r="T126" s="80">
        <v>71.34</v>
      </c>
    </row>
    <row r="127" spans="2:20" ht="56">
      <c r="B127" s="5" t="s">
        <v>380</v>
      </c>
      <c r="C127" s="45" t="s">
        <v>135</v>
      </c>
      <c r="D127" s="45">
        <v>94964</v>
      </c>
      <c r="E127" s="6" t="s">
        <v>381</v>
      </c>
      <c r="F127" s="45" t="s">
        <v>161</v>
      </c>
      <c r="G127" s="46">
        <f t="shared" si="15"/>
        <v>5</v>
      </c>
      <c r="H127" s="46">
        <f>TRUNC(S127*(1-LOTE_01!$K$10),2)</f>
        <v>617.78</v>
      </c>
      <c r="I127" s="46">
        <f>TRUNC(T127*(1-LOTE_01!$K$10),2)</f>
        <v>77.91</v>
      </c>
      <c r="J127" s="100">
        <f t="shared" si="8"/>
        <v>0.22470000000000001</v>
      </c>
      <c r="K127" s="48">
        <f t="shared" si="9"/>
        <v>756.59</v>
      </c>
      <c r="L127" s="48">
        <f t="shared" si="10"/>
        <v>95.41</v>
      </c>
      <c r="M127" s="48">
        <f t="shared" si="11"/>
        <v>3782.95</v>
      </c>
      <c r="N127" s="48">
        <f t="shared" si="12"/>
        <v>477.05</v>
      </c>
      <c r="O127" s="50">
        <f t="shared" si="13"/>
        <v>4260</v>
      </c>
      <c r="P127" s="50">
        <v>0</v>
      </c>
      <c r="Q127" s="76"/>
      <c r="R127" s="140">
        <f>IF((1*S10)&gt;5,5,1)</f>
        <v>5</v>
      </c>
      <c r="S127" s="79">
        <v>617.78000000000009</v>
      </c>
      <c r="T127" s="80">
        <v>77.91</v>
      </c>
    </row>
    <row r="128" spans="2:20" ht="56">
      <c r="B128" s="5" t="s">
        <v>382</v>
      </c>
      <c r="C128" s="45" t="s">
        <v>135</v>
      </c>
      <c r="D128" s="45">
        <v>94965</v>
      </c>
      <c r="E128" s="6" t="s">
        <v>383</v>
      </c>
      <c r="F128" s="45" t="s">
        <v>161</v>
      </c>
      <c r="G128" s="46">
        <f t="shared" si="15"/>
        <v>5</v>
      </c>
      <c r="H128" s="46">
        <f>TRUNC(S128*(1-LOTE_01!$K$10),2)</f>
        <v>652.19000000000005</v>
      </c>
      <c r="I128" s="46">
        <f>TRUNC(T128*(1-LOTE_01!$K$10),2)</f>
        <v>71.17</v>
      </c>
      <c r="J128" s="100">
        <f t="shared" si="8"/>
        <v>0.22470000000000001</v>
      </c>
      <c r="K128" s="48">
        <f t="shared" si="9"/>
        <v>798.73</v>
      </c>
      <c r="L128" s="48">
        <f t="shared" si="10"/>
        <v>87.16</v>
      </c>
      <c r="M128" s="48">
        <f t="shared" si="11"/>
        <v>3993.65</v>
      </c>
      <c r="N128" s="48">
        <f t="shared" si="12"/>
        <v>435.8</v>
      </c>
      <c r="O128" s="50">
        <f t="shared" si="13"/>
        <v>4429.45</v>
      </c>
      <c r="P128" s="50">
        <v>0</v>
      </c>
      <c r="Q128" s="76"/>
      <c r="R128" s="140">
        <f>IF((1*S10)&gt;5,5,1)</f>
        <v>5</v>
      </c>
      <c r="S128" s="79">
        <v>652.19000000000005</v>
      </c>
      <c r="T128" s="80">
        <v>71.17</v>
      </c>
    </row>
    <row r="129" spans="2:20" ht="42">
      <c r="B129" s="5" t="s">
        <v>384</v>
      </c>
      <c r="C129" s="45" t="s">
        <v>135</v>
      </c>
      <c r="D129" s="45">
        <v>102487</v>
      </c>
      <c r="E129" s="6" t="s">
        <v>385</v>
      </c>
      <c r="F129" s="45" t="s">
        <v>161</v>
      </c>
      <c r="G129" s="46">
        <f t="shared" si="15"/>
        <v>5</v>
      </c>
      <c r="H129" s="46">
        <f>TRUNC(S129*(1-LOTE_01!$K$10),2)</f>
        <v>670.61</v>
      </c>
      <c r="I129" s="46">
        <f>TRUNC(T129*(1-LOTE_01!$K$10),2)</f>
        <v>196.48</v>
      </c>
      <c r="J129" s="100">
        <f t="shared" si="8"/>
        <v>0.22470000000000001</v>
      </c>
      <c r="K129" s="48">
        <f t="shared" si="9"/>
        <v>821.29</v>
      </c>
      <c r="L129" s="48">
        <f t="shared" si="10"/>
        <v>240.62</v>
      </c>
      <c r="M129" s="48">
        <f t="shared" si="11"/>
        <v>4106.45</v>
      </c>
      <c r="N129" s="48">
        <f t="shared" si="12"/>
        <v>1203.0999999999999</v>
      </c>
      <c r="O129" s="50">
        <f t="shared" si="13"/>
        <v>5309.55</v>
      </c>
      <c r="P129" s="50">
        <v>0</v>
      </c>
      <c r="Q129" s="76"/>
      <c r="R129" s="140">
        <f>IF((1*S10)&gt;5,5,1)</f>
        <v>5</v>
      </c>
      <c r="S129" s="79">
        <v>670.61</v>
      </c>
      <c r="T129" s="80">
        <v>196.48</v>
      </c>
    </row>
    <row r="130" spans="2:20" ht="28">
      <c r="B130" s="5" t="s">
        <v>386</v>
      </c>
      <c r="C130" s="45" t="s">
        <v>165</v>
      </c>
      <c r="D130" s="45" t="s">
        <v>387</v>
      </c>
      <c r="E130" s="6" t="s">
        <v>388</v>
      </c>
      <c r="F130" s="45" t="s">
        <v>168</v>
      </c>
      <c r="G130" s="46">
        <f t="shared" si="15"/>
        <v>20</v>
      </c>
      <c r="H130" s="46">
        <f>TRUNC(S130*(1-LOTE_01!$K$10),2)</f>
        <v>112.26</v>
      </c>
      <c r="I130" s="46">
        <f>TRUNC(T130*(1-LOTE_01!$K$10),2)</f>
        <v>69.27</v>
      </c>
      <c r="J130" s="100">
        <f t="shared" si="8"/>
        <v>0.22470000000000001</v>
      </c>
      <c r="K130" s="48">
        <f t="shared" si="9"/>
        <v>137.47999999999999</v>
      </c>
      <c r="L130" s="48">
        <f t="shared" si="10"/>
        <v>84.83</v>
      </c>
      <c r="M130" s="48">
        <f t="shared" si="11"/>
        <v>2749.6</v>
      </c>
      <c r="N130" s="48">
        <f t="shared" si="12"/>
        <v>1696.6</v>
      </c>
      <c r="O130" s="50">
        <f t="shared" si="13"/>
        <v>4446.2</v>
      </c>
      <c r="P130" s="50">
        <v>0</v>
      </c>
      <c r="Q130" s="76"/>
      <c r="R130" s="140">
        <f>IF((5*S10)&gt;20,20,5)</f>
        <v>20</v>
      </c>
      <c r="S130" s="79">
        <v>112.26</v>
      </c>
      <c r="T130" s="80">
        <v>69.27</v>
      </c>
    </row>
    <row r="131" spans="2:20" ht="42">
      <c r="B131" s="5" t="s">
        <v>389</v>
      </c>
      <c r="C131" s="45" t="s">
        <v>135</v>
      </c>
      <c r="D131" s="45">
        <v>103670</v>
      </c>
      <c r="E131" s="6" t="s">
        <v>390</v>
      </c>
      <c r="F131" s="45" t="s">
        <v>161</v>
      </c>
      <c r="G131" s="46">
        <f t="shared" si="15"/>
        <v>5</v>
      </c>
      <c r="H131" s="46">
        <f>TRUNC(S131*(1-LOTE_01!$K$10),2)</f>
        <v>134.02000000000001</v>
      </c>
      <c r="I131" s="46">
        <f>TRUNC(T131*(1-LOTE_01!$K$10),2)</f>
        <v>228.17</v>
      </c>
      <c r="J131" s="100">
        <f t="shared" si="8"/>
        <v>0.22470000000000001</v>
      </c>
      <c r="K131" s="48">
        <f t="shared" si="9"/>
        <v>164.13</v>
      </c>
      <c r="L131" s="48">
        <f t="shared" si="10"/>
        <v>279.43</v>
      </c>
      <c r="M131" s="48">
        <f t="shared" si="11"/>
        <v>820.65</v>
      </c>
      <c r="N131" s="48">
        <f t="shared" si="12"/>
        <v>1397.15</v>
      </c>
      <c r="O131" s="50">
        <f t="shared" si="13"/>
        <v>2217.8000000000002</v>
      </c>
      <c r="P131" s="50">
        <v>0</v>
      </c>
      <c r="Q131" s="76"/>
      <c r="R131" s="140">
        <f>IF((1*S10)&gt;5,5,1)</f>
        <v>5</v>
      </c>
      <c r="S131" s="79">
        <v>134.02000000000001</v>
      </c>
      <c r="T131" s="80">
        <v>228.17</v>
      </c>
    </row>
    <row r="132" spans="2:20" ht="56">
      <c r="B132" s="5" t="s">
        <v>391</v>
      </c>
      <c r="C132" s="45" t="s">
        <v>135</v>
      </c>
      <c r="D132" s="45">
        <v>95240</v>
      </c>
      <c r="E132" s="6" t="s">
        <v>392</v>
      </c>
      <c r="F132" s="45" t="s">
        <v>121</v>
      </c>
      <c r="G132" s="46">
        <f t="shared" si="7"/>
        <v>20</v>
      </c>
      <c r="H132" s="46">
        <f>TRUNC(S132*(1-LOTE_01!$K$10),2)</f>
        <v>19.59</v>
      </c>
      <c r="I132" s="46">
        <f>TRUNC(T132*(1-LOTE_01!$K$10),2)</f>
        <v>6.38</v>
      </c>
      <c r="J132" s="100">
        <f t="shared" si="8"/>
        <v>0.22470000000000001</v>
      </c>
      <c r="K132" s="48">
        <f t="shared" si="9"/>
        <v>23.99</v>
      </c>
      <c r="L132" s="48">
        <f t="shared" si="10"/>
        <v>7.81</v>
      </c>
      <c r="M132" s="48">
        <f t="shared" si="11"/>
        <v>479.8</v>
      </c>
      <c r="N132" s="48">
        <f t="shared" si="12"/>
        <v>156.19999999999999</v>
      </c>
      <c r="O132" s="50">
        <f t="shared" si="13"/>
        <v>636</v>
      </c>
      <c r="P132" s="50">
        <v>0</v>
      </c>
      <c r="Q132" s="76"/>
      <c r="R132" s="140">
        <f>IF((S9+2*S10)&gt;20,20,(S9+2*S10))</f>
        <v>20</v>
      </c>
      <c r="S132" s="79">
        <v>19.59</v>
      </c>
      <c r="T132" s="80">
        <v>6.38</v>
      </c>
    </row>
    <row r="133" spans="2:20" ht="28">
      <c r="B133" s="5" t="s">
        <v>393</v>
      </c>
      <c r="C133" s="45" t="s">
        <v>97</v>
      </c>
      <c r="D133" s="45" t="s">
        <v>394</v>
      </c>
      <c r="E133" s="6" t="s">
        <v>395</v>
      </c>
      <c r="F133" s="45" t="s">
        <v>161</v>
      </c>
      <c r="G133" s="46">
        <f>IF($S$11=0,0,TRUNC(R133,2))</f>
        <v>5</v>
      </c>
      <c r="H133" s="46">
        <f>TRUNC(S133*(1-LOTE_01!$K$10),2)</f>
        <v>766.16</v>
      </c>
      <c r="I133" s="46">
        <f>TRUNC(T133*(1-LOTE_01!$K$10),2)</f>
        <v>305.45999999999998</v>
      </c>
      <c r="J133" s="100">
        <f t="shared" si="8"/>
        <v>0.22470000000000001</v>
      </c>
      <c r="K133" s="48">
        <f t="shared" si="9"/>
        <v>938.31</v>
      </c>
      <c r="L133" s="48">
        <f t="shared" si="10"/>
        <v>374.09</v>
      </c>
      <c r="M133" s="48">
        <f t="shared" si="11"/>
        <v>4691.55</v>
      </c>
      <c r="N133" s="48">
        <f t="shared" si="12"/>
        <v>1870.45</v>
      </c>
      <c r="O133" s="50">
        <f t="shared" si="13"/>
        <v>6562</v>
      </c>
      <c r="P133" s="50">
        <v>0</v>
      </c>
      <c r="Q133" s="76"/>
      <c r="R133" s="140">
        <f>IF((1*S10)&gt;5,5,1)</f>
        <v>5</v>
      </c>
      <c r="S133" s="79">
        <v>766.16</v>
      </c>
      <c r="T133" s="80">
        <v>305.45999999999998</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159889.54999999999</v>
      </c>
      <c r="Q134" s="76"/>
      <c r="R134" s="154"/>
      <c r="S134" s="79" t="s">
        <v>22</v>
      </c>
      <c r="T134" s="80" t="s">
        <v>22</v>
      </c>
    </row>
    <row r="135" spans="2:20" ht="28">
      <c r="B135" s="5" t="s">
        <v>396</v>
      </c>
      <c r="C135" s="45" t="s">
        <v>135</v>
      </c>
      <c r="D135" s="45">
        <v>96543</v>
      </c>
      <c r="E135" s="6" t="s">
        <v>397</v>
      </c>
      <c r="F135" s="45" t="s">
        <v>398</v>
      </c>
      <c r="G135" s="46">
        <f t="shared" ref="G135:G149" si="16">IF($S$11=0,0,TRUNC(R135,2))</f>
        <v>200</v>
      </c>
      <c r="H135" s="46">
        <f>TRUNC(S135*(1-LOTE_01!$K$10),2)</f>
        <v>14.67</v>
      </c>
      <c r="I135" s="46">
        <f>TRUNC(T135*(1-LOTE_01!$K$10),2)</f>
        <v>8.15</v>
      </c>
      <c r="J135" s="100">
        <f t="shared" si="8"/>
        <v>0.22470000000000001</v>
      </c>
      <c r="K135" s="48">
        <f t="shared" si="9"/>
        <v>17.96</v>
      </c>
      <c r="L135" s="48">
        <f t="shared" si="10"/>
        <v>9.98</v>
      </c>
      <c r="M135" s="48">
        <f t="shared" si="11"/>
        <v>3592</v>
      </c>
      <c r="N135" s="48">
        <f t="shared" si="12"/>
        <v>1996</v>
      </c>
      <c r="O135" s="50">
        <f t="shared" si="13"/>
        <v>5588</v>
      </c>
      <c r="P135" s="50">
        <v>0</v>
      </c>
      <c r="Q135" s="76"/>
      <c r="R135" s="140">
        <f>IF(20*S10&gt;=80,200,50)</f>
        <v>200</v>
      </c>
      <c r="S135" s="79">
        <v>14.67</v>
      </c>
      <c r="T135" s="80">
        <v>8.15</v>
      </c>
    </row>
    <row r="136" spans="2:20" ht="42">
      <c r="B136" s="5" t="s">
        <v>399</v>
      </c>
      <c r="C136" s="45" t="s">
        <v>165</v>
      </c>
      <c r="D136" s="45" t="s">
        <v>400</v>
      </c>
      <c r="E136" s="6" t="s">
        <v>401</v>
      </c>
      <c r="F136" s="45" t="s">
        <v>402</v>
      </c>
      <c r="G136" s="46">
        <f t="shared" si="16"/>
        <v>200</v>
      </c>
      <c r="H136" s="46">
        <f>TRUNC(S136*(1-LOTE_01!$K$10),2)</f>
        <v>9.11</v>
      </c>
      <c r="I136" s="46">
        <f>TRUNC(T136*(1-LOTE_01!$K$10),2)</f>
        <v>4.1900000000000004</v>
      </c>
      <c r="J136" s="100">
        <f t="shared" si="8"/>
        <v>0.22470000000000001</v>
      </c>
      <c r="K136" s="48">
        <f t="shared" si="9"/>
        <v>11.15</v>
      </c>
      <c r="L136" s="48">
        <f t="shared" si="10"/>
        <v>5.13</v>
      </c>
      <c r="M136" s="48">
        <f t="shared" si="11"/>
        <v>2230</v>
      </c>
      <c r="N136" s="48">
        <f t="shared" si="12"/>
        <v>1026</v>
      </c>
      <c r="O136" s="50">
        <f t="shared" si="13"/>
        <v>3256</v>
      </c>
      <c r="P136" s="50">
        <v>0</v>
      </c>
      <c r="Q136" s="76"/>
      <c r="R136" s="140">
        <f>IF(20*S10&gt;=80,200,50)</f>
        <v>200</v>
      </c>
      <c r="S136" s="79">
        <v>9.11</v>
      </c>
      <c r="T136" s="80">
        <v>4.1900000000000004</v>
      </c>
    </row>
    <row r="137" spans="2:20" ht="42">
      <c r="B137" s="5" t="s">
        <v>403</v>
      </c>
      <c r="C137" s="45" t="s">
        <v>165</v>
      </c>
      <c r="D137" s="45" t="s">
        <v>404</v>
      </c>
      <c r="E137" s="6" t="s">
        <v>405</v>
      </c>
      <c r="F137" s="45" t="s">
        <v>402</v>
      </c>
      <c r="G137" s="46">
        <f t="shared" si="16"/>
        <v>200</v>
      </c>
      <c r="H137" s="46">
        <f>TRUNC(S137*(1-LOTE_01!$K$10),2)</f>
        <v>18.34</v>
      </c>
      <c r="I137" s="46">
        <f>TRUNC(T137*(1-LOTE_01!$K$10),2)</f>
        <v>4.1900000000000004</v>
      </c>
      <c r="J137" s="100">
        <f t="shared" si="8"/>
        <v>0.22470000000000001</v>
      </c>
      <c r="K137" s="48">
        <f t="shared" si="9"/>
        <v>22.46</v>
      </c>
      <c r="L137" s="48">
        <f t="shared" si="10"/>
        <v>5.13</v>
      </c>
      <c r="M137" s="48">
        <f t="shared" si="11"/>
        <v>4492</v>
      </c>
      <c r="N137" s="48">
        <f t="shared" si="12"/>
        <v>1026</v>
      </c>
      <c r="O137" s="50">
        <f t="shared" si="13"/>
        <v>5518</v>
      </c>
      <c r="P137" s="50">
        <v>0</v>
      </c>
      <c r="Q137" s="76"/>
      <c r="R137" s="140">
        <f>IF(20*S10&gt;=80,200,50)</f>
        <v>200</v>
      </c>
      <c r="S137" s="79">
        <v>18.34</v>
      </c>
      <c r="T137" s="80">
        <v>4.1900000000000004</v>
      </c>
    </row>
    <row r="138" spans="2:20" ht="42">
      <c r="B138" s="5" t="s">
        <v>406</v>
      </c>
      <c r="C138" s="45" t="s">
        <v>165</v>
      </c>
      <c r="D138" s="45" t="s">
        <v>407</v>
      </c>
      <c r="E138" s="6" t="s">
        <v>408</v>
      </c>
      <c r="F138" s="45" t="s">
        <v>402</v>
      </c>
      <c r="G138" s="46">
        <f t="shared" si="16"/>
        <v>200</v>
      </c>
      <c r="H138" s="46">
        <f>TRUNC(S138*(1-LOTE_01!$K$10),2)</f>
        <v>24.48</v>
      </c>
      <c r="I138" s="46">
        <f>TRUNC(T138*(1-LOTE_01!$K$10),2)</f>
        <v>2.62</v>
      </c>
      <c r="J138" s="100">
        <f t="shared" si="8"/>
        <v>0.22470000000000001</v>
      </c>
      <c r="K138" s="48">
        <f t="shared" si="9"/>
        <v>29.98</v>
      </c>
      <c r="L138" s="48">
        <f t="shared" si="10"/>
        <v>3.2</v>
      </c>
      <c r="M138" s="48">
        <f t="shared" si="11"/>
        <v>5996</v>
      </c>
      <c r="N138" s="48">
        <f t="shared" si="12"/>
        <v>640</v>
      </c>
      <c r="O138" s="50">
        <f t="shared" si="13"/>
        <v>6636</v>
      </c>
      <c r="P138" s="50">
        <v>0</v>
      </c>
      <c r="Q138" s="76"/>
      <c r="R138" s="140">
        <f>IF(20*S10&gt;=80,200,50)</f>
        <v>200</v>
      </c>
      <c r="S138" s="79">
        <v>24.48</v>
      </c>
      <c r="T138" s="80">
        <v>2.62</v>
      </c>
    </row>
    <row r="139" spans="2:20" ht="28">
      <c r="B139" s="5" t="s">
        <v>409</v>
      </c>
      <c r="C139" s="45" t="s">
        <v>165</v>
      </c>
      <c r="D139" s="45" t="s">
        <v>410</v>
      </c>
      <c r="E139" s="6" t="s">
        <v>411</v>
      </c>
      <c r="F139" s="45" t="s">
        <v>168</v>
      </c>
      <c r="G139" s="46">
        <f t="shared" si="16"/>
        <v>100</v>
      </c>
      <c r="H139" s="46">
        <f>TRUNC(S139*(1-LOTE_01!$K$10),2)</f>
        <v>53.04</v>
      </c>
      <c r="I139" s="46">
        <f>TRUNC(T139*(1-LOTE_01!$K$10),2)</f>
        <v>2</v>
      </c>
      <c r="J139" s="100">
        <f t="shared" si="8"/>
        <v>0.22470000000000001</v>
      </c>
      <c r="K139" s="48">
        <f t="shared" si="9"/>
        <v>64.95</v>
      </c>
      <c r="L139" s="48">
        <f t="shared" si="10"/>
        <v>2.44</v>
      </c>
      <c r="M139" s="48">
        <f t="shared" si="11"/>
        <v>6495</v>
      </c>
      <c r="N139" s="48">
        <f t="shared" si="12"/>
        <v>244</v>
      </c>
      <c r="O139" s="50">
        <f t="shared" si="13"/>
        <v>6739</v>
      </c>
      <c r="P139" s="50">
        <v>0</v>
      </c>
      <c r="Q139" s="76"/>
      <c r="R139" s="140">
        <f>IF(20*S10&gt;=50,100,50)</f>
        <v>100</v>
      </c>
      <c r="S139" s="79">
        <v>53.04</v>
      </c>
      <c r="T139" s="80">
        <v>2</v>
      </c>
    </row>
    <row r="140" spans="2:20" ht="70">
      <c r="B140" s="5" t="s">
        <v>412</v>
      </c>
      <c r="C140" s="45" t="s">
        <v>135</v>
      </c>
      <c r="D140" s="45">
        <v>102475</v>
      </c>
      <c r="E140" s="6" t="s">
        <v>413</v>
      </c>
      <c r="F140" s="45" t="s">
        <v>161</v>
      </c>
      <c r="G140" s="46">
        <f t="shared" si="16"/>
        <v>5</v>
      </c>
      <c r="H140" s="46">
        <f>TRUNC(S140*(1-LOTE_01!$K$10),2)</f>
        <v>587.28</v>
      </c>
      <c r="I140" s="46">
        <f>TRUNC(T140*(1-LOTE_01!$K$10),2)</f>
        <v>80.459999999999994</v>
      </c>
      <c r="J140" s="100">
        <f t="shared" si="8"/>
        <v>0.22470000000000001</v>
      </c>
      <c r="K140" s="48">
        <f t="shared" si="9"/>
        <v>719.24</v>
      </c>
      <c r="L140" s="48">
        <f t="shared" si="10"/>
        <v>98.53</v>
      </c>
      <c r="M140" s="48">
        <f t="shared" si="11"/>
        <v>3596.2</v>
      </c>
      <c r="N140" s="48">
        <f t="shared" si="12"/>
        <v>492.65</v>
      </c>
      <c r="O140" s="50">
        <f t="shared" si="13"/>
        <v>4088.85</v>
      </c>
      <c r="P140" s="50">
        <v>0</v>
      </c>
      <c r="Q140" s="76"/>
      <c r="R140" s="140">
        <f>IF(S10&gt;5,5,1)</f>
        <v>5</v>
      </c>
      <c r="S140" s="79">
        <v>587.28</v>
      </c>
      <c r="T140" s="80">
        <v>80.459999999999994</v>
      </c>
    </row>
    <row r="141" spans="2:20" ht="42">
      <c r="B141" s="5" t="s">
        <v>414</v>
      </c>
      <c r="C141" s="45" t="s">
        <v>165</v>
      </c>
      <c r="D141" s="45" t="s">
        <v>415</v>
      </c>
      <c r="E141" s="6" t="s">
        <v>416</v>
      </c>
      <c r="F141" s="45" t="s">
        <v>168</v>
      </c>
      <c r="G141" s="46">
        <f t="shared" si="16"/>
        <v>10</v>
      </c>
      <c r="H141" s="46">
        <f>TRUNC(S141*(1-LOTE_01!$K$10),2)</f>
        <v>107.75</v>
      </c>
      <c r="I141" s="46">
        <f>TRUNC(T141*(1-LOTE_01!$K$10),2)</f>
        <v>6.92</v>
      </c>
      <c r="J141" s="100">
        <f t="shared" si="8"/>
        <v>0.22470000000000001</v>
      </c>
      <c r="K141" s="48">
        <f t="shared" si="9"/>
        <v>131.96</v>
      </c>
      <c r="L141" s="48">
        <f t="shared" si="10"/>
        <v>8.4700000000000006</v>
      </c>
      <c r="M141" s="48">
        <f t="shared" si="11"/>
        <v>1319.6</v>
      </c>
      <c r="N141" s="48">
        <f t="shared" si="12"/>
        <v>84.7</v>
      </c>
      <c r="O141" s="50">
        <f t="shared" si="13"/>
        <v>1404.3</v>
      </c>
      <c r="P141" s="50">
        <v>0</v>
      </c>
      <c r="Q141" s="76"/>
      <c r="R141" s="140">
        <f>IF(S10*10&gt;100,100,10)</f>
        <v>10</v>
      </c>
      <c r="S141" s="79">
        <v>107.75</v>
      </c>
      <c r="T141" s="80">
        <v>6.92</v>
      </c>
    </row>
    <row r="142" spans="2:20" ht="56">
      <c r="B142" s="5" t="s">
        <v>417</v>
      </c>
      <c r="C142" s="45" t="s">
        <v>135</v>
      </c>
      <c r="D142" s="45">
        <v>94969</v>
      </c>
      <c r="E142" s="6" t="s">
        <v>418</v>
      </c>
      <c r="F142" s="45" t="s">
        <v>161</v>
      </c>
      <c r="G142" s="46">
        <f t="shared" si="16"/>
        <v>10</v>
      </c>
      <c r="H142" s="46">
        <f>TRUNC(S142*(1-LOTE_01!$K$10),2)</f>
        <v>565.82000000000005</v>
      </c>
      <c r="I142" s="46">
        <f>TRUNC(T142*(1-LOTE_01!$K$10),2)</f>
        <v>62.1</v>
      </c>
      <c r="J142" s="100">
        <f t="shared" si="8"/>
        <v>0.22470000000000001</v>
      </c>
      <c r="K142" s="48">
        <f t="shared" si="9"/>
        <v>692.95</v>
      </c>
      <c r="L142" s="48">
        <f t="shared" si="10"/>
        <v>76.05</v>
      </c>
      <c r="M142" s="48">
        <f t="shared" si="11"/>
        <v>6929.5</v>
      </c>
      <c r="N142" s="48">
        <f t="shared" si="12"/>
        <v>760.5</v>
      </c>
      <c r="O142" s="50">
        <f t="shared" si="13"/>
        <v>7690</v>
      </c>
      <c r="P142" s="50">
        <v>0</v>
      </c>
      <c r="Q142" s="76"/>
      <c r="R142" s="140">
        <f>IF(S10&gt;5,10,1)</f>
        <v>10</v>
      </c>
      <c r="S142" s="79">
        <v>565.81999999999994</v>
      </c>
      <c r="T142" s="80">
        <v>62.1</v>
      </c>
    </row>
    <row r="143" spans="2:20" ht="56">
      <c r="B143" s="5" t="s">
        <v>419</v>
      </c>
      <c r="C143" s="45" t="s">
        <v>135</v>
      </c>
      <c r="D143" s="45">
        <v>92263</v>
      </c>
      <c r="E143" s="6" t="s">
        <v>420</v>
      </c>
      <c r="F143" s="45" t="s">
        <v>121</v>
      </c>
      <c r="G143" s="46">
        <f t="shared" si="16"/>
        <v>100</v>
      </c>
      <c r="H143" s="46">
        <f>TRUNC(S143*(1-LOTE_01!$K$10),2)</f>
        <v>141.4</v>
      </c>
      <c r="I143" s="46">
        <f>TRUNC(T143*(1-LOTE_01!$K$10),2)</f>
        <v>40.200000000000003</v>
      </c>
      <c r="J143" s="100">
        <f t="shared" si="8"/>
        <v>0.22470000000000001</v>
      </c>
      <c r="K143" s="48">
        <f t="shared" si="9"/>
        <v>173.17</v>
      </c>
      <c r="L143" s="48">
        <f t="shared" si="10"/>
        <v>49.23</v>
      </c>
      <c r="M143" s="48">
        <f t="shared" si="11"/>
        <v>17317</v>
      </c>
      <c r="N143" s="48">
        <f t="shared" si="12"/>
        <v>4923</v>
      </c>
      <c r="O143" s="50">
        <f t="shared" si="13"/>
        <v>22240</v>
      </c>
      <c r="P143" s="50">
        <v>0</v>
      </c>
      <c r="Q143" s="76"/>
      <c r="R143" s="140">
        <f>IF(S10&gt;5,100,20)</f>
        <v>100</v>
      </c>
      <c r="S143" s="79">
        <v>141.39999999999998</v>
      </c>
      <c r="T143" s="80">
        <v>40.200000000000003</v>
      </c>
    </row>
    <row r="144" spans="2:20" ht="70">
      <c r="B144" s="5" t="s">
        <v>421</v>
      </c>
      <c r="C144" s="45" t="s">
        <v>135</v>
      </c>
      <c r="D144" s="45">
        <v>92409</v>
      </c>
      <c r="E144" s="6" t="s">
        <v>422</v>
      </c>
      <c r="F144" s="45" t="s">
        <v>121</v>
      </c>
      <c r="G144" s="46">
        <f t="shared" si="16"/>
        <v>100</v>
      </c>
      <c r="H144" s="46">
        <f>TRUNC(S144*(1-LOTE_01!$K$10),2)</f>
        <v>148.97</v>
      </c>
      <c r="I144" s="46">
        <f>TRUNC(T144*(1-LOTE_01!$K$10),2)</f>
        <v>100.1</v>
      </c>
      <c r="J144" s="100">
        <f t="shared" si="8"/>
        <v>0.22470000000000001</v>
      </c>
      <c r="K144" s="48">
        <f t="shared" si="9"/>
        <v>182.44</v>
      </c>
      <c r="L144" s="48">
        <f t="shared" si="10"/>
        <v>122.59</v>
      </c>
      <c r="M144" s="48">
        <f t="shared" si="11"/>
        <v>18244</v>
      </c>
      <c r="N144" s="48">
        <f t="shared" si="12"/>
        <v>12259</v>
      </c>
      <c r="O144" s="50">
        <f t="shared" si="13"/>
        <v>30503</v>
      </c>
      <c r="P144" s="50">
        <v>0</v>
      </c>
      <c r="Q144" s="76"/>
      <c r="R144" s="140">
        <f>IF(S10&gt;5,100,20)</f>
        <v>100</v>
      </c>
      <c r="S144" s="79">
        <v>148.97</v>
      </c>
      <c r="T144" s="80">
        <v>100.1</v>
      </c>
    </row>
    <row r="145" spans="2:20" ht="56">
      <c r="B145" s="5" t="s">
        <v>423</v>
      </c>
      <c r="C145" s="45" t="s">
        <v>135</v>
      </c>
      <c r="D145" s="45">
        <v>92482</v>
      </c>
      <c r="E145" s="6" t="s">
        <v>424</v>
      </c>
      <c r="F145" s="45" t="s">
        <v>121</v>
      </c>
      <c r="G145" s="46">
        <f t="shared" si="16"/>
        <v>100</v>
      </c>
      <c r="H145" s="46">
        <f>TRUNC(S145*(1-LOTE_01!$K$10),2)</f>
        <v>194.58</v>
      </c>
      <c r="I145" s="46">
        <f>TRUNC(T145*(1-LOTE_01!$K$10),2)</f>
        <v>91.02</v>
      </c>
      <c r="J145" s="100">
        <f t="shared" ref="J145:J209" si="17">$J$4</f>
        <v>0.22470000000000001</v>
      </c>
      <c r="K145" s="48">
        <f t="shared" ref="K145:K207" si="18">TRUNC(H145*(1+J145),2)</f>
        <v>238.3</v>
      </c>
      <c r="L145" s="48">
        <f t="shared" ref="L145:L207" si="19">TRUNC(I145*(1+J145),2)</f>
        <v>111.47</v>
      </c>
      <c r="M145" s="48">
        <f t="shared" ref="M145:M207" si="20">TRUNC(K145*G145,2)</f>
        <v>23830</v>
      </c>
      <c r="N145" s="48">
        <f t="shared" ref="N145:N207" si="21">TRUNC(L145*G145,2)</f>
        <v>11147</v>
      </c>
      <c r="O145" s="50">
        <f t="shared" ref="O145:O207" si="22">TRUNC(M145+N145,2)</f>
        <v>34977</v>
      </c>
      <c r="P145" s="50">
        <v>0</v>
      </c>
      <c r="Q145" s="76"/>
      <c r="R145" s="140">
        <f>IF(S10&gt;5,100,20)</f>
        <v>100</v>
      </c>
      <c r="S145" s="79">
        <v>194.58000000000004</v>
      </c>
      <c r="T145" s="80">
        <v>91.02</v>
      </c>
    </row>
    <row r="146" spans="2:20" ht="70">
      <c r="B146" s="5" t="s">
        <v>425</v>
      </c>
      <c r="C146" s="45" t="s">
        <v>135</v>
      </c>
      <c r="D146" s="45">
        <v>101963</v>
      </c>
      <c r="E146" s="6" t="s">
        <v>426</v>
      </c>
      <c r="F146" s="45" t="s">
        <v>121</v>
      </c>
      <c r="G146" s="46">
        <f t="shared" si="16"/>
        <v>100</v>
      </c>
      <c r="H146" s="46">
        <f>TRUNC(S146*(1-LOTE_01!$K$10),2)</f>
        <v>182.55</v>
      </c>
      <c r="I146" s="46">
        <f>TRUNC(T146*(1-LOTE_01!$K$10),2)</f>
        <v>26.38</v>
      </c>
      <c r="J146" s="100">
        <f t="shared" si="17"/>
        <v>0.22470000000000001</v>
      </c>
      <c r="K146" s="48">
        <f t="shared" si="18"/>
        <v>223.56</v>
      </c>
      <c r="L146" s="48">
        <f t="shared" si="19"/>
        <v>32.299999999999997</v>
      </c>
      <c r="M146" s="48">
        <f t="shared" si="20"/>
        <v>22356</v>
      </c>
      <c r="N146" s="48">
        <f t="shared" si="21"/>
        <v>3230</v>
      </c>
      <c r="O146" s="50">
        <f t="shared" si="22"/>
        <v>25586</v>
      </c>
      <c r="P146" s="50">
        <v>0</v>
      </c>
      <c r="Q146" s="76"/>
      <c r="R146" s="140">
        <f>IF(S10&gt;5,100,20)</f>
        <v>100</v>
      </c>
      <c r="S146" s="79">
        <v>182.55</v>
      </c>
      <c r="T146" s="80">
        <v>26.38</v>
      </c>
    </row>
    <row r="147" spans="2:20" ht="42">
      <c r="B147" s="5" t="s">
        <v>427</v>
      </c>
      <c r="C147" s="45" t="s">
        <v>135</v>
      </c>
      <c r="D147" s="45">
        <v>103670</v>
      </c>
      <c r="E147" s="6" t="s">
        <v>390</v>
      </c>
      <c r="F147" s="45" t="s">
        <v>161</v>
      </c>
      <c r="G147" s="46">
        <f t="shared" si="16"/>
        <v>5</v>
      </c>
      <c r="H147" s="46">
        <f>TRUNC(S147*(1-LOTE_01!$K$10),2)</f>
        <v>134.02000000000001</v>
      </c>
      <c r="I147" s="46">
        <f>TRUNC(T147*(1-LOTE_01!$K$10),2)</f>
        <v>228.17</v>
      </c>
      <c r="J147" s="100">
        <f t="shared" si="17"/>
        <v>0.22470000000000001</v>
      </c>
      <c r="K147" s="48">
        <f t="shared" si="18"/>
        <v>164.13</v>
      </c>
      <c r="L147" s="48">
        <f t="shared" si="19"/>
        <v>279.43</v>
      </c>
      <c r="M147" s="48">
        <f t="shared" si="20"/>
        <v>820.65</v>
      </c>
      <c r="N147" s="48">
        <f t="shared" si="21"/>
        <v>1397.15</v>
      </c>
      <c r="O147" s="50">
        <f t="shared" si="22"/>
        <v>2217.8000000000002</v>
      </c>
      <c r="P147" s="50">
        <v>0</v>
      </c>
      <c r="Q147" s="76"/>
      <c r="R147" s="140">
        <f>IF(S10&gt;5,5,1)</f>
        <v>5</v>
      </c>
      <c r="S147" s="79">
        <v>134.02000000000001</v>
      </c>
      <c r="T147" s="80">
        <v>228.17</v>
      </c>
    </row>
    <row r="148" spans="2:20" ht="42">
      <c r="B148" s="5" t="s">
        <v>428</v>
      </c>
      <c r="C148" s="45" t="s">
        <v>135</v>
      </c>
      <c r="D148" s="45">
        <v>105036</v>
      </c>
      <c r="E148" s="6" t="s">
        <v>429</v>
      </c>
      <c r="F148" s="45" t="s">
        <v>187</v>
      </c>
      <c r="G148" s="46">
        <f t="shared" si="16"/>
        <v>20</v>
      </c>
      <c r="H148" s="46">
        <f>TRUNC(S148*(1-LOTE_01!$K$10),2)</f>
        <v>32.94</v>
      </c>
      <c r="I148" s="46">
        <f>TRUNC(T148*(1-LOTE_01!$K$10),2)</f>
        <v>25.12</v>
      </c>
      <c r="J148" s="100">
        <f t="shared" si="17"/>
        <v>0.22470000000000001</v>
      </c>
      <c r="K148" s="48">
        <f t="shared" si="18"/>
        <v>40.340000000000003</v>
      </c>
      <c r="L148" s="48">
        <f t="shared" si="19"/>
        <v>30.76</v>
      </c>
      <c r="M148" s="48">
        <f t="shared" si="20"/>
        <v>806.8</v>
      </c>
      <c r="N148" s="48">
        <f t="shared" si="21"/>
        <v>615.20000000000005</v>
      </c>
      <c r="O148" s="50">
        <f t="shared" si="22"/>
        <v>1422</v>
      </c>
      <c r="P148" s="50">
        <v>0</v>
      </c>
      <c r="Q148" s="76"/>
      <c r="R148" s="140">
        <f>IF(S10&gt;=5,20,5)</f>
        <v>20</v>
      </c>
      <c r="S148" s="79">
        <v>32.94</v>
      </c>
      <c r="T148" s="80">
        <v>25.12</v>
      </c>
    </row>
    <row r="149" spans="2:20" ht="42">
      <c r="B149" s="5" t="s">
        <v>430</v>
      </c>
      <c r="C149" s="45" t="s">
        <v>135</v>
      </c>
      <c r="D149" s="45">
        <v>94588</v>
      </c>
      <c r="E149" s="6" t="s">
        <v>431</v>
      </c>
      <c r="F149" s="45" t="s">
        <v>187</v>
      </c>
      <c r="G149" s="46">
        <f t="shared" si="16"/>
        <v>20</v>
      </c>
      <c r="H149" s="46">
        <f>TRUNC(S149*(1-LOTE_01!$K$10),2)</f>
        <v>57.01</v>
      </c>
      <c r="I149" s="46">
        <f>TRUNC(T149*(1-LOTE_01!$K$10),2)</f>
        <v>25.61</v>
      </c>
      <c r="J149" s="100">
        <f t="shared" si="17"/>
        <v>0.22470000000000001</v>
      </c>
      <c r="K149" s="48">
        <f t="shared" si="18"/>
        <v>69.819999999999993</v>
      </c>
      <c r="L149" s="48">
        <f t="shared" si="19"/>
        <v>31.36</v>
      </c>
      <c r="M149" s="48">
        <f t="shared" si="20"/>
        <v>1396.4</v>
      </c>
      <c r="N149" s="48">
        <f t="shared" si="21"/>
        <v>627.20000000000005</v>
      </c>
      <c r="O149" s="50">
        <f t="shared" si="22"/>
        <v>2023.6</v>
      </c>
      <c r="P149" s="50">
        <v>0</v>
      </c>
      <c r="Q149" s="76"/>
      <c r="R149" s="140">
        <f>IF(S10&gt;=5,20,5)</f>
        <v>20</v>
      </c>
      <c r="S149" s="79">
        <v>57.010000000000005</v>
      </c>
      <c r="T149" s="80">
        <v>25.61</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1537093.4</v>
      </c>
      <c r="Q150" s="76"/>
      <c r="R150" s="154"/>
      <c r="S150" s="79" t="s">
        <v>22</v>
      </c>
      <c r="T150" s="80" t="s">
        <v>22</v>
      </c>
    </row>
    <row r="151" spans="2:20" ht="28">
      <c r="B151" s="5" t="s">
        <v>432</v>
      </c>
      <c r="C151" s="45" t="s">
        <v>135</v>
      </c>
      <c r="D151" s="45">
        <v>98458</v>
      </c>
      <c r="E151" s="6" t="s">
        <v>433</v>
      </c>
      <c r="F151" s="45" t="s">
        <v>121</v>
      </c>
      <c r="G151" s="46">
        <f t="shared" si="23"/>
        <v>200</v>
      </c>
      <c r="H151" s="46">
        <f>TRUNC(S151*(1-LOTE_01!$K$10),2)</f>
        <v>77.3</v>
      </c>
      <c r="I151" s="46">
        <f>TRUNC(T151*(1-LOTE_01!$K$10),2)</f>
        <v>27.6</v>
      </c>
      <c r="J151" s="100">
        <f t="shared" si="17"/>
        <v>0.22470000000000001</v>
      </c>
      <c r="K151" s="48">
        <f t="shared" si="18"/>
        <v>94.66</v>
      </c>
      <c r="L151" s="48">
        <f t="shared" si="19"/>
        <v>33.799999999999997</v>
      </c>
      <c r="M151" s="48">
        <f t="shared" si="20"/>
        <v>18932</v>
      </c>
      <c r="N151" s="48">
        <f t="shared" si="21"/>
        <v>6760</v>
      </c>
      <c r="O151" s="50">
        <f t="shared" si="22"/>
        <v>25692</v>
      </c>
      <c r="P151" s="50">
        <v>0</v>
      </c>
      <c r="Q151" s="76"/>
      <c r="R151" s="140">
        <f>IF((15*3*S9+15*3*S10)&gt;200,200,(15*3*S9+15*3*S10))</f>
        <v>200</v>
      </c>
      <c r="S151" s="79">
        <v>77.300000000000011</v>
      </c>
      <c r="T151" s="80">
        <v>27.6</v>
      </c>
    </row>
    <row r="152" spans="2:20" ht="70">
      <c r="B152" s="5" t="s">
        <v>434</v>
      </c>
      <c r="C152" s="45" t="s">
        <v>135</v>
      </c>
      <c r="D152" s="45">
        <v>103329</v>
      </c>
      <c r="E152" s="6" t="s">
        <v>435</v>
      </c>
      <c r="F152" s="45" t="s">
        <v>121</v>
      </c>
      <c r="G152" s="46">
        <f t="shared" si="23"/>
        <v>460</v>
      </c>
      <c r="H152" s="46">
        <f>TRUNC(S152*(1-LOTE_01!$K$10),2)</f>
        <v>60.53</v>
      </c>
      <c r="I152" s="46">
        <f>TRUNC(T152*(1-LOTE_01!$K$10),2)</f>
        <v>48.98</v>
      </c>
      <c r="J152" s="100">
        <f t="shared" si="17"/>
        <v>0.22470000000000001</v>
      </c>
      <c r="K152" s="48">
        <f t="shared" si="18"/>
        <v>74.13</v>
      </c>
      <c r="L152" s="48">
        <f t="shared" si="19"/>
        <v>59.98</v>
      </c>
      <c r="M152" s="48">
        <f t="shared" si="20"/>
        <v>34099.800000000003</v>
      </c>
      <c r="N152" s="48">
        <f t="shared" si="21"/>
        <v>27590.799999999999</v>
      </c>
      <c r="O152" s="50">
        <f t="shared" si="22"/>
        <v>61690.6</v>
      </c>
      <c r="P152" s="50">
        <v>0</v>
      </c>
      <c r="Q152" s="76"/>
      <c r="R152" s="140">
        <f>IF((20*S9+50*S10)&gt;1000,1000,(20*S9+50*S10))</f>
        <v>460</v>
      </c>
      <c r="S152" s="79">
        <v>60.530000000000008</v>
      </c>
      <c r="T152" s="80">
        <v>48.98</v>
      </c>
    </row>
    <row r="153" spans="2:20" ht="70">
      <c r="B153" s="5" t="s">
        <v>436</v>
      </c>
      <c r="C153" s="45" t="s">
        <v>135</v>
      </c>
      <c r="D153" s="45">
        <v>103331</v>
      </c>
      <c r="E153" s="6" t="s">
        <v>437</v>
      </c>
      <c r="F153" s="45" t="s">
        <v>121</v>
      </c>
      <c r="G153" s="46">
        <f t="shared" si="23"/>
        <v>460</v>
      </c>
      <c r="H153" s="46">
        <f>TRUNC(S153*(1-LOTE_01!$K$10),2)</f>
        <v>58.57</v>
      </c>
      <c r="I153" s="46">
        <f>TRUNC(T153*(1-LOTE_01!$K$10),2)</f>
        <v>36.78</v>
      </c>
      <c r="J153" s="100">
        <f t="shared" si="17"/>
        <v>0.22470000000000001</v>
      </c>
      <c r="K153" s="48">
        <f t="shared" si="18"/>
        <v>71.73</v>
      </c>
      <c r="L153" s="48">
        <f t="shared" si="19"/>
        <v>45.04</v>
      </c>
      <c r="M153" s="48">
        <f t="shared" si="20"/>
        <v>32995.800000000003</v>
      </c>
      <c r="N153" s="48">
        <f t="shared" si="21"/>
        <v>20718.400000000001</v>
      </c>
      <c r="O153" s="50">
        <f t="shared" si="22"/>
        <v>53714.2</v>
      </c>
      <c r="P153" s="50">
        <v>0</v>
      </c>
      <c r="Q153" s="76"/>
      <c r="R153" s="140">
        <f>IF((20*S9+50*S10)&gt;1000,1000,(20*S9+50*S10))</f>
        <v>460</v>
      </c>
      <c r="S153" s="79">
        <v>58.569999999999993</v>
      </c>
      <c r="T153" s="80">
        <v>36.78</v>
      </c>
    </row>
    <row r="154" spans="2:20" ht="70">
      <c r="B154" s="5" t="s">
        <v>438</v>
      </c>
      <c r="C154" s="45" t="s">
        <v>135</v>
      </c>
      <c r="D154" s="45">
        <v>96358</v>
      </c>
      <c r="E154" s="6" t="s">
        <v>439</v>
      </c>
      <c r="F154" s="45" t="s">
        <v>121</v>
      </c>
      <c r="G154" s="46">
        <f t="shared" si="23"/>
        <v>460</v>
      </c>
      <c r="H154" s="46">
        <f>TRUNC(S154*(1-LOTE_01!$K$10),2)</f>
        <v>84.99</v>
      </c>
      <c r="I154" s="46">
        <f>TRUNC(T154*(1-LOTE_01!$K$10),2)</f>
        <v>12.74</v>
      </c>
      <c r="J154" s="100">
        <f t="shared" si="17"/>
        <v>0.22470000000000001</v>
      </c>
      <c r="K154" s="48">
        <f t="shared" si="18"/>
        <v>104.08</v>
      </c>
      <c r="L154" s="48">
        <f t="shared" si="19"/>
        <v>15.6</v>
      </c>
      <c r="M154" s="48">
        <f t="shared" si="20"/>
        <v>47876.800000000003</v>
      </c>
      <c r="N154" s="48">
        <f t="shared" si="21"/>
        <v>7176</v>
      </c>
      <c r="O154" s="50">
        <f t="shared" si="22"/>
        <v>55052.800000000003</v>
      </c>
      <c r="P154" s="50">
        <v>0</v>
      </c>
      <c r="Q154" s="76"/>
      <c r="R154" s="140">
        <f>IF((20*S9+50*S10)&gt;500,500,(20*S9+50*S10))</f>
        <v>460</v>
      </c>
      <c r="S154" s="79">
        <v>84.990000000000009</v>
      </c>
      <c r="T154" s="80">
        <v>12.74</v>
      </c>
    </row>
    <row r="155" spans="2:20" ht="98">
      <c r="B155" s="5" t="s">
        <v>440</v>
      </c>
      <c r="C155" s="45" t="s">
        <v>135</v>
      </c>
      <c r="D155" s="45">
        <v>96359</v>
      </c>
      <c r="E155" s="6" t="s">
        <v>441</v>
      </c>
      <c r="F155" s="45" t="s">
        <v>121</v>
      </c>
      <c r="G155" s="46">
        <f t="shared" si="23"/>
        <v>460</v>
      </c>
      <c r="H155" s="46">
        <f>TRUNC(S155*(1-LOTE_01!$K$10),2)</f>
        <v>94.61</v>
      </c>
      <c r="I155" s="46">
        <f>TRUNC(T155*(1-LOTE_01!$K$10),2)</f>
        <v>14.49</v>
      </c>
      <c r="J155" s="100">
        <f t="shared" si="17"/>
        <v>0.22470000000000001</v>
      </c>
      <c r="K155" s="48">
        <f t="shared" si="18"/>
        <v>115.86</v>
      </c>
      <c r="L155" s="48">
        <f t="shared" si="19"/>
        <v>17.739999999999998</v>
      </c>
      <c r="M155" s="48">
        <f t="shared" si="20"/>
        <v>53295.6</v>
      </c>
      <c r="N155" s="48">
        <f t="shared" si="21"/>
        <v>8160.4</v>
      </c>
      <c r="O155" s="50">
        <f t="shared" si="22"/>
        <v>61456</v>
      </c>
      <c r="P155" s="50">
        <v>0</v>
      </c>
      <c r="Q155" s="76"/>
      <c r="R155" s="140">
        <f>IF((20*S9+50*S10)&gt;500,500,(20*S9+50*S10))</f>
        <v>460</v>
      </c>
      <c r="S155" s="79">
        <v>94.61</v>
      </c>
      <c r="T155" s="80">
        <v>14.49</v>
      </c>
    </row>
    <row r="156" spans="2:20" ht="42">
      <c r="B156" s="5" t="s">
        <v>442</v>
      </c>
      <c r="C156" s="45" t="s">
        <v>97</v>
      </c>
      <c r="D156" s="45" t="s">
        <v>443</v>
      </c>
      <c r="E156" s="6" t="s">
        <v>444</v>
      </c>
      <c r="F156" s="45" t="s">
        <v>121</v>
      </c>
      <c r="G156" s="46">
        <f t="shared" si="23"/>
        <v>200</v>
      </c>
      <c r="H156" s="46">
        <f>TRUNC(S156*(1-LOTE_01!$K$10),2)</f>
        <v>533.6</v>
      </c>
      <c r="I156" s="46">
        <f>TRUNC(T156*(1-LOTE_01!$K$10),2)</f>
        <v>122.93</v>
      </c>
      <c r="J156" s="100">
        <f t="shared" si="17"/>
        <v>0.22470000000000001</v>
      </c>
      <c r="K156" s="48">
        <f t="shared" si="18"/>
        <v>653.49</v>
      </c>
      <c r="L156" s="48">
        <f t="shared" si="19"/>
        <v>150.55000000000001</v>
      </c>
      <c r="M156" s="48">
        <f t="shared" si="20"/>
        <v>130698</v>
      </c>
      <c r="N156" s="48">
        <f t="shared" si="21"/>
        <v>30110</v>
      </c>
      <c r="O156" s="50">
        <f t="shared" si="22"/>
        <v>160808</v>
      </c>
      <c r="P156" s="50">
        <v>0</v>
      </c>
      <c r="Q156" s="76"/>
      <c r="R156" s="140">
        <f>IF((20*S9+20*S10)&gt;200,200,(20*S9+20*S10))</f>
        <v>200</v>
      </c>
      <c r="S156" s="79">
        <v>533.6</v>
      </c>
      <c r="T156" s="80">
        <v>122.93</v>
      </c>
    </row>
    <row r="157" spans="2:20" ht="42">
      <c r="B157" s="5" t="s">
        <v>445</v>
      </c>
      <c r="C157" s="45" t="s">
        <v>135</v>
      </c>
      <c r="D157" s="45">
        <v>102180</v>
      </c>
      <c r="E157" s="6" t="s">
        <v>1772</v>
      </c>
      <c r="F157" s="45" t="s">
        <v>121</v>
      </c>
      <c r="G157" s="46">
        <f t="shared" si="23"/>
        <v>100</v>
      </c>
      <c r="H157" s="46">
        <f>TRUNC(S157*(1-LOTE_01!$K$10),2)</f>
        <v>599.94000000000005</v>
      </c>
      <c r="I157" s="46">
        <f>TRUNC(T157*(1-LOTE_01!$K$10),2)</f>
        <v>53.16</v>
      </c>
      <c r="J157" s="100">
        <f t="shared" si="17"/>
        <v>0.22470000000000001</v>
      </c>
      <c r="K157" s="48">
        <f t="shared" si="18"/>
        <v>734.74</v>
      </c>
      <c r="L157" s="48">
        <f t="shared" si="19"/>
        <v>65.099999999999994</v>
      </c>
      <c r="M157" s="48">
        <f t="shared" si="20"/>
        <v>73474</v>
      </c>
      <c r="N157" s="48">
        <f t="shared" si="21"/>
        <v>6510</v>
      </c>
      <c r="O157" s="50">
        <f t="shared" si="22"/>
        <v>79984</v>
      </c>
      <c r="P157" s="50">
        <v>0</v>
      </c>
      <c r="Q157" s="76"/>
      <c r="R157" s="140">
        <f>IF((20*S9+20*S10)&gt;100,100,(20*S9+20*S10))</f>
        <v>100</v>
      </c>
      <c r="S157" s="79">
        <v>599.94000000000005</v>
      </c>
      <c r="T157" s="80">
        <v>53.16</v>
      </c>
    </row>
    <row r="158" spans="2:20" ht="42">
      <c r="B158" s="5" t="s">
        <v>446</v>
      </c>
      <c r="C158" s="45" t="s">
        <v>135</v>
      </c>
      <c r="D158" s="45">
        <v>102181</v>
      </c>
      <c r="E158" s="6" t="s">
        <v>1773</v>
      </c>
      <c r="F158" s="45" t="s">
        <v>121</v>
      </c>
      <c r="G158" s="46">
        <f t="shared" si="23"/>
        <v>200</v>
      </c>
      <c r="H158" s="46">
        <f>TRUNC(S158*(1-LOTE_01!$K$10),2)</f>
        <v>753.15</v>
      </c>
      <c r="I158" s="46">
        <f>TRUNC(T158*(1-LOTE_01!$K$10),2)</f>
        <v>50.46</v>
      </c>
      <c r="J158" s="100">
        <f t="shared" si="17"/>
        <v>0.22470000000000001</v>
      </c>
      <c r="K158" s="48">
        <f t="shared" si="18"/>
        <v>922.38</v>
      </c>
      <c r="L158" s="48">
        <f t="shared" si="19"/>
        <v>61.79</v>
      </c>
      <c r="M158" s="48">
        <f t="shared" si="20"/>
        <v>184476</v>
      </c>
      <c r="N158" s="48">
        <f t="shared" si="21"/>
        <v>12358</v>
      </c>
      <c r="O158" s="50">
        <f t="shared" si="22"/>
        <v>196834</v>
      </c>
      <c r="P158" s="50">
        <v>0</v>
      </c>
      <c r="Q158" s="76"/>
      <c r="R158" s="140">
        <f>IF((20*S9+20*S10)&gt;200,200,(20*S9+20*S10))</f>
        <v>200</v>
      </c>
      <c r="S158" s="79">
        <v>753.15</v>
      </c>
      <c r="T158" s="80">
        <v>50.46</v>
      </c>
    </row>
    <row r="159" spans="2:20" ht="56">
      <c r="B159" s="5" t="s">
        <v>447</v>
      </c>
      <c r="C159" s="45" t="s">
        <v>97</v>
      </c>
      <c r="D159" s="45" t="s">
        <v>448</v>
      </c>
      <c r="E159" s="6" t="s">
        <v>449</v>
      </c>
      <c r="F159" s="45" t="s">
        <v>121</v>
      </c>
      <c r="G159" s="46">
        <f t="shared" si="23"/>
        <v>200</v>
      </c>
      <c r="H159" s="46">
        <f>TRUNC(S159*(1-LOTE_01!$K$10),2)</f>
        <v>143.80000000000001</v>
      </c>
      <c r="I159" s="46">
        <f>TRUNC(T159*(1-LOTE_01!$K$10),2)</f>
        <v>50.46</v>
      </c>
      <c r="J159" s="100">
        <f t="shared" si="17"/>
        <v>0.22470000000000001</v>
      </c>
      <c r="K159" s="48">
        <f t="shared" si="18"/>
        <v>176.11</v>
      </c>
      <c r="L159" s="48">
        <f t="shared" si="19"/>
        <v>61.79</v>
      </c>
      <c r="M159" s="48">
        <f t="shared" si="20"/>
        <v>35222</v>
      </c>
      <c r="N159" s="48">
        <f t="shared" si="21"/>
        <v>12358</v>
      </c>
      <c r="O159" s="50">
        <f t="shared" si="22"/>
        <v>47580</v>
      </c>
      <c r="P159" s="50">
        <v>0</v>
      </c>
      <c r="Q159" s="76"/>
      <c r="R159" s="140">
        <f>IF((20*S9+20*S10)&gt;200,200,(20*S9+20*S10))</f>
        <v>200</v>
      </c>
      <c r="S159" s="79">
        <v>143.80000000000001</v>
      </c>
      <c r="T159" s="80">
        <v>50.46</v>
      </c>
    </row>
    <row r="160" spans="2:20" ht="56">
      <c r="B160" s="5" t="s">
        <v>450</v>
      </c>
      <c r="C160" s="45" t="s">
        <v>135</v>
      </c>
      <c r="D160" s="45">
        <v>102253</v>
      </c>
      <c r="E160" s="6" t="s">
        <v>1774</v>
      </c>
      <c r="F160" s="45" t="s">
        <v>121</v>
      </c>
      <c r="G160" s="46">
        <f>IF($S$11=0,0,TRUNC(R160,2))</f>
        <v>10</v>
      </c>
      <c r="H160" s="46">
        <f>TRUNC(S160*(1-LOTE_01!$K$10),2)</f>
        <v>1019.68</v>
      </c>
      <c r="I160" s="46">
        <f>TRUNC(T160*(1-LOTE_01!$K$10),2)</f>
        <v>90.83</v>
      </c>
      <c r="J160" s="100">
        <f t="shared" si="17"/>
        <v>0.22470000000000001</v>
      </c>
      <c r="K160" s="48">
        <f t="shared" si="18"/>
        <v>1248.8</v>
      </c>
      <c r="L160" s="48">
        <f t="shared" si="19"/>
        <v>111.23</v>
      </c>
      <c r="M160" s="48">
        <f t="shared" si="20"/>
        <v>12488</v>
      </c>
      <c r="N160" s="48">
        <f t="shared" si="21"/>
        <v>1112.3</v>
      </c>
      <c r="O160" s="50">
        <f t="shared" si="22"/>
        <v>13600.3</v>
      </c>
      <c r="P160" s="50">
        <v>0</v>
      </c>
      <c r="Q160" s="76"/>
      <c r="R160" s="140">
        <f>IF(S10&gt;=5,10,5)</f>
        <v>10</v>
      </c>
      <c r="S160" s="79">
        <v>1019.68</v>
      </c>
      <c r="T160" s="80">
        <v>90.83</v>
      </c>
    </row>
    <row r="161" spans="2:20" ht="42">
      <c r="B161" s="5" t="s">
        <v>451</v>
      </c>
      <c r="C161" s="45" t="s">
        <v>165</v>
      </c>
      <c r="D161" s="45" t="s">
        <v>452</v>
      </c>
      <c r="E161" s="6" t="s">
        <v>453</v>
      </c>
      <c r="F161" s="45" t="s">
        <v>168</v>
      </c>
      <c r="G161" s="46">
        <f t="shared" si="23"/>
        <v>500</v>
      </c>
      <c r="H161" s="46">
        <f>TRUNC(S161*(1-LOTE_01!$K$10),2)</f>
        <v>406.96</v>
      </c>
      <c r="I161" s="46">
        <f>TRUNC(T161*(1-LOTE_01!$K$10),2)</f>
        <v>0</v>
      </c>
      <c r="J161" s="100">
        <f t="shared" si="17"/>
        <v>0.22470000000000001</v>
      </c>
      <c r="K161" s="48">
        <f t="shared" si="18"/>
        <v>498.4</v>
      </c>
      <c r="L161" s="48">
        <f t="shared" si="19"/>
        <v>0</v>
      </c>
      <c r="M161" s="48">
        <f t="shared" si="20"/>
        <v>249200</v>
      </c>
      <c r="N161" s="48">
        <f t="shared" si="21"/>
        <v>0</v>
      </c>
      <c r="O161" s="50">
        <f t="shared" si="22"/>
        <v>249200</v>
      </c>
      <c r="P161" s="50">
        <v>0</v>
      </c>
      <c r="Q161" s="76"/>
      <c r="R161" s="140">
        <f>IF((50*S9+50*S10)&gt;500,500,(50*S9+50*S10))</f>
        <v>500</v>
      </c>
      <c r="S161" s="79">
        <v>406.96</v>
      </c>
      <c r="T161" s="80">
        <v>0</v>
      </c>
    </row>
    <row r="162" spans="2:20" ht="56">
      <c r="B162" s="5" t="s">
        <v>454</v>
      </c>
      <c r="C162" s="45" t="s">
        <v>165</v>
      </c>
      <c r="D162" s="45" t="s">
        <v>455</v>
      </c>
      <c r="E162" s="6" t="s">
        <v>456</v>
      </c>
      <c r="F162" s="45" t="s">
        <v>168</v>
      </c>
      <c r="G162" s="46">
        <f t="shared" si="23"/>
        <v>100</v>
      </c>
      <c r="H162" s="46">
        <f>TRUNC(S162*(1-LOTE_01!$K$10),2)</f>
        <v>772.2</v>
      </c>
      <c r="I162" s="46">
        <f>TRUNC(T162*(1-LOTE_01!$K$10),2)</f>
        <v>0</v>
      </c>
      <c r="J162" s="100">
        <f t="shared" si="17"/>
        <v>0.22470000000000001</v>
      </c>
      <c r="K162" s="48">
        <f t="shared" si="18"/>
        <v>945.71</v>
      </c>
      <c r="L162" s="48">
        <f t="shared" si="19"/>
        <v>0</v>
      </c>
      <c r="M162" s="48">
        <f t="shared" si="20"/>
        <v>94571</v>
      </c>
      <c r="N162" s="48">
        <f t="shared" si="21"/>
        <v>0</v>
      </c>
      <c r="O162" s="50">
        <f t="shared" si="22"/>
        <v>94571</v>
      </c>
      <c r="P162" s="50">
        <v>0</v>
      </c>
      <c r="Q162" s="76"/>
      <c r="R162" s="140">
        <f>IF((50*S9+50*S10)&gt;100,100,(50*S9+50*S10))</f>
        <v>100</v>
      </c>
      <c r="S162" s="79">
        <v>772.2</v>
      </c>
      <c r="T162" s="80">
        <v>0</v>
      </c>
    </row>
    <row r="163" spans="2:20" ht="56">
      <c r="B163" s="5" t="s">
        <v>457</v>
      </c>
      <c r="C163" s="45" t="s">
        <v>97</v>
      </c>
      <c r="D163" s="45" t="s">
        <v>458</v>
      </c>
      <c r="E163" s="6" t="s">
        <v>459</v>
      </c>
      <c r="F163" s="45" t="s">
        <v>121</v>
      </c>
      <c r="G163" s="46">
        <f t="shared" si="23"/>
        <v>100</v>
      </c>
      <c r="H163" s="46">
        <f>TRUNC(S163*(1-LOTE_01!$K$10),2)</f>
        <v>95.92</v>
      </c>
      <c r="I163" s="46">
        <f>TRUNC(T163*(1-LOTE_01!$K$10),2)</f>
        <v>27.39</v>
      </c>
      <c r="J163" s="100">
        <f t="shared" si="17"/>
        <v>0.22470000000000001</v>
      </c>
      <c r="K163" s="48">
        <f t="shared" si="18"/>
        <v>117.47</v>
      </c>
      <c r="L163" s="48">
        <f t="shared" si="19"/>
        <v>33.54</v>
      </c>
      <c r="M163" s="48">
        <f t="shared" si="20"/>
        <v>11747</v>
      </c>
      <c r="N163" s="48">
        <f t="shared" si="21"/>
        <v>3354</v>
      </c>
      <c r="O163" s="50">
        <f t="shared" si="22"/>
        <v>15101</v>
      </c>
      <c r="P163" s="50">
        <v>0</v>
      </c>
      <c r="Q163" s="76"/>
      <c r="R163" s="140">
        <f>IF((50*S9+50*S10)&gt;100,100,(50*S9+50*S10))</f>
        <v>100</v>
      </c>
      <c r="S163" s="79">
        <v>95.92</v>
      </c>
      <c r="T163" s="80">
        <v>27.39</v>
      </c>
    </row>
    <row r="164" spans="2:20" ht="42">
      <c r="B164" s="5" t="s">
        <v>460</v>
      </c>
      <c r="C164" s="45" t="s">
        <v>97</v>
      </c>
      <c r="D164" s="45" t="s">
        <v>461</v>
      </c>
      <c r="E164" s="6" t="s">
        <v>462</v>
      </c>
      <c r="F164" s="45" t="s">
        <v>121</v>
      </c>
      <c r="G164" s="46">
        <f t="shared" si="23"/>
        <v>200</v>
      </c>
      <c r="H164" s="46">
        <f>TRUNC(S164*(1-LOTE_01!$K$10),2)</f>
        <v>85.39</v>
      </c>
      <c r="I164" s="46">
        <f>TRUNC(T164*(1-LOTE_01!$K$10),2)</f>
        <v>27.39</v>
      </c>
      <c r="J164" s="100">
        <f t="shared" si="17"/>
        <v>0.22470000000000001</v>
      </c>
      <c r="K164" s="48">
        <f t="shared" si="18"/>
        <v>104.57</v>
      </c>
      <c r="L164" s="48">
        <f t="shared" si="19"/>
        <v>33.54</v>
      </c>
      <c r="M164" s="48">
        <f t="shared" si="20"/>
        <v>20914</v>
      </c>
      <c r="N164" s="48">
        <f t="shared" si="21"/>
        <v>6708</v>
      </c>
      <c r="O164" s="50">
        <f t="shared" si="22"/>
        <v>27622</v>
      </c>
      <c r="P164" s="50">
        <v>0</v>
      </c>
      <c r="Q164" s="76"/>
      <c r="R164" s="140">
        <f>IF((50*S9+50*S10)&gt;200,200,(50*S9+50*S10))</f>
        <v>200</v>
      </c>
      <c r="S164" s="79">
        <v>85.39</v>
      </c>
      <c r="T164" s="80">
        <v>27.39</v>
      </c>
    </row>
    <row r="165" spans="2:20" ht="28">
      <c r="B165" s="5" t="s">
        <v>463</v>
      </c>
      <c r="C165" s="45" t="s">
        <v>97</v>
      </c>
      <c r="D165" s="45" t="s">
        <v>464</v>
      </c>
      <c r="E165" s="6" t="s">
        <v>465</v>
      </c>
      <c r="F165" s="45" t="s">
        <v>121</v>
      </c>
      <c r="G165" s="46">
        <f t="shared" si="23"/>
        <v>500</v>
      </c>
      <c r="H165" s="46">
        <f>TRUNC(S165*(1-LOTE_01!$K$10),2)</f>
        <v>10.63</v>
      </c>
      <c r="I165" s="46">
        <f>TRUNC(T165*(1-LOTE_01!$K$10),2)</f>
        <v>18.43</v>
      </c>
      <c r="J165" s="100">
        <f t="shared" si="17"/>
        <v>0.22470000000000001</v>
      </c>
      <c r="K165" s="48">
        <f t="shared" si="18"/>
        <v>13.01</v>
      </c>
      <c r="L165" s="48">
        <f t="shared" si="19"/>
        <v>22.57</v>
      </c>
      <c r="M165" s="48">
        <f t="shared" si="20"/>
        <v>6505</v>
      </c>
      <c r="N165" s="48">
        <f t="shared" si="21"/>
        <v>11285</v>
      </c>
      <c r="O165" s="50">
        <f t="shared" si="22"/>
        <v>17790</v>
      </c>
      <c r="P165" s="50">
        <v>0</v>
      </c>
      <c r="Q165" s="76"/>
      <c r="R165" s="140">
        <f>IF((50*S9+50*S10)&gt;500,500,(50*S9+50*S10))</f>
        <v>500</v>
      </c>
      <c r="S165" s="79">
        <v>10.63</v>
      </c>
      <c r="T165" s="80">
        <v>18.43</v>
      </c>
    </row>
    <row r="166" spans="2:20" ht="56">
      <c r="B166" s="5" t="s">
        <v>466</v>
      </c>
      <c r="C166" s="45" t="s">
        <v>97</v>
      </c>
      <c r="D166" s="45" t="s">
        <v>467</v>
      </c>
      <c r="E166" s="6" t="s">
        <v>468</v>
      </c>
      <c r="F166" s="45" t="s">
        <v>121</v>
      </c>
      <c r="G166" s="46">
        <f t="shared" si="23"/>
        <v>420</v>
      </c>
      <c r="H166" s="46">
        <f>TRUNC(S166*(1-LOTE_01!$K$10),2)</f>
        <v>408.2</v>
      </c>
      <c r="I166" s="46">
        <f>TRUNC(T166*(1-LOTE_01!$K$10),2)</f>
        <v>160.56</v>
      </c>
      <c r="J166" s="100">
        <f t="shared" si="17"/>
        <v>0.22470000000000001</v>
      </c>
      <c r="K166" s="48">
        <f t="shared" si="18"/>
        <v>499.92</v>
      </c>
      <c r="L166" s="48">
        <f t="shared" si="19"/>
        <v>196.63</v>
      </c>
      <c r="M166" s="48">
        <f t="shared" si="20"/>
        <v>209966.4</v>
      </c>
      <c r="N166" s="48">
        <f t="shared" si="21"/>
        <v>82584.600000000006</v>
      </c>
      <c r="O166" s="50">
        <f t="shared" si="22"/>
        <v>292551</v>
      </c>
      <c r="P166" s="50">
        <v>0</v>
      </c>
      <c r="Q166" s="76"/>
      <c r="R166" s="140">
        <f>30*S9+30*S10</f>
        <v>420</v>
      </c>
      <c r="S166" s="79">
        <v>408.2</v>
      </c>
      <c r="T166" s="80">
        <v>160.56</v>
      </c>
    </row>
    <row r="167" spans="2:20" ht="42">
      <c r="B167" s="5" t="s">
        <v>469</v>
      </c>
      <c r="C167" s="45" t="s">
        <v>135</v>
      </c>
      <c r="D167" s="45">
        <v>102162</v>
      </c>
      <c r="E167" s="6" t="s">
        <v>1775</v>
      </c>
      <c r="F167" s="45" t="s">
        <v>121</v>
      </c>
      <c r="G167" s="46">
        <f t="shared" si="23"/>
        <v>50</v>
      </c>
      <c r="H167" s="46">
        <f>TRUNC(S167*(1-LOTE_01!$K$10),2)</f>
        <v>333.56</v>
      </c>
      <c r="I167" s="46">
        <f>TRUNC(T167*(1-LOTE_01!$K$10),2)</f>
        <v>25.33</v>
      </c>
      <c r="J167" s="100">
        <f t="shared" si="17"/>
        <v>0.22470000000000001</v>
      </c>
      <c r="K167" s="48">
        <f t="shared" si="18"/>
        <v>408.51</v>
      </c>
      <c r="L167" s="48">
        <f t="shared" si="19"/>
        <v>31.02</v>
      </c>
      <c r="M167" s="48">
        <f t="shared" si="20"/>
        <v>20425.5</v>
      </c>
      <c r="N167" s="48">
        <f t="shared" si="21"/>
        <v>1551</v>
      </c>
      <c r="O167" s="50">
        <f t="shared" si="22"/>
        <v>21976.5</v>
      </c>
      <c r="P167" s="50">
        <v>0</v>
      </c>
      <c r="Q167" s="76"/>
      <c r="R167" s="140">
        <f>IF((5*S9+10*S10)&gt;50,50,(5*S9+10*S10))</f>
        <v>50</v>
      </c>
      <c r="S167" s="79">
        <v>333.56</v>
      </c>
      <c r="T167" s="80">
        <v>25.33</v>
      </c>
    </row>
    <row r="168" spans="2:20" ht="42">
      <c r="B168" s="5" t="s">
        <v>470</v>
      </c>
      <c r="C168" s="45" t="s">
        <v>135</v>
      </c>
      <c r="D168" s="45">
        <v>102166</v>
      </c>
      <c r="E168" s="6" t="s">
        <v>1776</v>
      </c>
      <c r="F168" s="45" t="s">
        <v>121</v>
      </c>
      <c r="G168" s="46">
        <f t="shared" si="23"/>
        <v>50</v>
      </c>
      <c r="H168" s="46">
        <f>TRUNC(S168*(1-LOTE_01!$K$10),2)</f>
        <v>370.66</v>
      </c>
      <c r="I168" s="46">
        <f>TRUNC(T168*(1-LOTE_01!$K$10),2)</f>
        <v>15.68</v>
      </c>
      <c r="J168" s="100">
        <f t="shared" si="17"/>
        <v>0.22470000000000001</v>
      </c>
      <c r="K168" s="48">
        <f t="shared" si="18"/>
        <v>453.94</v>
      </c>
      <c r="L168" s="48">
        <f t="shared" si="19"/>
        <v>19.2</v>
      </c>
      <c r="M168" s="48">
        <f t="shared" si="20"/>
        <v>22697</v>
      </c>
      <c r="N168" s="48">
        <f t="shared" si="21"/>
        <v>960</v>
      </c>
      <c r="O168" s="50">
        <f t="shared" si="22"/>
        <v>23657</v>
      </c>
      <c r="P168" s="50">
        <v>0</v>
      </c>
      <c r="Q168" s="76"/>
      <c r="R168" s="140">
        <f>IF((5*S9+10*S10)&gt;50,50,(5*S9+10*S10))</f>
        <v>50</v>
      </c>
      <c r="S168" s="79">
        <v>370.65999999999997</v>
      </c>
      <c r="T168" s="80">
        <v>15.68</v>
      </c>
    </row>
    <row r="169" spans="2:20" ht="42">
      <c r="B169" s="5" t="s">
        <v>471</v>
      </c>
      <c r="C169" s="45" t="s">
        <v>135</v>
      </c>
      <c r="D169" s="45">
        <v>102172</v>
      </c>
      <c r="E169" s="6" t="s">
        <v>1777</v>
      </c>
      <c r="F169" s="45" t="s">
        <v>121</v>
      </c>
      <c r="G169" s="46">
        <f t="shared" si="23"/>
        <v>50</v>
      </c>
      <c r="H169" s="46">
        <f>TRUNC(S169*(1-LOTE_01!$K$10),2)</f>
        <v>608.27</v>
      </c>
      <c r="I169" s="46">
        <f>TRUNC(T169*(1-LOTE_01!$K$10),2)</f>
        <v>15.78</v>
      </c>
      <c r="J169" s="100">
        <f t="shared" si="17"/>
        <v>0.22470000000000001</v>
      </c>
      <c r="K169" s="48">
        <f t="shared" si="18"/>
        <v>744.94</v>
      </c>
      <c r="L169" s="48">
        <f t="shared" si="19"/>
        <v>19.32</v>
      </c>
      <c r="M169" s="48">
        <f t="shared" si="20"/>
        <v>37247</v>
      </c>
      <c r="N169" s="48">
        <f t="shared" si="21"/>
        <v>966</v>
      </c>
      <c r="O169" s="50">
        <f t="shared" si="22"/>
        <v>38213</v>
      </c>
      <c r="P169" s="50">
        <v>0</v>
      </c>
      <c r="Q169" s="76"/>
      <c r="R169" s="140">
        <f>IF((5*S9+10*S10)&gt;50,50,(5*S9+10*S10))</f>
        <v>50</v>
      </c>
      <c r="S169" s="79">
        <v>608.27</v>
      </c>
      <c r="T169" s="80">
        <v>15.78</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438050.2</v>
      </c>
      <c r="Q170" s="76"/>
      <c r="R170" s="154"/>
      <c r="S170" s="79" t="s">
        <v>22</v>
      </c>
      <c r="T170" s="80" t="s">
        <v>22</v>
      </c>
    </row>
    <row r="171" spans="2:20" ht="84">
      <c r="B171" s="5" t="s">
        <v>472</v>
      </c>
      <c r="C171" s="45" t="s">
        <v>135</v>
      </c>
      <c r="D171" s="45">
        <v>87893</v>
      </c>
      <c r="E171" s="6" t="s">
        <v>473</v>
      </c>
      <c r="F171" s="45" t="s">
        <v>121</v>
      </c>
      <c r="G171" s="46">
        <f t="shared" si="23"/>
        <v>1840</v>
      </c>
      <c r="H171" s="46">
        <f>TRUNC(S171*(1-LOTE_01!$K$10),2)</f>
        <v>4.4000000000000004</v>
      </c>
      <c r="I171" s="46">
        <f>TRUNC(T171*(1-LOTE_01!$K$10),2)</f>
        <v>4.45</v>
      </c>
      <c r="J171" s="100">
        <f t="shared" si="17"/>
        <v>0.22470000000000001</v>
      </c>
      <c r="K171" s="48">
        <f t="shared" si="18"/>
        <v>5.38</v>
      </c>
      <c r="L171" s="48">
        <f t="shared" si="19"/>
        <v>5.44</v>
      </c>
      <c r="M171" s="48">
        <f t="shared" si="20"/>
        <v>9899.2000000000007</v>
      </c>
      <c r="N171" s="48">
        <f t="shared" si="21"/>
        <v>10009.6</v>
      </c>
      <c r="O171" s="50">
        <f t="shared" si="22"/>
        <v>19908.8</v>
      </c>
      <c r="P171" s="50">
        <v>0</v>
      </c>
      <c r="Q171" s="76"/>
      <c r="R171" s="140">
        <f>(R152+R153)*2</f>
        <v>1840</v>
      </c>
      <c r="S171" s="79">
        <v>4.3999999999999995</v>
      </c>
      <c r="T171" s="80">
        <v>4.45</v>
      </c>
    </row>
    <row r="172" spans="2:20" ht="84">
      <c r="B172" s="5" t="s">
        <v>474</v>
      </c>
      <c r="C172" s="45" t="s">
        <v>135</v>
      </c>
      <c r="D172" s="45">
        <v>87530</v>
      </c>
      <c r="E172" s="6" t="s">
        <v>475</v>
      </c>
      <c r="F172" s="45" t="s">
        <v>121</v>
      </c>
      <c r="G172" s="46">
        <f t="shared" si="23"/>
        <v>1840</v>
      </c>
      <c r="H172" s="46">
        <f>TRUNC(S172*(1-LOTE_01!$K$10),2)</f>
        <v>29.87</v>
      </c>
      <c r="I172" s="46">
        <f>TRUNC(T172*(1-LOTE_01!$K$10),2)</f>
        <v>19.260000000000002</v>
      </c>
      <c r="J172" s="100">
        <f t="shared" si="17"/>
        <v>0.22470000000000001</v>
      </c>
      <c r="K172" s="48">
        <f t="shared" si="18"/>
        <v>36.58</v>
      </c>
      <c r="L172" s="48">
        <f t="shared" si="19"/>
        <v>23.58</v>
      </c>
      <c r="M172" s="48">
        <f t="shared" si="20"/>
        <v>67307.199999999997</v>
      </c>
      <c r="N172" s="48">
        <f t="shared" si="21"/>
        <v>43387.199999999997</v>
      </c>
      <c r="O172" s="50">
        <f t="shared" si="22"/>
        <v>110694.39999999999</v>
      </c>
      <c r="P172" s="50">
        <v>0</v>
      </c>
      <c r="Q172" s="76"/>
      <c r="R172" s="140">
        <f>(R152+R153)*2</f>
        <v>1840</v>
      </c>
      <c r="S172" s="79">
        <v>29.87</v>
      </c>
      <c r="T172" s="80">
        <v>19.260000000000002</v>
      </c>
    </row>
    <row r="173" spans="2:20" ht="84">
      <c r="B173" s="5" t="s">
        <v>476</v>
      </c>
      <c r="C173" s="45" t="s">
        <v>135</v>
      </c>
      <c r="D173" s="45">
        <v>87528</v>
      </c>
      <c r="E173" s="6" t="s">
        <v>477</v>
      </c>
      <c r="F173" s="45" t="s">
        <v>121</v>
      </c>
      <c r="G173" s="46">
        <f t="shared" si="23"/>
        <v>200</v>
      </c>
      <c r="H173" s="46">
        <f>TRUNC(S173*(1-LOTE_01!$K$10),2)</f>
        <v>31.17</v>
      </c>
      <c r="I173" s="46">
        <f>TRUNC(T173*(1-LOTE_01!$K$10),2)</f>
        <v>21.62</v>
      </c>
      <c r="J173" s="100">
        <f t="shared" si="17"/>
        <v>0.22470000000000001</v>
      </c>
      <c r="K173" s="48">
        <f t="shared" si="18"/>
        <v>38.17</v>
      </c>
      <c r="L173" s="48">
        <f t="shared" si="19"/>
        <v>26.47</v>
      </c>
      <c r="M173" s="48">
        <f t="shared" si="20"/>
        <v>7634</v>
      </c>
      <c r="N173" s="48">
        <f t="shared" si="21"/>
        <v>5294</v>
      </c>
      <c r="O173" s="50">
        <f t="shared" si="22"/>
        <v>12928</v>
      </c>
      <c r="P173" s="50">
        <v>0</v>
      </c>
      <c r="Q173" s="76"/>
      <c r="R173" s="140">
        <f>R175</f>
        <v>200</v>
      </c>
      <c r="S173" s="79">
        <v>31.169999999999998</v>
      </c>
      <c r="T173" s="80">
        <v>21.62</v>
      </c>
    </row>
    <row r="174" spans="2:20" ht="56">
      <c r="B174" s="5" t="s">
        <v>478</v>
      </c>
      <c r="C174" s="45" t="s">
        <v>135</v>
      </c>
      <c r="D174" s="45">
        <v>87244</v>
      </c>
      <c r="E174" s="6" t="s">
        <v>479</v>
      </c>
      <c r="F174" s="45" t="s">
        <v>121</v>
      </c>
      <c r="G174" s="46">
        <f t="shared" si="23"/>
        <v>200</v>
      </c>
      <c r="H174" s="46">
        <f>TRUNC(S174*(1-LOTE_01!$K$10),2)</f>
        <v>280.38</v>
      </c>
      <c r="I174" s="46">
        <f>TRUNC(T174*(1-LOTE_01!$K$10),2)</f>
        <v>36.28</v>
      </c>
      <c r="J174" s="100">
        <f t="shared" si="17"/>
        <v>0.22470000000000001</v>
      </c>
      <c r="K174" s="48">
        <f t="shared" si="18"/>
        <v>343.38</v>
      </c>
      <c r="L174" s="48">
        <f t="shared" si="19"/>
        <v>44.43</v>
      </c>
      <c r="M174" s="48">
        <f t="shared" si="20"/>
        <v>68676</v>
      </c>
      <c r="N174" s="48">
        <f t="shared" si="21"/>
        <v>8886</v>
      </c>
      <c r="O174" s="50">
        <f t="shared" si="22"/>
        <v>77562</v>
      </c>
      <c r="P174" s="50">
        <v>0</v>
      </c>
      <c r="Q174" s="76"/>
      <c r="R174" s="140">
        <f>IF((50*S10)&gt;200,200,(10*S9+50*S10))</f>
        <v>200</v>
      </c>
      <c r="S174" s="79">
        <v>280.38</v>
      </c>
      <c r="T174" s="80">
        <v>36.28</v>
      </c>
    </row>
    <row r="175" spans="2:20" ht="70">
      <c r="B175" s="5" t="s">
        <v>480</v>
      </c>
      <c r="C175" s="45" t="s">
        <v>135</v>
      </c>
      <c r="D175" s="45">
        <v>87265</v>
      </c>
      <c r="E175" s="6" t="s">
        <v>481</v>
      </c>
      <c r="F175" s="45" t="s">
        <v>121</v>
      </c>
      <c r="G175" s="46">
        <f t="shared" si="23"/>
        <v>200</v>
      </c>
      <c r="H175" s="46">
        <f>TRUNC(S175*(1-LOTE_01!$K$10),2)</f>
        <v>53.03</v>
      </c>
      <c r="I175" s="46">
        <f>TRUNC(T175*(1-LOTE_01!$K$10),2)</f>
        <v>17.29</v>
      </c>
      <c r="J175" s="100">
        <f t="shared" si="17"/>
        <v>0.22470000000000001</v>
      </c>
      <c r="K175" s="48">
        <f t="shared" si="18"/>
        <v>64.94</v>
      </c>
      <c r="L175" s="48">
        <f t="shared" si="19"/>
        <v>21.17</v>
      </c>
      <c r="M175" s="48">
        <f t="shared" si="20"/>
        <v>12988</v>
      </c>
      <c r="N175" s="48">
        <f t="shared" si="21"/>
        <v>4234</v>
      </c>
      <c r="O175" s="50">
        <f t="shared" si="22"/>
        <v>17222</v>
      </c>
      <c r="P175" s="50">
        <v>0</v>
      </c>
      <c r="Q175" s="76"/>
      <c r="R175" s="140">
        <f>IF((50*S10)&gt;200,200,(10*S9+50*S10))</f>
        <v>200</v>
      </c>
      <c r="S175" s="79">
        <v>53.029999999999994</v>
      </c>
      <c r="T175" s="80">
        <v>17.29</v>
      </c>
    </row>
    <row r="176" spans="2:20" ht="70">
      <c r="B176" s="5" t="s">
        <v>482</v>
      </c>
      <c r="C176" s="45" t="s">
        <v>135</v>
      </c>
      <c r="D176" s="45">
        <v>87251</v>
      </c>
      <c r="E176" s="6" t="s">
        <v>483</v>
      </c>
      <c r="F176" s="45" t="s">
        <v>121</v>
      </c>
      <c r="G176" s="46">
        <f t="shared" si="23"/>
        <v>100</v>
      </c>
      <c r="H176" s="46">
        <f>TRUNC(S176*(1-LOTE_01!$K$10),2)</f>
        <v>54.23</v>
      </c>
      <c r="I176" s="46">
        <f>TRUNC(T176*(1-LOTE_01!$K$10),2)</f>
        <v>8.11</v>
      </c>
      <c r="J176" s="100">
        <f t="shared" si="17"/>
        <v>0.22470000000000001</v>
      </c>
      <c r="K176" s="48">
        <f t="shared" si="18"/>
        <v>66.41</v>
      </c>
      <c r="L176" s="48">
        <f t="shared" si="19"/>
        <v>9.93</v>
      </c>
      <c r="M176" s="48">
        <f t="shared" si="20"/>
        <v>6641</v>
      </c>
      <c r="N176" s="48">
        <f t="shared" si="21"/>
        <v>993</v>
      </c>
      <c r="O176" s="50">
        <f t="shared" si="22"/>
        <v>7634</v>
      </c>
      <c r="P176" s="50">
        <v>0</v>
      </c>
      <c r="Q176" s="76"/>
      <c r="R176" s="140">
        <f>IF((30*S10)&gt;100,100,(10*S9+30*S10))</f>
        <v>100</v>
      </c>
      <c r="S176" s="79">
        <v>54.230000000000004</v>
      </c>
      <c r="T176" s="80">
        <v>8.11</v>
      </c>
    </row>
    <row r="177" spans="2:20" ht="42">
      <c r="B177" s="5" t="s">
        <v>1752</v>
      </c>
      <c r="C177" s="45" t="s">
        <v>165</v>
      </c>
      <c r="D177" s="45" t="s">
        <v>1753</v>
      </c>
      <c r="E177" s="6" t="s">
        <v>1754</v>
      </c>
      <c r="F177" s="45" t="s">
        <v>168</v>
      </c>
      <c r="G177" s="46">
        <f t="shared" si="23"/>
        <v>700</v>
      </c>
      <c r="H177" s="46">
        <f>TRUNC(S177*(1-LOTE_01!$K$10),2)</f>
        <v>128.02000000000001</v>
      </c>
      <c r="I177" s="46">
        <f>TRUNC(T177*(1-LOTE_01!$K$10),2)</f>
        <v>5.74</v>
      </c>
      <c r="J177" s="100">
        <f t="shared" si="17"/>
        <v>0.22470000000000001</v>
      </c>
      <c r="K177" s="48">
        <f t="shared" si="18"/>
        <v>156.78</v>
      </c>
      <c r="L177" s="48">
        <f t="shared" si="19"/>
        <v>7.02</v>
      </c>
      <c r="M177" s="48">
        <f t="shared" si="20"/>
        <v>109746</v>
      </c>
      <c r="N177" s="48">
        <f t="shared" si="21"/>
        <v>4914</v>
      </c>
      <c r="O177" s="50">
        <f t="shared" si="22"/>
        <v>114660</v>
      </c>
      <c r="P177" s="50"/>
      <c r="Q177" s="76"/>
      <c r="R177" s="148">
        <f>50*(S9+S10)</f>
        <v>700</v>
      </c>
      <c r="S177" s="46">
        <v>128.02000000000001</v>
      </c>
      <c r="T177" s="47">
        <v>5.74</v>
      </c>
    </row>
    <row r="178" spans="2:20" ht="42">
      <c r="B178" s="5" t="s">
        <v>1755</v>
      </c>
      <c r="C178" s="45" t="s">
        <v>97</v>
      </c>
      <c r="D178" s="45" t="s">
        <v>1756</v>
      </c>
      <c r="E178" s="6" t="s">
        <v>1757</v>
      </c>
      <c r="F178" s="45" t="s">
        <v>121</v>
      </c>
      <c r="G178" s="46">
        <f t="shared" si="23"/>
        <v>700</v>
      </c>
      <c r="H178" s="46">
        <f>TRUNC(S178*(1-LOTE_01!$K$10),2)</f>
        <v>63.33</v>
      </c>
      <c r="I178" s="46">
        <f>TRUNC(T178*(1-LOTE_01!$K$10),2)</f>
        <v>27.01</v>
      </c>
      <c r="J178" s="100">
        <f t="shared" si="17"/>
        <v>0.22470000000000001</v>
      </c>
      <c r="K178" s="48">
        <f t="shared" si="18"/>
        <v>77.56</v>
      </c>
      <c r="L178" s="48">
        <f t="shared" si="19"/>
        <v>33.07</v>
      </c>
      <c r="M178" s="48">
        <f t="shared" si="20"/>
        <v>54292</v>
      </c>
      <c r="N178" s="48">
        <f t="shared" si="21"/>
        <v>23149</v>
      </c>
      <c r="O178" s="50">
        <f t="shared" si="22"/>
        <v>77441</v>
      </c>
      <c r="P178" s="50"/>
      <c r="Q178" s="76"/>
      <c r="R178" s="140">
        <f>50*(S9+S10)</f>
        <v>700</v>
      </c>
      <c r="S178" s="46">
        <v>63.33</v>
      </c>
      <c r="T178" s="47">
        <v>27.01</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499632.60000000003</v>
      </c>
      <c r="Q179" s="76"/>
      <c r="R179" s="154"/>
      <c r="S179" s="79" t="s">
        <v>22</v>
      </c>
      <c r="T179" s="80" t="s">
        <v>22</v>
      </c>
    </row>
    <row r="180" spans="2:20" ht="70">
      <c r="B180" s="5" t="s">
        <v>484</v>
      </c>
      <c r="C180" s="45" t="s">
        <v>97</v>
      </c>
      <c r="D180" s="45" t="s">
        <v>485</v>
      </c>
      <c r="E180" s="6" t="s">
        <v>486</v>
      </c>
      <c r="F180" s="45" t="s">
        <v>121</v>
      </c>
      <c r="G180" s="46">
        <f t="shared" si="23"/>
        <v>700</v>
      </c>
      <c r="H180" s="46">
        <f>TRUNC(S180*(1-LOTE_01!$K$10),2)</f>
        <v>15.37</v>
      </c>
      <c r="I180" s="46">
        <f>TRUNC(T180*(1-LOTE_01!$K$10),2)</f>
        <v>14.07</v>
      </c>
      <c r="J180" s="100">
        <f t="shared" si="17"/>
        <v>0.22470000000000001</v>
      </c>
      <c r="K180" s="48">
        <f t="shared" si="18"/>
        <v>18.82</v>
      </c>
      <c r="L180" s="48">
        <f t="shared" si="19"/>
        <v>17.23</v>
      </c>
      <c r="M180" s="48">
        <f t="shared" si="20"/>
        <v>13174</v>
      </c>
      <c r="N180" s="48">
        <f t="shared" si="21"/>
        <v>12061</v>
      </c>
      <c r="O180" s="50">
        <f t="shared" si="22"/>
        <v>25235</v>
      </c>
      <c r="P180" s="50">
        <v>0</v>
      </c>
      <c r="Q180" s="76"/>
      <c r="R180" s="140">
        <f>50*S9+50*S10</f>
        <v>700</v>
      </c>
      <c r="S180" s="79">
        <v>15.37</v>
      </c>
      <c r="T180" s="80">
        <v>14.07</v>
      </c>
    </row>
    <row r="181" spans="2:20" ht="42">
      <c r="B181" s="5" t="s">
        <v>487</v>
      </c>
      <c r="C181" s="45" t="s">
        <v>165</v>
      </c>
      <c r="D181" s="45" t="s">
        <v>488</v>
      </c>
      <c r="E181" s="6" t="s">
        <v>489</v>
      </c>
      <c r="F181" s="45" t="s">
        <v>168</v>
      </c>
      <c r="G181" s="46">
        <f t="shared" si="23"/>
        <v>2560</v>
      </c>
      <c r="H181" s="46">
        <f>TRUNC(S181*(1-LOTE_01!$K$10),2)</f>
        <v>134.74</v>
      </c>
      <c r="I181" s="46">
        <f>TRUNC(T181*(1-LOTE_01!$K$10),2)</f>
        <v>0</v>
      </c>
      <c r="J181" s="100">
        <f t="shared" si="17"/>
        <v>0.22470000000000001</v>
      </c>
      <c r="K181" s="48">
        <f t="shared" si="18"/>
        <v>165.01</v>
      </c>
      <c r="L181" s="48">
        <f t="shared" si="19"/>
        <v>0</v>
      </c>
      <c r="M181" s="48">
        <f t="shared" si="20"/>
        <v>422425.59999999998</v>
      </c>
      <c r="N181" s="48">
        <f t="shared" si="21"/>
        <v>0</v>
      </c>
      <c r="O181" s="50">
        <f t="shared" si="22"/>
        <v>422425.59999999998</v>
      </c>
      <c r="P181" s="50">
        <v>0</v>
      </c>
      <c r="Q181" s="76"/>
      <c r="R181" s="140">
        <f>20*S9+400*S10</f>
        <v>2560</v>
      </c>
      <c r="S181" s="79">
        <v>134.74</v>
      </c>
      <c r="T181" s="80">
        <v>0</v>
      </c>
    </row>
    <row r="182" spans="2:20" ht="28">
      <c r="B182" s="5" t="s">
        <v>490</v>
      </c>
      <c r="C182" s="45" t="s">
        <v>135</v>
      </c>
      <c r="D182" s="45">
        <v>96113</v>
      </c>
      <c r="E182" s="6" t="s">
        <v>491</v>
      </c>
      <c r="F182" s="45" t="s">
        <v>121</v>
      </c>
      <c r="G182" s="46">
        <f t="shared" si="23"/>
        <v>140</v>
      </c>
      <c r="H182" s="46">
        <f>TRUNC(S182*(1-LOTE_01!$K$10),2)</f>
        <v>30.39</v>
      </c>
      <c r="I182" s="46">
        <f>TRUNC(T182*(1-LOTE_01!$K$10),2)</f>
        <v>22.42</v>
      </c>
      <c r="J182" s="100">
        <f t="shared" si="17"/>
        <v>0.22470000000000001</v>
      </c>
      <c r="K182" s="48">
        <f t="shared" si="18"/>
        <v>37.21</v>
      </c>
      <c r="L182" s="48">
        <f t="shared" si="19"/>
        <v>27.45</v>
      </c>
      <c r="M182" s="48">
        <f t="shared" si="20"/>
        <v>5209.3999999999996</v>
      </c>
      <c r="N182" s="48">
        <f t="shared" si="21"/>
        <v>3843</v>
      </c>
      <c r="O182" s="50">
        <f t="shared" si="22"/>
        <v>9052.4</v>
      </c>
      <c r="P182" s="50">
        <v>0</v>
      </c>
      <c r="Q182" s="76"/>
      <c r="R182" s="140">
        <f>IF((10*S10)&gt;100,100,(10*S9+10*S10))</f>
        <v>140</v>
      </c>
      <c r="S182" s="79">
        <v>30.39</v>
      </c>
      <c r="T182" s="80">
        <v>22.42</v>
      </c>
    </row>
    <row r="183" spans="2:20" ht="42">
      <c r="B183" s="5" t="s">
        <v>492</v>
      </c>
      <c r="C183" s="45" t="s">
        <v>135</v>
      </c>
      <c r="D183" s="45">
        <v>99054</v>
      </c>
      <c r="E183" s="6" t="s">
        <v>493</v>
      </c>
      <c r="F183" s="45" t="s">
        <v>121</v>
      </c>
      <c r="G183" s="46">
        <f t="shared" si="23"/>
        <v>100</v>
      </c>
      <c r="H183" s="46">
        <f>TRUNC(S183*(1-LOTE_01!$K$10),2)</f>
        <v>35.82</v>
      </c>
      <c r="I183" s="46">
        <f>TRUNC(T183*(1-LOTE_01!$K$10),2)</f>
        <v>31.57</v>
      </c>
      <c r="J183" s="100">
        <f t="shared" si="17"/>
        <v>0.22470000000000001</v>
      </c>
      <c r="K183" s="48">
        <f t="shared" si="18"/>
        <v>43.86</v>
      </c>
      <c r="L183" s="48">
        <f t="shared" si="19"/>
        <v>38.659999999999997</v>
      </c>
      <c r="M183" s="48">
        <f t="shared" si="20"/>
        <v>4386</v>
      </c>
      <c r="N183" s="48">
        <f t="shared" si="21"/>
        <v>3866</v>
      </c>
      <c r="O183" s="50">
        <f t="shared" si="22"/>
        <v>8252</v>
      </c>
      <c r="P183" s="50">
        <v>0</v>
      </c>
      <c r="Q183" s="76"/>
      <c r="R183" s="140">
        <f>IF((20*S10+20*S9)&gt;100,100,(20*S10+20*S9))</f>
        <v>100</v>
      </c>
      <c r="S183" s="79">
        <v>35.82</v>
      </c>
      <c r="T183" s="80">
        <v>31.57</v>
      </c>
    </row>
    <row r="184" spans="2:20" ht="28">
      <c r="B184" s="5" t="s">
        <v>494</v>
      </c>
      <c r="C184" s="45" t="s">
        <v>135</v>
      </c>
      <c r="D184" s="45">
        <v>96120</v>
      </c>
      <c r="E184" s="6" t="s">
        <v>495</v>
      </c>
      <c r="F184" s="45" t="s">
        <v>187</v>
      </c>
      <c r="G184" s="46">
        <f t="shared" si="23"/>
        <v>280</v>
      </c>
      <c r="H184" s="46">
        <f>TRUNC(S184*(1-LOTE_01!$K$10),2)</f>
        <v>2.13</v>
      </c>
      <c r="I184" s="46">
        <f>TRUNC(T184*(1-LOTE_01!$K$10),2)</f>
        <v>1.26</v>
      </c>
      <c r="J184" s="100">
        <f t="shared" si="17"/>
        <v>0.22470000000000001</v>
      </c>
      <c r="K184" s="48">
        <f t="shared" si="18"/>
        <v>2.6</v>
      </c>
      <c r="L184" s="48">
        <f t="shared" si="19"/>
        <v>1.54</v>
      </c>
      <c r="M184" s="48">
        <f t="shared" si="20"/>
        <v>728</v>
      </c>
      <c r="N184" s="48">
        <f t="shared" si="21"/>
        <v>431.2</v>
      </c>
      <c r="O184" s="50">
        <f t="shared" si="22"/>
        <v>1159.2</v>
      </c>
      <c r="P184" s="50">
        <v>0</v>
      </c>
      <c r="Q184" s="76"/>
      <c r="R184" s="140">
        <f>IF((20*S10+20*S9)&gt;500,500,(20*S10+20*S9))</f>
        <v>280</v>
      </c>
      <c r="S184" s="79">
        <v>2.13</v>
      </c>
      <c r="T184" s="80">
        <v>1.26</v>
      </c>
    </row>
    <row r="185" spans="2:20" ht="56">
      <c r="B185" s="5" t="s">
        <v>496</v>
      </c>
      <c r="C185" s="45" t="s">
        <v>135</v>
      </c>
      <c r="D185" s="45">
        <v>96486</v>
      </c>
      <c r="E185" s="6" t="s">
        <v>497</v>
      </c>
      <c r="F185" s="45" t="s">
        <v>121</v>
      </c>
      <c r="G185" s="46">
        <f t="shared" si="23"/>
        <v>100</v>
      </c>
      <c r="H185" s="46">
        <f>TRUNC(S185*(1-LOTE_01!$K$10),2)</f>
        <v>60.6</v>
      </c>
      <c r="I185" s="46">
        <f>TRUNC(T185*(1-LOTE_01!$K$10),2)</f>
        <v>12.78</v>
      </c>
      <c r="J185" s="100">
        <f t="shared" si="17"/>
        <v>0.22470000000000001</v>
      </c>
      <c r="K185" s="48">
        <f t="shared" si="18"/>
        <v>74.209999999999994</v>
      </c>
      <c r="L185" s="48">
        <f t="shared" si="19"/>
        <v>15.65</v>
      </c>
      <c r="M185" s="48">
        <f t="shared" si="20"/>
        <v>7421</v>
      </c>
      <c r="N185" s="48">
        <f t="shared" si="21"/>
        <v>1565</v>
      </c>
      <c r="O185" s="50">
        <f t="shared" si="22"/>
        <v>8986</v>
      </c>
      <c r="P185" s="50">
        <v>0</v>
      </c>
      <c r="Q185" s="76"/>
      <c r="R185" s="140">
        <f>IF((20*S10+20*S9)&gt;100,100,(20*S10+20*S9))</f>
        <v>100</v>
      </c>
      <c r="S185" s="79">
        <v>60.599999999999994</v>
      </c>
      <c r="T185" s="80">
        <v>12.78</v>
      </c>
    </row>
    <row r="186" spans="2:20" ht="42">
      <c r="B186" s="5" t="s">
        <v>498</v>
      </c>
      <c r="C186" s="45" t="s">
        <v>135</v>
      </c>
      <c r="D186" s="45">
        <v>96114</v>
      </c>
      <c r="E186" s="6" t="s">
        <v>499</v>
      </c>
      <c r="F186" s="45" t="s">
        <v>121</v>
      </c>
      <c r="G186" s="46">
        <f t="shared" si="23"/>
        <v>140</v>
      </c>
      <c r="H186" s="46">
        <f>TRUNC(S186*(1-LOTE_01!$K$10),2)</f>
        <v>64.61</v>
      </c>
      <c r="I186" s="46">
        <f>TRUNC(T186*(1-LOTE_01!$K$10),2)</f>
        <v>16.55</v>
      </c>
      <c r="J186" s="100">
        <f t="shared" si="17"/>
        <v>0.22470000000000001</v>
      </c>
      <c r="K186" s="48">
        <f t="shared" si="18"/>
        <v>79.12</v>
      </c>
      <c r="L186" s="48">
        <f t="shared" si="19"/>
        <v>20.260000000000002</v>
      </c>
      <c r="M186" s="48">
        <f t="shared" si="20"/>
        <v>11076.8</v>
      </c>
      <c r="N186" s="48">
        <f t="shared" si="21"/>
        <v>2836.4</v>
      </c>
      <c r="O186" s="50">
        <f t="shared" si="22"/>
        <v>13913.2</v>
      </c>
      <c r="P186" s="50">
        <v>0</v>
      </c>
      <c r="Q186" s="76"/>
      <c r="R186" s="140">
        <f>IF((10*S10)&gt;100,100,(10*S9+10*S10))</f>
        <v>140</v>
      </c>
      <c r="S186" s="79">
        <v>64.61</v>
      </c>
      <c r="T186" s="80">
        <v>16.55</v>
      </c>
    </row>
    <row r="187" spans="2:20" ht="42">
      <c r="B187" s="5" t="s">
        <v>500</v>
      </c>
      <c r="C187" s="45" t="s">
        <v>135</v>
      </c>
      <c r="D187" s="45">
        <v>96123</v>
      </c>
      <c r="E187" s="6" t="s">
        <v>501</v>
      </c>
      <c r="F187" s="45" t="s">
        <v>187</v>
      </c>
      <c r="G187" s="46">
        <f t="shared" si="23"/>
        <v>280</v>
      </c>
      <c r="H187" s="46">
        <f>TRUNC(S187*(1-LOTE_01!$K$10),2)</f>
        <v>23.44</v>
      </c>
      <c r="I187" s="46">
        <f>TRUNC(T187*(1-LOTE_01!$K$10),2)</f>
        <v>7.51</v>
      </c>
      <c r="J187" s="100">
        <f t="shared" si="17"/>
        <v>0.22470000000000001</v>
      </c>
      <c r="K187" s="48">
        <f t="shared" si="18"/>
        <v>28.7</v>
      </c>
      <c r="L187" s="48">
        <f t="shared" si="19"/>
        <v>9.19</v>
      </c>
      <c r="M187" s="48">
        <f t="shared" si="20"/>
        <v>8036</v>
      </c>
      <c r="N187" s="48">
        <f t="shared" si="21"/>
        <v>2573.1999999999998</v>
      </c>
      <c r="O187" s="50">
        <f t="shared" si="22"/>
        <v>10609.2</v>
      </c>
      <c r="P187" s="50">
        <v>0</v>
      </c>
      <c r="Q187" s="76"/>
      <c r="R187" s="140">
        <f>20*S10+20*S9</f>
        <v>280</v>
      </c>
      <c r="S187" s="79">
        <v>23.439999999999998</v>
      </c>
      <c r="T187" s="80">
        <v>7.51</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2199450.44</v>
      </c>
      <c r="Q188" s="76"/>
      <c r="R188" s="154"/>
      <c r="S188" s="79" t="s">
        <v>22</v>
      </c>
      <c r="T188" s="80" t="s">
        <v>22</v>
      </c>
    </row>
    <row r="189" spans="2:20" ht="84">
      <c r="B189" s="5" t="s">
        <v>502</v>
      </c>
      <c r="C189" s="45" t="s">
        <v>135</v>
      </c>
      <c r="D189" s="45">
        <v>87632</v>
      </c>
      <c r="E189" s="6" t="s">
        <v>503</v>
      </c>
      <c r="F189" s="45" t="s">
        <v>121</v>
      </c>
      <c r="G189" s="46">
        <f t="shared" si="23"/>
        <v>5600</v>
      </c>
      <c r="H189" s="46">
        <f>TRUNC(S189*(1-LOTE_01!$K$10),2)</f>
        <v>38.42</v>
      </c>
      <c r="I189" s="46">
        <f>TRUNC(T189*(1-LOTE_01!$K$10),2)</f>
        <v>14.6</v>
      </c>
      <c r="J189" s="100">
        <f t="shared" si="17"/>
        <v>0.22470000000000001</v>
      </c>
      <c r="K189" s="48">
        <f t="shared" si="18"/>
        <v>47.05</v>
      </c>
      <c r="L189" s="48">
        <f t="shared" si="19"/>
        <v>17.88</v>
      </c>
      <c r="M189" s="48">
        <f t="shared" si="20"/>
        <v>263480</v>
      </c>
      <c r="N189" s="48">
        <f t="shared" si="21"/>
        <v>100128</v>
      </c>
      <c r="O189" s="50">
        <f t="shared" si="22"/>
        <v>363608</v>
      </c>
      <c r="P189" s="50">
        <v>0</v>
      </c>
      <c r="Q189" s="76"/>
      <c r="R189" s="140">
        <f>400*S10+400*S9</f>
        <v>5600</v>
      </c>
      <c r="S189" s="79">
        <v>38.42</v>
      </c>
      <c r="T189" s="80">
        <v>14.6</v>
      </c>
    </row>
    <row r="190" spans="2:20" ht="56">
      <c r="B190" s="5" t="s">
        <v>504</v>
      </c>
      <c r="C190" s="45" t="s">
        <v>135</v>
      </c>
      <c r="D190" s="45">
        <v>101749</v>
      </c>
      <c r="E190" s="6" t="s">
        <v>1778</v>
      </c>
      <c r="F190" s="45" t="s">
        <v>121</v>
      </c>
      <c r="G190" s="46">
        <f t="shared" si="23"/>
        <v>1500</v>
      </c>
      <c r="H190" s="46">
        <f>TRUNC(S190*(1-LOTE_01!$K$10),2)</f>
        <v>42.97</v>
      </c>
      <c r="I190" s="46">
        <f>TRUNC(T190*(1-LOTE_01!$K$10),2)</f>
        <v>15.46</v>
      </c>
      <c r="J190" s="100">
        <f t="shared" si="17"/>
        <v>0.22470000000000001</v>
      </c>
      <c r="K190" s="48">
        <f t="shared" si="18"/>
        <v>52.62</v>
      </c>
      <c r="L190" s="48">
        <f t="shared" si="19"/>
        <v>18.93</v>
      </c>
      <c r="M190" s="48">
        <f t="shared" si="20"/>
        <v>78930</v>
      </c>
      <c r="N190" s="48">
        <f t="shared" si="21"/>
        <v>28395</v>
      </c>
      <c r="O190" s="50">
        <f t="shared" si="22"/>
        <v>107325</v>
      </c>
      <c r="P190" s="50">
        <v>0</v>
      </c>
      <c r="Q190" s="76"/>
      <c r="R190" s="140">
        <f>IF((50*S9+200*S10)&gt;1500,1500,(50*S9+200*S10))</f>
        <v>1500</v>
      </c>
      <c r="S190" s="79">
        <v>42.97</v>
      </c>
      <c r="T190" s="80">
        <v>15.46</v>
      </c>
    </row>
    <row r="191" spans="2:20" ht="126">
      <c r="B191" s="5" t="s">
        <v>505</v>
      </c>
      <c r="C191" s="45" t="s">
        <v>97</v>
      </c>
      <c r="D191" s="45" t="s">
        <v>506</v>
      </c>
      <c r="E191" s="6" t="s">
        <v>507</v>
      </c>
      <c r="F191" s="45" t="s">
        <v>121</v>
      </c>
      <c r="G191" s="46">
        <f t="shared" si="23"/>
        <v>3200</v>
      </c>
      <c r="H191" s="46">
        <f>TRUNC(S191*(1-LOTE_01!$K$10),2)</f>
        <v>245.59</v>
      </c>
      <c r="I191" s="46">
        <f>TRUNC(T191*(1-LOTE_01!$K$10),2)</f>
        <v>36.299999999999997</v>
      </c>
      <c r="J191" s="100">
        <f t="shared" si="17"/>
        <v>0.22470000000000001</v>
      </c>
      <c r="K191" s="48">
        <f t="shared" si="18"/>
        <v>300.77</v>
      </c>
      <c r="L191" s="48">
        <f t="shared" si="19"/>
        <v>44.45</v>
      </c>
      <c r="M191" s="48">
        <f t="shared" si="20"/>
        <v>962464</v>
      </c>
      <c r="N191" s="48">
        <f t="shared" si="21"/>
        <v>142240</v>
      </c>
      <c r="O191" s="50">
        <f t="shared" si="22"/>
        <v>1104704</v>
      </c>
      <c r="P191" s="50">
        <v>0</v>
      </c>
      <c r="Q191" s="76"/>
      <c r="R191" s="141">
        <f>400*S10+100*S9</f>
        <v>3200</v>
      </c>
      <c r="S191" s="79">
        <v>245.59</v>
      </c>
      <c r="T191" s="80">
        <v>36.299999999999997</v>
      </c>
    </row>
    <row r="192" spans="2:20" ht="140">
      <c r="B192" s="5" t="s">
        <v>508</v>
      </c>
      <c r="C192" s="45" t="s">
        <v>97</v>
      </c>
      <c r="D192" s="45" t="s">
        <v>509</v>
      </c>
      <c r="E192" s="6" t="s">
        <v>510</v>
      </c>
      <c r="F192" s="45" t="s">
        <v>121</v>
      </c>
      <c r="G192" s="46">
        <f t="shared" si="23"/>
        <v>1220</v>
      </c>
      <c r="H192" s="46">
        <f>TRUNC(S192*(1-LOTE_01!$K$10),2)</f>
        <v>310.99</v>
      </c>
      <c r="I192" s="46">
        <f>TRUNC(T192*(1-LOTE_01!$K$10),2)</f>
        <v>36.299999999999997</v>
      </c>
      <c r="J192" s="100">
        <f t="shared" si="17"/>
        <v>0.22470000000000001</v>
      </c>
      <c r="K192" s="48">
        <f t="shared" si="18"/>
        <v>380.86</v>
      </c>
      <c r="L192" s="48">
        <f t="shared" si="19"/>
        <v>44.45</v>
      </c>
      <c r="M192" s="48">
        <f t="shared" si="20"/>
        <v>464649.2</v>
      </c>
      <c r="N192" s="48">
        <f t="shared" si="21"/>
        <v>54229</v>
      </c>
      <c r="O192" s="50">
        <f t="shared" si="22"/>
        <v>518878.2</v>
      </c>
      <c r="P192" s="50">
        <v>0</v>
      </c>
      <c r="Q192" s="76"/>
      <c r="R192" s="141">
        <f>14*5*(S10)+100*S9</f>
        <v>1220</v>
      </c>
      <c r="S192" s="79">
        <v>310.99</v>
      </c>
      <c r="T192" s="80">
        <v>36.299999999999997</v>
      </c>
    </row>
    <row r="193" spans="2:20" ht="42">
      <c r="B193" s="5" t="s">
        <v>511</v>
      </c>
      <c r="C193" s="45" t="s">
        <v>135</v>
      </c>
      <c r="D193" s="45">
        <v>101736</v>
      </c>
      <c r="E193" s="6" t="s">
        <v>1779</v>
      </c>
      <c r="F193" s="45" t="s">
        <v>121</v>
      </c>
      <c r="G193" s="46">
        <f t="shared" si="23"/>
        <v>28</v>
      </c>
      <c r="H193" s="46">
        <f>TRUNC(S193*(1-LOTE_01!$K$10),2)</f>
        <v>100.79</v>
      </c>
      <c r="I193" s="46">
        <f>TRUNC(T193*(1-LOTE_01!$K$10),2)</f>
        <v>13.8</v>
      </c>
      <c r="J193" s="100">
        <f t="shared" si="17"/>
        <v>0.22470000000000001</v>
      </c>
      <c r="K193" s="48">
        <f t="shared" si="18"/>
        <v>123.43</v>
      </c>
      <c r="L193" s="48">
        <f t="shared" si="19"/>
        <v>16.899999999999999</v>
      </c>
      <c r="M193" s="48">
        <f t="shared" si="20"/>
        <v>3456.04</v>
      </c>
      <c r="N193" s="48">
        <f t="shared" si="21"/>
        <v>473.2</v>
      </c>
      <c r="O193" s="50">
        <f t="shared" si="22"/>
        <v>3929.24</v>
      </c>
      <c r="P193" s="50">
        <v>0</v>
      </c>
      <c r="Q193" s="76"/>
      <c r="R193" s="141">
        <f>IF(2*(S10+S9)&gt;50,500,2*(S9+S10))</f>
        <v>28</v>
      </c>
      <c r="S193" s="79">
        <v>100.79</v>
      </c>
      <c r="T193" s="80">
        <v>13.8</v>
      </c>
    </row>
    <row r="194" spans="2:20" ht="70">
      <c r="B194" s="5" t="s">
        <v>512</v>
      </c>
      <c r="C194" s="45" t="s">
        <v>135</v>
      </c>
      <c r="D194" s="45">
        <v>94995</v>
      </c>
      <c r="E194" s="6" t="s">
        <v>1780</v>
      </c>
      <c r="F194" s="45" t="s">
        <v>121</v>
      </c>
      <c r="G194" s="46">
        <f t="shared" si="23"/>
        <v>500</v>
      </c>
      <c r="H194" s="46">
        <f>TRUNC(S194*(1-LOTE_01!$K$10),2)</f>
        <v>122.64</v>
      </c>
      <c r="I194" s="46">
        <f>TRUNC(T194*(1-LOTE_01!$K$10),2)</f>
        <v>7.75</v>
      </c>
      <c r="J194" s="100">
        <f t="shared" si="17"/>
        <v>0.22470000000000001</v>
      </c>
      <c r="K194" s="48">
        <f t="shared" si="18"/>
        <v>150.19</v>
      </c>
      <c r="L194" s="48">
        <f t="shared" si="19"/>
        <v>9.49</v>
      </c>
      <c r="M194" s="48">
        <f t="shared" si="20"/>
        <v>75095</v>
      </c>
      <c r="N194" s="48">
        <f t="shared" si="21"/>
        <v>4745</v>
      </c>
      <c r="O194" s="50">
        <f t="shared" si="22"/>
        <v>79840</v>
      </c>
      <c r="P194" s="50">
        <v>0</v>
      </c>
      <c r="Q194" s="76"/>
      <c r="R194" s="141">
        <f>IF(50*(S10+S9)&gt;500,500,50*(S9+S10))</f>
        <v>500</v>
      </c>
      <c r="S194" s="79">
        <v>122.63999999999999</v>
      </c>
      <c r="T194" s="80">
        <v>7.75</v>
      </c>
    </row>
    <row r="195" spans="2:20" ht="28">
      <c r="B195" s="5" t="s">
        <v>513</v>
      </c>
      <c r="C195" s="45" t="s">
        <v>165</v>
      </c>
      <c r="D195" s="45" t="s">
        <v>514</v>
      </c>
      <c r="E195" s="6" t="s">
        <v>515</v>
      </c>
      <c r="F195" s="45" t="s">
        <v>168</v>
      </c>
      <c r="G195" s="46">
        <f t="shared" si="23"/>
        <v>1400</v>
      </c>
      <c r="H195" s="46">
        <f>TRUNC(S195*(1-LOTE_01!$K$10),2)</f>
        <v>5.82</v>
      </c>
      <c r="I195" s="46">
        <f>TRUNC(T195*(1-LOTE_01!$K$10),2)</f>
        <v>3.29</v>
      </c>
      <c r="J195" s="100">
        <f t="shared" si="17"/>
        <v>0.22470000000000001</v>
      </c>
      <c r="K195" s="48">
        <f t="shared" si="18"/>
        <v>7.12</v>
      </c>
      <c r="L195" s="48">
        <f t="shared" si="19"/>
        <v>4.0199999999999996</v>
      </c>
      <c r="M195" s="48">
        <f t="shared" si="20"/>
        <v>9968</v>
      </c>
      <c r="N195" s="48">
        <f t="shared" si="21"/>
        <v>5628</v>
      </c>
      <c r="O195" s="50">
        <f t="shared" si="22"/>
        <v>15596</v>
      </c>
      <c r="P195" s="50">
        <v>0</v>
      </c>
      <c r="Q195" s="76"/>
      <c r="R195" s="140">
        <f>100*(S9+S10)</f>
        <v>1400</v>
      </c>
      <c r="S195" s="79">
        <v>5.82</v>
      </c>
      <c r="T195" s="80">
        <v>3.29</v>
      </c>
    </row>
    <row r="196" spans="2:20">
      <c r="B196" s="5" t="s">
        <v>516</v>
      </c>
      <c r="C196" s="45" t="s">
        <v>97</v>
      </c>
      <c r="D196" s="45" t="s">
        <v>517</v>
      </c>
      <c r="E196" s="6" t="s">
        <v>518</v>
      </c>
      <c r="F196" s="45" t="s">
        <v>519</v>
      </c>
      <c r="G196" s="46">
        <f t="shared" si="23"/>
        <v>1000</v>
      </c>
      <c r="H196" s="46">
        <f>TRUNC(S196*(1-LOTE_01!$K$10),2)</f>
        <v>2.83</v>
      </c>
      <c r="I196" s="46">
        <f>TRUNC(T196*(1-LOTE_01!$K$10),2)</f>
        <v>1.73</v>
      </c>
      <c r="J196" s="100">
        <f t="shared" si="17"/>
        <v>0.22470000000000001</v>
      </c>
      <c r="K196" s="48">
        <f t="shared" si="18"/>
        <v>3.46</v>
      </c>
      <c r="L196" s="48">
        <f t="shared" si="19"/>
        <v>2.11</v>
      </c>
      <c r="M196" s="48">
        <f t="shared" si="20"/>
        <v>3460</v>
      </c>
      <c r="N196" s="48">
        <f t="shared" si="21"/>
        <v>2110</v>
      </c>
      <c r="O196" s="50">
        <f t="shared" si="22"/>
        <v>5570</v>
      </c>
      <c r="P196" s="50">
        <v>0</v>
      </c>
      <c r="Q196" s="76"/>
      <c r="R196" s="140">
        <f>IF((200*S9+200*S10)&gt;1000,1000,(200*S9+200*S10))</f>
        <v>1000</v>
      </c>
      <c r="S196" s="79">
        <v>2.83</v>
      </c>
      <c r="T196" s="80">
        <v>1.73</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181015.6</v>
      </c>
      <c r="Q197" s="76"/>
      <c r="R197" s="154"/>
      <c r="S197" s="79" t="s">
        <v>22</v>
      </c>
      <c r="T197" s="80" t="s">
        <v>22</v>
      </c>
    </row>
    <row r="198" spans="2:20" ht="42">
      <c r="B198" s="5" t="s">
        <v>520</v>
      </c>
      <c r="C198" s="45" t="s">
        <v>135</v>
      </c>
      <c r="D198" s="45">
        <v>88648</v>
      </c>
      <c r="E198" s="6" t="s">
        <v>521</v>
      </c>
      <c r="F198" s="45" t="s">
        <v>187</v>
      </c>
      <c r="G198" s="46">
        <f t="shared" si="23"/>
        <v>100</v>
      </c>
      <c r="H198" s="46">
        <f>TRUNC(S198*(1-LOTE_01!$K$10),2)</f>
        <v>6.94</v>
      </c>
      <c r="I198" s="46">
        <f>TRUNC(T198*(1-LOTE_01!$K$10),2)</f>
        <v>2.23</v>
      </c>
      <c r="J198" s="100">
        <f t="shared" si="17"/>
        <v>0.22470000000000001</v>
      </c>
      <c r="K198" s="48">
        <f t="shared" si="18"/>
        <v>8.49</v>
      </c>
      <c r="L198" s="48">
        <f t="shared" si="19"/>
        <v>2.73</v>
      </c>
      <c r="M198" s="48">
        <f t="shared" si="20"/>
        <v>849</v>
      </c>
      <c r="N198" s="48">
        <f t="shared" si="21"/>
        <v>273</v>
      </c>
      <c r="O198" s="50">
        <f t="shared" si="22"/>
        <v>1122</v>
      </c>
      <c r="P198" s="50">
        <v>0</v>
      </c>
      <c r="Q198" s="76"/>
      <c r="R198" s="140">
        <f>IF((20*S10)&gt;100,100,(10*S9+10*S10))</f>
        <v>100</v>
      </c>
      <c r="S198" s="79">
        <v>6.9399999999999995</v>
      </c>
      <c r="T198" s="80">
        <v>2.23</v>
      </c>
    </row>
    <row r="199" spans="2:20" ht="42">
      <c r="B199" s="5" t="s">
        <v>522</v>
      </c>
      <c r="C199" s="45" t="s">
        <v>135</v>
      </c>
      <c r="D199" s="45">
        <v>88650</v>
      </c>
      <c r="E199" s="6" t="s">
        <v>523</v>
      </c>
      <c r="F199" s="45" t="s">
        <v>187</v>
      </c>
      <c r="G199" s="46">
        <f t="shared" si="23"/>
        <v>910</v>
      </c>
      <c r="H199" s="46">
        <f>TRUNC(S199*(1-LOTE_01!$K$10),2)</f>
        <v>11.05</v>
      </c>
      <c r="I199" s="46">
        <f>TRUNC(T199*(1-LOTE_01!$K$10),2)</f>
        <v>2.6</v>
      </c>
      <c r="J199" s="100">
        <f t="shared" si="17"/>
        <v>0.22470000000000001</v>
      </c>
      <c r="K199" s="48">
        <f t="shared" si="18"/>
        <v>13.53</v>
      </c>
      <c r="L199" s="48">
        <f t="shared" si="19"/>
        <v>3.18</v>
      </c>
      <c r="M199" s="48">
        <f t="shared" si="20"/>
        <v>12312.3</v>
      </c>
      <c r="N199" s="48">
        <f t="shared" si="21"/>
        <v>2893.8</v>
      </c>
      <c r="O199" s="50">
        <f t="shared" si="22"/>
        <v>15206.1</v>
      </c>
      <c r="P199" s="50">
        <v>0</v>
      </c>
      <c r="Q199" s="76"/>
      <c r="R199" s="141">
        <f>85*S10+50*S9</f>
        <v>910</v>
      </c>
      <c r="S199" s="79">
        <v>11.05</v>
      </c>
      <c r="T199" s="80">
        <v>2.6</v>
      </c>
    </row>
    <row r="200" spans="2:20" ht="126">
      <c r="B200" s="5" t="s">
        <v>524</v>
      </c>
      <c r="C200" s="45" t="s">
        <v>97</v>
      </c>
      <c r="D200" s="45" t="s">
        <v>525</v>
      </c>
      <c r="E200" s="6" t="s">
        <v>526</v>
      </c>
      <c r="F200" s="45" t="s">
        <v>187</v>
      </c>
      <c r="G200" s="46">
        <f t="shared" si="23"/>
        <v>2800</v>
      </c>
      <c r="H200" s="46">
        <f>TRUNC(S200*(1-LOTE_01!$K$10),2)</f>
        <v>34.25</v>
      </c>
      <c r="I200" s="46">
        <f>TRUNC(T200*(1-LOTE_01!$K$10),2)</f>
        <v>2.85</v>
      </c>
      <c r="J200" s="100">
        <f t="shared" si="17"/>
        <v>0.22470000000000001</v>
      </c>
      <c r="K200" s="48">
        <f t="shared" si="18"/>
        <v>41.94</v>
      </c>
      <c r="L200" s="48">
        <f t="shared" si="19"/>
        <v>3.49</v>
      </c>
      <c r="M200" s="48">
        <f t="shared" si="20"/>
        <v>117432</v>
      </c>
      <c r="N200" s="48">
        <f t="shared" si="21"/>
        <v>9772</v>
      </c>
      <c r="O200" s="50">
        <f t="shared" si="22"/>
        <v>127204</v>
      </c>
      <c r="P200" s="50">
        <v>0</v>
      </c>
      <c r="Q200" s="76"/>
      <c r="R200" s="140">
        <f>200*(S10+S9)</f>
        <v>2800</v>
      </c>
      <c r="S200" s="79">
        <v>34.25</v>
      </c>
      <c r="T200" s="80">
        <v>2.85</v>
      </c>
    </row>
    <row r="201" spans="2:20" ht="42">
      <c r="B201" s="5" t="s">
        <v>527</v>
      </c>
      <c r="C201" s="45" t="s">
        <v>135</v>
      </c>
      <c r="D201" s="45">
        <v>101738</v>
      </c>
      <c r="E201" s="6" t="s">
        <v>1781</v>
      </c>
      <c r="F201" s="45" t="s">
        <v>187</v>
      </c>
      <c r="G201" s="46">
        <f t="shared" si="23"/>
        <v>50</v>
      </c>
      <c r="H201" s="46">
        <f>TRUNC(S201*(1-LOTE_01!$K$10),2)</f>
        <v>34.44</v>
      </c>
      <c r="I201" s="46">
        <f>TRUNC(T201*(1-LOTE_01!$K$10),2)</f>
        <v>9.69</v>
      </c>
      <c r="J201" s="100">
        <f t="shared" si="17"/>
        <v>0.22470000000000001</v>
      </c>
      <c r="K201" s="48">
        <f t="shared" si="18"/>
        <v>42.17</v>
      </c>
      <c r="L201" s="48">
        <f t="shared" si="19"/>
        <v>11.86</v>
      </c>
      <c r="M201" s="48">
        <f t="shared" si="20"/>
        <v>2108.5</v>
      </c>
      <c r="N201" s="48">
        <f t="shared" si="21"/>
        <v>593</v>
      </c>
      <c r="O201" s="50">
        <f t="shared" si="22"/>
        <v>2701.5</v>
      </c>
      <c r="P201" s="50">
        <v>0</v>
      </c>
      <c r="Q201" s="76"/>
      <c r="R201" s="140">
        <f>IF((S9*5+20*S10)&gt;50,50,(5*S9+10*S10))</f>
        <v>50</v>
      </c>
      <c r="S201" s="79">
        <v>34.440000000000005</v>
      </c>
      <c r="T201" s="80">
        <v>9.69</v>
      </c>
    </row>
    <row r="202" spans="2:20" ht="28">
      <c r="B202" s="5" t="s">
        <v>528</v>
      </c>
      <c r="C202" s="45" t="s">
        <v>165</v>
      </c>
      <c r="D202" s="45" t="s">
        <v>529</v>
      </c>
      <c r="E202" s="6" t="s">
        <v>530</v>
      </c>
      <c r="F202" s="45" t="s">
        <v>531</v>
      </c>
      <c r="G202" s="46">
        <f t="shared" si="23"/>
        <v>50</v>
      </c>
      <c r="H202" s="46">
        <f>TRUNC(S202*(1-LOTE_01!$K$10),2)</f>
        <v>30.12</v>
      </c>
      <c r="I202" s="46">
        <f>TRUNC(T202*(1-LOTE_01!$K$10),2)</f>
        <v>1.28</v>
      </c>
      <c r="J202" s="100">
        <f t="shared" si="17"/>
        <v>0.22470000000000001</v>
      </c>
      <c r="K202" s="48">
        <f t="shared" si="18"/>
        <v>36.880000000000003</v>
      </c>
      <c r="L202" s="48">
        <f t="shared" si="19"/>
        <v>1.56</v>
      </c>
      <c r="M202" s="48">
        <f t="shared" si="20"/>
        <v>1844</v>
      </c>
      <c r="N202" s="48">
        <f t="shared" si="21"/>
        <v>78</v>
      </c>
      <c r="O202" s="50">
        <f t="shared" si="22"/>
        <v>1922</v>
      </c>
      <c r="P202" s="50">
        <v>0</v>
      </c>
      <c r="Q202" s="76"/>
      <c r="R202" s="140">
        <f>IF((S9*5+20*S10)&gt;50,50,(5*S9+10*S10))</f>
        <v>50</v>
      </c>
      <c r="S202" s="79">
        <v>30.12</v>
      </c>
      <c r="T202" s="80">
        <v>1.28</v>
      </c>
    </row>
    <row r="203" spans="2:20" ht="28">
      <c r="B203" s="5" t="s">
        <v>532</v>
      </c>
      <c r="C203" s="45" t="s">
        <v>135</v>
      </c>
      <c r="D203" s="45">
        <v>98685</v>
      </c>
      <c r="E203" s="6" t="s">
        <v>1782</v>
      </c>
      <c r="F203" s="45" t="s">
        <v>187</v>
      </c>
      <c r="G203" s="46">
        <f t="shared" si="23"/>
        <v>50</v>
      </c>
      <c r="H203" s="46">
        <f>TRUNC(S203*(1-LOTE_01!$K$10),2)</f>
        <v>94.64</v>
      </c>
      <c r="I203" s="46">
        <f>TRUNC(T203*(1-LOTE_01!$K$10),2)</f>
        <v>9.25</v>
      </c>
      <c r="J203" s="100">
        <f t="shared" si="17"/>
        <v>0.22470000000000001</v>
      </c>
      <c r="K203" s="48">
        <f t="shared" si="18"/>
        <v>115.9</v>
      </c>
      <c r="L203" s="48">
        <f t="shared" si="19"/>
        <v>11.32</v>
      </c>
      <c r="M203" s="48">
        <f t="shared" si="20"/>
        <v>5795</v>
      </c>
      <c r="N203" s="48">
        <f t="shared" si="21"/>
        <v>566</v>
      </c>
      <c r="O203" s="50">
        <f t="shared" si="22"/>
        <v>6361</v>
      </c>
      <c r="P203" s="50">
        <v>0</v>
      </c>
      <c r="Q203" s="76"/>
      <c r="R203" s="140">
        <f>IF((S9*5+20*S10)&gt;50,50,(5*S9+10*S10))</f>
        <v>50</v>
      </c>
      <c r="S203" s="79">
        <v>94.64</v>
      </c>
      <c r="T203" s="80">
        <v>9.25</v>
      </c>
    </row>
    <row r="204" spans="2:20" ht="28">
      <c r="B204" s="5" t="s">
        <v>533</v>
      </c>
      <c r="C204" s="45" t="s">
        <v>135</v>
      </c>
      <c r="D204" s="45">
        <v>98689</v>
      </c>
      <c r="E204" s="6" t="s">
        <v>1783</v>
      </c>
      <c r="F204" s="45" t="s">
        <v>187</v>
      </c>
      <c r="G204" s="46">
        <f t="shared" si="23"/>
        <v>50</v>
      </c>
      <c r="H204" s="46">
        <f>TRUNC(S204*(1-LOTE_01!$K$10),2)</f>
        <v>138.05000000000001</v>
      </c>
      <c r="I204" s="46">
        <f>TRUNC(T204*(1-LOTE_01!$K$10),2)</f>
        <v>17.920000000000002</v>
      </c>
      <c r="J204" s="100">
        <f t="shared" si="17"/>
        <v>0.22470000000000001</v>
      </c>
      <c r="K204" s="48">
        <f t="shared" si="18"/>
        <v>169.06</v>
      </c>
      <c r="L204" s="48">
        <f t="shared" si="19"/>
        <v>21.94</v>
      </c>
      <c r="M204" s="48">
        <f t="shared" si="20"/>
        <v>8453</v>
      </c>
      <c r="N204" s="48">
        <f t="shared" si="21"/>
        <v>1097</v>
      </c>
      <c r="O204" s="50">
        <f t="shared" si="22"/>
        <v>9550</v>
      </c>
      <c r="P204" s="50">
        <v>0</v>
      </c>
      <c r="Q204" s="76"/>
      <c r="R204" s="140">
        <f>IF((S9*5+20*S10)&gt;50,50,(5*S9+10*S10))</f>
        <v>50</v>
      </c>
      <c r="S204" s="79">
        <v>138.05000000000001</v>
      </c>
      <c r="T204" s="80">
        <v>17.920000000000002</v>
      </c>
    </row>
    <row r="205" spans="2:20" ht="28">
      <c r="B205" s="5" t="s">
        <v>534</v>
      </c>
      <c r="C205" s="45" t="s">
        <v>135</v>
      </c>
      <c r="D205" s="45">
        <v>98695</v>
      </c>
      <c r="E205" s="6" t="s">
        <v>1784</v>
      </c>
      <c r="F205" s="45" t="s">
        <v>187</v>
      </c>
      <c r="G205" s="46">
        <f t="shared" si="23"/>
        <v>50</v>
      </c>
      <c r="H205" s="46">
        <f>TRUNC(S205*(1-LOTE_01!$K$10),2)</f>
        <v>132.36000000000001</v>
      </c>
      <c r="I205" s="46">
        <f>TRUNC(T205*(1-LOTE_01!$K$10),2)</f>
        <v>18.010000000000002</v>
      </c>
      <c r="J205" s="100">
        <f t="shared" si="17"/>
        <v>0.22470000000000001</v>
      </c>
      <c r="K205" s="48">
        <f t="shared" si="18"/>
        <v>162.1</v>
      </c>
      <c r="L205" s="48">
        <f t="shared" si="19"/>
        <v>22.05</v>
      </c>
      <c r="M205" s="48">
        <f t="shared" si="20"/>
        <v>8105</v>
      </c>
      <c r="N205" s="48">
        <f t="shared" si="21"/>
        <v>1102.5</v>
      </c>
      <c r="O205" s="50">
        <f t="shared" si="22"/>
        <v>9207.5</v>
      </c>
      <c r="P205" s="50">
        <v>0</v>
      </c>
      <c r="Q205" s="76"/>
      <c r="R205" s="140">
        <f>IF((S9*5+20*S10)&gt;50,50,(5*S9+10*S10))</f>
        <v>50</v>
      </c>
      <c r="S205" s="79">
        <v>132.36000000000001</v>
      </c>
      <c r="T205" s="80">
        <v>18.010000000000002</v>
      </c>
    </row>
    <row r="206" spans="2:20" ht="28">
      <c r="B206" s="5" t="s">
        <v>535</v>
      </c>
      <c r="C206" s="45" t="s">
        <v>165</v>
      </c>
      <c r="D206" s="45" t="s">
        <v>536</v>
      </c>
      <c r="E206" s="6" t="s">
        <v>537</v>
      </c>
      <c r="F206" s="45" t="s">
        <v>531</v>
      </c>
      <c r="G206" s="46">
        <f t="shared" si="23"/>
        <v>50</v>
      </c>
      <c r="H206" s="46">
        <f>TRUNC(S206*(1-LOTE_01!$K$10),2)</f>
        <v>124.82</v>
      </c>
      <c r="I206" s="46">
        <f>TRUNC(T206*(1-LOTE_01!$K$10),2)</f>
        <v>1.61</v>
      </c>
      <c r="J206" s="100">
        <f t="shared" si="17"/>
        <v>0.22470000000000001</v>
      </c>
      <c r="K206" s="48">
        <f t="shared" si="18"/>
        <v>152.86000000000001</v>
      </c>
      <c r="L206" s="48">
        <f t="shared" si="19"/>
        <v>1.97</v>
      </c>
      <c r="M206" s="48">
        <f t="shared" si="20"/>
        <v>7643</v>
      </c>
      <c r="N206" s="48">
        <f t="shared" si="21"/>
        <v>98.5</v>
      </c>
      <c r="O206" s="50">
        <f t="shared" si="22"/>
        <v>7741.5</v>
      </c>
      <c r="P206" s="50">
        <v>0</v>
      </c>
      <c r="Q206" s="76"/>
      <c r="R206" s="140">
        <f>IF((S9*5+20*S10)&gt;50,50,(5*S9+10*S10))</f>
        <v>50</v>
      </c>
      <c r="S206" s="79">
        <v>124.82</v>
      </c>
      <c r="T206" s="80">
        <v>1.61</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1462245.84</v>
      </c>
      <c r="Q207" s="76"/>
      <c r="R207" s="154"/>
      <c r="S207" s="79" t="s">
        <v>22</v>
      </c>
      <c r="T207" s="80" t="s">
        <v>22</v>
      </c>
    </row>
    <row r="208" spans="2:20" ht="42">
      <c r="B208" s="5" t="s">
        <v>538</v>
      </c>
      <c r="C208" s="45" t="s">
        <v>97</v>
      </c>
      <c r="D208" s="45" t="s">
        <v>539</v>
      </c>
      <c r="E208" s="6" t="s">
        <v>540</v>
      </c>
      <c r="F208" s="45" t="s">
        <v>104</v>
      </c>
      <c r="G208" s="46">
        <f t="shared" si="23"/>
        <v>20</v>
      </c>
      <c r="H208" s="46">
        <f>TRUNC(S208*(1-LOTE_01!$K$10),2)</f>
        <v>40.78</v>
      </c>
      <c r="I208" s="46">
        <f>TRUNC(T208*(1-LOTE_01!$K$10),2)</f>
        <v>67.540000000000006</v>
      </c>
      <c r="J208" s="100">
        <f t="shared" si="17"/>
        <v>0.22470000000000001</v>
      </c>
      <c r="K208" s="48">
        <f t="shared" ref="K208:K271" si="24">TRUNC(H208*(1+J208),2)</f>
        <v>49.94</v>
      </c>
      <c r="L208" s="48">
        <f t="shared" ref="L208:L271" si="25">TRUNC(I208*(1+J208),2)</f>
        <v>82.71</v>
      </c>
      <c r="M208" s="48">
        <f t="shared" ref="M208:M271" si="26">TRUNC(K208*G208,2)</f>
        <v>998.8</v>
      </c>
      <c r="N208" s="48">
        <f t="shared" ref="N208:N271" si="27">TRUNC(L208*G208,2)</f>
        <v>1654.2</v>
      </c>
      <c r="O208" s="50">
        <f t="shared" ref="O208:O271" si="28">TRUNC(M208+N208,2)</f>
        <v>2653</v>
      </c>
      <c r="P208" s="50">
        <v>0</v>
      </c>
      <c r="Q208" s="76"/>
      <c r="R208" s="140">
        <f>IF((2*S9+2*S10)&gt;20,20,(2*S9+2*S10))</f>
        <v>20</v>
      </c>
      <c r="S208" s="79">
        <v>40.78</v>
      </c>
      <c r="T208" s="80">
        <v>67.540000000000006</v>
      </c>
    </row>
    <row r="209" spans="2:20" ht="28">
      <c r="B209" s="5" t="s">
        <v>541</v>
      </c>
      <c r="C209" s="45" t="s">
        <v>97</v>
      </c>
      <c r="D209" s="45" t="s">
        <v>542</v>
      </c>
      <c r="E209" s="6" t="s">
        <v>543</v>
      </c>
      <c r="F209" s="45" t="s">
        <v>104</v>
      </c>
      <c r="G209" s="46">
        <f t="shared" si="23"/>
        <v>10</v>
      </c>
      <c r="H209" s="46">
        <f>TRUNC(S209*(1-LOTE_01!$K$10),2)</f>
        <v>0</v>
      </c>
      <c r="I209" s="46">
        <f>TRUNC(T209*(1-LOTE_01!$K$10),2)</f>
        <v>111.3</v>
      </c>
      <c r="J209" s="100">
        <f t="shared" si="17"/>
        <v>0.22470000000000001</v>
      </c>
      <c r="K209" s="48">
        <f t="shared" si="24"/>
        <v>0</v>
      </c>
      <c r="L209" s="48">
        <f t="shared" si="25"/>
        <v>136.30000000000001</v>
      </c>
      <c r="M209" s="48">
        <f t="shared" si="26"/>
        <v>0</v>
      </c>
      <c r="N209" s="48">
        <f t="shared" si="27"/>
        <v>1363</v>
      </c>
      <c r="O209" s="50">
        <f t="shared" si="28"/>
        <v>1363</v>
      </c>
      <c r="P209" s="50">
        <v>0</v>
      </c>
      <c r="Q209" s="76"/>
      <c r="R209" s="140">
        <f>IF((1*S9+1*S10)&gt;10,10,(1*S9+1*S10))</f>
        <v>10</v>
      </c>
      <c r="S209" s="79">
        <v>0</v>
      </c>
      <c r="T209" s="80">
        <v>111.3</v>
      </c>
    </row>
    <row r="210" spans="2:20" ht="42">
      <c r="B210" s="5" t="s">
        <v>544</v>
      </c>
      <c r="C210" s="45" t="s">
        <v>135</v>
      </c>
      <c r="D210" s="45">
        <v>102182</v>
      </c>
      <c r="E210" s="6" t="s">
        <v>1785</v>
      </c>
      <c r="F210" s="45" t="s">
        <v>210</v>
      </c>
      <c r="G210" s="46">
        <f t="shared" ref="G210:G273" si="29">TRUNC(R210,2)</f>
        <v>20</v>
      </c>
      <c r="H210" s="46">
        <f>TRUNC(S210*(1-LOTE_01!$K$10),2)</f>
        <v>1620.36</v>
      </c>
      <c r="I210" s="46">
        <f>TRUNC(T210*(1-LOTE_01!$K$10),2)</f>
        <v>69.09</v>
      </c>
      <c r="J210" s="100">
        <f t="shared" ref="J210:J273" si="30">$J$4</f>
        <v>0.22470000000000001</v>
      </c>
      <c r="K210" s="48">
        <f t="shared" si="24"/>
        <v>1984.45</v>
      </c>
      <c r="L210" s="48">
        <f t="shared" si="25"/>
        <v>84.61</v>
      </c>
      <c r="M210" s="48">
        <f t="shared" si="26"/>
        <v>39689</v>
      </c>
      <c r="N210" s="48">
        <f t="shared" si="27"/>
        <v>1692.2</v>
      </c>
      <c r="O210" s="50">
        <f t="shared" si="28"/>
        <v>41381.199999999997</v>
      </c>
      <c r="P210" s="50">
        <v>0</v>
      </c>
      <c r="Q210" s="76"/>
      <c r="R210" s="140">
        <f>IF((2*S9+2*S10)&gt;20,20,(2*S9+2*S10))</f>
        <v>20</v>
      </c>
      <c r="S210" s="79">
        <v>1620.3600000000001</v>
      </c>
      <c r="T210" s="80">
        <v>69.09</v>
      </c>
    </row>
    <row r="211" spans="2:20" ht="56">
      <c r="B211" s="5" t="s">
        <v>545</v>
      </c>
      <c r="C211" s="45" t="s">
        <v>135</v>
      </c>
      <c r="D211" s="45">
        <v>102183</v>
      </c>
      <c r="E211" s="6" t="s">
        <v>1786</v>
      </c>
      <c r="F211" s="45" t="s">
        <v>210</v>
      </c>
      <c r="G211" s="46">
        <f t="shared" si="29"/>
        <v>10</v>
      </c>
      <c r="H211" s="46">
        <f>TRUNC(S211*(1-LOTE_01!$K$10),2)</f>
        <v>3084.49</v>
      </c>
      <c r="I211" s="46">
        <f>TRUNC(T211*(1-LOTE_01!$K$10),2)</f>
        <v>140.27000000000001</v>
      </c>
      <c r="J211" s="100">
        <f t="shared" si="30"/>
        <v>0.22470000000000001</v>
      </c>
      <c r="K211" s="48">
        <f t="shared" si="24"/>
        <v>3777.57</v>
      </c>
      <c r="L211" s="48">
        <f t="shared" si="25"/>
        <v>171.78</v>
      </c>
      <c r="M211" s="48">
        <f t="shared" si="26"/>
        <v>37775.699999999997</v>
      </c>
      <c r="N211" s="48">
        <f t="shared" si="27"/>
        <v>1717.8</v>
      </c>
      <c r="O211" s="50">
        <f t="shared" si="28"/>
        <v>39493.5</v>
      </c>
      <c r="P211" s="50">
        <v>0</v>
      </c>
      <c r="Q211" s="76"/>
      <c r="R211" s="140">
        <f>IF((1*S9+1*S10)&gt;10,10,(1*S9+1*S10))</f>
        <v>10</v>
      </c>
      <c r="S211" s="79">
        <v>3084.4900000000002</v>
      </c>
      <c r="T211" s="80">
        <v>140.27000000000001</v>
      </c>
    </row>
    <row r="212" spans="2:20" ht="56">
      <c r="B212" s="5" t="s">
        <v>546</v>
      </c>
      <c r="C212" s="45" t="s">
        <v>135</v>
      </c>
      <c r="D212" s="45">
        <v>102184</v>
      </c>
      <c r="E212" s="6" t="s">
        <v>1787</v>
      </c>
      <c r="F212" s="45" t="s">
        <v>210</v>
      </c>
      <c r="G212" s="46">
        <f t="shared" si="29"/>
        <v>10</v>
      </c>
      <c r="H212" s="46">
        <f>TRUNC(S212*(1-LOTE_01!$K$10),2)</f>
        <v>2551.44</v>
      </c>
      <c r="I212" s="46">
        <f>TRUNC(T212*(1-LOTE_01!$K$10),2)</f>
        <v>111.3</v>
      </c>
      <c r="J212" s="100">
        <f t="shared" si="30"/>
        <v>0.22470000000000001</v>
      </c>
      <c r="K212" s="48">
        <f t="shared" si="24"/>
        <v>3124.74</v>
      </c>
      <c r="L212" s="48">
        <f t="shared" si="25"/>
        <v>136.30000000000001</v>
      </c>
      <c r="M212" s="48">
        <f t="shared" si="26"/>
        <v>31247.4</v>
      </c>
      <c r="N212" s="48">
        <f t="shared" si="27"/>
        <v>1363</v>
      </c>
      <c r="O212" s="50">
        <f t="shared" si="28"/>
        <v>32610.400000000001</v>
      </c>
      <c r="P212" s="50">
        <v>0</v>
      </c>
      <c r="Q212" s="76"/>
      <c r="R212" s="140">
        <f>IF((1*S9+1*S10)&gt;10,10,(1*S9+1*S10))</f>
        <v>10</v>
      </c>
      <c r="S212" s="79">
        <v>2551.4399999999996</v>
      </c>
      <c r="T212" s="80">
        <v>111.3</v>
      </c>
    </row>
    <row r="213" spans="2:20" ht="56">
      <c r="B213" s="5" t="s">
        <v>547</v>
      </c>
      <c r="C213" s="45" t="s">
        <v>135</v>
      </c>
      <c r="D213" s="45">
        <v>102185</v>
      </c>
      <c r="E213" s="6" t="s">
        <v>1788</v>
      </c>
      <c r="F213" s="45" t="s">
        <v>210</v>
      </c>
      <c r="G213" s="46">
        <f t="shared" si="29"/>
        <v>10</v>
      </c>
      <c r="H213" s="46">
        <f>TRUNC(S213*(1-LOTE_01!$K$10),2)</f>
        <v>5107.87</v>
      </c>
      <c r="I213" s="46">
        <f>TRUNC(T213*(1-LOTE_01!$K$10),2)</f>
        <v>231.18</v>
      </c>
      <c r="J213" s="100">
        <f t="shared" si="30"/>
        <v>0.22470000000000001</v>
      </c>
      <c r="K213" s="48">
        <f t="shared" si="24"/>
        <v>6255.6</v>
      </c>
      <c r="L213" s="48">
        <f t="shared" si="25"/>
        <v>283.12</v>
      </c>
      <c r="M213" s="48">
        <f t="shared" si="26"/>
        <v>62556</v>
      </c>
      <c r="N213" s="48">
        <f t="shared" si="27"/>
        <v>2831.2</v>
      </c>
      <c r="O213" s="50">
        <f t="shared" si="28"/>
        <v>65387.199999999997</v>
      </c>
      <c r="P213" s="50">
        <v>0</v>
      </c>
      <c r="Q213" s="76"/>
      <c r="R213" s="140">
        <f>IF((1*S9+1*S10)&gt;10,10,(1*S9+1*S10))</f>
        <v>10</v>
      </c>
      <c r="S213" s="79">
        <v>5107.87</v>
      </c>
      <c r="T213" s="80">
        <v>231.18</v>
      </c>
    </row>
    <row r="214" spans="2:20" ht="28">
      <c r="B214" s="5" t="s">
        <v>548</v>
      </c>
      <c r="C214" s="45" t="s">
        <v>97</v>
      </c>
      <c r="D214" s="45" t="s">
        <v>549</v>
      </c>
      <c r="E214" s="6" t="s">
        <v>550</v>
      </c>
      <c r="F214" s="45" t="s">
        <v>104</v>
      </c>
      <c r="G214" s="46">
        <f t="shared" si="29"/>
        <v>28</v>
      </c>
      <c r="H214" s="46">
        <f>TRUNC(S214*(1-LOTE_01!$K$10),2)</f>
        <v>24.39</v>
      </c>
      <c r="I214" s="46">
        <f>TRUNC(T214*(1-LOTE_01!$K$10),2)</f>
        <v>45.29</v>
      </c>
      <c r="J214" s="100">
        <f t="shared" si="30"/>
        <v>0.22470000000000001</v>
      </c>
      <c r="K214" s="48">
        <f t="shared" si="24"/>
        <v>29.87</v>
      </c>
      <c r="L214" s="48">
        <f t="shared" si="25"/>
        <v>55.46</v>
      </c>
      <c r="M214" s="48">
        <f t="shared" si="26"/>
        <v>836.36</v>
      </c>
      <c r="N214" s="48">
        <f t="shared" si="27"/>
        <v>1552.88</v>
      </c>
      <c r="O214" s="50">
        <f t="shared" si="28"/>
        <v>2389.2399999999998</v>
      </c>
      <c r="P214" s="50">
        <v>0</v>
      </c>
      <c r="Q214" s="76"/>
      <c r="R214" s="140">
        <f>IF((2*S9+2*S10)&gt;50,50,(2*S9+2*S10))</f>
        <v>28</v>
      </c>
      <c r="S214" s="79">
        <v>24.39</v>
      </c>
      <c r="T214" s="80">
        <v>45.29</v>
      </c>
    </row>
    <row r="215" spans="2:20" ht="70">
      <c r="B215" s="5" t="s">
        <v>551</v>
      </c>
      <c r="C215" s="45" t="s">
        <v>135</v>
      </c>
      <c r="D215" s="45">
        <v>100695</v>
      </c>
      <c r="E215" s="6" t="s">
        <v>1789</v>
      </c>
      <c r="F215" s="45" t="s">
        <v>210</v>
      </c>
      <c r="G215" s="46">
        <f t="shared" si="29"/>
        <v>28</v>
      </c>
      <c r="H215" s="46">
        <f>TRUNC(S215*(1-LOTE_01!$K$10),2)</f>
        <v>33.479999999999997</v>
      </c>
      <c r="I215" s="46">
        <f>TRUNC(T215*(1-LOTE_01!$K$10),2)</f>
        <v>55.99</v>
      </c>
      <c r="J215" s="100">
        <f t="shared" si="30"/>
        <v>0.22470000000000001</v>
      </c>
      <c r="K215" s="48">
        <f t="shared" si="24"/>
        <v>41</v>
      </c>
      <c r="L215" s="48">
        <f t="shared" si="25"/>
        <v>68.569999999999993</v>
      </c>
      <c r="M215" s="48">
        <f t="shared" si="26"/>
        <v>1148</v>
      </c>
      <c r="N215" s="48">
        <f t="shared" si="27"/>
        <v>1919.96</v>
      </c>
      <c r="O215" s="50">
        <f t="shared" si="28"/>
        <v>3067.96</v>
      </c>
      <c r="P215" s="50">
        <v>0</v>
      </c>
      <c r="Q215" s="76"/>
      <c r="R215" s="140">
        <f>IF((2*S9+2*S10)&gt;50,50,(2*S9+2*S10))</f>
        <v>28</v>
      </c>
      <c r="S215" s="79">
        <v>33.479999999999997</v>
      </c>
      <c r="T215" s="80">
        <v>55.99</v>
      </c>
    </row>
    <row r="216" spans="2:20" ht="70">
      <c r="B216" s="5" t="s">
        <v>552</v>
      </c>
      <c r="C216" s="45" t="s">
        <v>135</v>
      </c>
      <c r="D216" s="45">
        <v>100697</v>
      </c>
      <c r="E216" s="6" t="s">
        <v>1790</v>
      </c>
      <c r="F216" s="45" t="s">
        <v>210</v>
      </c>
      <c r="G216" s="46">
        <f t="shared" si="29"/>
        <v>28</v>
      </c>
      <c r="H216" s="46">
        <f>TRUNC(S216*(1-LOTE_01!$K$10),2)</f>
        <v>40.65</v>
      </c>
      <c r="I216" s="46">
        <f>TRUNC(T216*(1-LOTE_01!$K$10),2)</f>
        <v>68.63</v>
      </c>
      <c r="J216" s="100">
        <f t="shared" si="30"/>
        <v>0.22470000000000001</v>
      </c>
      <c r="K216" s="48">
        <f t="shared" si="24"/>
        <v>49.78</v>
      </c>
      <c r="L216" s="48">
        <f t="shared" si="25"/>
        <v>84.05</v>
      </c>
      <c r="M216" s="48">
        <f t="shared" si="26"/>
        <v>1393.84</v>
      </c>
      <c r="N216" s="48">
        <f t="shared" si="27"/>
        <v>2353.4</v>
      </c>
      <c r="O216" s="50">
        <f t="shared" si="28"/>
        <v>3747.24</v>
      </c>
      <c r="P216" s="50">
        <v>0</v>
      </c>
      <c r="Q216" s="76"/>
      <c r="R216" s="140">
        <f>IF((2*S9+2*S10)&gt;50,50,(2*S9+2*S10))</f>
        <v>28</v>
      </c>
      <c r="S216" s="79">
        <v>40.650000000000006</v>
      </c>
      <c r="T216" s="80">
        <v>68.63</v>
      </c>
    </row>
    <row r="217" spans="2:20" ht="70">
      <c r="B217" s="5" t="s">
        <v>553</v>
      </c>
      <c r="C217" s="45" t="s">
        <v>135</v>
      </c>
      <c r="D217" s="45">
        <v>90820</v>
      </c>
      <c r="E217" s="6" t="s">
        <v>1791</v>
      </c>
      <c r="F217" s="45" t="s">
        <v>210</v>
      </c>
      <c r="G217" s="46">
        <f t="shared" si="29"/>
        <v>14</v>
      </c>
      <c r="H217" s="46">
        <f>TRUNC(S217*(1-LOTE_01!$K$10),2)</f>
        <v>334.81</v>
      </c>
      <c r="I217" s="46">
        <f>TRUNC(T217*(1-LOTE_01!$K$10),2)</f>
        <v>36</v>
      </c>
      <c r="J217" s="100">
        <f t="shared" si="30"/>
        <v>0.22470000000000001</v>
      </c>
      <c r="K217" s="48">
        <f t="shared" si="24"/>
        <v>410.04</v>
      </c>
      <c r="L217" s="48">
        <f t="shared" si="25"/>
        <v>44.08</v>
      </c>
      <c r="M217" s="48">
        <f t="shared" si="26"/>
        <v>5740.56</v>
      </c>
      <c r="N217" s="48">
        <f t="shared" si="27"/>
        <v>617.12</v>
      </c>
      <c r="O217" s="50">
        <f t="shared" si="28"/>
        <v>6357.68</v>
      </c>
      <c r="P217" s="50">
        <v>0</v>
      </c>
      <c r="Q217" s="76"/>
      <c r="R217" s="140">
        <f>IF((1*S9+1*S10)&gt;50,50,(1*S9+1*S10))</f>
        <v>14</v>
      </c>
      <c r="S217" s="79">
        <v>334.81</v>
      </c>
      <c r="T217" s="80">
        <v>36</v>
      </c>
    </row>
    <row r="218" spans="2:20" ht="70">
      <c r="B218" s="5" t="s">
        <v>554</v>
      </c>
      <c r="C218" s="45" t="s">
        <v>135</v>
      </c>
      <c r="D218" s="45">
        <v>90822</v>
      </c>
      <c r="E218" s="6" t="s">
        <v>1792</v>
      </c>
      <c r="F218" s="45" t="s">
        <v>210</v>
      </c>
      <c r="G218" s="46">
        <f t="shared" si="29"/>
        <v>28</v>
      </c>
      <c r="H218" s="46">
        <f>TRUNC(S218*(1-LOTE_01!$K$10),2)</f>
        <v>364.57</v>
      </c>
      <c r="I218" s="46">
        <f>TRUNC(T218*(1-LOTE_01!$K$10),2)</f>
        <v>43.63</v>
      </c>
      <c r="J218" s="100">
        <f t="shared" si="30"/>
        <v>0.22470000000000001</v>
      </c>
      <c r="K218" s="48">
        <f t="shared" si="24"/>
        <v>446.48</v>
      </c>
      <c r="L218" s="48">
        <f t="shared" si="25"/>
        <v>53.43</v>
      </c>
      <c r="M218" s="48">
        <f t="shared" si="26"/>
        <v>12501.44</v>
      </c>
      <c r="N218" s="48">
        <f t="shared" si="27"/>
        <v>1496.04</v>
      </c>
      <c r="O218" s="50">
        <f t="shared" si="28"/>
        <v>13997.48</v>
      </c>
      <c r="P218" s="50">
        <v>0</v>
      </c>
      <c r="Q218" s="76"/>
      <c r="R218" s="140">
        <f>IF((2*S9+2*S10)&gt;50,50,(2*S9+2*S10))</f>
        <v>28</v>
      </c>
      <c r="S218" s="79">
        <v>364.57</v>
      </c>
      <c r="T218" s="80">
        <v>43.63</v>
      </c>
    </row>
    <row r="219" spans="2:20" ht="70">
      <c r="B219" s="5" t="s">
        <v>555</v>
      </c>
      <c r="C219" s="45" t="s">
        <v>135</v>
      </c>
      <c r="D219" s="45">
        <v>90823</v>
      </c>
      <c r="E219" s="6" t="s">
        <v>1793</v>
      </c>
      <c r="F219" s="45" t="s">
        <v>210</v>
      </c>
      <c r="G219" s="46">
        <f t="shared" si="29"/>
        <v>28</v>
      </c>
      <c r="H219" s="46">
        <f>TRUNC(S219*(1-LOTE_01!$K$10),2)</f>
        <v>450.18</v>
      </c>
      <c r="I219" s="46">
        <f>TRUNC(T219*(1-LOTE_01!$K$10),2)</f>
        <v>47.09</v>
      </c>
      <c r="J219" s="100">
        <f t="shared" si="30"/>
        <v>0.22470000000000001</v>
      </c>
      <c r="K219" s="48">
        <f t="shared" si="24"/>
        <v>551.33000000000004</v>
      </c>
      <c r="L219" s="48">
        <f t="shared" si="25"/>
        <v>57.67</v>
      </c>
      <c r="M219" s="48">
        <f t="shared" si="26"/>
        <v>15437.24</v>
      </c>
      <c r="N219" s="48">
        <f t="shared" si="27"/>
        <v>1614.76</v>
      </c>
      <c r="O219" s="50">
        <f t="shared" si="28"/>
        <v>17052</v>
      </c>
      <c r="P219" s="50">
        <v>0</v>
      </c>
      <c r="Q219" s="76"/>
      <c r="R219" s="140">
        <f>IF((2*S9+2*S10)&gt;50,50,(2*S9+2*S10))</f>
        <v>28</v>
      </c>
      <c r="S219" s="79">
        <v>450.17999999999995</v>
      </c>
      <c r="T219" s="80">
        <v>47.09</v>
      </c>
    </row>
    <row r="220" spans="2:20" ht="28">
      <c r="B220" s="5" t="s">
        <v>556</v>
      </c>
      <c r="C220" s="45" t="s">
        <v>165</v>
      </c>
      <c r="D220" s="45" t="s">
        <v>557</v>
      </c>
      <c r="E220" s="6" t="s">
        <v>558</v>
      </c>
      <c r="F220" s="45" t="s">
        <v>559</v>
      </c>
      <c r="G220" s="46">
        <f t="shared" si="29"/>
        <v>28</v>
      </c>
      <c r="H220" s="46">
        <f>TRUNC(S220*(1-LOTE_01!$K$10),2)</f>
        <v>892.01</v>
      </c>
      <c r="I220" s="46">
        <f>TRUNC(T220*(1-LOTE_01!$K$10),2)</f>
        <v>163.52000000000001</v>
      </c>
      <c r="J220" s="100">
        <f t="shared" si="30"/>
        <v>0.22470000000000001</v>
      </c>
      <c r="K220" s="48">
        <f t="shared" si="24"/>
        <v>1092.44</v>
      </c>
      <c r="L220" s="48">
        <f t="shared" si="25"/>
        <v>200.26</v>
      </c>
      <c r="M220" s="48">
        <f t="shared" si="26"/>
        <v>30588.32</v>
      </c>
      <c r="N220" s="48">
        <f t="shared" si="27"/>
        <v>5607.28</v>
      </c>
      <c r="O220" s="50">
        <f t="shared" si="28"/>
        <v>36195.599999999999</v>
      </c>
      <c r="P220" s="50">
        <v>0</v>
      </c>
      <c r="Q220" s="76"/>
      <c r="R220" s="140">
        <f>IF((2*S9+2*S10)&gt;50,50,(2*S9+2*S10))</f>
        <v>28</v>
      </c>
      <c r="S220" s="79">
        <v>892.01</v>
      </c>
      <c r="T220" s="80">
        <v>163.52000000000001</v>
      </c>
    </row>
    <row r="221" spans="2:20" ht="28">
      <c r="B221" s="5" t="s">
        <v>560</v>
      </c>
      <c r="C221" s="45" t="s">
        <v>165</v>
      </c>
      <c r="D221" s="45" t="s">
        <v>561</v>
      </c>
      <c r="E221" s="6" t="s">
        <v>562</v>
      </c>
      <c r="F221" s="45" t="s">
        <v>559</v>
      </c>
      <c r="G221" s="46">
        <f t="shared" si="29"/>
        <v>14</v>
      </c>
      <c r="H221" s="46">
        <f>TRUNC(S221*(1-LOTE_01!$K$10),2)</f>
        <v>1795.08</v>
      </c>
      <c r="I221" s="46">
        <f>TRUNC(T221*(1-LOTE_01!$K$10),2)</f>
        <v>163.52000000000001</v>
      </c>
      <c r="J221" s="100">
        <f t="shared" si="30"/>
        <v>0.22470000000000001</v>
      </c>
      <c r="K221" s="48">
        <f t="shared" si="24"/>
        <v>2198.4299999999998</v>
      </c>
      <c r="L221" s="48">
        <f t="shared" si="25"/>
        <v>200.26</v>
      </c>
      <c r="M221" s="48">
        <f t="shared" si="26"/>
        <v>30778.02</v>
      </c>
      <c r="N221" s="48">
        <f t="shared" si="27"/>
        <v>2803.64</v>
      </c>
      <c r="O221" s="50">
        <f t="shared" si="28"/>
        <v>33581.660000000003</v>
      </c>
      <c r="P221" s="50">
        <v>0</v>
      </c>
      <c r="Q221" s="76"/>
      <c r="R221" s="140">
        <f>IF((1*S9+1*S10)&gt;20,20,(1*S9+1*S10))</f>
        <v>14</v>
      </c>
      <c r="S221" s="79">
        <v>1795.08</v>
      </c>
      <c r="T221" s="80">
        <v>163.52000000000001</v>
      </c>
    </row>
    <row r="222" spans="2:20" ht="98">
      <c r="B222" s="5" t="s">
        <v>563</v>
      </c>
      <c r="C222" s="45" t="s">
        <v>135</v>
      </c>
      <c r="D222" s="45">
        <v>90793</v>
      </c>
      <c r="E222" s="6" t="s">
        <v>1794</v>
      </c>
      <c r="F222" s="45" t="s">
        <v>210</v>
      </c>
      <c r="G222" s="46">
        <f t="shared" si="29"/>
        <v>20</v>
      </c>
      <c r="H222" s="46">
        <f>TRUNC(S222*(1-LOTE_01!$K$10),2)</f>
        <v>1150.8</v>
      </c>
      <c r="I222" s="46">
        <f>TRUNC(T222*(1-LOTE_01!$K$10),2)</f>
        <v>25.4</v>
      </c>
      <c r="J222" s="100">
        <f t="shared" si="30"/>
        <v>0.22470000000000001</v>
      </c>
      <c r="K222" s="48">
        <f t="shared" si="24"/>
        <v>1409.38</v>
      </c>
      <c r="L222" s="48">
        <f t="shared" si="25"/>
        <v>31.1</v>
      </c>
      <c r="M222" s="48">
        <f t="shared" si="26"/>
        <v>28187.599999999999</v>
      </c>
      <c r="N222" s="48">
        <f t="shared" si="27"/>
        <v>622</v>
      </c>
      <c r="O222" s="50">
        <f t="shared" si="28"/>
        <v>28809.599999999999</v>
      </c>
      <c r="P222" s="50">
        <v>0</v>
      </c>
      <c r="Q222" s="76"/>
      <c r="R222" s="140">
        <f>IF((2*S9+2*S10)&gt;20,20,(2*S9+2*S10))</f>
        <v>20</v>
      </c>
      <c r="S222" s="79">
        <v>1150.8</v>
      </c>
      <c r="T222" s="80">
        <v>25.4</v>
      </c>
    </row>
    <row r="223" spans="2:20" ht="56">
      <c r="B223" s="5" t="s">
        <v>564</v>
      </c>
      <c r="C223" s="45" t="s">
        <v>97</v>
      </c>
      <c r="D223" s="45" t="s">
        <v>565</v>
      </c>
      <c r="E223" s="6" t="s">
        <v>566</v>
      </c>
      <c r="F223" s="45" t="s">
        <v>104</v>
      </c>
      <c r="G223" s="46">
        <f t="shared" si="29"/>
        <v>70</v>
      </c>
      <c r="H223" s="46">
        <f>TRUNC(S223*(1-LOTE_01!$K$10),2)</f>
        <v>1705.56</v>
      </c>
      <c r="I223" s="46">
        <f>TRUNC(T223*(1-LOTE_01!$K$10),2)</f>
        <v>50.6</v>
      </c>
      <c r="J223" s="100">
        <f t="shared" si="30"/>
        <v>0.22470000000000001</v>
      </c>
      <c r="K223" s="48">
        <f t="shared" si="24"/>
        <v>2088.79</v>
      </c>
      <c r="L223" s="48">
        <f t="shared" si="25"/>
        <v>61.96</v>
      </c>
      <c r="M223" s="48">
        <f t="shared" si="26"/>
        <v>146215.29999999999</v>
      </c>
      <c r="N223" s="48">
        <f t="shared" si="27"/>
        <v>4337.2</v>
      </c>
      <c r="O223" s="50">
        <f t="shared" si="28"/>
        <v>150552.5</v>
      </c>
      <c r="P223" s="50">
        <v>0</v>
      </c>
      <c r="Q223" s="76"/>
      <c r="R223" s="140">
        <f>5*(S9+S10)</f>
        <v>70</v>
      </c>
      <c r="S223" s="79">
        <v>1705.56</v>
      </c>
      <c r="T223" s="80">
        <v>50.6</v>
      </c>
    </row>
    <row r="224" spans="2:20" ht="28">
      <c r="B224" s="5" t="s">
        <v>567</v>
      </c>
      <c r="C224" s="45" t="s">
        <v>97</v>
      </c>
      <c r="D224" s="45" t="s">
        <v>568</v>
      </c>
      <c r="E224" s="6" t="s">
        <v>569</v>
      </c>
      <c r="F224" s="45" t="s">
        <v>104</v>
      </c>
      <c r="G224" s="46">
        <f t="shared" si="29"/>
        <v>28</v>
      </c>
      <c r="H224" s="46">
        <f>TRUNC(S224*(1-LOTE_01!$K$10),2)</f>
        <v>293.04000000000002</v>
      </c>
      <c r="I224" s="46">
        <f>TRUNC(T224*(1-LOTE_01!$K$10),2)</f>
        <v>14.74</v>
      </c>
      <c r="J224" s="100">
        <f t="shared" si="30"/>
        <v>0.22470000000000001</v>
      </c>
      <c r="K224" s="48">
        <f t="shared" si="24"/>
        <v>358.88</v>
      </c>
      <c r="L224" s="48">
        <f t="shared" si="25"/>
        <v>18.05</v>
      </c>
      <c r="M224" s="48">
        <f t="shared" si="26"/>
        <v>10048.64</v>
      </c>
      <c r="N224" s="48">
        <f t="shared" si="27"/>
        <v>505.4</v>
      </c>
      <c r="O224" s="50">
        <f t="shared" si="28"/>
        <v>10554.04</v>
      </c>
      <c r="P224" s="50">
        <v>0</v>
      </c>
      <c r="Q224" s="76"/>
      <c r="R224" s="140">
        <f>IF((2*S9+2*S10)&gt;50,50,(2*S9+2*S10))</f>
        <v>28</v>
      </c>
      <c r="S224" s="79">
        <v>293.04000000000002</v>
      </c>
      <c r="T224" s="80">
        <v>14.74</v>
      </c>
    </row>
    <row r="225" spans="2:20" ht="42">
      <c r="B225" s="5" t="s">
        <v>570</v>
      </c>
      <c r="C225" s="45" t="s">
        <v>135</v>
      </c>
      <c r="D225" s="45">
        <v>100701</v>
      </c>
      <c r="E225" s="6" t="s">
        <v>1795</v>
      </c>
      <c r="F225" s="45" t="s">
        <v>121</v>
      </c>
      <c r="G225" s="46">
        <f t="shared" si="29"/>
        <v>82</v>
      </c>
      <c r="H225" s="46">
        <f>TRUNC(S225*(1-LOTE_01!$K$10),2)</f>
        <v>678.89</v>
      </c>
      <c r="I225" s="46">
        <f>TRUNC(T225*(1-LOTE_01!$K$10),2)</f>
        <v>14.2</v>
      </c>
      <c r="J225" s="100">
        <f t="shared" si="30"/>
        <v>0.22470000000000001</v>
      </c>
      <c r="K225" s="48">
        <f t="shared" si="24"/>
        <v>831.43</v>
      </c>
      <c r="L225" s="48">
        <f t="shared" si="25"/>
        <v>17.39</v>
      </c>
      <c r="M225" s="48">
        <f t="shared" si="26"/>
        <v>68177.259999999995</v>
      </c>
      <c r="N225" s="48">
        <f t="shared" si="27"/>
        <v>1425.98</v>
      </c>
      <c r="O225" s="50">
        <f t="shared" si="28"/>
        <v>69603.240000000005</v>
      </c>
      <c r="P225" s="50">
        <v>0</v>
      </c>
      <c r="Q225" s="76"/>
      <c r="R225" s="140">
        <f>IF((5*S9+7*S10)&gt;100,100,(5*S9+7*S10))</f>
        <v>82</v>
      </c>
      <c r="S225" s="79">
        <v>678.89</v>
      </c>
      <c r="T225" s="80">
        <v>14.2</v>
      </c>
    </row>
    <row r="226" spans="2:20" ht="42">
      <c r="B226" s="5" t="s">
        <v>571</v>
      </c>
      <c r="C226" s="45" t="s">
        <v>135</v>
      </c>
      <c r="D226" s="45">
        <v>90838</v>
      </c>
      <c r="E226" s="6" t="s">
        <v>1796</v>
      </c>
      <c r="F226" s="45" t="s">
        <v>210</v>
      </c>
      <c r="G226" s="46">
        <f t="shared" si="29"/>
        <v>10</v>
      </c>
      <c r="H226" s="46">
        <f>TRUNC(S226*(1-LOTE_01!$K$10),2)</f>
        <v>1600.43</v>
      </c>
      <c r="I226" s="46">
        <f>TRUNC(T226*(1-LOTE_01!$K$10),2)</f>
        <v>98.35</v>
      </c>
      <c r="J226" s="100">
        <f t="shared" si="30"/>
        <v>0.22470000000000001</v>
      </c>
      <c r="K226" s="48">
        <f t="shared" si="24"/>
        <v>1960.04</v>
      </c>
      <c r="L226" s="48">
        <f t="shared" si="25"/>
        <v>120.44</v>
      </c>
      <c r="M226" s="48">
        <f t="shared" si="26"/>
        <v>19600.400000000001</v>
      </c>
      <c r="N226" s="48">
        <f t="shared" si="27"/>
        <v>1204.4000000000001</v>
      </c>
      <c r="O226" s="50">
        <f t="shared" si="28"/>
        <v>20804.8</v>
      </c>
      <c r="P226" s="50">
        <v>0</v>
      </c>
      <c r="Q226" s="76"/>
      <c r="R226" s="140">
        <f>IF((1*S9+1*S10)&gt;10,10,(1*S9+1*S10))</f>
        <v>10</v>
      </c>
      <c r="S226" s="79">
        <v>1600.43</v>
      </c>
      <c r="T226" s="80">
        <v>98.35</v>
      </c>
    </row>
    <row r="227" spans="2:20" ht="56">
      <c r="B227" s="5" t="s">
        <v>572</v>
      </c>
      <c r="C227" s="45" t="s">
        <v>135</v>
      </c>
      <c r="D227" s="45">
        <v>91341</v>
      </c>
      <c r="E227" s="6" t="s">
        <v>1797</v>
      </c>
      <c r="F227" s="45" t="s">
        <v>121</v>
      </c>
      <c r="G227" s="46">
        <f t="shared" si="29"/>
        <v>20</v>
      </c>
      <c r="H227" s="46">
        <f>TRUNC(S227*(1-LOTE_01!$K$10),2)</f>
        <v>690.25</v>
      </c>
      <c r="I227" s="46">
        <f>TRUNC(T227*(1-LOTE_01!$K$10),2)</f>
        <v>10.86</v>
      </c>
      <c r="J227" s="100">
        <f t="shared" si="30"/>
        <v>0.22470000000000001</v>
      </c>
      <c r="K227" s="48">
        <f t="shared" si="24"/>
        <v>845.34</v>
      </c>
      <c r="L227" s="48">
        <f t="shared" si="25"/>
        <v>13.3</v>
      </c>
      <c r="M227" s="48">
        <f t="shared" si="26"/>
        <v>16906.8</v>
      </c>
      <c r="N227" s="48">
        <f t="shared" si="27"/>
        <v>266</v>
      </c>
      <c r="O227" s="50">
        <f t="shared" si="28"/>
        <v>17172.8</v>
      </c>
      <c r="P227" s="50">
        <v>0</v>
      </c>
      <c r="Q227" s="76"/>
      <c r="R227" s="140">
        <f>IF((1*S9+2*S10)&gt;20,20,(1*S9+2*S10))</f>
        <v>20</v>
      </c>
      <c r="S227" s="79">
        <v>690.25</v>
      </c>
      <c r="T227" s="80">
        <v>10.86</v>
      </c>
    </row>
    <row r="228" spans="2:20" ht="56">
      <c r="B228" s="5" t="s">
        <v>573</v>
      </c>
      <c r="C228" s="45" t="s">
        <v>135</v>
      </c>
      <c r="D228" s="45">
        <v>100702</v>
      </c>
      <c r="E228" s="6" t="s">
        <v>1798</v>
      </c>
      <c r="F228" s="45" t="s">
        <v>121</v>
      </c>
      <c r="G228" s="46">
        <f t="shared" si="29"/>
        <v>50</v>
      </c>
      <c r="H228" s="46">
        <f>TRUNC(S228*(1-LOTE_01!$K$10),2)</f>
        <v>495.82</v>
      </c>
      <c r="I228" s="46">
        <f>TRUNC(T228*(1-LOTE_01!$K$10),2)</f>
        <v>8.06</v>
      </c>
      <c r="J228" s="100">
        <f t="shared" si="30"/>
        <v>0.22470000000000001</v>
      </c>
      <c r="K228" s="48">
        <f t="shared" si="24"/>
        <v>607.23</v>
      </c>
      <c r="L228" s="48">
        <f t="shared" si="25"/>
        <v>9.8699999999999992</v>
      </c>
      <c r="M228" s="48">
        <f t="shared" si="26"/>
        <v>30361.5</v>
      </c>
      <c r="N228" s="48">
        <f t="shared" si="27"/>
        <v>493.5</v>
      </c>
      <c r="O228" s="50">
        <f t="shared" si="28"/>
        <v>30855</v>
      </c>
      <c r="P228" s="50">
        <v>0</v>
      </c>
      <c r="Q228" s="76"/>
      <c r="R228" s="140">
        <f>IF((10*S9+10*S10)&gt;50,50,(10*S9+10*S10))</f>
        <v>50</v>
      </c>
      <c r="S228" s="79">
        <v>495.82</v>
      </c>
      <c r="T228" s="80">
        <v>8.06</v>
      </c>
    </row>
    <row r="229" spans="2:20" ht="112">
      <c r="B229" s="5" t="s">
        <v>574</v>
      </c>
      <c r="C229" s="45" t="s">
        <v>135</v>
      </c>
      <c r="D229" s="45">
        <v>94569</v>
      </c>
      <c r="E229" s="6" t="s">
        <v>575</v>
      </c>
      <c r="F229" s="45" t="s">
        <v>121</v>
      </c>
      <c r="G229" s="46">
        <f t="shared" si="29"/>
        <v>50</v>
      </c>
      <c r="H229" s="46">
        <f>TRUNC(S229*(1-LOTE_01!$K$10),2)</f>
        <v>631.75</v>
      </c>
      <c r="I229" s="46">
        <f>TRUNC(T229*(1-LOTE_01!$K$10),2)</f>
        <v>28.38</v>
      </c>
      <c r="J229" s="100">
        <f t="shared" si="30"/>
        <v>0.22470000000000001</v>
      </c>
      <c r="K229" s="48">
        <f t="shared" si="24"/>
        <v>773.7</v>
      </c>
      <c r="L229" s="48">
        <f t="shared" si="25"/>
        <v>34.75</v>
      </c>
      <c r="M229" s="48">
        <f t="shared" si="26"/>
        <v>38685</v>
      </c>
      <c r="N229" s="48">
        <f t="shared" si="27"/>
        <v>1737.5</v>
      </c>
      <c r="O229" s="50">
        <f t="shared" si="28"/>
        <v>40422.5</v>
      </c>
      <c r="P229" s="50">
        <v>0</v>
      </c>
      <c r="Q229" s="76"/>
      <c r="R229" s="140">
        <f>IF((5*S9+5*S10)&gt;50,50,(5*S9+5*S10))</f>
        <v>50</v>
      </c>
      <c r="S229" s="79">
        <v>631.75</v>
      </c>
      <c r="T229" s="80">
        <v>28.38</v>
      </c>
    </row>
    <row r="230" spans="2:20" ht="140">
      <c r="B230" s="5" t="s">
        <v>576</v>
      </c>
      <c r="C230" s="45" t="s">
        <v>135</v>
      </c>
      <c r="D230" s="45">
        <v>94570</v>
      </c>
      <c r="E230" s="6" t="s">
        <v>577</v>
      </c>
      <c r="F230" s="45" t="s">
        <v>121</v>
      </c>
      <c r="G230" s="46">
        <f t="shared" si="29"/>
        <v>50</v>
      </c>
      <c r="H230" s="46">
        <f>TRUNC(S230*(1-LOTE_01!$K$10),2)</f>
        <v>338.92</v>
      </c>
      <c r="I230" s="46">
        <f>TRUNC(T230*(1-LOTE_01!$K$10),2)</f>
        <v>8.76</v>
      </c>
      <c r="J230" s="100">
        <f t="shared" si="30"/>
        <v>0.22470000000000001</v>
      </c>
      <c r="K230" s="48">
        <f t="shared" si="24"/>
        <v>415.07</v>
      </c>
      <c r="L230" s="48">
        <f t="shared" si="25"/>
        <v>10.72</v>
      </c>
      <c r="M230" s="48">
        <f t="shared" si="26"/>
        <v>20753.5</v>
      </c>
      <c r="N230" s="48">
        <f t="shared" si="27"/>
        <v>536</v>
      </c>
      <c r="O230" s="50">
        <f t="shared" si="28"/>
        <v>21289.5</v>
      </c>
      <c r="P230" s="50">
        <v>0</v>
      </c>
      <c r="Q230" s="76"/>
      <c r="R230" s="140">
        <f>IF((5*S9+5*S10)&gt;50,50,(5*S9+5*S10))</f>
        <v>50</v>
      </c>
      <c r="S230" s="79">
        <v>338.92</v>
      </c>
      <c r="T230" s="80">
        <v>8.76</v>
      </c>
    </row>
    <row r="231" spans="2:20" ht="98">
      <c r="B231" s="5" t="s">
        <v>578</v>
      </c>
      <c r="C231" s="45" t="s">
        <v>135</v>
      </c>
      <c r="D231" s="45">
        <v>100674</v>
      </c>
      <c r="E231" s="6" t="s">
        <v>579</v>
      </c>
      <c r="F231" s="45" t="s">
        <v>121</v>
      </c>
      <c r="G231" s="46">
        <f t="shared" si="29"/>
        <v>50</v>
      </c>
      <c r="H231" s="46">
        <f>TRUNC(S231*(1-LOTE_01!$K$10),2)</f>
        <v>735.78</v>
      </c>
      <c r="I231" s="46">
        <f>TRUNC(T231*(1-LOTE_01!$K$10),2)</f>
        <v>20.8</v>
      </c>
      <c r="J231" s="100">
        <f t="shared" si="30"/>
        <v>0.22470000000000001</v>
      </c>
      <c r="K231" s="48">
        <f t="shared" si="24"/>
        <v>901.1</v>
      </c>
      <c r="L231" s="48">
        <f t="shared" si="25"/>
        <v>25.47</v>
      </c>
      <c r="M231" s="48">
        <f t="shared" si="26"/>
        <v>45055</v>
      </c>
      <c r="N231" s="48">
        <f t="shared" si="27"/>
        <v>1273.5</v>
      </c>
      <c r="O231" s="50">
        <f t="shared" si="28"/>
        <v>46328.5</v>
      </c>
      <c r="P231" s="50">
        <v>0</v>
      </c>
      <c r="Q231" s="76"/>
      <c r="R231" s="140">
        <f>IF((5*S9+5*S10)&gt;50,50,(5*S9+5*S10))</f>
        <v>50</v>
      </c>
      <c r="S231" s="79">
        <v>735.78000000000009</v>
      </c>
      <c r="T231" s="80">
        <v>20.8</v>
      </c>
    </row>
    <row r="232" spans="2:20" ht="140">
      <c r="B232" s="5" t="s">
        <v>580</v>
      </c>
      <c r="C232" s="45" t="s">
        <v>135</v>
      </c>
      <c r="D232" s="45">
        <v>94573</v>
      </c>
      <c r="E232" s="6" t="s">
        <v>581</v>
      </c>
      <c r="F232" s="45" t="s">
        <v>121</v>
      </c>
      <c r="G232" s="46">
        <f t="shared" si="29"/>
        <v>50</v>
      </c>
      <c r="H232" s="46">
        <f>TRUNC(S232*(1-LOTE_01!$K$10),2)</f>
        <v>378.35</v>
      </c>
      <c r="I232" s="46">
        <f>TRUNC(T232*(1-LOTE_01!$K$10),2)</f>
        <v>8.74</v>
      </c>
      <c r="J232" s="100">
        <f t="shared" si="30"/>
        <v>0.22470000000000001</v>
      </c>
      <c r="K232" s="48">
        <f t="shared" si="24"/>
        <v>463.36</v>
      </c>
      <c r="L232" s="48">
        <f t="shared" si="25"/>
        <v>10.7</v>
      </c>
      <c r="M232" s="48">
        <f t="shared" si="26"/>
        <v>23168</v>
      </c>
      <c r="N232" s="48">
        <f t="shared" si="27"/>
        <v>535</v>
      </c>
      <c r="O232" s="50">
        <f t="shared" si="28"/>
        <v>23703</v>
      </c>
      <c r="P232" s="50">
        <v>0</v>
      </c>
      <c r="Q232" s="76"/>
      <c r="R232" s="140">
        <f>IF((5*S9+5*S10)&gt;50,50,(5*S9+5*S10))</f>
        <v>50</v>
      </c>
      <c r="S232" s="79">
        <v>378.34999999999997</v>
      </c>
      <c r="T232" s="80">
        <v>8.74</v>
      </c>
    </row>
    <row r="233" spans="2:20" ht="28">
      <c r="B233" s="5" t="s">
        <v>582</v>
      </c>
      <c r="C233" s="45" t="s">
        <v>165</v>
      </c>
      <c r="D233" s="45" t="s">
        <v>583</v>
      </c>
      <c r="E233" s="6" t="s">
        <v>584</v>
      </c>
      <c r="F233" s="45" t="s">
        <v>168</v>
      </c>
      <c r="G233" s="46">
        <f t="shared" si="29"/>
        <v>100</v>
      </c>
      <c r="H233" s="46">
        <f>TRUNC(S233*(1-LOTE_01!$K$10),2)</f>
        <v>652.55999999999995</v>
      </c>
      <c r="I233" s="46">
        <f>TRUNC(T233*(1-LOTE_01!$K$10),2)</f>
        <v>94.19</v>
      </c>
      <c r="J233" s="100">
        <f t="shared" si="30"/>
        <v>0.22470000000000001</v>
      </c>
      <c r="K233" s="48">
        <f t="shared" si="24"/>
        <v>799.19</v>
      </c>
      <c r="L233" s="48">
        <f t="shared" si="25"/>
        <v>115.35</v>
      </c>
      <c r="M233" s="48">
        <f t="shared" si="26"/>
        <v>79919</v>
      </c>
      <c r="N233" s="48">
        <f t="shared" si="27"/>
        <v>11535</v>
      </c>
      <c r="O233" s="50">
        <f t="shared" si="28"/>
        <v>91454</v>
      </c>
      <c r="P233" s="50">
        <v>0</v>
      </c>
      <c r="Q233" s="76"/>
      <c r="R233" s="140">
        <f>IF((20*S9+20*S10)&gt;100,100,(20*S9+20*S10))</f>
        <v>100</v>
      </c>
      <c r="S233" s="79">
        <v>652.55999999999995</v>
      </c>
      <c r="T233" s="80">
        <v>94.19</v>
      </c>
    </row>
    <row r="234" spans="2:20" ht="42">
      <c r="B234" s="5" t="s">
        <v>585</v>
      </c>
      <c r="C234" s="45" t="s">
        <v>135</v>
      </c>
      <c r="D234" s="45">
        <v>99861</v>
      </c>
      <c r="E234" s="6" t="s">
        <v>1799</v>
      </c>
      <c r="F234" s="45" t="s">
        <v>121</v>
      </c>
      <c r="G234" s="46">
        <f t="shared" si="29"/>
        <v>100</v>
      </c>
      <c r="H234" s="46">
        <f>TRUNC(S234*(1-LOTE_01!$K$10),2)</f>
        <v>326.48</v>
      </c>
      <c r="I234" s="46">
        <f>TRUNC(T234*(1-LOTE_01!$K$10),2)</f>
        <v>271.13</v>
      </c>
      <c r="J234" s="100">
        <f t="shared" si="30"/>
        <v>0.22470000000000001</v>
      </c>
      <c r="K234" s="48">
        <f t="shared" si="24"/>
        <v>399.84</v>
      </c>
      <c r="L234" s="48">
        <f t="shared" si="25"/>
        <v>332.05</v>
      </c>
      <c r="M234" s="48">
        <f t="shared" si="26"/>
        <v>39984</v>
      </c>
      <c r="N234" s="48">
        <f t="shared" si="27"/>
        <v>33205</v>
      </c>
      <c r="O234" s="50">
        <f t="shared" si="28"/>
        <v>73189</v>
      </c>
      <c r="P234" s="50">
        <v>0</v>
      </c>
      <c r="Q234" s="76"/>
      <c r="R234" s="140">
        <f>IF((20*S9+20*S10)&gt;100,100,(20*S9+20*S10))</f>
        <v>100</v>
      </c>
      <c r="S234" s="79">
        <v>326.48</v>
      </c>
      <c r="T234" s="80">
        <v>271.13</v>
      </c>
    </row>
    <row r="235" spans="2:20" ht="28">
      <c r="B235" s="5" t="s">
        <v>586</v>
      </c>
      <c r="C235" s="45" t="s">
        <v>97</v>
      </c>
      <c r="D235" s="45" t="s">
        <v>587</v>
      </c>
      <c r="E235" s="6" t="s">
        <v>588</v>
      </c>
      <c r="F235" s="45" t="s">
        <v>187</v>
      </c>
      <c r="G235" s="46">
        <f t="shared" si="29"/>
        <v>100</v>
      </c>
      <c r="H235" s="46">
        <f>TRUNC(S235*(1-LOTE_01!$K$10),2)</f>
        <v>402.14</v>
      </c>
      <c r="I235" s="46">
        <f>TRUNC(T235*(1-LOTE_01!$K$10),2)</f>
        <v>53.22</v>
      </c>
      <c r="J235" s="100">
        <f t="shared" si="30"/>
        <v>0.22470000000000001</v>
      </c>
      <c r="K235" s="48">
        <f t="shared" si="24"/>
        <v>492.5</v>
      </c>
      <c r="L235" s="48">
        <f t="shared" si="25"/>
        <v>65.17</v>
      </c>
      <c r="M235" s="48">
        <f t="shared" si="26"/>
        <v>49250</v>
      </c>
      <c r="N235" s="48">
        <f t="shared" si="27"/>
        <v>6517</v>
      </c>
      <c r="O235" s="50">
        <f t="shared" si="28"/>
        <v>55767</v>
      </c>
      <c r="P235" s="50">
        <v>0</v>
      </c>
      <c r="Q235" s="76"/>
      <c r="R235" s="140">
        <f>IF((10*S10+10*S9)&gt;100,100,(10*S10+10*S9))</f>
        <v>100</v>
      </c>
      <c r="S235" s="79">
        <v>402.14</v>
      </c>
      <c r="T235" s="80">
        <v>53.22</v>
      </c>
    </row>
    <row r="236" spans="2:20" ht="28">
      <c r="B236" s="5" t="s">
        <v>589</v>
      </c>
      <c r="C236" s="45" t="s">
        <v>165</v>
      </c>
      <c r="D236" s="45" t="s">
        <v>590</v>
      </c>
      <c r="E236" s="6" t="s">
        <v>591</v>
      </c>
      <c r="F236" s="45" t="s">
        <v>559</v>
      </c>
      <c r="G236" s="46">
        <f t="shared" si="29"/>
        <v>10</v>
      </c>
      <c r="H236" s="46">
        <f>TRUNC(S236*(1-LOTE_01!$K$10),2)</f>
        <v>1008.6</v>
      </c>
      <c r="I236" s="46">
        <f>TRUNC(T236*(1-LOTE_01!$K$10),2)</f>
        <v>18.84</v>
      </c>
      <c r="J236" s="100">
        <f t="shared" si="30"/>
        <v>0.22470000000000001</v>
      </c>
      <c r="K236" s="48">
        <f t="shared" si="24"/>
        <v>1235.23</v>
      </c>
      <c r="L236" s="48">
        <f t="shared" si="25"/>
        <v>23.07</v>
      </c>
      <c r="M236" s="48">
        <f t="shared" si="26"/>
        <v>12352.3</v>
      </c>
      <c r="N236" s="48">
        <f t="shared" si="27"/>
        <v>230.7</v>
      </c>
      <c r="O236" s="50">
        <f t="shared" si="28"/>
        <v>12583</v>
      </c>
      <c r="P236" s="50">
        <v>0</v>
      </c>
      <c r="Q236" s="76"/>
      <c r="R236" s="140">
        <f>IF((1*S9+1*S10)&gt;10,10,(1*S9+1*S10))</f>
        <v>10</v>
      </c>
      <c r="S236" s="79">
        <v>1008.6</v>
      </c>
      <c r="T236" s="80">
        <v>18.84</v>
      </c>
    </row>
    <row r="237" spans="2:20" ht="42">
      <c r="B237" s="5" t="s">
        <v>592</v>
      </c>
      <c r="C237" s="45" t="s">
        <v>97</v>
      </c>
      <c r="D237" s="45" t="s">
        <v>593</v>
      </c>
      <c r="E237" s="6" t="s">
        <v>594</v>
      </c>
      <c r="F237" s="45" t="s">
        <v>187</v>
      </c>
      <c r="G237" s="46">
        <f t="shared" si="29"/>
        <v>1400</v>
      </c>
      <c r="H237" s="46">
        <f>TRUNC(S237*(1-LOTE_01!$K$10),2)</f>
        <v>124.78</v>
      </c>
      <c r="I237" s="46">
        <f>TRUNC(T237*(1-LOTE_01!$K$10),2)</f>
        <v>94.98</v>
      </c>
      <c r="J237" s="100">
        <f t="shared" si="30"/>
        <v>0.22470000000000001</v>
      </c>
      <c r="K237" s="48">
        <f t="shared" si="24"/>
        <v>152.81</v>
      </c>
      <c r="L237" s="48">
        <f t="shared" si="25"/>
        <v>116.32</v>
      </c>
      <c r="M237" s="48">
        <f t="shared" si="26"/>
        <v>213934</v>
      </c>
      <c r="N237" s="48">
        <f t="shared" si="27"/>
        <v>162848</v>
      </c>
      <c r="O237" s="50">
        <f t="shared" si="28"/>
        <v>376782</v>
      </c>
      <c r="P237" s="50">
        <v>0</v>
      </c>
      <c r="Q237" s="76"/>
      <c r="R237" s="140">
        <f>IF((100*S9+100*S10)&gt;1500,1500,(100*S9+100*S10))</f>
        <v>1400</v>
      </c>
      <c r="S237" s="79">
        <v>124.78</v>
      </c>
      <c r="T237" s="80">
        <v>94.98</v>
      </c>
    </row>
    <row r="238" spans="2:20" ht="28">
      <c r="B238" s="5" t="s">
        <v>595</v>
      </c>
      <c r="C238" s="45" t="s">
        <v>165</v>
      </c>
      <c r="D238" s="45" t="s">
        <v>596</v>
      </c>
      <c r="E238" s="6" t="s">
        <v>597</v>
      </c>
      <c r="F238" s="45" t="s">
        <v>531</v>
      </c>
      <c r="G238" s="46">
        <f t="shared" si="29"/>
        <v>10</v>
      </c>
      <c r="H238" s="46">
        <f>TRUNC(S238*(1-LOTE_01!$K$10),2)</f>
        <v>129.37</v>
      </c>
      <c r="I238" s="46">
        <f>TRUNC(T238*(1-LOTE_01!$K$10),2)</f>
        <v>31.4</v>
      </c>
      <c r="J238" s="100">
        <f t="shared" si="30"/>
        <v>0.22470000000000001</v>
      </c>
      <c r="K238" s="48">
        <f t="shared" si="24"/>
        <v>158.43</v>
      </c>
      <c r="L238" s="48">
        <f t="shared" si="25"/>
        <v>38.450000000000003</v>
      </c>
      <c r="M238" s="48">
        <f t="shared" si="26"/>
        <v>1584.3</v>
      </c>
      <c r="N238" s="48">
        <f t="shared" si="27"/>
        <v>384.5</v>
      </c>
      <c r="O238" s="50">
        <f t="shared" si="28"/>
        <v>1968.8</v>
      </c>
      <c r="P238" s="50">
        <v>0</v>
      </c>
      <c r="Q238" s="76"/>
      <c r="R238" s="140">
        <f>IF((1*S9+1*S10)&gt;10,10,(1*S9+1*S10))</f>
        <v>10</v>
      </c>
      <c r="S238" s="79">
        <v>129.37</v>
      </c>
      <c r="T238" s="80">
        <v>31.4</v>
      </c>
    </row>
    <row r="239" spans="2:20" ht="28">
      <c r="B239" s="5" t="s">
        <v>598</v>
      </c>
      <c r="C239" s="45" t="s">
        <v>165</v>
      </c>
      <c r="D239" s="45" t="s">
        <v>599</v>
      </c>
      <c r="E239" s="6" t="s">
        <v>600</v>
      </c>
      <c r="F239" s="45" t="s">
        <v>559</v>
      </c>
      <c r="G239" s="46">
        <f t="shared" si="29"/>
        <v>10</v>
      </c>
      <c r="H239" s="46">
        <f>TRUNC(S239*(1-LOTE_01!$K$10),2)</f>
        <v>37.82</v>
      </c>
      <c r="I239" s="46">
        <f>TRUNC(T239*(1-LOTE_01!$K$10),2)</f>
        <v>1.91</v>
      </c>
      <c r="J239" s="100">
        <f t="shared" si="30"/>
        <v>0.22470000000000001</v>
      </c>
      <c r="K239" s="48">
        <f t="shared" si="24"/>
        <v>46.31</v>
      </c>
      <c r="L239" s="48">
        <f t="shared" si="25"/>
        <v>2.33</v>
      </c>
      <c r="M239" s="48">
        <f t="shared" si="26"/>
        <v>463.1</v>
      </c>
      <c r="N239" s="48">
        <f t="shared" si="27"/>
        <v>23.3</v>
      </c>
      <c r="O239" s="50">
        <f t="shared" si="28"/>
        <v>486.4</v>
      </c>
      <c r="P239" s="50">
        <v>0</v>
      </c>
      <c r="Q239" s="76"/>
      <c r="R239" s="140">
        <f>IF((1*S9+1*S10)&gt;10,10,(1*S9+1*S10))</f>
        <v>10</v>
      </c>
      <c r="S239" s="79">
        <v>37.82</v>
      </c>
      <c r="T239" s="80">
        <v>1.91</v>
      </c>
    </row>
    <row r="240" spans="2:20" ht="28">
      <c r="B240" s="5" t="s">
        <v>601</v>
      </c>
      <c r="C240" s="45" t="s">
        <v>97</v>
      </c>
      <c r="D240" s="45" t="s">
        <v>602</v>
      </c>
      <c r="E240" s="6" t="s">
        <v>603</v>
      </c>
      <c r="F240" s="45" t="s">
        <v>121</v>
      </c>
      <c r="G240" s="46">
        <f t="shared" si="29"/>
        <v>50</v>
      </c>
      <c r="H240" s="46">
        <f>TRUNC(S240*(1-LOTE_01!$K$10),2)</f>
        <v>380.07</v>
      </c>
      <c r="I240" s="46">
        <f>TRUNC(T240*(1-LOTE_01!$K$10),2)</f>
        <v>391.85</v>
      </c>
      <c r="J240" s="100">
        <f t="shared" si="30"/>
        <v>0.22470000000000001</v>
      </c>
      <c r="K240" s="48">
        <f t="shared" si="24"/>
        <v>465.47</v>
      </c>
      <c r="L240" s="48">
        <f t="shared" si="25"/>
        <v>479.89</v>
      </c>
      <c r="M240" s="48">
        <f t="shared" si="26"/>
        <v>23273.5</v>
      </c>
      <c r="N240" s="48">
        <f t="shared" si="27"/>
        <v>23994.5</v>
      </c>
      <c r="O240" s="50">
        <f t="shared" si="28"/>
        <v>47268</v>
      </c>
      <c r="P240" s="50">
        <v>0</v>
      </c>
      <c r="Q240" s="76"/>
      <c r="R240" s="140">
        <f>IF((5*S9+5*S10)&gt;50,50,(5*S9+5*S10))</f>
        <v>50</v>
      </c>
      <c r="S240" s="79">
        <v>380.07</v>
      </c>
      <c r="T240" s="80">
        <v>391.85</v>
      </c>
    </row>
    <row r="241" spans="2:20" ht="28">
      <c r="B241" s="5" t="s">
        <v>604</v>
      </c>
      <c r="C241" s="45" t="s">
        <v>97</v>
      </c>
      <c r="D241" s="45" t="s">
        <v>605</v>
      </c>
      <c r="E241" s="6" t="s">
        <v>606</v>
      </c>
      <c r="F241" s="45" t="s">
        <v>187</v>
      </c>
      <c r="G241" s="46">
        <f t="shared" si="29"/>
        <v>500</v>
      </c>
      <c r="H241" s="46">
        <f>TRUNC(S241*(1-LOTE_01!$K$10),2)</f>
        <v>49.11</v>
      </c>
      <c r="I241" s="46">
        <f>TRUNC(T241*(1-LOTE_01!$K$10),2)</f>
        <v>21.73</v>
      </c>
      <c r="J241" s="100">
        <f t="shared" si="30"/>
        <v>0.22470000000000001</v>
      </c>
      <c r="K241" s="48">
        <f t="shared" si="24"/>
        <v>60.14</v>
      </c>
      <c r="L241" s="48">
        <f t="shared" si="25"/>
        <v>26.61</v>
      </c>
      <c r="M241" s="48">
        <f t="shared" si="26"/>
        <v>30070</v>
      </c>
      <c r="N241" s="48">
        <f t="shared" si="27"/>
        <v>13305</v>
      </c>
      <c r="O241" s="50">
        <f t="shared" si="28"/>
        <v>43375</v>
      </c>
      <c r="P241" s="50">
        <v>0</v>
      </c>
      <c r="Q241" s="76"/>
      <c r="R241" s="140">
        <f>IF((100*S10+100*S9)&gt;500,500,(100*S10+100*S9))</f>
        <v>500</v>
      </c>
      <c r="S241" s="79">
        <v>49.11</v>
      </c>
      <c r="T241" s="80">
        <v>21.73</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68191.98</v>
      </c>
      <c r="Q242" s="76"/>
      <c r="R242" s="154"/>
      <c r="S242" s="79" t="s">
        <v>22</v>
      </c>
      <c r="T242" s="80" t="s">
        <v>22</v>
      </c>
    </row>
    <row r="243" spans="2:20" ht="28">
      <c r="B243" s="5" t="s">
        <v>607</v>
      </c>
      <c r="C243" s="45" t="s">
        <v>135</v>
      </c>
      <c r="D243" s="45">
        <v>102188</v>
      </c>
      <c r="E243" s="6" t="s">
        <v>1800</v>
      </c>
      <c r="F243" s="45" t="s">
        <v>210</v>
      </c>
      <c r="G243" s="46">
        <f t="shared" si="29"/>
        <v>10</v>
      </c>
      <c r="H243" s="46">
        <f>TRUNC(S243*(1-LOTE_01!$K$10),2)</f>
        <v>941.21</v>
      </c>
      <c r="I243" s="46">
        <f>TRUNC(T243*(1-LOTE_01!$K$10),2)</f>
        <v>57.42</v>
      </c>
      <c r="J243" s="100">
        <f t="shared" si="30"/>
        <v>0.22470000000000001</v>
      </c>
      <c r="K243" s="48">
        <f t="shared" si="24"/>
        <v>1152.69</v>
      </c>
      <c r="L243" s="48">
        <f t="shared" si="25"/>
        <v>70.319999999999993</v>
      </c>
      <c r="M243" s="48">
        <f t="shared" si="26"/>
        <v>11526.9</v>
      </c>
      <c r="N243" s="48">
        <f t="shared" si="27"/>
        <v>703.2</v>
      </c>
      <c r="O243" s="50">
        <f t="shared" si="28"/>
        <v>12230.1</v>
      </c>
      <c r="P243" s="50">
        <v>0</v>
      </c>
      <c r="Q243" s="76"/>
      <c r="R243" s="140">
        <f>IF((1*S9+1*S10)&gt;10,10,(1*S9+1*S10))</f>
        <v>10</v>
      </c>
      <c r="S243" s="79">
        <v>941.21</v>
      </c>
      <c r="T243" s="80">
        <v>57.42</v>
      </c>
    </row>
    <row r="244" spans="2:20" ht="98">
      <c r="B244" s="5" t="s">
        <v>608</v>
      </c>
      <c r="C244" s="45" t="s">
        <v>135</v>
      </c>
      <c r="D244" s="45">
        <v>102189</v>
      </c>
      <c r="E244" s="6" t="s">
        <v>1801</v>
      </c>
      <c r="F244" s="45" t="s">
        <v>210</v>
      </c>
      <c r="G244" s="46">
        <f t="shared" si="29"/>
        <v>10</v>
      </c>
      <c r="H244" s="46">
        <f>TRUNC(S244*(1-LOTE_01!$K$10),2)</f>
        <v>202.98</v>
      </c>
      <c r="I244" s="46">
        <f>TRUNC(T244*(1-LOTE_01!$K$10),2)</f>
        <v>62.63</v>
      </c>
      <c r="J244" s="100">
        <f t="shared" si="30"/>
        <v>0.22470000000000001</v>
      </c>
      <c r="K244" s="48">
        <f t="shared" si="24"/>
        <v>248.58</v>
      </c>
      <c r="L244" s="48">
        <f t="shared" si="25"/>
        <v>76.7</v>
      </c>
      <c r="M244" s="48">
        <f t="shared" si="26"/>
        <v>2485.8000000000002</v>
      </c>
      <c r="N244" s="48">
        <f t="shared" si="27"/>
        <v>767</v>
      </c>
      <c r="O244" s="50">
        <f t="shared" si="28"/>
        <v>3252.8</v>
      </c>
      <c r="P244" s="50">
        <v>0</v>
      </c>
      <c r="Q244" s="76"/>
      <c r="R244" s="140">
        <f>IF((1*S9+1*S10)&gt;10,10,(1*S9+1*S10))</f>
        <v>10</v>
      </c>
      <c r="S244" s="79">
        <v>202.98000000000002</v>
      </c>
      <c r="T244" s="80">
        <v>62.63</v>
      </c>
    </row>
    <row r="245" spans="2:20" ht="28">
      <c r="B245" s="5" t="s">
        <v>609</v>
      </c>
      <c r="C245" s="45" t="s">
        <v>135</v>
      </c>
      <c r="D245" s="45">
        <v>100705</v>
      </c>
      <c r="E245" s="6" t="s">
        <v>1802</v>
      </c>
      <c r="F245" s="45" t="s">
        <v>210</v>
      </c>
      <c r="G245" s="46">
        <f t="shared" si="29"/>
        <v>50</v>
      </c>
      <c r="H245" s="46">
        <f>TRUNC(S245*(1-LOTE_01!$K$10),2)</f>
        <v>56.31</v>
      </c>
      <c r="I245" s="46">
        <f>TRUNC(T245*(1-LOTE_01!$K$10),2)</f>
        <v>21.56</v>
      </c>
      <c r="J245" s="100">
        <f t="shared" si="30"/>
        <v>0.22470000000000001</v>
      </c>
      <c r="K245" s="48">
        <f t="shared" si="24"/>
        <v>68.959999999999994</v>
      </c>
      <c r="L245" s="48">
        <f t="shared" si="25"/>
        <v>26.4</v>
      </c>
      <c r="M245" s="48">
        <f t="shared" si="26"/>
        <v>3448</v>
      </c>
      <c r="N245" s="48">
        <f t="shared" si="27"/>
        <v>1320</v>
      </c>
      <c r="O245" s="50">
        <f t="shared" si="28"/>
        <v>4768</v>
      </c>
      <c r="P245" s="50">
        <v>0</v>
      </c>
      <c r="Q245" s="76"/>
      <c r="R245" s="140">
        <f>IF((5*2*S10+2*S9)&gt;50,50,(5*2*S10+2*S9))</f>
        <v>50</v>
      </c>
      <c r="S245" s="79">
        <v>56.31</v>
      </c>
      <c r="T245" s="80">
        <v>21.56</v>
      </c>
    </row>
    <row r="246" spans="2:20" ht="56">
      <c r="B246" s="5" t="s">
        <v>610</v>
      </c>
      <c r="C246" s="45" t="s">
        <v>135</v>
      </c>
      <c r="D246" s="45">
        <v>100709</v>
      </c>
      <c r="E246" s="6" t="s">
        <v>1803</v>
      </c>
      <c r="F246" s="45" t="s">
        <v>210</v>
      </c>
      <c r="G246" s="46">
        <f t="shared" si="29"/>
        <v>50</v>
      </c>
      <c r="H246" s="46">
        <f>TRUNC(S246*(1-LOTE_01!$K$10),2)</f>
        <v>34.549999999999997</v>
      </c>
      <c r="I246" s="46">
        <f>TRUNC(T246*(1-LOTE_01!$K$10),2)</f>
        <v>30.66</v>
      </c>
      <c r="J246" s="100">
        <f t="shared" si="30"/>
        <v>0.22470000000000001</v>
      </c>
      <c r="K246" s="48">
        <f t="shared" si="24"/>
        <v>42.31</v>
      </c>
      <c r="L246" s="48">
        <f t="shared" si="25"/>
        <v>37.54</v>
      </c>
      <c r="M246" s="48">
        <f t="shared" si="26"/>
        <v>2115.5</v>
      </c>
      <c r="N246" s="48">
        <f t="shared" si="27"/>
        <v>1877</v>
      </c>
      <c r="O246" s="50">
        <f t="shared" si="28"/>
        <v>3992.5</v>
      </c>
      <c r="P246" s="50">
        <v>0</v>
      </c>
      <c r="Q246" s="76"/>
      <c r="R246" s="140">
        <f>IF((3*2*S9+3*2*S10)&gt;50,50,(3*2*S9+3*2*S10))</f>
        <v>50</v>
      </c>
      <c r="S246" s="79">
        <v>34.549999999999997</v>
      </c>
      <c r="T246" s="80">
        <v>30.66</v>
      </c>
    </row>
    <row r="247" spans="2:20" ht="28">
      <c r="B247" s="5" t="s">
        <v>611</v>
      </c>
      <c r="C247" s="45" t="s">
        <v>97</v>
      </c>
      <c r="D247" s="45" t="s">
        <v>612</v>
      </c>
      <c r="E247" s="6" t="s">
        <v>613</v>
      </c>
      <c r="F247" s="45" t="s">
        <v>104</v>
      </c>
      <c r="G247" s="46">
        <f t="shared" si="29"/>
        <v>14</v>
      </c>
      <c r="H247" s="46">
        <f>TRUNC(S247*(1-LOTE_01!$K$10),2)</f>
        <v>296.19</v>
      </c>
      <c r="I247" s="46">
        <f>TRUNC(T247*(1-LOTE_01!$K$10),2)</f>
        <v>22.01</v>
      </c>
      <c r="J247" s="100">
        <f t="shared" si="30"/>
        <v>0.22470000000000001</v>
      </c>
      <c r="K247" s="48">
        <f t="shared" si="24"/>
        <v>362.74</v>
      </c>
      <c r="L247" s="48">
        <f t="shared" si="25"/>
        <v>26.95</v>
      </c>
      <c r="M247" s="48">
        <f t="shared" si="26"/>
        <v>5078.3599999999997</v>
      </c>
      <c r="N247" s="48">
        <f t="shared" si="27"/>
        <v>377.3</v>
      </c>
      <c r="O247" s="50">
        <f t="shared" si="28"/>
        <v>5455.66</v>
      </c>
      <c r="P247" s="50">
        <v>0</v>
      </c>
      <c r="Q247" s="76"/>
      <c r="R247" s="140">
        <f>IF((1*S9+1*S10)&gt;30,30,(1*S9+1*S10))</f>
        <v>14</v>
      </c>
      <c r="S247" s="79">
        <v>296.19</v>
      </c>
      <c r="T247" s="80">
        <v>22.01</v>
      </c>
    </row>
    <row r="248" spans="2:20" ht="70">
      <c r="B248" s="5" t="s">
        <v>614</v>
      </c>
      <c r="C248" s="45" t="s">
        <v>135</v>
      </c>
      <c r="D248" s="45">
        <v>91306</v>
      </c>
      <c r="E248" s="6" t="s">
        <v>1804</v>
      </c>
      <c r="F248" s="45" t="s">
        <v>210</v>
      </c>
      <c r="G248" s="46">
        <f t="shared" si="29"/>
        <v>30</v>
      </c>
      <c r="H248" s="46">
        <f>TRUNC(S248*(1-LOTE_01!$K$10),2)</f>
        <v>152.22999999999999</v>
      </c>
      <c r="I248" s="46">
        <f>TRUNC(T248*(1-LOTE_01!$K$10),2)</f>
        <v>21.25</v>
      </c>
      <c r="J248" s="100">
        <f t="shared" si="30"/>
        <v>0.22470000000000001</v>
      </c>
      <c r="K248" s="48">
        <f t="shared" si="24"/>
        <v>186.43</v>
      </c>
      <c r="L248" s="48">
        <f t="shared" si="25"/>
        <v>26.02</v>
      </c>
      <c r="M248" s="48">
        <f t="shared" si="26"/>
        <v>5592.9</v>
      </c>
      <c r="N248" s="48">
        <f t="shared" si="27"/>
        <v>780.6</v>
      </c>
      <c r="O248" s="50">
        <f t="shared" si="28"/>
        <v>6373.5</v>
      </c>
      <c r="P248" s="50">
        <v>0</v>
      </c>
      <c r="Q248" s="76"/>
      <c r="R248" s="140">
        <f>IF((2*S9+3*S10)&gt;30,30,(2*S9+3*S10))</f>
        <v>30</v>
      </c>
      <c r="S248" s="79">
        <v>152.22999999999999</v>
      </c>
      <c r="T248" s="80">
        <v>21.25</v>
      </c>
    </row>
    <row r="249" spans="2:20" ht="70">
      <c r="B249" s="5" t="s">
        <v>615</v>
      </c>
      <c r="C249" s="45" t="s">
        <v>135</v>
      </c>
      <c r="D249" s="45">
        <v>90831</v>
      </c>
      <c r="E249" s="6" t="s">
        <v>1805</v>
      </c>
      <c r="F249" s="45" t="s">
        <v>210</v>
      </c>
      <c r="G249" s="46">
        <f t="shared" si="29"/>
        <v>28</v>
      </c>
      <c r="H249" s="46">
        <f>TRUNC(S249*(1-LOTE_01!$K$10),2)</f>
        <v>152.22999999999999</v>
      </c>
      <c r="I249" s="46">
        <f>TRUNC(T249*(1-LOTE_01!$K$10),2)</f>
        <v>21.25</v>
      </c>
      <c r="J249" s="100">
        <f t="shared" si="30"/>
        <v>0.22470000000000001</v>
      </c>
      <c r="K249" s="48">
        <f t="shared" si="24"/>
        <v>186.43</v>
      </c>
      <c r="L249" s="48">
        <f t="shared" si="25"/>
        <v>26.02</v>
      </c>
      <c r="M249" s="48">
        <f t="shared" si="26"/>
        <v>5220.04</v>
      </c>
      <c r="N249" s="48">
        <f t="shared" si="27"/>
        <v>728.56</v>
      </c>
      <c r="O249" s="50">
        <f t="shared" si="28"/>
        <v>5948.6</v>
      </c>
      <c r="P249" s="50">
        <v>0</v>
      </c>
      <c r="Q249" s="76"/>
      <c r="R249" s="140">
        <f>IF((2*S9+2*S10)&gt;30,30,(2*S9+2*S10))</f>
        <v>28</v>
      </c>
      <c r="S249" s="79">
        <v>152.22999999999999</v>
      </c>
      <c r="T249" s="80">
        <v>21.25</v>
      </c>
    </row>
    <row r="250" spans="2:20" ht="70">
      <c r="B250" s="5" t="s">
        <v>616</v>
      </c>
      <c r="C250" s="45" t="s">
        <v>135</v>
      </c>
      <c r="D250" s="45">
        <v>90830</v>
      </c>
      <c r="E250" s="6" t="s">
        <v>1806</v>
      </c>
      <c r="F250" s="45" t="s">
        <v>210</v>
      </c>
      <c r="G250" s="46">
        <f t="shared" si="29"/>
        <v>14</v>
      </c>
      <c r="H250" s="46">
        <f>TRUNC(S250*(1-LOTE_01!$K$10),2)</f>
        <v>172.12</v>
      </c>
      <c r="I250" s="46">
        <f>TRUNC(T250*(1-LOTE_01!$K$10),2)</f>
        <v>28.04</v>
      </c>
      <c r="J250" s="100">
        <f t="shared" si="30"/>
        <v>0.22470000000000001</v>
      </c>
      <c r="K250" s="48">
        <f t="shared" si="24"/>
        <v>210.79</v>
      </c>
      <c r="L250" s="48">
        <f t="shared" si="25"/>
        <v>34.340000000000003</v>
      </c>
      <c r="M250" s="48">
        <f t="shared" si="26"/>
        <v>2951.06</v>
      </c>
      <c r="N250" s="48">
        <f t="shared" si="27"/>
        <v>480.76</v>
      </c>
      <c r="O250" s="50">
        <f t="shared" si="28"/>
        <v>3431.82</v>
      </c>
      <c r="P250" s="50">
        <v>0</v>
      </c>
      <c r="Q250" s="76"/>
      <c r="R250" s="140">
        <f>IF((1*S9+1*S10)&gt;30,30,(1*S9+1*S10))</f>
        <v>14</v>
      </c>
      <c r="S250" s="79">
        <v>172.12</v>
      </c>
      <c r="T250" s="80">
        <v>28.04</v>
      </c>
    </row>
    <row r="251" spans="2:20" ht="42">
      <c r="B251" s="5" t="s">
        <v>617</v>
      </c>
      <c r="C251" s="45" t="s">
        <v>97</v>
      </c>
      <c r="D251" s="45" t="s">
        <v>618</v>
      </c>
      <c r="E251" s="6" t="s">
        <v>619</v>
      </c>
      <c r="F251" s="45" t="s">
        <v>104</v>
      </c>
      <c r="G251" s="46">
        <f t="shared" si="29"/>
        <v>10</v>
      </c>
      <c r="H251" s="46">
        <f>TRUNC(S251*(1-LOTE_01!$K$10),2)</f>
        <v>120.33</v>
      </c>
      <c r="I251" s="46">
        <f>TRUNC(T251*(1-LOTE_01!$K$10),2)</f>
        <v>28.74</v>
      </c>
      <c r="J251" s="100">
        <f t="shared" si="30"/>
        <v>0.22470000000000001</v>
      </c>
      <c r="K251" s="48">
        <f t="shared" si="24"/>
        <v>147.36000000000001</v>
      </c>
      <c r="L251" s="48">
        <f t="shared" si="25"/>
        <v>35.19</v>
      </c>
      <c r="M251" s="48">
        <f t="shared" si="26"/>
        <v>1473.6</v>
      </c>
      <c r="N251" s="48">
        <f t="shared" si="27"/>
        <v>351.9</v>
      </c>
      <c r="O251" s="50">
        <f t="shared" si="28"/>
        <v>1825.5</v>
      </c>
      <c r="P251" s="50">
        <v>0</v>
      </c>
      <c r="Q251" s="76"/>
      <c r="R251" s="140">
        <f>IF((1*S9+1*S10)&gt;10,10,(1*S9+1*S10))</f>
        <v>10</v>
      </c>
      <c r="S251" s="79">
        <v>120.33</v>
      </c>
      <c r="T251" s="80">
        <v>28.74</v>
      </c>
    </row>
    <row r="252" spans="2:20" ht="84">
      <c r="B252" s="5" t="s">
        <v>620</v>
      </c>
      <c r="C252" s="45" t="s">
        <v>97</v>
      </c>
      <c r="D252" s="45" t="s">
        <v>621</v>
      </c>
      <c r="E252" s="7" t="s">
        <v>622</v>
      </c>
      <c r="F252" s="45" t="s">
        <v>104</v>
      </c>
      <c r="G252" s="46">
        <f t="shared" si="29"/>
        <v>10</v>
      </c>
      <c r="H252" s="46">
        <f>TRUNC(S252*(1-LOTE_01!$K$10),2)</f>
        <v>810.87</v>
      </c>
      <c r="I252" s="46">
        <f>TRUNC(T252*(1-LOTE_01!$K$10),2)</f>
        <v>896.78</v>
      </c>
      <c r="J252" s="100">
        <f t="shared" si="30"/>
        <v>0.22470000000000001</v>
      </c>
      <c r="K252" s="48">
        <f t="shared" si="24"/>
        <v>993.07</v>
      </c>
      <c r="L252" s="48">
        <f t="shared" si="25"/>
        <v>1098.28</v>
      </c>
      <c r="M252" s="48">
        <f t="shared" si="26"/>
        <v>9930.7000000000007</v>
      </c>
      <c r="N252" s="48">
        <f t="shared" si="27"/>
        <v>10982.8</v>
      </c>
      <c r="O252" s="50">
        <f t="shared" si="28"/>
        <v>20913.5</v>
      </c>
      <c r="P252" s="50">
        <v>0</v>
      </c>
      <c r="Q252" s="76"/>
      <c r="R252" s="140">
        <f>IF((1*S9+1*S10)&gt;10,10,(1*S9+1*S10))</f>
        <v>10</v>
      </c>
      <c r="S252" s="79">
        <v>810.87</v>
      </c>
      <c r="T252" s="80">
        <v>896.78</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2567599.6</v>
      </c>
      <c r="Q253" s="76"/>
      <c r="R253" s="154"/>
      <c r="S253" s="79" t="s">
        <v>22</v>
      </c>
      <c r="T253" s="80" t="s">
        <v>22</v>
      </c>
    </row>
    <row r="254" spans="2:20" ht="70">
      <c r="B254" s="5" t="s">
        <v>623</v>
      </c>
      <c r="C254" s="45" t="s">
        <v>97</v>
      </c>
      <c r="D254" s="45" t="s">
        <v>624</v>
      </c>
      <c r="E254" s="6" t="s">
        <v>625</v>
      </c>
      <c r="F254" s="45" t="s">
        <v>121</v>
      </c>
      <c r="G254" s="46">
        <f t="shared" si="29"/>
        <v>1600</v>
      </c>
      <c r="H254" s="46">
        <f>TRUNC(S254*(1-LOTE_01!$K$10),2)</f>
        <v>19.59</v>
      </c>
      <c r="I254" s="46">
        <f>TRUNC(T254*(1-LOTE_01!$K$10),2)</f>
        <v>3.48</v>
      </c>
      <c r="J254" s="100">
        <f t="shared" si="30"/>
        <v>0.22470000000000001</v>
      </c>
      <c r="K254" s="48">
        <f t="shared" si="24"/>
        <v>23.99</v>
      </c>
      <c r="L254" s="48">
        <f t="shared" si="25"/>
        <v>4.26</v>
      </c>
      <c r="M254" s="48">
        <f t="shared" si="26"/>
        <v>38384</v>
      </c>
      <c r="N254" s="48">
        <f t="shared" si="27"/>
        <v>6816</v>
      </c>
      <c r="O254" s="50">
        <f t="shared" si="28"/>
        <v>45200</v>
      </c>
      <c r="P254" s="50">
        <v>0</v>
      </c>
      <c r="Q254" s="76"/>
      <c r="R254" s="140">
        <f>IF((50*S9+200*S10)&gt;2000,2000,(50*S9+200*S10))</f>
        <v>1600</v>
      </c>
      <c r="S254" s="79">
        <v>19.59</v>
      </c>
      <c r="T254" s="80">
        <v>3.48</v>
      </c>
    </row>
    <row r="255" spans="2:20" ht="84">
      <c r="B255" s="5" t="s">
        <v>626</v>
      </c>
      <c r="C255" s="45" t="s">
        <v>135</v>
      </c>
      <c r="D255" s="45">
        <v>92543</v>
      </c>
      <c r="E255" s="6" t="s">
        <v>1807</v>
      </c>
      <c r="F255" s="45" t="s">
        <v>121</v>
      </c>
      <c r="G255" s="46">
        <f t="shared" si="29"/>
        <v>1000</v>
      </c>
      <c r="H255" s="46">
        <f>TRUNC(S255*(1-LOTE_01!$K$10),2)</f>
        <v>17.510000000000002</v>
      </c>
      <c r="I255" s="46">
        <f>TRUNC(T255*(1-LOTE_01!$K$10),2)</f>
        <v>3.93</v>
      </c>
      <c r="J255" s="100">
        <f t="shared" si="30"/>
        <v>0.22470000000000001</v>
      </c>
      <c r="K255" s="48">
        <f t="shared" si="24"/>
        <v>21.44</v>
      </c>
      <c r="L255" s="48">
        <f t="shared" si="25"/>
        <v>4.8099999999999996</v>
      </c>
      <c r="M255" s="48">
        <f t="shared" si="26"/>
        <v>21440</v>
      </c>
      <c r="N255" s="48">
        <f t="shared" si="27"/>
        <v>4810</v>
      </c>
      <c r="O255" s="50">
        <f t="shared" si="28"/>
        <v>26250</v>
      </c>
      <c r="P255" s="50">
        <v>0</v>
      </c>
      <c r="Q255" s="76"/>
      <c r="R255" s="140">
        <f>IF((10*S9+200*S10)&gt;1000,1000,(10*S9+200*S10))</f>
        <v>1000</v>
      </c>
      <c r="S255" s="79">
        <v>17.510000000000002</v>
      </c>
      <c r="T255" s="80">
        <v>3.93</v>
      </c>
    </row>
    <row r="256" spans="2:20" ht="98">
      <c r="B256" s="5" t="s">
        <v>627</v>
      </c>
      <c r="C256" s="45" t="s">
        <v>135</v>
      </c>
      <c r="D256" s="45">
        <v>92580</v>
      </c>
      <c r="E256" s="6" t="s">
        <v>1808</v>
      </c>
      <c r="F256" s="45" t="s">
        <v>121</v>
      </c>
      <c r="G256" s="46">
        <f t="shared" si="29"/>
        <v>1280</v>
      </c>
      <c r="H256" s="46">
        <f>TRUNC(S256*(1-LOTE_01!$K$10),2)</f>
        <v>44.38</v>
      </c>
      <c r="I256" s="46">
        <f>TRUNC(T256*(1-LOTE_01!$K$10),2)</f>
        <v>6.95</v>
      </c>
      <c r="J256" s="100">
        <f t="shared" si="30"/>
        <v>0.22470000000000001</v>
      </c>
      <c r="K256" s="48">
        <f t="shared" si="24"/>
        <v>54.35</v>
      </c>
      <c r="L256" s="48">
        <f t="shared" si="25"/>
        <v>8.51</v>
      </c>
      <c r="M256" s="48">
        <f t="shared" si="26"/>
        <v>69568</v>
      </c>
      <c r="N256" s="48">
        <f t="shared" si="27"/>
        <v>10892.8</v>
      </c>
      <c r="O256" s="50">
        <f t="shared" si="28"/>
        <v>80460.800000000003</v>
      </c>
      <c r="P256" s="50">
        <v>0</v>
      </c>
      <c r="Q256" s="76"/>
      <c r="R256" s="140">
        <f>IF((10*S9+200*S10)&gt;5000,5000,(10*S9+200*S10))</f>
        <v>1280</v>
      </c>
      <c r="S256" s="79">
        <v>44.379999999999995</v>
      </c>
      <c r="T256" s="80">
        <v>6.95</v>
      </c>
    </row>
    <row r="257" spans="2:20" ht="84">
      <c r="B257" s="5" t="s">
        <v>628</v>
      </c>
      <c r="C257" s="45" t="s">
        <v>135</v>
      </c>
      <c r="D257" s="45">
        <v>94207</v>
      </c>
      <c r="E257" s="6" t="s">
        <v>629</v>
      </c>
      <c r="F257" s="45" t="s">
        <v>121</v>
      </c>
      <c r="G257" s="46">
        <f t="shared" si="29"/>
        <v>1000</v>
      </c>
      <c r="H257" s="46">
        <f>TRUNC(S257*(1-LOTE_01!$K$10),2)</f>
        <v>75.2</v>
      </c>
      <c r="I257" s="46">
        <f>TRUNC(T257*(1-LOTE_01!$K$10),2)</f>
        <v>4.78</v>
      </c>
      <c r="J257" s="100">
        <f t="shared" si="30"/>
        <v>0.22470000000000001</v>
      </c>
      <c r="K257" s="48">
        <f t="shared" si="24"/>
        <v>92.09</v>
      </c>
      <c r="L257" s="48">
        <f t="shared" si="25"/>
        <v>5.85</v>
      </c>
      <c r="M257" s="48">
        <f t="shared" si="26"/>
        <v>92090</v>
      </c>
      <c r="N257" s="48">
        <f t="shared" si="27"/>
        <v>5850</v>
      </c>
      <c r="O257" s="50">
        <f t="shared" si="28"/>
        <v>97940</v>
      </c>
      <c r="P257" s="50">
        <v>0</v>
      </c>
      <c r="Q257" s="76"/>
      <c r="R257" s="140">
        <f>IF((10*S9+200*S10)&gt;1000,1000,(10*S9+200*S10))</f>
        <v>1000</v>
      </c>
      <c r="S257" s="79">
        <v>75.2</v>
      </c>
      <c r="T257" s="80">
        <v>4.78</v>
      </c>
    </row>
    <row r="258" spans="2:20" ht="42">
      <c r="B258" s="5" t="s">
        <v>630</v>
      </c>
      <c r="C258" s="45" t="s">
        <v>135</v>
      </c>
      <c r="D258" s="45">
        <v>94216</v>
      </c>
      <c r="E258" s="6" t="s">
        <v>631</v>
      </c>
      <c r="F258" s="45" t="s">
        <v>121</v>
      </c>
      <c r="G258" s="46">
        <f t="shared" si="29"/>
        <v>1000</v>
      </c>
      <c r="H258" s="46">
        <f>TRUNC(S258*(1-LOTE_01!$K$10),2)</f>
        <v>210.88</v>
      </c>
      <c r="I258" s="46">
        <f>TRUNC(T258*(1-LOTE_01!$K$10),2)</f>
        <v>2.1</v>
      </c>
      <c r="J258" s="100">
        <f t="shared" si="30"/>
        <v>0.22470000000000001</v>
      </c>
      <c r="K258" s="48">
        <f t="shared" si="24"/>
        <v>258.26</v>
      </c>
      <c r="L258" s="48">
        <f t="shared" si="25"/>
        <v>2.57</v>
      </c>
      <c r="M258" s="48">
        <f t="shared" si="26"/>
        <v>258260</v>
      </c>
      <c r="N258" s="48">
        <f t="shared" si="27"/>
        <v>2570</v>
      </c>
      <c r="O258" s="50">
        <f t="shared" si="28"/>
        <v>260830</v>
      </c>
      <c r="P258" s="50">
        <v>0</v>
      </c>
      <c r="Q258" s="76"/>
      <c r="R258" s="140">
        <f>IF((10*S9+200*S10)&gt;1000,1000,(10*S9+200*S10))</f>
        <v>1000</v>
      </c>
      <c r="S258" s="79">
        <v>210.88</v>
      </c>
      <c r="T258" s="80">
        <v>2.1</v>
      </c>
    </row>
    <row r="259" spans="2:20" ht="42">
      <c r="B259" s="5" t="s">
        <v>632</v>
      </c>
      <c r="C259" s="45" t="s">
        <v>135</v>
      </c>
      <c r="D259" s="45">
        <v>94213</v>
      </c>
      <c r="E259" s="6" t="s">
        <v>633</v>
      </c>
      <c r="F259" s="45" t="s">
        <v>121</v>
      </c>
      <c r="G259" s="46">
        <f t="shared" si="29"/>
        <v>1000</v>
      </c>
      <c r="H259" s="46">
        <f>TRUNC(S259*(1-LOTE_01!$K$10),2)</f>
        <v>71.290000000000006</v>
      </c>
      <c r="I259" s="46">
        <f>TRUNC(T259*(1-LOTE_01!$K$10),2)</f>
        <v>3.33</v>
      </c>
      <c r="J259" s="100">
        <f t="shared" si="30"/>
        <v>0.22470000000000001</v>
      </c>
      <c r="K259" s="48">
        <f t="shared" si="24"/>
        <v>87.3</v>
      </c>
      <c r="L259" s="48">
        <f t="shared" si="25"/>
        <v>4.07</v>
      </c>
      <c r="M259" s="48">
        <f t="shared" si="26"/>
        <v>87300</v>
      </c>
      <c r="N259" s="48">
        <f t="shared" si="27"/>
        <v>4070</v>
      </c>
      <c r="O259" s="50">
        <f t="shared" si="28"/>
        <v>91370</v>
      </c>
      <c r="P259" s="50">
        <v>0</v>
      </c>
      <c r="Q259" s="76"/>
      <c r="R259" s="140">
        <f>IF((10*S9+200*S10)&gt;1000,1000,(10*S9+200*S10))</f>
        <v>1000</v>
      </c>
      <c r="S259" s="79">
        <v>71.290000000000006</v>
      </c>
      <c r="T259" s="80">
        <v>3.33</v>
      </c>
    </row>
    <row r="260" spans="2:20" ht="56">
      <c r="B260" s="5" t="s">
        <v>634</v>
      </c>
      <c r="C260" s="45" t="s">
        <v>135</v>
      </c>
      <c r="D260" s="45">
        <v>94227</v>
      </c>
      <c r="E260" s="6" t="s">
        <v>635</v>
      </c>
      <c r="F260" s="45" t="s">
        <v>187</v>
      </c>
      <c r="G260" s="46">
        <f t="shared" si="29"/>
        <v>500</v>
      </c>
      <c r="H260" s="46">
        <f>TRUNC(S260*(1-LOTE_01!$K$10),2)</f>
        <v>55.69</v>
      </c>
      <c r="I260" s="46">
        <f>TRUNC(T260*(1-LOTE_01!$K$10),2)</f>
        <v>9.2100000000000009</v>
      </c>
      <c r="J260" s="100">
        <f t="shared" si="30"/>
        <v>0.22470000000000001</v>
      </c>
      <c r="K260" s="48">
        <f t="shared" si="24"/>
        <v>68.2</v>
      </c>
      <c r="L260" s="48">
        <f t="shared" si="25"/>
        <v>11.27</v>
      </c>
      <c r="M260" s="48">
        <f t="shared" si="26"/>
        <v>34100</v>
      </c>
      <c r="N260" s="48">
        <f t="shared" si="27"/>
        <v>5635</v>
      </c>
      <c r="O260" s="50">
        <f t="shared" si="28"/>
        <v>39735</v>
      </c>
      <c r="P260" s="50">
        <v>0</v>
      </c>
      <c r="Q260" s="76"/>
      <c r="R260" s="140">
        <f>IF((50*S10+50*S9)&gt;500,500,(50*S10+50*S9))</f>
        <v>500</v>
      </c>
      <c r="S260" s="79">
        <v>55.690000000000005</v>
      </c>
      <c r="T260" s="80">
        <v>9.2100000000000009</v>
      </c>
    </row>
    <row r="261" spans="2:20" ht="56">
      <c r="B261" s="5" t="s">
        <v>636</v>
      </c>
      <c r="C261" s="45" t="s">
        <v>135</v>
      </c>
      <c r="D261" s="45">
        <v>94228</v>
      </c>
      <c r="E261" s="6" t="s">
        <v>637</v>
      </c>
      <c r="F261" s="45" t="s">
        <v>187</v>
      </c>
      <c r="G261" s="46">
        <f t="shared" si="29"/>
        <v>460</v>
      </c>
      <c r="H261" s="46">
        <f>TRUNC(S261*(1-LOTE_01!$K$10),2)</f>
        <v>76.650000000000006</v>
      </c>
      <c r="I261" s="46">
        <f>TRUNC(T261*(1-LOTE_01!$K$10),2)</f>
        <v>12.41</v>
      </c>
      <c r="J261" s="100">
        <f t="shared" si="30"/>
        <v>0.22470000000000001</v>
      </c>
      <c r="K261" s="48">
        <f t="shared" si="24"/>
        <v>93.87</v>
      </c>
      <c r="L261" s="48">
        <f t="shared" si="25"/>
        <v>15.19</v>
      </c>
      <c r="M261" s="48">
        <f t="shared" si="26"/>
        <v>43180.2</v>
      </c>
      <c r="N261" s="48">
        <f t="shared" si="27"/>
        <v>6987.4</v>
      </c>
      <c r="O261" s="50">
        <f t="shared" si="28"/>
        <v>50167.6</v>
      </c>
      <c r="P261" s="50">
        <v>0</v>
      </c>
      <c r="Q261" s="76"/>
      <c r="R261" s="140">
        <f>IF((50*S10+20*S9)&gt;500,500,(50*S10+20*S9))</f>
        <v>460</v>
      </c>
      <c r="S261" s="79">
        <v>76.650000000000006</v>
      </c>
      <c r="T261" s="80">
        <v>12.41</v>
      </c>
    </row>
    <row r="262" spans="2:20" ht="56">
      <c r="B262" s="5" t="s">
        <v>638</v>
      </c>
      <c r="C262" s="45" t="s">
        <v>135</v>
      </c>
      <c r="D262" s="45">
        <v>94229</v>
      </c>
      <c r="E262" s="6" t="s">
        <v>639</v>
      </c>
      <c r="F262" s="45" t="s">
        <v>187</v>
      </c>
      <c r="G262" s="46">
        <f t="shared" si="29"/>
        <v>460</v>
      </c>
      <c r="H262" s="46">
        <f>TRUNC(S262*(1-LOTE_01!$K$10),2)</f>
        <v>149.62</v>
      </c>
      <c r="I262" s="46">
        <f>TRUNC(T262*(1-LOTE_01!$K$10),2)</f>
        <v>21.76</v>
      </c>
      <c r="J262" s="100">
        <f t="shared" si="30"/>
        <v>0.22470000000000001</v>
      </c>
      <c r="K262" s="48">
        <f t="shared" si="24"/>
        <v>183.23</v>
      </c>
      <c r="L262" s="48">
        <f t="shared" si="25"/>
        <v>26.64</v>
      </c>
      <c r="M262" s="48">
        <f t="shared" si="26"/>
        <v>84285.8</v>
      </c>
      <c r="N262" s="48">
        <f t="shared" si="27"/>
        <v>12254.4</v>
      </c>
      <c r="O262" s="50">
        <f t="shared" si="28"/>
        <v>96540.2</v>
      </c>
      <c r="P262" s="50">
        <v>0</v>
      </c>
      <c r="Q262" s="76"/>
      <c r="R262" s="140">
        <f>IF((50*S10+20*S9)&gt;500,500,(50*S10+20*S9))</f>
        <v>460</v>
      </c>
      <c r="S262" s="79">
        <v>149.62</v>
      </c>
      <c r="T262" s="80">
        <v>21.76</v>
      </c>
    </row>
    <row r="263" spans="2:20" ht="56">
      <c r="B263" s="5" t="s">
        <v>640</v>
      </c>
      <c r="C263" s="45" t="s">
        <v>135</v>
      </c>
      <c r="D263" s="45">
        <v>94223</v>
      </c>
      <c r="E263" s="6" t="s">
        <v>641</v>
      </c>
      <c r="F263" s="45" t="s">
        <v>187</v>
      </c>
      <c r="G263" s="46">
        <f t="shared" si="29"/>
        <v>500</v>
      </c>
      <c r="H263" s="46">
        <f>TRUNC(S263*(1-LOTE_01!$K$10),2)</f>
        <v>132.24</v>
      </c>
      <c r="I263" s="46">
        <f>TRUNC(T263*(1-LOTE_01!$K$10),2)</f>
        <v>2.31</v>
      </c>
      <c r="J263" s="100">
        <f t="shared" si="30"/>
        <v>0.22470000000000001</v>
      </c>
      <c r="K263" s="48">
        <f t="shared" si="24"/>
        <v>161.94999999999999</v>
      </c>
      <c r="L263" s="48">
        <f t="shared" si="25"/>
        <v>2.82</v>
      </c>
      <c r="M263" s="48">
        <f t="shared" si="26"/>
        <v>80975</v>
      </c>
      <c r="N263" s="48">
        <f t="shared" si="27"/>
        <v>1410</v>
      </c>
      <c r="O263" s="50">
        <f t="shared" si="28"/>
        <v>82385</v>
      </c>
      <c r="P263" s="50">
        <v>0</v>
      </c>
      <c r="Q263" s="76"/>
      <c r="R263" s="140">
        <f>IF((50*S10+50*S9)&gt;500,500,(50*S10+50*S9))</f>
        <v>500</v>
      </c>
      <c r="S263" s="79">
        <v>132.24</v>
      </c>
      <c r="T263" s="80">
        <v>2.31</v>
      </c>
    </row>
    <row r="264" spans="2:20" ht="28">
      <c r="B264" s="5" t="s">
        <v>642</v>
      </c>
      <c r="C264" s="45" t="s">
        <v>165</v>
      </c>
      <c r="D264" s="45" t="s">
        <v>643</v>
      </c>
      <c r="E264" s="6" t="s">
        <v>644</v>
      </c>
      <c r="F264" s="45" t="s">
        <v>531</v>
      </c>
      <c r="G264" s="46">
        <f t="shared" si="29"/>
        <v>500</v>
      </c>
      <c r="H264" s="46">
        <f>TRUNC(S264*(1-LOTE_01!$K$10),2)</f>
        <v>119.54</v>
      </c>
      <c r="I264" s="46">
        <f>TRUNC(T264*(1-LOTE_01!$K$10),2)</f>
        <v>3.83</v>
      </c>
      <c r="J264" s="100">
        <f t="shared" si="30"/>
        <v>0.22470000000000001</v>
      </c>
      <c r="K264" s="48">
        <f t="shared" si="24"/>
        <v>146.4</v>
      </c>
      <c r="L264" s="48">
        <f t="shared" si="25"/>
        <v>4.6900000000000004</v>
      </c>
      <c r="M264" s="48">
        <f t="shared" si="26"/>
        <v>73200</v>
      </c>
      <c r="N264" s="48">
        <f t="shared" si="27"/>
        <v>2345</v>
      </c>
      <c r="O264" s="50">
        <f t="shared" si="28"/>
        <v>75545</v>
      </c>
      <c r="P264" s="50">
        <v>0</v>
      </c>
      <c r="Q264" s="76"/>
      <c r="R264" s="140">
        <f>IF((50*S10+50*S9)&gt;500,500,(50*S10+50*S9))</f>
        <v>500</v>
      </c>
      <c r="S264" s="79">
        <v>119.54</v>
      </c>
      <c r="T264" s="80">
        <v>3.83</v>
      </c>
    </row>
    <row r="265" spans="2:20" ht="28">
      <c r="B265" s="5" t="s">
        <v>645</v>
      </c>
      <c r="C265" s="45" t="s">
        <v>97</v>
      </c>
      <c r="D265" s="45" t="s">
        <v>646</v>
      </c>
      <c r="E265" s="6" t="s">
        <v>647</v>
      </c>
      <c r="F265" s="45" t="s">
        <v>187</v>
      </c>
      <c r="G265" s="46">
        <f t="shared" si="29"/>
        <v>500</v>
      </c>
      <c r="H265" s="46">
        <f>TRUNC(S265*(1-LOTE_01!$K$10),2)</f>
        <v>61.78</v>
      </c>
      <c r="I265" s="46">
        <f>TRUNC(T265*(1-LOTE_01!$K$10),2)</f>
        <v>4.8099999999999996</v>
      </c>
      <c r="J265" s="100">
        <f t="shared" si="30"/>
        <v>0.22470000000000001</v>
      </c>
      <c r="K265" s="48">
        <f t="shared" si="24"/>
        <v>75.66</v>
      </c>
      <c r="L265" s="48">
        <f t="shared" si="25"/>
        <v>5.89</v>
      </c>
      <c r="M265" s="48">
        <f t="shared" si="26"/>
        <v>37830</v>
      </c>
      <c r="N265" s="48">
        <f t="shared" si="27"/>
        <v>2945</v>
      </c>
      <c r="O265" s="50">
        <f t="shared" si="28"/>
        <v>40775</v>
      </c>
      <c r="P265" s="50">
        <v>0</v>
      </c>
      <c r="Q265" s="76"/>
      <c r="R265" s="140">
        <f>IF((50*S10+50*S9)&gt;500,500,(50*S10+50*S9))</f>
        <v>500</v>
      </c>
      <c r="S265" s="79">
        <v>61.78</v>
      </c>
      <c r="T265" s="80">
        <v>4.8099999999999996</v>
      </c>
    </row>
    <row r="266" spans="2:20" ht="56">
      <c r="B266" s="5" t="s">
        <v>648</v>
      </c>
      <c r="C266" s="45" t="s">
        <v>135</v>
      </c>
      <c r="D266" s="45">
        <v>100327</v>
      </c>
      <c r="E266" s="6" t="s">
        <v>649</v>
      </c>
      <c r="F266" s="45" t="s">
        <v>187</v>
      </c>
      <c r="G266" s="46">
        <f t="shared" si="29"/>
        <v>500</v>
      </c>
      <c r="H266" s="46">
        <f>TRUNC(S266*(1-LOTE_01!$K$10),2)</f>
        <v>52.74</v>
      </c>
      <c r="I266" s="46">
        <f>TRUNC(T266*(1-LOTE_01!$K$10),2)</f>
        <v>7.62</v>
      </c>
      <c r="J266" s="100">
        <f t="shared" si="30"/>
        <v>0.22470000000000001</v>
      </c>
      <c r="K266" s="48">
        <f t="shared" si="24"/>
        <v>64.59</v>
      </c>
      <c r="L266" s="48">
        <f t="shared" si="25"/>
        <v>9.33</v>
      </c>
      <c r="M266" s="48">
        <f t="shared" si="26"/>
        <v>32295</v>
      </c>
      <c r="N266" s="48">
        <f t="shared" si="27"/>
        <v>4665</v>
      </c>
      <c r="O266" s="50">
        <f t="shared" si="28"/>
        <v>36960</v>
      </c>
      <c r="P266" s="50">
        <v>0</v>
      </c>
      <c r="Q266" s="76"/>
      <c r="R266" s="140">
        <f>IF((50*S10+50*S9)&gt;500,500,(50*S10+50*S9))</f>
        <v>500</v>
      </c>
      <c r="S266" s="79">
        <v>52.74</v>
      </c>
      <c r="T266" s="80">
        <v>7.62</v>
      </c>
    </row>
    <row r="267" spans="2:20" ht="56">
      <c r="B267" s="5" t="s">
        <v>650</v>
      </c>
      <c r="C267" s="45" t="s">
        <v>135</v>
      </c>
      <c r="D267" s="45">
        <v>100435</v>
      </c>
      <c r="E267" s="6" t="s">
        <v>651</v>
      </c>
      <c r="F267" s="45" t="s">
        <v>187</v>
      </c>
      <c r="G267" s="46">
        <f t="shared" si="29"/>
        <v>500</v>
      </c>
      <c r="H267" s="46">
        <f>TRUNC(S267*(1-LOTE_01!$K$10),2)</f>
        <v>107.95</v>
      </c>
      <c r="I267" s="46">
        <f>TRUNC(T267*(1-LOTE_01!$K$10),2)</f>
        <v>5.27</v>
      </c>
      <c r="J267" s="100">
        <f t="shared" si="30"/>
        <v>0.22470000000000001</v>
      </c>
      <c r="K267" s="48">
        <f t="shared" si="24"/>
        <v>132.19999999999999</v>
      </c>
      <c r="L267" s="48">
        <f t="shared" si="25"/>
        <v>6.45</v>
      </c>
      <c r="M267" s="48">
        <f t="shared" si="26"/>
        <v>66100</v>
      </c>
      <c r="N267" s="48">
        <f t="shared" si="27"/>
        <v>3225</v>
      </c>
      <c r="O267" s="50">
        <f t="shared" si="28"/>
        <v>69325</v>
      </c>
      <c r="P267" s="50">
        <v>0</v>
      </c>
      <c r="Q267" s="76"/>
      <c r="R267" s="140">
        <f>IF((50*S10+50*S9)&gt;500,500,(50*S10+50*S9))</f>
        <v>500</v>
      </c>
      <c r="S267" s="79">
        <v>107.95</v>
      </c>
      <c r="T267" s="80">
        <v>5.27</v>
      </c>
    </row>
    <row r="268" spans="2:20" ht="42">
      <c r="B268" s="5" t="s">
        <v>652</v>
      </c>
      <c r="C268" s="45" t="s">
        <v>135</v>
      </c>
      <c r="D268" s="45">
        <v>94231</v>
      </c>
      <c r="E268" s="6" t="s">
        <v>653</v>
      </c>
      <c r="F268" s="45" t="s">
        <v>187</v>
      </c>
      <c r="G268" s="46">
        <f t="shared" si="29"/>
        <v>500</v>
      </c>
      <c r="H268" s="46">
        <f>TRUNC(S268*(1-LOTE_01!$K$10),2)</f>
        <v>46.2</v>
      </c>
      <c r="I268" s="46">
        <f>TRUNC(T268*(1-LOTE_01!$K$10),2)</f>
        <v>6.47</v>
      </c>
      <c r="J268" s="100">
        <f t="shared" si="30"/>
        <v>0.22470000000000001</v>
      </c>
      <c r="K268" s="48">
        <f t="shared" si="24"/>
        <v>56.58</v>
      </c>
      <c r="L268" s="48">
        <f t="shared" si="25"/>
        <v>7.92</v>
      </c>
      <c r="M268" s="48">
        <f t="shared" si="26"/>
        <v>28290</v>
      </c>
      <c r="N268" s="48">
        <f t="shared" si="27"/>
        <v>3960</v>
      </c>
      <c r="O268" s="50">
        <f t="shared" si="28"/>
        <v>32250</v>
      </c>
      <c r="P268" s="50">
        <v>0</v>
      </c>
      <c r="Q268" s="76"/>
      <c r="R268" s="140">
        <f>IF((50*S10+50*S9)&gt;500,500,(50*S10+50*S9))</f>
        <v>500</v>
      </c>
      <c r="S268" s="79">
        <v>46.2</v>
      </c>
      <c r="T268" s="80">
        <v>6.47</v>
      </c>
    </row>
    <row r="269" spans="2:20" ht="28">
      <c r="B269" s="5" t="s">
        <v>654</v>
      </c>
      <c r="C269" s="45" t="s">
        <v>97</v>
      </c>
      <c r="D269" s="45" t="s">
        <v>655</v>
      </c>
      <c r="E269" s="6" t="s">
        <v>656</v>
      </c>
      <c r="F269" s="45" t="s">
        <v>161</v>
      </c>
      <c r="G269" s="46">
        <f t="shared" si="29"/>
        <v>20</v>
      </c>
      <c r="H269" s="46">
        <f>TRUNC(S269*(1-LOTE_01!$K$10),2)</f>
        <v>3179.28</v>
      </c>
      <c r="I269" s="46">
        <f>TRUNC(T269*(1-LOTE_01!$K$10),2)</f>
        <v>842.59</v>
      </c>
      <c r="J269" s="100">
        <f t="shared" si="30"/>
        <v>0.22470000000000001</v>
      </c>
      <c r="K269" s="48">
        <f t="shared" si="24"/>
        <v>3893.66</v>
      </c>
      <c r="L269" s="48">
        <f t="shared" si="25"/>
        <v>1031.9100000000001</v>
      </c>
      <c r="M269" s="48">
        <f t="shared" si="26"/>
        <v>77873.2</v>
      </c>
      <c r="N269" s="48">
        <f t="shared" si="27"/>
        <v>20638.2</v>
      </c>
      <c r="O269" s="50">
        <f t="shared" si="28"/>
        <v>98511.4</v>
      </c>
      <c r="P269" s="50">
        <v>0</v>
      </c>
      <c r="Q269" s="76"/>
      <c r="R269" s="140">
        <f>IF((S9+2*S10)&gt;50,50,(S9+2*S10))</f>
        <v>20</v>
      </c>
      <c r="S269" s="79">
        <v>3179.28</v>
      </c>
      <c r="T269" s="80">
        <v>842.59</v>
      </c>
    </row>
    <row r="270" spans="2:20" ht="56">
      <c r="B270" s="5" t="s">
        <v>657</v>
      </c>
      <c r="C270" s="45" t="s">
        <v>135</v>
      </c>
      <c r="D270" s="45">
        <v>98562</v>
      </c>
      <c r="E270" s="6" t="s">
        <v>658</v>
      </c>
      <c r="F270" s="45" t="s">
        <v>121</v>
      </c>
      <c r="G270" s="46">
        <f t="shared" si="29"/>
        <v>700</v>
      </c>
      <c r="H270" s="46">
        <f>TRUNC(S270*(1-LOTE_01!$K$10),2)</f>
        <v>31.59</v>
      </c>
      <c r="I270" s="46">
        <f>TRUNC(T270*(1-LOTE_01!$K$10),2)</f>
        <v>27.19</v>
      </c>
      <c r="J270" s="100">
        <f t="shared" si="30"/>
        <v>0.22470000000000001</v>
      </c>
      <c r="K270" s="48">
        <f t="shared" si="24"/>
        <v>38.68</v>
      </c>
      <c r="L270" s="48">
        <f t="shared" si="25"/>
        <v>33.29</v>
      </c>
      <c r="M270" s="48">
        <f t="shared" si="26"/>
        <v>27076</v>
      </c>
      <c r="N270" s="48">
        <f t="shared" si="27"/>
        <v>23303</v>
      </c>
      <c r="O270" s="50">
        <f t="shared" si="28"/>
        <v>50379</v>
      </c>
      <c r="P270" s="50">
        <v>0</v>
      </c>
      <c r="Q270" s="76"/>
      <c r="R270" s="140">
        <f>50*S9+50*S10</f>
        <v>700</v>
      </c>
      <c r="S270" s="79">
        <v>31.59</v>
      </c>
      <c r="T270" s="80">
        <v>27.19</v>
      </c>
    </row>
    <row r="271" spans="2:20" ht="56">
      <c r="B271" s="5" t="s">
        <v>659</v>
      </c>
      <c r="C271" s="45" t="s">
        <v>135</v>
      </c>
      <c r="D271" s="45">
        <v>98555</v>
      </c>
      <c r="E271" s="6" t="s">
        <v>660</v>
      </c>
      <c r="F271" s="45" t="s">
        <v>121</v>
      </c>
      <c r="G271" s="46">
        <f t="shared" si="29"/>
        <v>1400</v>
      </c>
      <c r="H271" s="46">
        <f>TRUNC(S271*(1-LOTE_01!$K$10),2)</f>
        <v>19.760000000000002</v>
      </c>
      <c r="I271" s="46">
        <f>TRUNC(T271*(1-LOTE_01!$K$10),2)</f>
        <v>15.1</v>
      </c>
      <c r="J271" s="100">
        <f t="shared" si="30"/>
        <v>0.22470000000000001</v>
      </c>
      <c r="K271" s="48">
        <f t="shared" si="24"/>
        <v>24.2</v>
      </c>
      <c r="L271" s="48">
        <f t="shared" si="25"/>
        <v>18.489999999999998</v>
      </c>
      <c r="M271" s="48">
        <f t="shared" si="26"/>
        <v>33880</v>
      </c>
      <c r="N271" s="48">
        <f t="shared" si="27"/>
        <v>25886</v>
      </c>
      <c r="O271" s="50">
        <f t="shared" si="28"/>
        <v>59766</v>
      </c>
      <c r="P271" s="50">
        <v>0</v>
      </c>
      <c r="Q271" s="76"/>
      <c r="R271" s="140">
        <f>100*S9+100*S10</f>
        <v>1400</v>
      </c>
      <c r="S271" s="79">
        <v>19.759999999999998</v>
      </c>
      <c r="T271" s="80">
        <v>15.1</v>
      </c>
    </row>
    <row r="272" spans="2:20" ht="70">
      <c r="B272" s="5" t="s">
        <v>661</v>
      </c>
      <c r="C272" s="45" t="s">
        <v>135</v>
      </c>
      <c r="D272" s="45">
        <v>98556</v>
      </c>
      <c r="E272" s="6" t="s">
        <v>1809</v>
      </c>
      <c r="F272" s="45" t="s">
        <v>121</v>
      </c>
      <c r="G272" s="46">
        <f t="shared" si="29"/>
        <v>1400</v>
      </c>
      <c r="H272" s="46">
        <f>TRUNC(S272*(1-LOTE_01!$K$10),2)</f>
        <v>38.950000000000003</v>
      </c>
      <c r="I272" s="46">
        <f>TRUNC(T272*(1-LOTE_01!$K$10),2)</f>
        <v>24.67</v>
      </c>
      <c r="J272" s="100">
        <f t="shared" si="30"/>
        <v>0.22470000000000001</v>
      </c>
      <c r="K272" s="48">
        <f t="shared" ref="K272:K335" si="31">TRUNC(H272*(1+J272),2)</f>
        <v>47.7</v>
      </c>
      <c r="L272" s="48">
        <f t="shared" ref="L272:L335" si="32">TRUNC(I272*(1+J272),2)</f>
        <v>30.21</v>
      </c>
      <c r="M272" s="48">
        <f t="shared" ref="M272:M335" si="33">TRUNC(K272*G272,2)</f>
        <v>66780</v>
      </c>
      <c r="N272" s="48">
        <f t="shared" ref="N272:N335" si="34">TRUNC(L272*G272,2)</f>
        <v>42294</v>
      </c>
      <c r="O272" s="50">
        <f t="shared" ref="O272:O335" si="35">TRUNC(M272+N272,2)</f>
        <v>109074</v>
      </c>
      <c r="P272" s="50">
        <v>0</v>
      </c>
      <c r="Q272" s="76"/>
      <c r="R272" s="140">
        <f>100*S9+100*S10</f>
        <v>1400</v>
      </c>
      <c r="S272" s="79">
        <v>38.949999999999996</v>
      </c>
      <c r="T272" s="80">
        <v>24.67</v>
      </c>
    </row>
    <row r="273" spans="2:20" ht="56">
      <c r="B273" s="5" t="s">
        <v>662</v>
      </c>
      <c r="C273" s="45" t="s">
        <v>135</v>
      </c>
      <c r="D273" s="45">
        <v>98547</v>
      </c>
      <c r="E273" s="6" t="s">
        <v>663</v>
      </c>
      <c r="F273" s="45" t="s">
        <v>121</v>
      </c>
      <c r="G273" s="46">
        <f t="shared" si="29"/>
        <v>1400</v>
      </c>
      <c r="H273" s="46">
        <f>TRUNC(S273*(1-LOTE_01!$K$10),2)</f>
        <v>179.59</v>
      </c>
      <c r="I273" s="46">
        <f>TRUNC(T273*(1-LOTE_01!$K$10),2)</f>
        <v>36.47</v>
      </c>
      <c r="J273" s="100">
        <f t="shared" si="30"/>
        <v>0.22470000000000001</v>
      </c>
      <c r="K273" s="48">
        <f t="shared" si="31"/>
        <v>219.94</v>
      </c>
      <c r="L273" s="48">
        <f t="shared" si="32"/>
        <v>44.66</v>
      </c>
      <c r="M273" s="48">
        <f t="shared" si="33"/>
        <v>307916</v>
      </c>
      <c r="N273" s="48">
        <f t="shared" si="34"/>
        <v>62524</v>
      </c>
      <c r="O273" s="50">
        <f t="shared" si="35"/>
        <v>370440</v>
      </c>
      <c r="P273" s="50">
        <v>0</v>
      </c>
      <c r="Q273" s="76"/>
      <c r="R273" s="140">
        <f>100*S9+100*S10</f>
        <v>1400</v>
      </c>
      <c r="S273" s="79">
        <v>179.59</v>
      </c>
      <c r="T273" s="80">
        <v>36.47</v>
      </c>
    </row>
    <row r="274" spans="2:20" ht="42">
      <c r="B274" s="5" t="s">
        <v>664</v>
      </c>
      <c r="C274" s="45" t="s">
        <v>135</v>
      </c>
      <c r="D274" s="45">
        <v>98553</v>
      </c>
      <c r="E274" s="6" t="s">
        <v>665</v>
      </c>
      <c r="F274" s="45" t="s">
        <v>121</v>
      </c>
      <c r="G274" s="46">
        <f t="shared" ref="G274:G337" si="36">TRUNC(R274,2)</f>
        <v>1400</v>
      </c>
      <c r="H274" s="46">
        <f>TRUNC(S274*(1-LOTE_01!$K$10),2)</f>
        <v>163.19</v>
      </c>
      <c r="I274" s="46">
        <f>TRUNC(T274*(1-LOTE_01!$K$10),2)</f>
        <v>12.15</v>
      </c>
      <c r="J274" s="100">
        <f t="shared" ref="J274:J337" si="37">$J$4</f>
        <v>0.22470000000000001</v>
      </c>
      <c r="K274" s="48">
        <f t="shared" si="31"/>
        <v>199.85</v>
      </c>
      <c r="L274" s="48">
        <f t="shared" si="32"/>
        <v>14.88</v>
      </c>
      <c r="M274" s="48">
        <f t="shared" si="33"/>
        <v>279790</v>
      </c>
      <c r="N274" s="48">
        <f t="shared" si="34"/>
        <v>20832</v>
      </c>
      <c r="O274" s="50">
        <f t="shared" si="35"/>
        <v>300622</v>
      </c>
      <c r="P274" s="50">
        <v>0</v>
      </c>
      <c r="Q274" s="76"/>
      <c r="R274" s="140">
        <f>100*S9+100*S10</f>
        <v>1400</v>
      </c>
      <c r="S274" s="79">
        <v>163.19</v>
      </c>
      <c r="T274" s="80">
        <v>12.15</v>
      </c>
    </row>
    <row r="275" spans="2:20" ht="42">
      <c r="B275" s="5" t="s">
        <v>666</v>
      </c>
      <c r="C275" s="45" t="s">
        <v>135</v>
      </c>
      <c r="D275" s="45">
        <v>98557</v>
      </c>
      <c r="E275" s="6" t="s">
        <v>667</v>
      </c>
      <c r="F275" s="45" t="s">
        <v>121</v>
      </c>
      <c r="G275" s="46">
        <f t="shared" si="36"/>
        <v>1400</v>
      </c>
      <c r="H275" s="46">
        <f>TRUNC(S275*(1-LOTE_01!$K$10),2)</f>
        <v>31.32</v>
      </c>
      <c r="I275" s="46">
        <f>TRUNC(T275*(1-LOTE_01!$K$10),2)</f>
        <v>9.2899999999999991</v>
      </c>
      <c r="J275" s="100">
        <f t="shared" si="37"/>
        <v>0.22470000000000001</v>
      </c>
      <c r="K275" s="48">
        <f t="shared" si="31"/>
        <v>38.35</v>
      </c>
      <c r="L275" s="48">
        <f t="shared" si="32"/>
        <v>11.37</v>
      </c>
      <c r="M275" s="48">
        <f t="shared" si="33"/>
        <v>53690</v>
      </c>
      <c r="N275" s="48">
        <f t="shared" si="34"/>
        <v>15918</v>
      </c>
      <c r="O275" s="50">
        <f t="shared" si="35"/>
        <v>69608</v>
      </c>
      <c r="P275" s="50">
        <v>0</v>
      </c>
      <c r="Q275" s="76"/>
      <c r="R275" s="140">
        <f>100*S9+100*S10</f>
        <v>1400</v>
      </c>
      <c r="S275" s="79">
        <v>31.32</v>
      </c>
      <c r="T275" s="80">
        <v>9.2899999999999991</v>
      </c>
    </row>
    <row r="276" spans="2:20" ht="42">
      <c r="B276" s="5" t="s">
        <v>668</v>
      </c>
      <c r="C276" s="45" t="s">
        <v>135</v>
      </c>
      <c r="D276" s="45">
        <v>98554</v>
      </c>
      <c r="E276" s="6" t="s">
        <v>669</v>
      </c>
      <c r="F276" s="45" t="s">
        <v>121</v>
      </c>
      <c r="G276" s="46">
        <f t="shared" si="36"/>
        <v>1400</v>
      </c>
      <c r="H276" s="46">
        <f>TRUNC(S276*(1-LOTE_01!$K$10),2)</f>
        <v>35.78</v>
      </c>
      <c r="I276" s="46">
        <f>TRUNC(T276*(1-LOTE_01!$K$10),2)</f>
        <v>13.96</v>
      </c>
      <c r="J276" s="100">
        <f t="shared" si="37"/>
        <v>0.22470000000000001</v>
      </c>
      <c r="K276" s="48">
        <f t="shared" si="31"/>
        <v>43.81</v>
      </c>
      <c r="L276" s="48">
        <f t="shared" si="32"/>
        <v>17.09</v>
      </c>
      <c r="M276" s="48">
        <f t="shared" si="33"/>
        <v>61334</v>
      </c>
      <c r="N276" s="48">
        <f t="shared" si="34"/>
        <v>23926</v>
      </c>
      <c r="O276" s="50">
        <f t="shared" si="35"/>
        <v>85260</v>
      </c>
      <c r="P276" s="50">
        <v>0</v>
      </c>
      <c r="Q276" s="76"/>
      <c r="R276" s="140">
        <f>100*S9+100*S10</f>
        <v>1400</v>
      </c>
      <c r="S276" s="79">
        <v>35.78</v>
      </c>
      <c r="T276" s="80">
        <v>13.96</v>
      </c>
    </row>
    <row r="277" spans="2:20" ht="28">
      <c r="B277" s="5" t="s">
        <v>670</v>
      </c>
      <c r="C277" s="45" t="s">
        <v>165</v>
      </c>
      <c r="D277" s="45" t="s">
        <v>671</v>
      </c>
      <c r="E277" s="6" t="s">
        <v>672</v>
      </c>
      <c r="F277" s="45" t="s">
        <v>531</v>
      </c>
      <c r="G277" s="46">
        <f t="shared" si="36"/>
        <v>700</v>
      </c>
      <c r="H277" s="46">
        <f>TRUNC(S277*(1-LOTE_01!$K$10),2)</f>
        <v>17.25</v>
      </c>
      <c r="I277" s="46">
        <f>TRUNC(T277*(1-LOTE_01!$K$10),2)</f>
        <v>5.27</v>
      </c>
      <c r="J277" s="100">
        <f t="shared" si="37"/>
        <v>0.22470000000000001</v>
      </c>
      <c r="K277" s="48">
        <f t="shared" si="31"/>
        <v>21.12</v>
      </c>
      <c r="L277" s="48">
        <f t="shared" si="32"/>
        <v>6.45</v>
      </c>
      <c r="M277" s="48">
        <f t="shared" si="33"/>
        <v>14784</v>
      </c>
      <c r="N277" s="48">
        <f t="shared" si="34"/>
        <v>4515</v>
      </c>
      <c r="O277" s="50">
        <f t="shared" si="35"/>
        <v>19299</v>
      </c>
      <c r="P277" s="50">
        <v>0</v>
      </c>
      <c r="Q277" s="76"/>
      <c r="R277" s="140">
        <f>50*S9+50*S10</f>
        <v>700</v>
      </c>
      <c r="S277" s="79">
        <v>17.25</v>
      </c>
      <c r="T277" s="80">
        <v>5.27</v>
      </c>
    </row>
    <row r="278" spans="2:20" ht="42">
      <c r="B278" s="5" t="s">
        <v>673</v>
      </c>
      <c r="C278" s="45" t="s">
        <v>165</v>
      </c>
      <c r="D278" s="45" t="s">
        <v>674</v>
      </c>
      <c r="E278" s="6" t="s">
        <v>675</v>
      </c>
      <c r="F278" s="45" t="s">
        <v>168</v>
      </c>
      <c r="G278" s="46">
        <f t="shared" si="36"/>
        <v>700</v>
      </c>
      <c r="H278" s="46">
        <f>TRUNC(S278*(1-LOTE_01!$K$10),2)</f>
        <v>58.1</v>
      </c>
      <c r="I278" s="46">
        <f>TRUNC(T278*(1-LOTE_01!$K$10),2)</f>
        <v>10.93</v>
      </c>
      <c r="J278" s="100">
        <f t="shared" si="37"/>
        <v>0.22470000000000001</v>
      </c>
      <c r="K278" s="48">
        <f t="shared" si="31"/>
        <v>71.150000000000006</v>
      </c>
      <c r="L278" s="48">
        <f t="shared" si="32"/>
        <v>13.38</v>
      </c>
      <c r="M278" s="48">
        <f t="shared" si="33"/>
        <v>49805</v>
      </c>
      <c r="N278" s="48">
        <f t="shared" si="34"/>
        <v>9366</v>
      </c>
      <c r="O278" s="50">
        <f t="shared" si="35"/>
        <v>59171</v>
      </c>
      <c r="P278" s="50">
        <v>0</v>
      </c>
      <c r="Q278" s="76"/>
      <c r="R278" s="140">
        <f>50*S9+50*S10</f>
        <v>700</v>
      </c>
      <c r="S278" s="79">
        <v>58.1</v>
      </c>
      <c r="T278" s="80">
        <v>10.93</v>
      </c>
    </row>
    <row r="279" spans="2:20" ht="42">
      <c r="B279" s="5" t="s">
        <v>676</v>
      </c>
      <c r="C279" s="45" t="s">
        <v>165</v>
      </c>
      <c r="D279" s="45" t="s">
        <v>677</v>
      </c>
      <c r="E279" s="6" t="s">
        <v>678</v>
      </c>
      <c r="F279" s="45" t="s">
        <v>168</v>
      </c>
      <c r="G279" s="46">
        <f t="shared" si="36"/>
        <v>700</v>
      </c>
      <c r="H279" s="46">
        <f>TRUNC(S279*(1-LOTE_01!$K$10),2)</f>
        <v>110.11</v>
      </c>
      <c r="I279" s="46">
        <f>TRUNC(T279*(1-LOTE_01!$K$10),2)</f>
        <v>79.19</v>
      </c>
      <c r="J279" s="100">
        <f t="shared" si="37"/>
        <v>0.22470000000000001</v>
      </c>
      <c r="K279" s="48">
        <f t="shared" si="31"/>
        <v>134.85</v>
      </c>
      <c r="L279" s="48">
        <f t="shared" si="32"/>
        <v>96.98</v>
      </c>
      <c r="M279" s="48">
        <f t="shared" si="33"/>
        <v>94395</v>
      </c>
      <c r="N279" s="48">
        <f t="shared" si="34"/>
        <v>67886</v>
      </c>
      <c r="O279" s="50">
        <f t="shared" si="35"/>
        <v>162281</v>
      </c>
      <c r="P279" s="50">
        <v>0</v>
      </c>
      <c r="Q279" s="76"/>
      <c r="R279" s="140">
        <f>50*S9+50*S10</f>
        <v>700</v>
      </c>
      <c r="S279" s="79">
        <v>110.11</v>
      </c>
      <c r="T279" s="80">
        <v>79.19</v>
      </c>
    </row>
    <row r="280" spans="2:20" ht="28">
      <c r="B280" s="5" t="s">
        <v>679</v>
      </c>
      <c r="C280" s="45" t="s">
        <v>165</v>
      </c>
      <c r="D280" s="45" t="s">
        <v>680</v>
      </c>
      <c r="E280" s="6" t="s">
        <v>681</v>
      </c>
      <c r="F280" s="45" t="s">
        <v>168</v>
      </c>
      <c r="G280" s="46">
        <f t="shared" si="36"/>
        <v>700</v>
      </c>
      <c r="H280" s="46">
        <f>TRUNC(S280*(1-LOTE_01!$K$10),2)</f>
        <v>32.67</v>
      </c>
      <c r="I280" s="46">
        <f>TRUNC(T280*(1-LOTE_01!$K$10),2)</f>
        <v>9.92</v>
      </c>
      <c r="J280" s="100">
        <f t="shared" si="37"/>
        <v>0.22470000000000001</v>
      </c>
      <c r="K280" s="48">
        <f t="shared" si="31"/>
        <v>40.01</v>
      </c>
      <c r="L280" s="48">
        <f t="shared" si="32"/>
        <v>12.14</v>
      </c>
      <c r="M280" s="48">
        <f t="shared" si="33"/>
        <v>28007</v>
      </c>
      <c r="N280" s="48">
        <f t="shared" si="34"/>
        <v>8498</v>
      </c>
      <c r="O280" s="50">
        <f t="shared" si="35"/>
        <v>36505</v>
      </c>
      <c r="P280" s="50">
        <v>0</v>
      </c>
      <c r="Q280" s="76"/>
      <c r="R280" s="140">
        <f>50*S9+50*S10</f>
        <v>700</v>
      </c>
      <c r="S280" s="79">
        <v>32.67</v>
      </c>
      <c r="T280" s="80">
        <v>9.92</v>
      </c>
    </row>
    <row r="281" spans="2:20" ht="42">
      <c r="B281" s="5" t="s">
        <v>682</v>
      </c>
      <c r="C281" s="45" t="s">
        <v>97</v>
      </c>
      <c r="D281" s="45" t="s">
        <v>683</v>
      </c>
      <c r="E281" s="6" t="s">
        <v>684</v>
      </c>
      <c r="F281" s="45" t="s">
        <v>104</v>
      </c>
      <c r="G281" s="46">
        <f t="shared" si="36"/>
        <v>50</v>
      </c>
      <c r="H281" s="46">
        <f>TRUNC(S281*(1-LOTE_01!$K$10),2)</f>
        <v>21.85</v>
      </c>
      <c r="I281" s="46">
        <f>TRUNC(T281*(1-LOTE_01!$K$10),2)</f>
        <v>1.63</v>
      </c>
      <c r="J281" s="100">
        <f t="shared" si="37"/>
        <v>0.22470000000000001</v>
      </c>
      <c r="K281" s="48">
        <f t="shared" si="31"/>
        <v>26.75</v>
      </c>
      <c r="L281" s="48">
        <f t="shared" si="32"/>
        <v>1.99</v>
      </c>
      <c r="M281" s="48">
        <f t="shared" si="33"/>
        <v>1337.5</v>
      </c>
      <c r="N281" s="48">
        <f t="shared" si="34"/>
        <v>99.5</v>
      </c>
      <c r="O281" s="50">
        <f t="shared" si="35"/>
        <v>1437</v>
      </c>
      <c r="P281" s="50">
        <v>0</v>
      </c>
      <c r="Q281" s="76"/>
      <c r="R281" s="140">
        <f>IF((4*S10+4*S9)&gt;50,50,(4*S10+4*S9))</f>
        <v>50</v>
      </c>
      <c r="S281" s="79">
        <v>21.85</v>
      </c>
      <c r="T281" s="80">
        <v>1.63</v>
      </c>
    </row>
    <row r="282" spans="2:20" ht="42">
      <c r="B282" s="5" t="s">
        <v>685</v>
      </c>
      <c r="C282" s="45" t="s">
        <v>97</v>
      </c>
      <c r="D282" s="45" t="s">
        <v>686</v>
      </c>
      <c r="E282" s="6" t="s">
        <v>687</v>
      </c>
      <c r="F282" s="45" t="s">
        <v>121</v>
      </c>
      <c r="G282" s="46">
        <f t="shared" si="36"/>
        <v>1000</v>
      </c>
      <c r="H282" s="46">
        <f>TRUNC(S282*(1-LOTE_01!$K$10),2)</f>
        <v>3.54</v>
      </c>
      <c r="I282" s="46">
        <f>TRUNC(T282*(1-LOTE_01!$K$10),2)</f>
        <v>3.26</v>
      </c>
      <c r="J282" s="100">
        <f t="shared" si="37"/>
        <v>0.22470000000000001</v>
      </c>
      <c r="K282" s="48">
        <f t="shared" si="31"/>
        <v>4.33</v>
      </c>
      <c r="L282" s="48">
        <f t="shared" si="32"/>
        <v>3.99</v>
      </c>
      <c r="M282" s="48">
        <f t="shared" si="33"/>
        <v>4330</v>
      </c>
      <c r="N282" s="48">
        <f t="shared" si="34"/>
        <v>3990</v>
      </c>
      <c r="O282" s="50">
        <f t="shared" si="35"/>
        <v>8320</v>
      </c>
      <c r="P282" s="50">
        <v>0</v>
      </c>
      <c r="Q282" s="76"/>
      <c r="R282" s="140">
        <f>IF((100*S9+100*S10)&gt;1000,1000,(100*S9+100*S10))</f>
        <v>1000</v>
      </c>
      <c r="S282" s="79">
        <v>3.54</v>
      </c>
      <c r="T282" s="80">
        <v>3.26</v>
      </c>
    </row>
    <row r="283" spans="2:20" ht="28">
      <c r="B283" s="5" t="s">
        <v>688</v>
      </c>
      <c r="C283" s="45" t="s">
        <v>97</v>
      </c>
      <c r="D283" s="45" t="s">
        <v>689</v>
      </c>
      <c r="E283" s="6" t="s">
        <v>690</v>
      </c>
      <c r="F283" s="45" t="s">
        <v>187</v>
      </c>
      <c r="G283" s="46">
        <f t="shared" si="36"/>
        <v>500</v>
      </c>
      <c r="H283" s="46">
        <f>TRUNC(S283*(1-LOTE_01!$K$10),2)</f>
        <v>0.71</v>
      </c>
      <c r="I283" s="46">
        <f>TRUNC(T283*(1-LOTE_01!$K$10),2)</f>
        <v>1.53</v>
      </c>
      <c r="J283" s="100">
        <f t="shared" si="37"/>
        <v>0.22470000000000001</v>
      </c>
      <c r="K283" s="48">
        <f t="shared" si="31"/>
        <v>0.86</v>
      </c>
      <c r="L283" s="48">
        <f t="shared" si="32"/>
        <v>1.87</v>
      </c>
      <c r="M283" s="48">
        <f t="shared" si="33"/>
        <v>430</v>
      </c>
      <c r="N283" s="48">
        <f t="shared" si="34"/>
        <v>935</v>
      </c>
      <c r="O283" s="50">
        <f t="shared" si="35"/>
        <v>1365</v>
      </c>
      <c r="P283" s="50">
        <v>0</v>
      </c>
      <c r="Q283" s="76"/>
      <c r="R283" s="140">
        <f>IF((50*S10+50*S9)&gt;500,500,(50*S10+50*S9))</f>
        <v>500</v>
      </c>
      <c r="S283" s="79">
        <v>0.71</v>
      </c>
      <c r="T283" s="80">
        <v>1.53</v>
      </c>
    </row>
    <row r="284" spans="2:20" ht="28">
      <c r="B284" s="5" t="s">
        <v>691</v>
      </c>
      <c r="C284" s="45" t="s">
        <v>97</v>
      </c>
      <c r="D284" s="45" t="s">
        <v>692</v>
      </c>
      <c r="E284" s="6" t="s">
        <v>693</v>
      </c>
      <c r="F284" s="45" t="s">
        <v>104</v>
      </c>
      <c r="G284" s="46">
        <f t="shared" si="36"/>
        <v>140</v>
      </c>
      <c r="H284" s="46">
        <f>TRUNC(S284*(1-LOTE_01!$K$10),2)</f>
        <v>10.19</v>
      </c>
      <c r="I284" s="46">
        <f>TRUNC(T284*(1-LOTE_01!$K$10),2)</f>
        <v>19.29</v>
      </c>
      <c r="J284" s="100">
        <f t="shared" si="37"/>
        <v>0.22470000000000001</v>
      </c>
      <c r="K284" s="48">
        <f t="shared" si="31"/>
        <v>12.47</v>
      </c>
      <c r="L284" s="48">
        <f t="shared" si="32"/>
        <v>23.62</v>
      </c>
      <c r="M284" s="48">
        <f t="shared" si="33"/>
        <v>1745.8</v>
      </c>
      <c r="N284" s="48">
        <f t="shared" si="34"/>
        <v>3306.8</v>
      </c>
      <c r="O284" s="50">
        <f t="shared" si="35"/>
        <v>5052.6000000000004</v>
      </c>
      <c r="P284" s="50">
        <v>0</v>
      </c>
      <c r="Q284" s="76"/>
      <c r="R284" s="140">
        <f>10*S9+10*S10</f>
        <v>140</v>
      </c>
      <c r="S284" s="79">
        <v>10.19</v>
      </c>
      <c r="T284" s="80">
        <v>19.29</v>
      </c>
    </row>
    <row r="285" spans="2:20" ht="28">
      <c r="B285" s="5" t="s">
        <v>694</v>
      </c>
      <c r="C285" s="45" t="s">
        <v>97</v>
      </c>
      <c r="D285" s="45" t="s">
        <v>695</v>
      </c>
      <c r="E285" s="6" t="s">
        <v>696</v>
      </c>
      <c r="F285" s="45" t="s">
        <v>104</v>
      </c>
      <c r="G285" s="46">
        <f t="shared" si="36"/>
        <v>50</v>
      </c>
      <c r="H285" s="46">
        <f>TRUNC(S285*(1-LOTE_01!$K$10),2)</f>
        <v>52.28</v>
      </c>
      <c r="I285" s="46">
        <f>TRUNC(T285*(1-LOTE_01!$K$10),2)</f>
        <v>25.71</v>
      </c>
      <c r="J285" s="100">
        <f t="shared" si="37"/>
        <v>0.22470000000000001</v>
      </c>
      <c r="K285" s="48">
        <f t="shared" si="31"/>
        <v>64.02</v>
      </c>
      <c r="L285" s="48">
        <f t="shared" si="32"/>
        <v>31.48</v>
      </c>
      <c r="M285" s="48">
        <f t="shared" si="33"/>
        <v>3201</v>
      </c>
      <c r="N285" s="48">
        <f t="shared" si="34"/>
        <v>1574</v>
      </c>
      <c r="O285" s="50">
        <f t="shared" si="35"/>
        <v>4775</v>
      </c>
      <c r="P285" s="50">
        <v>0</v>
      </c>
      <c r="Q285" s="76"/>
      <c r="R285" s="140">
        <f>IF((5*S9+5*S10)&gt;50,50,(5*S9+5*S10))</f>
        <v>50</v>
      </c>
      <c r="S285" s="79">
        <v>52.28</v>
      </c>
      <c r="T285" s="80">
        <v>25.71</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542405.18000000005</v>
      </c>
      <c r="Q286" s="76"/>
      <c r="R286" s="154"/>
      <c r="S286" s="79" t="s">
        <v>22</v>
      </c>
      <c r="T286" s="80" t="s">
        <v>22</v>
      </c>
    </row>
    <row r="287" spans="2:20" ht="42">
      <c r="B287" s="5" t="s">
        <v>697</v>
      </c>
      <c r="C287" s="45" t="s">
        <v>135</v>
      </c>
      <c r="D287" s="45">
        <v>101094</v>
      </c>
      <c r="E287" s="6" t="s">
        <v>1810</v>
      </c>
      <c r="F287" s="45" t="s">
        <v>187</v>
      </c>
      <c r="G287" s="46">
        <f t="shared" si="36"/>
        <v>280</v>
      </c>
      <c r="H287" s="46">
        <f>TRUNC(S287*(1-LOTE_01!$K$10),2)</f>
        <v>204.68</v>
      </c>
      <c r="I287" s="46">
        <f>TRUNC(T287*(1-LOTE_01!$K$10),2)</f>
        <v>14.58</v>
      </c>
      <c r="J287" s="100">
        <f t="shared" si="37"/>
        <v>0.22470000000000001</v>
      </c>
      <c r="K287" s="48">
        <f t="shared" si="31"/>
        <v>250.67</v>
      </c>
      <c r="L287" s="48">
        <f t="shared" si="32"/>
        <v>17.850000000000001</v>
      </c>
      <c r="M287" s="48">
        <f t="shared" si="33"/>
        <v>70187.600000000006</v>
      </c>
      <c r="N287" s="48">
        <f t="shared" si="34"/>
        <v>4998</v>
      </c>
      <c r="O287" s="50">
        <f t="shared" si="35"/>
        <v>75185.600000000006</v>
      </c>
      <c r="P287" s="50">
        <v>0</v>
      </c>
      <c r="Q287" s="76"/>
      <c r="R287" s="140">
        <f>20*S9+20*S10</f>
        <v>280</v>
      </c>
      <c r="S287" s="79">
        <v>204.67999999999998</v>
      </c>
      <c r="T287" s="80">
        <v>14.58</v>
      </c>
    </row>
    <row r="288" spans="2:20" ht="28">
      <c r="B288" s="5" t="s">
        <v>698</v>
      </c>
      <c r="C288" s="45" t="s">
        <v>97</v>
      </c>
      <c r="D288" s="45" t="s">
        <v>699</v>
      </c>
      <c r="E288" s="6" t="s">
        <v>700</v>
      </c>
      <c r="F288" s="45" t="s">
        <v>187</v>
      </c>
      <c r="G288" s="46">
        <f t="shared" si="36"/>
        <v>413</v>
      </c>
      <c r="H288" s="46">
        <f>TRUNC(S288*(1-LOTE_01!$K$10),2)</f>
        <v>144.36000000000001</v>
      </c>
      <c r="I288" s="46">
        <f>TRUNC(T288*(1-LOTE_01!$K$10),2)</f>
        <v>21.37</v>
      </c>
      <c r="J288" s="100">
        <f t="shared" si="37"/>
        <v>0.22470000000000001</v>
      </c>
      <c r="K288" s="48">
        <f t="shared" si="31"/>
        <v>176.79</v>
      </c>
      <c r="L288" s="48">
        <f t="shared" si="32"/>
        <v>26.17</v>
      </c>
      <c r="M288" s="48">
        <f t="shared" si="33"/>
        <v>73014.27</v>
      </c>
      <c r="N288" s="48">
        <f t="shared" si="34"/>
        <v>10808.21</v>
      </c>
      <c r="O288" s="50">
        <f t="shared" si="35"/>
        <v>83822.48</v>
      </c>
      <c r="P288" s="50">
        <v>0</v>
      </c>
      <c r="Q288" s="76"/>
      <c r="R288" s="140">
        <f>((28+17+33+40)*0.25)*(S9+S10)</f>
        <v>413</v>
      </c>
      <c r="S288" s="79">
        <v>144.36000000000001</v>
      </c>
      <c r="T288" s="80">
        <v>21.37</v>
      </c>
    </row>
    <row r="289" spans="2:20" ht="28">
      <c r="B289" s="5" t="s">
        <v>701</v>
      </c>
      <c r="C289" s="45" t="s">
        <v>97</v>
      </c>
      <c r="D289" s="45" t="s">
        <v>702</v>
      </c>
      <c r="E289" s="6" t="s">
        <v>703</v>
      </c>
      <c r="F289" s="45" t="s">
        <v>187</v>
      </c>
      <c r="G289" s="46">
        <f t="shared" si="36"/>
        <v>448</v>
      </c>
      <c r="H289" s="46">
        <f>TRUNC(S289*(1-LOTE_01!$K$10),2)</f>
        <v>157.28</v>
      </c>
      <c r="I289" s="46">
        <f>TRUNC(T289*(1-LOTE_01!$K$10),2)</f>
        <v>21.37</v>
      </c>
      <c r="J289" s="100">
        <f t="shared" si="37"/>
        <v>0.22470000000000001</v>
      </c>
      <c r="K289" s="48">
        <f t="shared" si="31"/>
        <v>192.62</v>
      </c>
      <c r="L289" s="48">
        <f t="shared" si="32"/>
        <v>26.17</v>
      </c>
      <c r="M289" s="48">
        <f t="shared" si="33"/>
        <v>86293.759999999995</v>
      </c>
      <c r="N289" s="48">
        <f t="shared" si="34"/>
        <v>11724.16</v>
      </c>
      <c r="O289" s="50">
        <f t="shared" si="35"/>
        <v>98017.919999999998</v>
      </c>
      <c r="P289" s="50">
        <v>0</v>
      </c>
      <c r="Q289" s="76"/>
      <c r="R289" s="140">
        <f>((17+22+60+29)*0.25)*(S9+S10)</f>
        <v>448</v>
      </c>
      <c r="S289" s="79">
        <v>157.28</v>
      </c>
      <c r="T289" s="80">
        <v>21.37</v>
      </c>
    </row>
    <row r="290" spans="2:20" ht="28">
      <c r="B290" s="5" t="s">
        <v>704</v>
      </c>
      <c r="C290" s="45" t="s">
        <v>165</v>
      </c>
      <c r="D290" s="45" t="s">
        <v>705</v>
      </c>
      <c r="E290" s="6" t="s">
        <v>706</v>
      </c>
      <c r="F290" s="45" t="s">
        <v>168</v>
      </c>
      <c r="G290" s="46">
        <f t="shared" si="36"/>
        <v>280</v>
      </c>
      <c r="H290" s="46">
        <f>TRUNC(S290*(1-LOTE_01!$K$10),2)</f>
        <v>130.87</v>
      </c>
      <c r="I290" s="46">
        <f>TRUNC(T290*(1-LOTE_01!$K$10),2)</f>
        <v>21.74</v>
      </c>
      <c r="J290" s="100">
        <f t="shared" si="37"/>
        <v>0.22470000000000001</v>
      </c>
      <c r="K290" s="48">
        <f t="shared" si="31"/>
        <v>160.27000000000001</v>
      </c>
      <c r="L290" s="48">
        <f t="shared" si="32"/>
        <v>26.62</v>
      </c>
      <c r="M290" s="48">
        <f t="shared" si="33"/>
        <v>44875.6</v>
      </c>
      <c r="N290" s="48">
        <f t="shared" si="34"/>
        <v>7453.6</v>
      </c>
      <c r="O290" s="50">
        <f t="shared" si="35"/>
        <v>52329.2</v>
      </c>
      <c r="P290" s="50">
        <v>0</v>
      </c>
      <c r="Q290" s="76"/>
      <c r="R290" s="140">
        <f>20*S9+20*S10</f>
        <v>280</v>
      </c>
      <c r="S290" s="79">
        <v>130.87</v>
      </c>
      <c r="T290" s="80">
        <v>21.74</v>
      </c>
    </row>
    <row r="291" spans="2:20" ht="42">
      <c r="B291" s="5" t="s">
        <v>707</v>
      </c>
      <c r="C291" s="45" t="s">
        <v>135</v>
      </c>
      <c r="D291" s="45">
        <v>104658</v>
      </c>
      <c r="E291" s="6" t="s">
        <v>708</v>
      </c>
      <c r="F291" s="45" t="s">
        <v>121</v>
      </c>
      <c r="G291" s="46">
        <f t="shared" si="36"/>
        <v>280</v>
      </c>
      <c r="H291" s="46">
        <f>TRUNC(S291*(1-LOTE_01!$K$10),2)</f>
        <v>194.79</v>
      </c>
      <c r="I291" s="46">
        <f>TRUNC(T291*(1-LOTE_01!$K$10),2)</f>
        <v>35.18</v>
      </c>
      <c r="J291" s="100">
        <f t="shared" si="37"/>
        <v>0.22470000000000001</v>
      </c>
      <c r="K291" s="48">
        <f t="shared" si="31"/>
        <v>238.55</v>
      </c>
      <c r="L291" s="48">
        <f t="shared" si="32"/>
        <v>43.08</v>
      </c>
      <c r="M291" s="48">
        <f t="shared" si="33"/>
        <v>66794</v>
      </c>
      <c r="N291" s="48">
        <f t="shared" si="34"/>
        <v>12062.4</v>
      </c>
      <c r="O291" s="50">
        <f t="shared" si="35"/>
        <v>78856.399999999994</v>
      </c>
      <c r="P291" s="50">
        <v>0</v>
      </c>
      <c r="Q291" s="76"/>
      <c r="R291" s="140">
        <f>20*S9+20*S10</f>
        <v>280</v>
      </c>
      <c r="S291" s="79">
        <v>194.79</v>
      </c>
      <c r="T291" s="80">
        <v>35.18</v>
      </c>
    </row>
    <row r="292" spans="2:20" ht="84">
      <c r="B292" s="5" t="s">
        <v>709</v>
      </c>
      <c r="C292" s="45" t="s">
        <v>97</v>
      </c>
      <c r="D292" s="45" t="s">
        <v>710</v>
      </c>
      <c r="E292" s="6" t="s">
        <v>711</v>
      </c>
      <c r="F292" s="45" t="s">
        <v>104</v>
      </c>
      <c r="G292" s="46">
        <f t="shared" si="36"/>
        <v>14</v>
      </c>
      <c r="H292" s="46">
        <f>TRUNC(S292*(1-LOTE_01!$K$10),2)</f>
        <v>202.59</v>
      </c>
      <c r="I292" s="46">
        <f>TRUNC(T292*(1-LOTE_01!$K$10),2)</f>
        <v>3.26</v>
      </c>
      <c r="J292" s="100">
        <f t="shared" si="37"/>
        <v>0.22470000000000001</v>
      </c>
      <c r="K292" s="48">
        <f t="shared" si="31"/>
        <v>248.11</v>
      </c>
      <c r="L292" s="48">
        <f t="shared" si="32"/>
        <v>3.99</v>
      </c>
      <c r="M292" s="48">
        <f t="shared" si="33"/>
        <v>3473.54</v>
      </c>
      <c r="N292" s="48">
        <f t="shared" si="34"/>
        <v>55.86</v>
      </c>
      <c r="O292" s="50">
        <f t="shared" si="35"/>
        <v>3529.4</v>
      </c>
      <c r="P292" s="50">
        <v>0</v>
      </c>
      <c r="Q292" s="76"/>
      <c r="R292" s="140">
        <f>1*S9+1*S10</f>
        <v>14</v>
      </c>
      <c r="S292" s="79">
        <v>202.59</v>
      </c>
      <c r="T292" s="80">
        <v>3.26</v>
      </c>
    </row>
    <row r="293" spans="2:20" ht="56">
      <c r="B293" s="5" t="s">
        <v>712</v>
      </c>
      <c r="C293" s="45" t="s">
        <v>97</v>
      </c>
      <c r="D293" s="45" t="s">
        <v>713</v>
      </c>
      <c r="E293" s="6" t="s">
        <v>714</v>
      </c>
      <c r="F293" s="45" t="s">
        <v>104</v>
      </c>
      <c r="G293" s="46">
        <f t="shared" si="36"/>
        <v>70</v>
      </c>
      <c r="H293" s="46">
        <f>TRUNC(S293*(1-LOTE_01!$K$10),2)</f>
        <v>14.4</v>
      </c>
      <c r="I293" s="46">
        <f>TRUNC(T293*(1-LOTE_01!$K$10),2)</f>
        <v>0.81</v>
      </c>
      <c r="J293" s="100">
        <f t="shared" si="37"/>
        <v>0.22470000000000001</v>
      </c>
      <c r="K293" s="48">
        <f t="shared" si="31"/>
        <v>17.63</v>
      </c>
      <c r="L293" s="48">
        <f t="shared" si="32"/>
        <v>0.99</v>
      </c>
      <c r="M293" s="48">
        <f t="shared" si="33"/>
        <v>1234.0999999999999</v>
      </c>
      <c r="N293" s="48">
        <f t="shared" si="34"/>
        <v>69.3</v>
      </c>
      <c r="O293" s="50">
        <f t="shared" si="35"/>
        <v>1303.4000000000001</v>
      </c>
      <c r="P293" s="50">
        <v>0</v>
      </c>
      <c r="Q293" s="76"/>
      <c r="R293" s="140">
        <f>5*S9+5*S10</f>
        <v>70</v>
      </c>
      <c r="S293" s="79">
        <v>14.4</v>
      </c>
      <c r="T293" s="80">
        <v>0.81</v>
      </c>
    </row>
    <row r="294" spans="2:20" ht="70">
      <c r="B294" s="5" t="s">
        <v>715</v>
      </c>
      <c r="C294" s="45" t="s">
        <v>97</v>
      </c>
      <c r="D294" s="45" t="s">
        <v>716</v>
      </c>
      <c r="E294" s="6" t="s">
        <v>717</v>
      </c>
      <c r="F294" s="45" t="s">
        <v>104</v>
      </c>
      <c r="G294" s="46">
        <f t="shared" si="36"/>
        <v>28</v>
      </c>
      <c r="H294" s="46">
        <f>TRUNC(S294*(1-LOTE_01!$K$10),2)</f>
        <v>226.15</v>
      </c>
      <c r="I294" s="46">
        <f>TRUNC(T294*(1-LOTE_01!$K$10),2)</f>
        <v>3.26</v>
      </c>
      <c r="J294" s="100">
        <f t="shared" si="37"/>
        <v>0.22470000000000001</v>
      </c>
      <c r="K294" s="48">
        <f t="shared" si="31"/>
        <v>276.95999999999998</v>
      </c>
      <c r="L294" s="48">
        <f t="shared" si="32"/>
        <v>3.99</v>
      </c>
      <c r="M294" s="48">
        <f t="shared" si="33"/>
        <v>7754.88</v>
      </c>
      <c r="N294" s="48">
        <f t="shared" si="34"/>
        <v>111.72</v>
      </c>
      <c r="O294" s="50">
        <f t="shared" si="35"/>
        <v>7866.6</v>
      </c>
      <c r="P294" s="50">
        <v>0</v>
      </c>
      <c r="Q294" s="76"/>
      <c r="R294" s="140">
        <f>2*S9+2*S10</f>
        <v>28</v>
      </c>
      <c r="S294" s="79">
        <v>226.15</v>
      </c>
      <c r="T294" s="80">
        <v>3.26</v>
      </c>
    </row>
    <row r="295" spans="2:20" ht="56">
      <c r="B295" s="5" t="s">
        <v>718</v>
      </c>
      <c r="C295" s="45" t="s">
        <v>97</v>
      </c>
      <c r="D295" s="45" t="s">
        <v>719</v>
      </c>
      <c r="E295" s="6" t="s">
        <v>720</v>
      </c>
      <c r="F295" s="45" t="s">
        <v>104</v>
      </c>
      <c r="G295" s="46">
        <f t="shared" si="36"/>
        <v>28</v>
      </c>
      <c r="H295" s="46">
        <f>TRUNC(S295*(1-LOTE_01!$K$10),2)</f>
        <v>27.09</v>
      </c>
      <c r="I295" s="46">
        <f>TRUNC(T295*(1-LOTE_01!$K$10),2)</f>
        <v>4.4000000000000004</v>
      </c>
      <c r="J295" s="100">
        <f t="shared" si="37"/>
        <v>0.22470000000000001</v>
      </c>
      <c r="K295" s="48">
        <f t="shared" si="31"/>
        <v>33.17</v>
      </c>
      <c r="L295" s="48">
        <f t="shared" si="32"/>
        <v>5.38</v>
      </c>
      <c r="M295" s="48">
        <f t="shared" si="33"/>
        <v>928.76</v>
      </c>
      <c r="N295" s="48">
        <f t="shared" si="34"/>
        <v>150.63999999999999</v>
      </c>
      <c r="O295" s="50">
        <f t="shared" si="35"/>
        <v>1079.4000000000001</v>
      </c>
      <c r="P295" s="50">
        <v>0</v>
      </c>
      <c r="Q295" s="76"/>
      <c r="R295" s="140">
        <f>2*S9+2*S10</f>
        <v>28</v>
      </c>
      <c r="S295" s="79">
        <v>27.09</v>
      </c>
      <c r="T295" s="80">
        <v>4.4000000000000004</v>
      </c>
    </row>
    <row r="296" spans="2:20" ht="42">
      <c r="B296" s="5" t="s">
        <v>721</v>
      </c>
      <c r="C296" s="45" t="s">
        <v>97</v>
      </c>
      <c r="D296" s="45" t="s">
        <v>722</v>
      </c>
      <c r="E296" s="6" t="s">
        <v>723</v>
      </c>
      <c r="F296" s="45" t="s">
        <v>104</v>
      </c>
      <c r="G296" s="46">
        <f t="shared" si="36"/>
        <v>28</v>
      </c>
      <c r="H296" s="46">
        <f>TRUNC(S296*(1-LOTE_01!$K$10),2)</f>
        <v>43.55</v>
      </c>
      <c r="I296" s="46">
        <f>TRUNC(T296*(1-LOTE_01!$K$10),2)</f>
        <v>4.4000000000000004</v>
      </c>
      <c r="J296" s="100">
        <f t="shared" si="37"/>
        <v>0.22470000000000001</v>
      </c>
      <c r="K296" s="48">
        <f t="shared" si="31"/>
        <v>53.33</v>
      </c>
      <c r="L296" s="48">
        <f t="shared" si="32"/>
        <v>5.38</v>
      </c>
      <c r="M296" s="48">
        <f t="shared" si="33"/>
        <v>1493.24</v>
      </c>
      <c r="N296" s="48">
        <f t="shared" si="34"/>
        <v>150.63999999999999</v>
      </c>
      <c r="O296" s="50">
        <f t="shared" si="35"/>
        <v>1643.88</v>
      </c>
      <c r="P296" s="50">
        <v>0</v>
      </c>
      <c r="Q296" s="76"/>
      <c r="R296" s="140">
        <f>2*S9+2*S10</f>
        <v>28</v>
      </c>
      <c r="S296" s="79">
        <v>43.55</v>
      </c>
      <c r="T296" s="80">
        <v>4.4000000000000004</v>
      </c>
    </row>
    <row r="297" spans="2:20" ht="56">
      <c r="B297" s="5" t="s">
        <v>724</v>
      </c>
      <c r="C297" s="45" t="s">
        <v>135</v>
      </c>
      <c r="D297" s="45">
        <v>100868</v>
      </c>
      <c r="E297" s="6" t="s">
        <v>1811</v>
      </c>
      <c r="F297" s="45" t="s">
        <v>210</v>
      </c>
      <c r="G297" s="46">
        <f t="shared" si="36"/>
        <v>14</v>
      </c>
      <c r="H297" s="46">
        <f>TRUNC(S297*(1-LOTE_01!$K$10),2)</f>
        <v>314.95</v>
      </c>
      <c r="I297" s="46">
        <f>TRUNC(T297*(1-LOTE_01!$K$10),2)</f>
        <v>25.02</v>
      </c>
      <c r="J297" s="100">
        <f t="shared" si="37"/>
        <v>0.22470000000000001</v>
      </c>
      <c r="K297" s="48">
        <f t="shared" si="31"/>
        <v>385.71</v>
      </c>
      <c r="L297" s="48">
        <f t="shared" si="32"/>
        <v>30.64</v>
      </c>
      <c r="M297" s="48">
        <f t="shared" si="33"/>
        <v>5399.94</v>
      </c>
      <c r="N297" s="48">
        <f t="shared" si="34"/>
        <v>428.96</v>
      </c>
      <c r="O297" s="50">
        <f t="shared" si="35"/>
        <v>5828.9</v>
      </c>
      <c r="P297" s="50">
        <v>0</v>
      </c>
      <c r="Q297" s="76"/>
      <c r="R297" s="140">
        <f>1*S9+1*S10</f>
        <v>14</v>
      </c>
      <c r="S297" s="79">
        <v>314.95000000000005</v>
      </c>
      <c r="T297" s="80">
        <v>25.02</v>
      </c>
    </row>
    <row r="298" spans="2:20" ht="56">
      <c r="B298" s="5" t="s">
        <v>725</v>
      </c>
      <c r="C298" s="45" t="s">
        <v>135</v>
      </c>
      <c r="D298" s="45">
        <v>100871</v>
      </c>
      <c r="E298" s="6" t="s">
        <v>1812</v>
      </c>
      <c r="F298" s="45" t="s">
        <v>210</v>
      </c>
      <c r="G298" s="46">
        <f t="shared" si="36"/>
        <v>14</v>
      </c>
      <c r="H298" s="46">
        <f>TRUNC(S298*(1-LOTE_01!$K$10),2)</f>
        <v>315.89</v>
      </c>
      <c r="I298" s="46">
        <f>TRUNC(T298*(1-LOTE_01!$K$10),2)</f>
        <v>23.41</v>
      </c>
      <c r="J298" s="100">
        <f t="shared" si="37"/>
        <v>0.22470000000000001</v>
      </c>
      <c r="K298" s="48">
        <f t="shared" si="31"/>
        <v>386.87</v>
      </c>
      <c r="L298" s="48">
        <f t="shared" si="32"/>
        <v>28.67</v>
      </c>
      <c r="M298" s="48">
        <f t="shared" si="33"/>
        <v>5416.18</v>
      </c>
      <c r="N298" s="48">
        <f t="shared" si="34"/>
        <v>401.38</v>
      </c>
      <c r="O298" s="50">
        <f t="shared" si="35"/>
        <v>5817.56</v>
      </c>
      <c r="P298" s="50">
        <v>0</v>
      </c>
      <c r="Q298" s="76"/>
      <c r="R298" s="140">
        <f>1*S9+1*S10</f>
        <v>14</v>
      </c>
      <c r="S298" s="79">
        <v>315.89</v>
      </c>
      <c r="T298" s="80">
        <v>23.41</v>
      </c>
    </row>
    <row r="299" spans="2:20" ht="56">
      <c r="B299" s="5" t="s">
        <v>726</v>
      </c>
      <c r="C299" s="45" t="s">
        <v>135</v>
      </c>
      <c r="D299" s="45">
        <v>100866</v>
      </c>
      <c r="E299" s="6" t="s">
        <v>1813</v>
      </c>
      <c r="F299" s="45" t="s">
        <v>210</v>
      </c>
      <c r="G299" s="46">
        <f t="shared" si="36"/>
        <v>28</v>
      </c>
      <c r="H299" s="46">
        <f>TRUNC(S299*(1-LOTE_01!$K$10),2)</f>
        <v>284.08999999999997</v>
      </c>
      <c r="I299" s="46">
        <f>TRUNC(T299*(1-LOTE_01!$K$10),2)</f>
        <v>24.87</v>
      </c>
      <c r="J299" s="100">
        <f t="shared" si="37"/>
        <v>0.22470000000000001</v>
      </c>
      <c r="K299" s="48">
        <f t="shared" si="31"/>
        <v>347.92</v>
      </c>
      <c r="L299" s="48">
        <f t="shared" si="32"/>
        <v>30.45</v>
      </c>
      <c r="M299" s="48">
        <f t="shared" si="33"/>
        <v>9741.76</v>
      </c>
      <c r="N299" s="48">
        <f t="shared" si="34"/>
        <v>852.6</v>
      </c>
      <c r="O299" s="50">
        <f t="shared" si="35"/>
        <v>10594.36</v>
      </c>
      <c r="P299" s="50">
        <v>0</v>
      </c>
      <c r="Q299" s="76"/>
      <c r="R299" s="140">
        <f>2*S9+2*S10</f>
        <v>28</v>
      </c>
      <c r="S299" s="79">
        <v>284.08999999999997</v>
      </c>
      <c r="T299" s="80">
        <v>24.87</v>
      </c>
    </row>
    <row r="300" spans="2:20" ht="112">
      <c r="B300" s="5" t="s">
        <v>727</v>
      </c>
      <c r="C300" s="45" t="s">
        <v>97</v>
      </c>
      <c r="D300" s="45" t="s">
        <v>728</v>
      </c>
      <c r="E300" s="6" t="s">
        <v>729</v>
      </c>
      <c r="F300" s="45" t="s">
        <v>104</v>
      </c>
      <c r="G300" s="46">
        <f t="shared" si="36"/>
        <v>10</v>
      </c>
      <c r="H300" s="46">
        <f>TRUNC(S300*(1-LOTE_01!$K$10),2)</f>
        <v>547.26</v>
      </c>
      <c r="I300" s="46">
        <f>TRUNC(T300*(1-LOTE_01!$K$10),2)</f>
        <v>8.84</v>
      </c>
      <c r="J300" s="100">
        <f t="shared" si="37"/>
        <v>0.22470000000000001</v>
      </c>
      <c r="K300" s="48">
        <f t="shared" si="31"/>
        <v>670.22</v>
      </c>
      <c r="L300" s="48">
        <f t="shared" si="32"/>
        <v>10.82</v>
      </c>
      <c r="M300" s="48">
        <f t="shared" si="33"/>
        <v>6702.2</v>
      </c>
      <c r="N300" s="48">
        <f t="shared" si="34"/>
        <v>108.2</v>
      </c>
      <c r="O300" s="50">
        <f t="shared" si="35"/>
        <v>6810.4</v>
      </c>
      <c r="P300" s="50">
        <v>0</v>
      </c>
      <c r="Q300" s="76"/>
      <c r="R300" s="140">
        <f>IF((1*S9+1*S10)&gt;10,10,(1*S9+1*S10))</f>
        <v>10</v>
      </c>
      <c r="S300" s="79">
        <v>547.26</v>
      </c>
      <c r="T300" s="80">
        <v>8.84</v>
      </c>
    </row>
    <row r="301" spans="2:20" ht="42">
      <c r="B301" s="5" t="s">
        <v>730</v>
      </c>
      <c r="C301" s="45" t="s">
        <v>97</v>
      </c>
      <c r="D301" s="45" t="s">
        <v>731</v>
      </c>
      <c r="E301" s="6" t="s">
        <v>732</v>
      </c>
      <c r="F301" s="45" t="s">
        <v>104</v>
      </c>
      <c r="G301" s="46">
        <f t="shared" si="36"/>
        <v>14</v>
      </c>
      <c r="H301" s="46">
        <f>TRUNC(S301*(1-LOTE_01!$K$10),2)</f>
        <v>790</v>
      </c>
      <c r="I301" s="46">
        <f>TRUNC(T301*(1-LOTE_01!$K$10),2)</f>
        <v>0</v>
      </c>
      <c r="J301" s="100">
        <f t="shared" si="37"/>
        <v>0.22470000000000001</v>
      </c>
      <c r="K301" s="48">
        <f t="shared" si="31"/>
        <v>967.51</v>
      </c>
      <c r="L301" s="48">
        <f t="shared" si="32"/>
        <v>0</v>
      </c>
      <c r="M301" s="48">
        <f t="shared" si="33"/>
        <v>13545.14</v>
      </c>
      <c r="N301" s="48">
        <f t="shared" si="34"/>
        <v>0</v>
      </c>
      <c r="O301" s="50">
        <f t="shared" si="35"/>
        <v>13545.14</v>
      </c>
      <c r="P301" s="50">
        <v>0</v>
      </c>
      <c r="Q301" s="76"/>
      <c r="R301" s="140">
        <f>1*S9+1*S10</f>
        <v>14</v>
      </c>
      <c r="S301" s="79">
        <v>790</v>
      </c>
      <c r="T301" s="80">
        <v>0</v>
      </c>
    </row>
    <row r="302" spans="2:20" ht="42">
      <c r="B302" s="5" t="s">
        <v>733</v>
      </c>
      <c r="C302" s="45" t="s">
        <v>97</v>
      </c>
      <c r="D302" s="45" t="s">
        <v>734</v>
      </c>
      <c r="E302" s="6" t="s">
        <v>735</v>
      </c>
      <c r="F302" s="45" t="s">
        <v>104</v>
      </c>
      <c r="G302" s="46">
        <f t="shared" si="36"/>
        <v>10</v>
      </c>
      <c r="H302" s="46">
        <f>TRUNC(S302*(1-LOTE_01!$K$10),2)</f>
        <v>2668.79</v>
      </c>
      <c r="I302" s="46">
        <f>TRUNC(T302*(1-LOTE_01!$K$10),2)</f>
        <v>0</v>
      </c>
      <c r="J302" s="100">
        <f t="shared" si="37"/>
        <v>0.22470000000000001</v>
      </c>
      <c r="K302" s="48">
        <f t="shared" si="31"/>
        <v>3268.46</v>
      </c>
      <c r="L302" s="48">
        <f t="shared" si="32"/>
        <v>0</v>
      </c>
      <c r="M302" s="48">
        <f t="shared" si="33"/>
        <v>32684.6</v>
      </c>
      <c r="N302" s="48">
        <f t="shared" si="34"/>
        <v>0</v>
      </c>
      <c r="O302" s="50">
        <f t="shared" si="35"/>
        <v>32684.6</v>
      </c>
      <c r="P302" s="50">
        <v>0</v>
      </c>
      <c r="Q302" s="76"/>
      <c r="R302" s="140">
        <f>IF((1*S9+1*S10)&gt;10,10,(1*S9+1*S10))</f>
        <v>10</v>
      </c>
      <c r="S302" s="79">
        <v>2668.79</v>
      </c>
      <c r="T302" s="80">
        <v>0</v>
      </c>
    </row>
    <row r="303" spans="2:20">
      <c r="B303" s="5" t="s">
        <v>736</v>
      </c>
      <c r="C303" s="45" t="s">
        <v>97</v>
      </c>
      <c r="D303" s="45" t="s">
        <v>737</v>
      </c>
      <c r="E303" s="6" t="s">
        <v>738</v>
      </c>
      <c r="F303" s="45" t="s">
        <v>104</v>
      </c>
      <c r="G303" s="46">
        <f t="shared" si="36"/>
        <v>10</v>
      </c>
      <c r="H303" s="46">
        <f>TRUNC(S303*(1-LOTE_01!$K$10),2)</f>
        <v>1475.36</v>
      </c>
      <c r="I303" s="46">
        <f>TRUNC(T303*(1-LOTE_01!$K$10),2)</f>
        <v>3.26</v>
      </c>
      <c r="J303" s="100">
        <f t="shared" si="37"/>
        <v>0.22470000000000001</v>
      </c>
      <c r="K303" s="48">
        <f t="shared" si="31"/>
        <v>1806.87</v>
      </c>
      <c r="L303" s="48">
        <f t="shared" si="32"/>
        <v>3.99</v>
      </c>
      <c r="M303" s="48">
        <f t="shared" si="33"/>
        <v>18068.7</v>
      </c>
      <c r="N303" s="48">
        <f t="shared" si="34"/>
        <v>39.9</v>
      </c>
      <c r="O303" s="50">
        <f t="shared" si="35"/>
        <v>18108.599999999999</v>
      </c>
      <c r="P303" s="50">
        <v>0</v>
      </c>
      <c r="Q303" s="76"/>
      <c r="R303" s="140">
        <f>IF((1*S9+1*S10)&gt;10,10,(1*S9+1*S10))</f>
        <v>10</v>
      </c>
      <c r="S303" s="79">
        <v>1475.36</v>
      </c>
      <c r="T303" s="80">
        <v>3.26</v>
      </c>
    </row>
    <row r="304" spans="2:20" ht="42">
      <c r="B304" s="5" t="s">
        <v>739</v>
      </c>
      <c r="C304" s="45" t="s">
        <v>97</v>
      </c>
      <c r="D304" s="45" t="s">
        <v>740</v>
      </c>
      <c r="E304" s="6" t="s">
        <v>741</v>
      </c>
      <c r="F304" s="45" t="s">
        <v>104</v>
      </c>
      <c r="G304" s="46">
        <f t="shared" si="36"/>
        <v>56</v>
      </c>
      <c r="H304" s="46">
        <f>TRUNC(S304*(1-LOTE_01!$K$10),2)</f>
        <v>66.3</v>
      </c>
      <c r="I304" s="46">
        <f>TRUNC(T304*(1-LOTE_01!$K$10),2)</f>
        <v>0</v>
      </c>
      <c r="J304" s="100">
        <f t="shared" si="37"/>
        <v>0.22470000000000001</v>
      </c>
      <c r="K304" s="48">
        <f t="shared" si="31"/>
        <v>81.19</v>
      </c>
      <c r="L304" s="48">
        <f t="shared" si="32"/>
        <v>0</v>
      </c>
      <c r="M304" s="48">
        <f t="shared" si="33"/>
        <v>4546.6400000000003</v>
      </c>
      <c r="N304" s="48">
        <f t="shared" si="34"/>
        <v>0</v>
      </c>
      <c r="O304" s="50">
        <f t="shared" si="35"/>
        <v>4546.6400000000003</v>
      </c>
      <c r="P304" s="50">
        <v>0</v>
      </c>
      <c r="Q304" s="76"/>
      <c r="R304" s="140">
        <f>4*S9+4*S10</f>
        <v>56</v>
      </c>
      <c r="S304" s="79">
        <v>66.3</v>
      </c>
      <c r="T304" s="80">
        <v>0</v>
      </c>
    </row>
    <row r="305" spans="2:20" ht="84">
      <c r="B305" s="5" t="s">
        <v>742</v>
      </c>
      <c r="C305" s="45" t="s">
        <v>97</v>
      </c>
      <c r="D305" s="45" t="s">
        <v>743</v>
      </c>
      <c r="E305" s="6" t="s">
        <v>744</v>
      </c>
      <c r="F305" s="45" t="s">
        <v>104</v>
      </c>
      <c r="G305" s="46">
        <f t="shared" si="36"/>
        <v>10</v>
      </c>
      <c r="H305" s="46">
        <f>TRUNC(S305*(1-LOTE_01!$K$10),2)</f>
        <v>76.150000000000006</v>
      </c>
      <c r="I305" s="46">
        <f>TRUNC(T305*(1-LOTE_01!$K$10),2)</f>
        <v>3.26</v>
      </c>
      <c r="J305" s="100">
        <f t="shared" si="37"/>
        <v>0.22470000000000001</v>
      </c>
      <c r="K305" s="48">
        <f t="shared" si="31"/>
        <v>93.26</v>
      </c>
      <c r="L305" s="48">
        <f t="shared" si="32"/>
        <v>3.99</v>
      </c>
      <c r="M305" s="48">
        <f t="shared" si="33"/>
        <v>932.6</v>
      </c>
      <c r="N305" s="48">
        <f t="shared" si="34"/>
        <v>39.9</v>
      </c>
      <c r="O305" s="50">
        <f t="shared" si="35"/>
        <v>972.5</v>
      </c>
      <c r="P305" s="50">
        <v>0</v>
      </c>
      <c r="Q305" s="76"/>
      <c r="R305" s="140">
        <f>IF((1*S9+1*S10)&gt;10,10,(1*S9+1*S10))</f>
        <v>10</v>
      </c>
      <c r="S305" s="79">
        <v>76.150000000000006</v>
      </c>
      <c r="T305" s="80">
        <v>3.26</v>
      </c>
    </row>
    <row r="306" spans="2:20" ht="98">
      <c r="B306" s="5" t="s">
        <v>745</v>
      </c>
      <c r="C306" s="45" t="s">
        <v>97</v>
      </c>
      <c r="D306" s="45" t="s">
        <v>746</v>
      </c>
      <c r="E306" s="6" t="s">
        <v>747</v>
      </c>
      <c r="F306" s="45" t="s">
        <v>104</v>
      </c>
      <c r="G306" s="46">
        <f t="shared" si="36"/>
        <v>14</v>
      </c>
      <c r="H306" s="46">
        <f>TRUNC(S306*(1-LOTE_01!$K$10),2)</f>
        <v>64.39</v>
      </c>
      <c r="I306" s="46">
        <f>TRUNC(T306*(1-LOTE_01!$K$10),2)</f>
        <v>0</v>
      </c>
      <c r="J306" s="100">
        <f t="shared" si="37"/>
        <v>0.22470000000000001</v>
      </c>
      <c r="K306" s="48">
        <f t="shared" si="31"/>
        <v>78.849999999999994</v>
      </c>
      <c r="L306" s="48">
        <f t="shared" si="32"/>
        <v>0</v>
      </c>
      <c r="M306" s="48">
        <f t="shared" si="33"/>
        <v>1103.9000000000001</v>
      </c>
      <c r="N306" s="48">
        <f t="shared" si="34"/>
        <v>0</v>
      </c>
      <c r="O306" s="50">
        <f t="shared" si="35"/>
        <v>1103.9000000000001</v>
      </c>
      <c r="P306" s="50">
        <v>0</v>
      </c>
      <c r="Q306" s="76"/>
      <c r="R306" s="140">
        <f>S9+S10</f>
        <v>14</v>
      </c>
      <c r="S306" s="79">
        <v>64.39</v>
      </c>
      <c r="T306" s="80">
        <v>0</v>
      </c>
    </row>
    <row r="307" spans="2:20" ht="84">
      <c r="B307" s="5" t="s">
        <v>748</v>
      </c>
      <c r="C307" s="45" t="s">
        <v>97</v>
      </c>
      <c r="D307" s="45" t="s">
        <v>749</v>
      </c>
      <c r="E307" s="6" t="s">
        <v>750</v>
      </c>
      <c r="F307" s="45" t="s">
        <v>104</v>
      </c>
      <c r="G307" s="46">
        <f t="shared" si="36"/>
        <v>10</v>
      </c>
      <c r="H307" s="46">
        <f>TRUNC(S307*(1-LOTE_01!$K$10),2)</f>
        <v>647.37</v>
      </c>
      <c r="I307" s="46">
        <f>TRUNC(T307*(1-LOTE_01!$K$10),2)</f>
        <v>25.8</v>
      </c>
      <c r="J307" s="100">
        <f t="shared" si="37"/>
        <v>0.22470000000000001</v>
      </c>
      <c r="K307" s="48">
        <f t="shared" si="31"/>
        <v>792.83</v>
      </c>
      <c r="L307" s="48">
        <f t="shared" si="32"/>
        <v>31.59</v>
      </c>
      <c r="M307" s="48">
        <f t="shared" si="33"/>
        <v>7928.3</v>
      </c>
      <c r="N307" s="48">
        <f t="shared" si="34"/>
        <v>315.89999999999998</v>
      </c>
      <c r="O307" s="50">
        <f t="shared" si="35"/>
        <v>8244.2000000000007</v>
      </c>
      <c r="P307" s="50">
        <v>0</v>
      </c>
      <c r="Q307" s="76"/>
      <c r="R307" s="140">
        <f>IF((1*S9+1*S10)&gt;10,10,(1*S9+1*S10))</f>
        <v>10</v>
      </c>
      <c r="S307" s="79">
        <v>647.37</v>
      </c>
      <c r="T307" s="80">
        <v>25.8</v>
      </c>
    </row>
    <row r="308" spans="2:20" ht="70">
      <c r="B308" s="5" t="s">
        <v>751</v>
      </c>
      <c r="C308" s="45" t="s">
        <v>97</v>
      </c>
      <c r="D308" s="45" t="s">
        <v>752</v>
      </c>
      <c r="E308" s="6" t="s">
        <v>753</v>
      </c>
      <c r="F308" s="45" t="s">
        <v>104</v>
      </c>
      <c r="G308" s="46">
        <f t="shared" si="36"/>
        <v>10</v>
      </c>
      <c r="H308" s="46">
        <f>TRUNC(S308*(1-LOTE_01!$K$10),2)</f>
        <v>244.74</v>
      </c>
      <c r="I308" s="46">
        <f>TRUNC(T308*(1-LOTE_01!$K$10),2)</f>
        <v>11.42</v>
      </c>
      <c r="J308" s="100">
        <f t="shared" si="37"/>
        <v>0.22470000000000001</v>
      </c>
      <c r="K308" s="48">
        <f t="shared" si="31"/>
        <v>299.73</v>
      </c>
      <c r="L308" s="48">
        <f t="shared" si="32"/>
        <v>13.98</v>
      </c>
      <c r="M308" s="48">
        <f t="shared" si="33"/>
        <v>2997.3</v>
      </c>
      <c r="N308" s="48">
        <f t="shared" si="34"/>
        <v>139.80000000000001</v>
      </c>
      <c r="O308" s="50">
        <f t="shared" si="35"/>
        <v>3137.1</v>
      </c>
      <c r="P308" s="50">
        <v>0</v>
      </c>
      <c r="Q308" s="76"/>
      <c r="R308" s="140">
        <f>IF((1*S9+1*S10)&gt;10,10,(1*S9+1*S10))</f>
        <v>10</v>
      </c>
      <c r="S308" s="79">
        <v>244.74</v>
      </c>
      <c r="T308" s="80">
        <v>11.42</v>
      </c>
    </row>
    <row r="309" spans="2:20" ht="28">
      <c r="B309" s="5" t="s">
        <v>754</v>
      </c>
      <c r="C309" s="45" t="s">
        <v>97</v>
      </c>
      <c r="D309" s="45" t="s">
        <v>755</v>
      </c>
      <c r="E309" s="6" t="s">
        <v>756</v>
      </c>
      <c r="F309" s="45" t="s">
        <v>187</v>
      </c>
      <c r="G309" s="46">
        <f t="shared" si="36"/>
        <v>50</v>
      </c>
      <c r="H309" s="46">
        <f>TRUNC(S309*(1-LOTE_01!$K$10),2)</f>
        <v>283.25</v>
      </c>
      <c r="I309" s="46">
        <f>TRUNC(T309*(1-LOTE_01!$K$10),2)</f>
        <v>38.35</v>
      </c>
      <c r="J309" s="100">
        <f t="shared" si="37"/>
        <v>0.22470000000000001</v>
      </c>
      <c r="K309" s="48">
        <f t="shared" si="31"/>
        <v>346.89</v>
      </c>
      <c r="L309" s="48">
        <f t="shared" si="32"/>
        <v>46.96</v>
      </c>
      <c r="M309" s="48">
        <f t="shared" si="33"/>
        <v>17344.5</v>
      </c>
      <c r="N309" s="48">
        <f t="shared" si="34"/>
        <v>2348</v>
      </c>
      <c r="O309" s="50">
        <f t="shared" si="35"/>
        <v>19692.5</v>
      </c>
      <c r="P309" s="50">
        <v>0</v>
      </c>
      <c r="Q309" s="76"/>
      <c r="R309" s="140">
        <f>IF((10*S9+10*S10)&gt;50,50,(10*S9+10*S10))</f>
        <v>50</v>
      </c>
      <c r="S309" s="79">
        <v>283.25</v>
      </c>
      <c r="T309" s="80">
        <v>38.35</v>
      </c>
    </row>
    <row r="310" spans="2:20" ht="84">
      <c r="B310" s="5" t="s">
        <v>757</v>
      </c>
      <c r="C310" s="45" t="s">
        <v>97</v>
      </c>
      <c r="D310" s="45" t="s">
        <v>758</v>
      </c>
      <c r="E310" s="6" t="s">
        <v>759</v>
      </c>
      <c r="F310" s="45" t="s">
        <v>104</v>
      </c>
      <c r="G310" s="46">
        <f t="shared" si="36"/>
        <v>10</v>
      </c>
      <c r="H310" s="46">
        <f>TRUNC(S310*(1-LOTE_01!$K$10),2)</f>
        <v>612.70000000000005</v>
      </c>
      <c r="I310" s="46">
        <f>TRUNC(T310*(1-LOTE_01!$K$10),2)</f>
        <v>14.77</v>
      </c>
      <c r="J310" s="100">
        <f t="shared" si="37"/>
        <v>0.22470000000000001</v>
      </c>
      <c r="K310" s="48">
        <f t="shared" si="31"/>
        <v>750.37</v>
      </c>
      <c r="L310" s="48">
        <f t="shared" si="32"/>
        <v>18.079999999999998</v>
      </c>
      <c r="M310" s="48">
        <f t="shared" si="33"/>
        <v>7503.7</v>
      </c>
      <c r="N310" s="48">
        <f t="shared" si="34"/>
        <v>180.8</v>
      </c>
      <c r="O310" s="50">
        <f t="shared" si="35"/>
        <v>7684.5</v>
      </c>
      <c r="P310" s="50">
        <v>0</v>
      </c>
      <c r="Q310" s="76"/>
      <c r="R310" s="140">
        <f>IF((1*S9+1*S10)&gt;10,10,(1*S9+1*S10))</f>
        <v>10</v>
      </c>
      <c r="S310" s="79">
        <v>612.70000000000005</v>
      </c>
      <c r="T310" s="80">
        <v>14.77</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3222914.9000000004</v>
      </c>
      <c r="Q311" s="76"/>
      <c r="R311" s="154"/>
      <c r="S311" s="79" t="s">
        <v>22</v>
      </c>
      <c r="T311" s="80" t="s">
        <v>22</v>
      </c>
    </row>
    <row r="312" spans="2:20" ht="28">
      <c r="B312" s="5" t="s">
        <v>760</v>
      </c>
      <c r="C312" s="45" t="s">
        <v>165</v>
      </c>
      <c r="D312" s="45" t="s">
        <v>761</v>
      </c>
      <c r="E312" s="6" t="s">
        <v>762</v>
      </c>
      <c r="F312" s="45" t="s">
        <v>168</v>
      </c>
      <c r="G312" s="46">
        <f t="shared" si="36"/>
        <v>7560</v>
      </c>
      <c r="H312" s="46">
        <f>TRUNC(S312*(1-LOTE_01!$K$10),2)</f>
        <v>0</v>
      </c>
      <c r="I312" s="46">
        <f>TRUNC(T312*(1-LOTE_01!$K$10),2)</f>
        <v>15.81</v>
      </c>
      <c r="J312" s="100">
        <f t="shared" si="37"/>
        <v>0.22470000000000001</v>
      </c>
      <c r="K312" s="48">
        <f t="shared" si="31"/>
        <v>0</v>
      </c>
      <c r="L312" s="48">
        <f t="shared" si="32"/>
        <v>19.36</v>
      </c>
      <c r="M312" s="48">
        <f t="shared" si="33"/>
        <v>0</v>
      </c>
      <c r="N312" s="48">
        <f t="shared" si="34"/>
        <v>146361.60000000001</v>
      </c>
      <c r="O312" s="50">
        <f t="shared" si="35"/>
        <v>146361.60000000001</v>
      </c>
      <c r="P312" s="50">
        <v>0</v>
      </c>
      <c r="Q312" s="76"/>
      <c r="R312" s="140">
        <f>90*6*(S9+S10)</f>
        <v>7560</v>
      </c>
      <c r="S312" s="79">
        <v>0</v>
      </c>
      <c r="T312" s="80">
        <v>15.81</v>
      </c>
    </row>
    <row r="313" spans="2:20" ht="28">
      <c r="B313" s="5" t="s">
        <v>763</v>
      </c>
      <c r="C313" s="45" t="s">
        <v>165</v>
      </c>
      <c r="D313" s="45" t="s">
        <v>764</v>
      </c>
      <c r="E313" s="6" t="s">
        <v>765</v>
      </c>
      <c r="F313" s="45" t="s">
        <v>168</v>
      </c>
      <c r="G313" s="46">
        <f t="shared" si="36"/>
        <v>520</v>
      </c>
      <c r="H313" s="46">
        <f>TRUNC(S313*(1-LOTE_01!$K$10),2)</f>
        <v>27.97</v>
      </c>
      <c r="I313" s="46">
        <f>TRUNC(T313*(1-LOTE_01!$K$10),2)</f>
        <v>21.74</v>
      </c>
      <c r="J313" s="100">
        <f t="shared" si="37"/>
        <v>0.22470000000000001</v>
      </c>
      <c r="K313" s="48">
        <f t="shared" si="31"/>
        <v>34.25</v>
      </c>
      <c r="L313" s="48">
        <f t="shared" si="32"/>
        <v>26.62</v>
      </c>
      <c r="M313" s="48">
        <f t="shared" si="33"/>
        <v>17810</v>
      </c>
      <c r="N313" s="48">
        <f t="shared" si="34"/>
        <v>13842.4</v>
      </c>
      <c r="O313" s="50">
        <f t="shared" si="35"/>
        <v>31652.400000000001</v>
      </c>
      <c r="P313" s="50">
        <v>0</v>
      </c>
      <c r="Q313" s="76"/>
      <c r="R313" s="140">
        <f>50*S9+20*(S10)</f>
        <v>520</v>
      </c>
      <c r="S313" s="79">
        <v>27.97</v>
      </c>
      <c r="T313" s="80">
        <v>21.74</v>
      </c>
    </row>
    <row r="314" spans="2:20" ht="28">
      <c r="B314" s="5" t="s">
        <v>766</v>
      </c>
      <c r="C314" s="45" t="s">
        <v>135</v>
      </c>
      <c r="D314" s="45">
        <v>100717</v>
      </c>
      <c r="E314" s="6" t="s">
        <v>767</v>
      </c>
      <c r="F314" s="45" t="s">
        <v>121</v>
      </c>
      <c r="G314" s="46">
        <f t="shared" si="36"/>
        <v>3600</v>
      </c>
      <c r="H314" s="46">
        <f>TRUNC(S314*(1-LOTE_01!$K$10),2)</f>
        <v>4.8099999999999996</v>
      </c>
      <c r="I314" s="46">
        <f>TRUNC(T314*(1-LOTE_01!$K$10),2)</f>
        <v>6.44</v>
      </c>
      <c r="J314" s="100">
        <f t="shared" si="37"/>
        <v>0.22470000000000001</v>
      </c>
      <c r="K314" s="48">
        <f t="shared" si="31"/>
        <v>5.89</v>
      </c>
      <c r="L314" s="48">
        <f t="shared" si="32"/>
        <v>7.88</v>
      </c>
      <c r="M314" s="48">
        <f t="shared" si="33"/>
        <v>21204</v>
      </c>
      <c r="N314" s="48">
        <f t="shared" si="34"/>
        <v>28368</v>
      </c>
      <c r="O314" s="50">
        <f t="shared" si="35"/>
        <v>49572</v>
      </c>
      <c r="P314" s="50">
        <v>0</v>
      </c>
      <c r="Q314" s="76"/>
      <c r="R314" s="140">
        <f>R330</f>
        <v>3600</v>
      </c>
      <c r="S314" s="79">
        <v>4.8099999999999996</v>
      </c>
      <c r="T314" s="80">
        <v>6.44</v>
      </c>
    </row>
    <row r="315" spans="2:20" ht="28">
      <c r="B315" s="5" t="s">
        <v>768</v>
      </c>
      <c r="C315" s="45" t="s">
        <v>135</v>
      </c>
      <c r="D315" s="45">
        <v>102197</v>
      </c>
      <c r="E315" s="6" t="s">
        <v>769</v>
      </c>
      <c r="F315" s="45" t="s">
        <v>121</v>
      </c>
      <c r="G315" s="46">
        <f t="shared" si="36"/>
        <v>1280</v>
      </c>
      <c r="H315" s="46">
        <f>TRUNC(S315*(1-LOTE_01!$K$10),2)</f>
        <v>21.48</v>
      </c>
      <c r="I315" s="46">
        <f>TRUNC(T315*(1-LOTE_01!$K$10),2)</f>
        <v>6.02</v>
      </c>
      <c r="J315" s="100">
        <f t="shared" si="37"/>
        <v>0.22470000000000001</v>
      </c>
      <c r="K315" s="48">
        <f t="shared" si="31"/>
        <v>26.3</v>
      </c>
      <c r="L315" s="48">
        <f t="shared" si="32"/>
        <v>7.37</v>
      </c>
      <c r="M315" s="48">
        <f t="shared" si="33"/>
        <v>33664</v>
      </c>
      <c r="N315" s="48">
        <f t="shared" si="34"/>
        <v>9433.6</v>
      </c>
      <c r="O315" s="50">
        <f t="shared" si="35"/>
        <v>43097.599999999999</v>
      </c>
      <c r="P315" s="50">
        <v>0</v>
      </c>
      <c r="Q315" s="76"/>
      <c r="R315" s="140">
        <f>R256</f>
        <v>1280</v>
      </c>
      <c r="S315" s="79">
        <v>21.48</v>
      </c>
      <c r="T315" s="80">
        <v>6.02</v>
      </c>
    </row>
    <row r="316" spans="2:20" ht="70">
      <c r="B316" s="5" t="s">
        <v>770</v>
      </c>
      <c r="C316" s="45" t="s">
        <v>135</v>
      </c>
      <c r="D316" s="45">
        <v>88412</v>
      </c>
      <c r="E316" s="6" t="s">
        <v>771</v>
      </c>
      <c r="F316" s="45" t="s">
        <v>121</v>
      </c>
      <c r="G316" s="46">
        <f t="shared" si="36"/>
        <v>21000</v>
      </c>
      <c r="H316" s="46">
        <f>TRUNC(S316*(1-LOTE_01!$K$10),2)</f>
        <v>2.76</v>
      </c>
      <c r="I316" s="46">
        <f>TRUNC(T316*(1-LOTE_01!$K$10),2)</f>
        <v>0.74</v>
      </c>
      <c r="J316" s="100">
        <f t="shared" si="37"/>
        <v>0.22470000000000001</v>
      </c>
      <c r="K316" s="48">
        <f t="shared" si="31"/>
        <v>3.38</v>
      </c>
      <c r="L316" s="48">
        <f t="shared" si="32"/>
        <v>0.9</v>
      </c>
      <c r="M316" s="48">
        <f t="shared" si="33"/>
        <v>70980</v>
      </c>
      <c r="N316" s="48">
        <f t="shared" si="34"/>
        <v>18900</v>
      </c>
      <c r="O316" s="50">
        <f t="shared" si="35"/>
        <v>89880</v>
      </c>
      <c r="P316" s="50">
        <v>0</v>
      </c>
      <c r="Q316" s="76"/>
      <c r="R316" s="140">
        <f>1500*S9+1500*S10</f>
        <v>21000</v>
      </c>
      <c r="S316" s="79">
        <v>2.76</v>
      </c>
      <c r="T316" s="80">
        <v>0.74</v>
      </c>
    </row>
    <row r="317" spans="2:20" ht="42">
      <c r="B317" s="5" t="s">
        <v>772</v>
      </c>
      <c r="C317" s="45" t="s">
        <v>135</v>
      </c>
      <c r="D317" s="45">
        <v>88484</v>
      </c>
      <c r="E317" s="6" t="s">
        <v>773</v>
      </c>
      <c r="F317" s="45" t="s">
        <v>121</v>
      </c>
      <c r="G317" s="46">
        <f t="shared" si="36"/>
        <v>21000</v>
      </c>
      <c r="H317" s="46">
        <f>TRUNC(S317*(1-LOTE_01!$K$10),2)</f>
        <v>2.86</v>
      </c>
      <c r="I317" s="46">
        <f>TRUNC(T317*(1-LOTE_01!$K$10),2)</f>
        <v>2.48</v>
      </c>
      <c r="J317" s="100">
        <f t="shared" si="37"/>
        <v>0.22470000000000001</v>
      </c>
      <c r="K317" s="48">
        <f t="shared" si="31"/>
        <v>3.5</v>
      </c>
      <c r="L317" s="48">
        <f t="shared" si="32"/>
        <v>3.03</v>
      </c>
      <c r="M317" s="48">
        <f t="shared" si="33"/>
        <v>73500</v>
      </c>
      <c r="N317" s="48">
        <f t="shared" si="34"/>
        <v>63630</v>
      </c>
      <c r="O317" s="50">
        <f t="shared" si="35"/>
        <v>137130</v>
      </c>
      <c r="P317" s="50">
        <v>0</v>
      </c>
      <c r="Q317" s="76"/>
      <c r="R317" s="140">
        <f>1500*S9+1500*S10</f>
        <v>21000</v>
      </c>
      <c r="S317" s="79">
        <v>2.86</v>
      </c>
      <c r="T317" s="80">
        <v>2.48</v>
      </c>
    </row>
    <row r="318" spans="2:20" ht="42">
      <c r="B318" s="5" t="s">
        <v>774</v>
      </c>
      <c r="C318" s="45" t="s">
        <v>135</v>
      </c>
      <c r="D318" s="45">
        <v>88485</v>
      </c>
      <c r="E318" s="6" t="s">
        <v>775</v>
      </c>
      <c r="F318" s="45" t="s">
        <v>121</v>
      </c>
      <c r="G318" s="46">
        <f t="shared" si="36"/>
        <v>21000</v>
      </c>
      <c r="H318" s="46">
        <f>TRUNC(S318*(1-LOTE_01!$K$10),2)</f>
        <v>2.4300000000000002</v>
      </c>
      <c r="I318" s="46">
        <f>TRUNC(T318*(1-LOTE_01!$K$10),2)</f>
        <v>1.78</v>
      </c>
      <c r="J318" s="100">
        <f t="shared" si="37"/>
        <v>0.22470000000000001</v>
      </c>
      <c r="K318" s="48">
        <f t="shared" si="31"/>
        <v>2.97</v>
      </c>
      <c r="L318" s="48">
        <f t="shared" si="32"/>
        <v>2.17</v>
      </c>
      <c r="M318" s="48">
        <f t="shared" si="33"/>
        <v>62370</v>
      </c>
      <c r="N318" s="48">
        <f t="shared" si="34"/>
        <v>45570</v>
      </c>
      <c r="O318" s="50">
        <f t="shared" si="35"/>
        <v>107940</v>
      </c>
      <c r="P318" s="50">
        <v>0</v>
      </c>
      <c r="Q318" s="76"/>
      <c r="R318" s="140">
        <f>1500*S9+1500*S10</f>
        <v>21000</v>
      </c>
      <c r="S318" s="79">
        <v>2.4299999999999997</v>
      </c>
      <c r="T318" s="80">
        <v>1.78</v>
      </c>
    </row>
    <row r="319" spans="2:20" ht="42">
      <c r="B319" s="5" t="s">
        <v>776</v>
      </c>
      <c r="C319" s="45" t="s">
        <v>135</v>
      </c>
      <c r="D319" s="45">
        <v>88495</v>
      </c>
      <c r="E319" s="6" t="s">
        <v>777</v>
      </c>
      <c r="F319" s="45" t="s">
        <v>121</v>
      </c>
      <c r="G319" s="46">
        <f t="shared" si="36"/>
        <v>21000</v>
      </c>
      <c r="H319" s="46">
        <f>TRUNC(S319*(1-LOTE_01!$K$10),2)</f>
        <v>6.57</v>
      </c>
      <c r="I319" s="46">
        <f>TRUNC(T319*(1-LOTE_01!$K$10),2)</f>
        <v>6.62</v>
      </c>
      <c r="J319" s="100">
        <f t="shared" si="37"/>
        <v>0.22470000000000001</v>
      </c>
      <c r="K319" s="48">
        <f t="shared" si="31"/>
        <v>8.0399999999999991</v>
      </c>
      <c r="L319" s="48">
        <f t="shared" si="32"/>
        <v>8.1</v>
      </c>
      <c r="M319" s="48">
        <f t="shared" si="33"/>
        <v>168840</v>
      </c>
      <c r="N319" s="48">
        <f t="shared" si="34"/>
        <v>170100</v>
      </c>
      <c r="O319" s="50">
        <f t="shared" si="35"/>
        <v>338940</v>
      </c>
      <c r="P319" s="50">
        <v>0</v>
      </c>
      <c r="Q319" s="76"/>
      <c r="R319" s="140">
        <f>R316</f>
        <v>21000</v>
      </c>
      <c r="S319" s="79">
        <v>6.5699999999999994</v>
      </c>
      <c r="T319" s="80">
        <v>6.62</v>
      </c>
    </row>
    <row r="320" spans="2:20" ht="42">
      <c r="B320" s="5" t="s">
        <v>778</v>
      </c>
      <c r="C320" s="45" t="s">
        <v>135</v>
      </c>
      <c r="D320" s="45">
        <v>88497</v>
      </c>
      <c r="E320" s="6" t="s">
        <v>779</v>
      </c>
      <c r="F320" s="45" t="s">
        <v>121</v>
      </c>
      <c r="G320" s="46">
        <f t="shared" si="36"/>
        <v>21000</v>
      </c>
      <c r="H320" s="46">
        <f>TRUNC(S320*(1-LOTE_01!$K$10),2)</f>
        <v>10.59</v>
      </c>
      <c r="I320" s="46">
        <f>TRUNC(T320*(1-LOTE_01!$K$10),2)</f>
        <v>9.7200000000000006</v>
      </c>
      <c r="J320" s="100">
        <f t="shared" si="37"/>
        <v>0.22470000000000001</v>
      </c>
      <c r="K320" s="48">
        <f t="shared" si="31"/>
        <v>12.96</v>
      </c>
      <c r="L320" s="48">
        <f t="shared" si="32"/>
        <v>11.9</v>
      </c>
      <c r="M320" s="48">
        <f t="shared" si="33"/>
        <v>272160</v>
      </c>
      <c r="N320" s="48">
        <f t="shared" si="34"/>
        <v>249900</v>
      </c>
      <c r="O320" s="50">
        <f t="shared" si="35"/>
        <v>522060</v>
      </c>
      <c r="P320" s="50">
        <v>0</v>
      </c>
      <c r="Q320" s="76"/>
      <c r="R320" s="140">
        <f>R316</f>
        <v>21000</v>
      </c>
      <c r="S320" s="79">
        <v>10.589999999999998</v>
      </c>
      <c r="T320" s="80">
        <v>9.7200000000000006</v>
      </c>
    </row>
    <row r="321" spans="2:20" ht="42">
      <c r="B321" s="5" t="s">
        <v>780</v>
      </c>
      <c r="C321" s="45" t="s">
        <v>135</v>
      </c>
      <c r="D321" s="45">
        <v>88494</v>
      </c>
      <c r="E321" s="6" t="s">
        <v>781</v>
      </c>
      <c r="F321" s="45" t="s">
        <v>121</v>
      </c>
      <c r="G321" s="46">
        <f t="shared" si="36"/>
        <v>5250</v>
      </c>
      <c r="H321" s="46">
        <f>TRUNC(S321*(1-LOTE_01!$K$10),2)</f>
        <v>10.76</v>
      </c>
      <c r="I321" s="46">
        <f>TRUNC(T321*(1-LOTE_01!$K$10),2)</f>
        <v>13.64</v>
      </c>
      <c r="J321" s="100">
        <f t="shared" si="37"/>
        <v>0.22470000000000001</v>
      </c>
      <c r="K321" s="48">
        <f t="shared" si="31"/>
        <v>13.17</v>
      </c>
      <c r="L321" s="48">
        <f t="shared" si="32"/>
        <v>16.7</v>
      </c>
      <c r="M321" s="48">
        <f t="shared" si="33"/>
        <v>69142.5</v>
      </c>
      <c r="N321" s="48">
        <f t="shared" si="34"/>
        <v>87675</v>
      </c>
      <c r="O321" s="50">
        <f t="shared" si="35"/>
        <v>156817.5</v>
      </c>
      <c r="P321" s="50">
        <v>0</v>
      </c>
      <c r="Q321" s="76"/>
      <c r="R321" s="140">
        <f>R316/4</f>
        <v>5250</v>
      </c>
      <c r="S321" s="79">
        <v>10.759999999999998</v>
      </c>
      <c r="T321" s="80">
        <v>13.64</v>
      </c>
    </row>
    <row r="322" spans="2:20" ht="42">
      <c r="B322" s="5" t="s">
        <v>782</v>
      </c>
      <c r="C322" s="45" t="s">
        <v>135</v>
      </c>
      <c r="D322" s="45">
        <v>88496</v>
      </c>
      <c r="E322" s="6" t="s">
        <v>783</v>
      </c>
      <c r="F322" s="45" t="s">
        <v>121</v>
      </c>
      <c r="G322" s="46">
        <f t="shared" si="36"/>
        <v>5250</v>
      </c>
      <c r="H322" s="46">
        <f>TRUNC(S322*(1-LOTE_01!$K$10),2)</f>
        <v>16.75</v>
      </c>
      <c r="I322" s="46">
        <f>TRUNC(T322*(1-LOTE_01!$K$10),2)</f>
        <v>20.04</v>
      </c>
      <c r="J322" s="100">
        <f t="shared" si="37"/>
        <v>0.22470000000000001</v>
      </c>
      <c r="K322" s="48">
        <f t="shared" si="31"/>
        <v>20.51</v>
      </c>
      <c r="L322" s="48">
        <f t="shared" si="32"/>
        <v>24.54</v>
      </c>
      <c r="M322" s="48">
        <f t="shared" si="33"/>
        <v>107677.5</v>
      </c>
      <c r="N322" s="48">
        <f t="shared" si="34"/>
        <v>128835</v>
      </c>
      <c r="O322" s="50">
        <f t="shared" si="35"/>
        <v>236512.5</v>
      </c>
      <c r="P322" s="50">
        <v>0</v>
      </c>
      <c r="Q322" s="76"/>
      <c r="R322" s="140">
        <f>R316/4</f>
        <v>5250</v>
      </c>
      <c r="S322" s="79">
        <v>16.75</v>
      </c>
      <c r="T322" s="80">
        <v>20.04</v>
      </c>
    </row>
    <row r="323" spans="2:20" ht="56">
      <c r="B323" s="5" t="s">
        <v>784</v>
      </c>
      <c r="C323" s="45" t="s">
        <v>135</v>
      </c>
      <c r="D323" s="45">
        <v>96132</v>
      </c>
      <c r="E323" s="6" t="s">
        <v>785</v>
      </c>
      <c r="F323" s="45" t="s">
        <v>121</v>
      </c>
      <c r="G323" s="46">
        <f t="shared" si="36"/>
        <v>21000</v>
      </c>
      <c r="H323" s="46">
        <f>TRUNC(S323*(1-LOTE_01!$K$10),2)</f>
        <v>12.73</v>
      </c>
      <c r="I323" s="46">
        <f>TRUNC(T323*(1-LOTE_01!$K$10),2)</f>
        <v>7.2</v>
      </c>
      <c r="J323" s="100">
        <f t="shared" si="37"/>
        <v>0.22470000000000001</v>
      </c>
      <c r="K323" s="48">
        <f t="shared" si="31"/>
        <v>15.59</v>
      </c>
      <c r="L323" s="48">
        <f t="shared" si="32"/>
        <v>8.81</v>
      </c>
      <c r="M323" s="48">
        <f t="shared" si="33"/>
        <v>327390</v>
      </c>
      <c r="N323" s="48">
        <f t="shared" si="34"/>
        <v>185010</v>
      </c>
      <c r="O323" s="50">
        <f t="shared" si="35"/>
        <v>512400</v>
      </c>
      <c r="P323" s="50">
        <v>0</v>
      </c>
      <c r="Q323" s="76"/>
      <c r="R323" s="140">
        <f>R316</f>
        <v>21000</v>
      </c>
      <c r="S323" s="79">
        <v>12.73</v>
      </c>
      <c r="T323" s="80">
        <v>7.2</v>
      </c>
    </row>
    <row r="324" spans="2:20" ht="42">
      <c r="B324" s="5" t="s">
        <v>786</v>
      </c>
      <c r="C324" s="45" t="s">
        <v>135</v>
      </c>
      <c r="D324" s="45">
        <v>88489</v>
      </c>
      <c r="E324" s="6" t="s">
        <v>787</v>
      </c>
      <c r="F324" s="45" t="s">
        <v>121</v>
      </c>
      <c r="G324" s="46">
        <f t="shared" si="36"/>
        <v>21000</v>
      </c>
      <c r="H324" s="46">
        <f>TRUNC(S324*(1-LOTE_01!$K$10),2)</f>
        <v>9.6999999999999993</v>
      </c>
      <c r="I324" s="46">
        <f>TRUNC(T324*(1-LOTE_01!$K$10),2)</f>
        <v>4.2300000000000004</v>
      </c>
      <c r="J324" s="100">
        <f t="shared" si="37"/>
        <v>0.22470000000000001</v>
      </c>
      <c r="K324" s="48">
        <f t="shared" si="31"/>
        <v>11.87</v>
      </c>
      <c r="L324" s="48">
        <f t="shared" si="32"/>
        <v>5.18</v>
      </c>
      <c r="M324" s="48">
        <f t="shared" si="33"/>
        <v>249270</v>
      </c>
      <c r="N324" s="48">
        <f t="shared" si="34"/>
        <v>108780</v>
      </c>
      <c r="O324" s="50">
        <f t="shared" si="35"/>
        <v>358050</v>
      </c>
      <c r="P324" s="50">
        <v>0</v>
      </c>
      <c r="Q324" s="76"/>
      <c r="R324" s="140">
        <f>R316</f>
        <v>21000</v>
      </c>
      <c r="S324" s="79">
        <v>9.6999999999999993</v>
      </c>
      <c r="T324" s="80">
        <v>4.2300000000000004</v>
      </c>
    </row>
    <row r="325" spans="2:20" ht="56">
      <c r="B325" s="5" t="s">
        <v>788</v>
      </c>
      <c r="C325" s="45" t="s">
        <v>135</v>
      </c>
      <c r="D325" s="45">
        <v>102491</v>
      </c>
      <c r="E325" s="6" t="s">
        <v>789</v>
      </c>
      <c r="F325" s="45" t="s">
        <v>121</v>
      </c>
      <c r="G325" s="46">
        <f t="shared" si="36"/>
        <v>2100</v>
      </c>
      <c r="H325" s="46">
        <f>TRUNC(S325*(1-LOTE_01!$K$10),2)</f>
        <v>14.98</v>
      </c>
      <c r="I325" s="46">
        <f>TRUNC(T325*(1-LOTE_01!$K$10),2)</f>
        <v>7.55</v>
      </c>
      <c r="J325" s="100">
        <f t="shared" si="37"/>
        <v>0.22470000000000001</v>
      </c>
      <c r="K325" s="48">
        <f t="shared" si="31"/>
        <v>18.34</v>
      </c>
      <c r="L325" s="48">
        <f t="shared" si="32"/>
        <v>9.24</v>
      </c>
      <c r="M325" s="48">
        <f t="shared" si="33"/>
        <v>38514</v>
      </c>
      <c r="N325" s="48">
        <f t="shared" si="34"/>
        <v>19404</v>
      </c>
      <c r="O325" s="50">
        <f t="shared" si="35"/>
        <v>57918</v>
      </c>
      <c r="P325" s="50">
        <v>0</v>
      </c>
      <c r="Q325" s="76"/>
      <c r="R325" s="140">
        <f>150*S9+150*S10</f>
        <v>2100</v>
      </c>
      <c r="S325" s="79">
        <v>14.98</v>
      </c>
      <c r="T325" s="80">
        <v>7.55</v>
      </c>
    </row>
    <row r="326" spans="2:20" ht="56">
      <c r="B326" s="5" t="s">
        <v>790</v>
      </c>
      <c r="C326" s="45" t="s">
        <v>135</v>
      </c>
      <c r="D326" s="45">
        <v>102513</v>
      </c>
      <c r="E326" s="6" t="s">
        <v>791</v>
      </c>
      <c r="F326" s="45" t="s">
        <v>121</v>
      </c>
      <c r="G326" s="46">
        <f t="shared" si="36"/>
        <v>560</v>
      </c>
      <c r="H326" s="46">
        <f>TRUNC(S326*(1-LOTE_01!$K$10),2)</f>
        <v>27.55</v>
      </c>
      <c r="I326" s="46">
        <f>TRUNC(T326*(1-LOTE_01!$K$10),2)</f>
        <v>26.85</v>
      </c>
      <c r="J326" s="100">
        <f t="shared" si="37"/>
        <v>0.22470000000000001</v>
      </c>
      <c r="K326" s="48">
        <f t="shared" si="31"/>
        <v>33.74</v>
      </c>
      <c r="L326" s="48">
        <f t="shared" si="32"/>
        <v>32.880000000000003</v>
      </c>
      <c r="M326" s="48">
        <f t="shared" si="33"/>
        <v>18894.400000000001</v>
      </c>
      <c r="N326" s="48">
        <f t="shared" si="34"/>
        <v>18412.8</v>
      </c>
      <c r="O326" s="50">
        <f t="shared" si="35"/>
        <v>37307.199999999997</v>
      </c>
      <c r="P326" s="50">
        <v>0</v>
      </c>
      <c r="Q326" s="76"/>
      <c r="R326" s="140">
        <f>40*S9+40*S10</f>
        <v>560</v>
      </c>
      <c r="S326" s="79">
        <v>27.549999999999997</v>
      </c>
      <c r="T326" s="80">
        <v>26.85</v>
      </c>
    </row>
    <row r="327" spans="2:20" ht="42">
      <c r="B327" s="5" t="s">
        <v>792</v>
      </c>
      <c r="C327" s="45" t="s">
        <v>135</v>
      </c>
      <c r="D327" s="45">
        <v>102501</v>
      </c>
      <c r="E327" s="6" t="s">
        <v>793</v>
      </c>
      <c r="F327" s="45" t="s">
        <v>121</v>
      </c>
      <c r="G327" s="46">
        <f t="shared" si="36"/>
        <v>210</v>
      </c>
      <c r="H327" s="46">
        <f>TRUNC(S327*(1-LOTE_01!$K$10),2)</f>
        <v>16.43</v>
      </c>
      <c r="I327" s="46">
        <f>TRUNC(T327*(1-LOTE_01!$K$10),2)</f>
        <v>11.95</v>
      </c>
      <c r="J327" s="100">
        <f t="shared" si="37"/>
        <v>0.22470000000000001</v>
      </c>
      <c r="K327" s="48">
        <f t="shared" si="31"/>
        <v>20.12</v>
      </c>
      <c r="L327" s="48">
        <f t="shared" si="32"/>
        <v>14.63</v>
      </c>
      <c r="M327" s="48">
        <f t="shared" si="33"/>
        <v>4225.2</v>
      </c>
      <c r="N327" s="48">
        <f t="shared" si="34"/>
        <v>3072.3</v>
      </c>
      <c r="O327" s="50">
        <f t="shared" si="35"/>
        <v>7297.5</v>
      </c>
      <c r="P327" s="50">
        <v>0</v>
      </c>
      <c r="Q327" s="76"/>
      <c r="R327" s="140">
        <f>15*S9+15*S10</f>
        <v>210</v>
      </c>
      <c r="S327" s="79">
        <v>16.43</v>
      </c>
      <c r="T327" s="80">
        <v>11.95</v>
      </c>
    </row>
    <row r="328" spans="2:20" ht="98">
      <c r="B328" s="5" t="s">
        <v>794</v>
      </c>
      <c r="C328" s="45" t="s">
        <v>135</v>
      </c>
      <c r="D328" s="45">
        <v>100726</v>
      </c>
      <c r="E328" s="6" t="s">
        <v>795</v>
      </c>
      <c r="F328" s="45" t="s">
        <v>121</v>
      </c>
      <c r="G328" s="46">
        <f t="shared" si="36"/>
        <v>3600</v>
      </c>
      <c r="H328" s="46">
        <f>TRUNC(S328*(1-LOTE_01!$K$10),2)</f>
        <v>16.670000000000002</v>
      </c>
      <c r="I328" s="46">
        <f>TRUNC(T328*(1-LOTE_01!$K$10),2)</f>
        <v>14.84</v>
      </c>
      <c r="J328" s="100">
        <f t="shared" si="37"/>
        <v>0.22470000000000001</v>
      </c>
      <c r="K328" s="48">
        <f t="shared" si="31"/>
        <v>20.41</v>
      </c>
      <c r="L328" s="48">
        <f t="shared" si="32"/>
        <v>18.170000000000002</v>
      </c>
      <c r="M328" s="48">
        <f t="shared" si="33"/>
        <v>73476</v>
      </c>
      <c r="N328" s="48">
        <f t="shared" si="34"/>
        <v>65412</v>
      </c>
      <c r="O328" s="50">
        <f t="shared" si="35"/>
        <v>138888</v>
      </c>
      <c r="P328" s="50">
        <v>0</v>
      </c>
      <c r="Q328" s="76"/>
      <c r="R328" s="140">
        <f>300*S9+200*S10</f>
        <v>3600</v>
      </c>
      <c r="S328" s="79">
        <v>16.670000000000002</v>
      </c>
      <c r="T328" s="80">
        <v>14.84</v>
      </c>
    </row>
    <row r="329" spans="2:20" ht="28">
      <c r="B329" s="5" t="s">
        <v>796</v>
      </c>
      <c r="C329" s="45" t="s">
        <v>135</v>
      </c>
      <c r="D329" s="45">
        <v>102234</v>
      </c>
      <c r="E329" s="6" t="s">
        <v>797</v>
      </c>
      <c r="F329" s="45" t="s">
        <v>121</v>
      </c>
      <c r="G329" s="46">
        <f t="shared" si="36"/>
        <v>1280</v>
      </c>
      <c r="H329" s="46">
        <f>TRUNC(S329*(1-LOTE_01!$K$10),2)</f>
        <v>14.46</v>
      </c>
      <c r="I329" s="46">
        <f>TRUNC(T329*(1-LOTE_01!$K$10),2)</f>
        <v>8.84</v>
      </c>
      <c r="J329" s="100">
        <f t="shared" si="37"/>
        <v>0.22470000000000001</v>
      </c>
      <c r="K329" s="48">
        <f t="shared" si="31"/>
        <v>17.7</v>
      </c>
      <c r="L329" s="48">
        <f t="shared" si="32"/>
        <v>10.82</v>
      </c>
      <c r="M329" s="48">
        <f t="shared" si="33"/>
        <v>22656</v>
      </c>
      <c r="N329" s="48">
        <f t="shared" si="34"/>
        <v>13849.6</v>
      </c>
      <c r="O329" s="50">
        <f t="shared" si="35"/>
        <v>36505.599999999999</v>
      </c>
      <c r="P329" s="50">
        <v>0</v>
      </c>
      <c r="Q329" s="76"/>
      <c r="R329" s="140">
        <f>IF((10*S9+200*S10)&gt;5000,5000,(10*S9+200*S10))</f>
        <v>1280</v>
      </c>
      <c r="S329" s="79">
        <v>14.46</v>
      </c>
      <c r="T329" s="80">
        <v>8.84</v>
      </c>
    </row>
    <row r="330" spans="2:20" ht="84">
      <c r="B330" s="5" t="s">
        <v>798</v>
      </c>
      <c r="C330" s="45" t="s">
        <v>135</v>
      </c>
      <c r="D330" s="45">
        <v>100749</v>
      </c>
      <c r="E330" s="6" t="s">
        <v>799</v>
      </c>
      <c r="F330" s="45" t="s">
        <v>121</v>
      </c>
      <c r="G330" s="46">
        <f t="shared" si="36"/>
        <v>3600</v>
      </c>
      <c r="H330" s="46">
        <f>TRUNC(S330*(1-LOTE_01!$K$10),2)</f>
        <v>16.239999999999998</v>
      </c>
      <c r="I330" s="46">
        <f>TRUNC(T330*(1-LOTE_01!$K$10),2)</f>
        <v>11.55</v>
      </c>
      <c r="J330" s="100">
        <f t="shared" si="37"/>
        <v>0.22470000000000001</v>
      </c>
      <c r="K330" s="48">
        <f t="shared" si="31"/>
        <v>19.88</v>
      </c>
      <c r="L330" s="48">
        <f t="shared" si="32"/>
        <v>14.14</v>
      </c>
      <c r="M330" s="48">
        <f t="shared" si="33"/>
        <v>71568</v>
      </c>
      <c r="N330" s="48">
        <f t="shared" si="34"/>
        <v>50904</v>
      </c>
      <c r="O330" s="50">
        <f t="shared" si="35"/>
        <v>122472</v>
      </c>
      <c r="P330" s="50">
        <v>0</v>
      </c>
      <c r="Q330" s="76"/>
      <c r="R330" s="140">
        <f>300*S9+200*S10</f>
        <v>3600</v>
      </c>
      <c r="S330" s="79">
        <v>16.239999999999998</v>
      </c>
      <c r="T330" s="80">
        <v>11.55</v>
      </c>
    </row>
    <row r="331" spans="2:20" ht="70">
      <c r="B331" s="5" t="s">
        <v>800</v>
      </c>
      <c r="C331" s="45" t="s">
        <v>135</v>
      </c>
      <c r="D331" s="45">
        <v>88429</v>
      </c>
      <c r="E331" s="6" t="s">
        <v>801</v>
      </c>
      <c r="F331" s="45" t="s">
        <v>121</v>
      </c>
      <c r="G331" s="46">
        <f t="shared" si="36"/>
        <v>700</v>
      </c>
      <c r="H331" s="46">
        <f>TRUNC(S331*(1-LOTE_01!$K$10),2)</f>
        <v>27.59</v>
      </c>
      <c r="I331" s="46">
        <f>TRUNC(T331*(1-LOTE_01!$K$10),2)</f>
        <v>12.58</v>
      </c>
      <c r="J331" s="100">
        <f t="shared" si="37"/>
        <v>0.22470000000000001</v>
      </c>
      <c r="K331" s="48">
        <f t="shared" si="31"/>
        <v>33.78</v>
      </c>
      <c r="L331" s="48">
        <f t="shared" si="32"/>
        <v>15.4</v>
      </c>
      <c r="M331" s="48">
        <f t="shared" si="33"/>
        <v>23646</v>
      </c>
      <c r="N331" s="48">
        <f t="shared" si="34"/>
        <v>10780</v>
      </c>
      <c r="O331" s="50">
        <f t="shared" si="35"/>
        <v>34426</v>
      </c>
      <c r="P331" s="50">
        <v>0</v>
      </c>
      <c r="Q331" s="76"/>
      <c r="R331" s="140">
        <f>50*(S9+S10)</f>
        <v>700</v>
      </c>
      <c r="S331" s="79">
        <v>27.590000000000003</v>
      </c>
      <c r="T331" s="80">
        <v>12.58</v>
      </c>
    </row>
    <row r="332" spans="2:20" ht="56">
      <c r="B332" s="5" t="s">
        <v>802</v>
      </c>
      <c r="C332" s="45" t="s">
        <v>97</v>
      </c>
      <c r="D332" s="45" t="s">
        <v>803</v>
      </c>
      <c r="E332" s="6" t="s">
        <v>804</v>
      </c>
      <c r="F332" s="45" t="s">
        <v>121</v>
      </c>
      <c r="G332" s="46">
        <f t="shared" si="36"/>
        <v>700</v>
      </c>
      <c r="H332" s="46">
        <f>TRUNC(S332*(1-LOTE_01!$K$10),2)</f>
        <v>53.55</v>
      </c>
      <c r="I332" s="46">
        <f>TRUNC(T332*(1-LOTE_01!$K$10),2)</f>
        <v>13.75</v>
      </c>
      <c r="J332" s="100">
        <f t="shared" si="37"/>
        <v>0.22470000000000001</v>
      </c>
      <c r="K332" s="48">
        <f t="shared" si="31"/>
        <v>65.58</v>
      </c>
      <c r="L332" s="48">
        <f t="shared" si="32"/>
        <v>16.829999999999998</v>
      </c>
      <c r="M332" s="48">
        <f t="shared" si="33"/>
        <v>45906</v>
      </c>
      <c r="N332" s="48">
        <f t="shared" si="34"/>
        <v>11781</v>
      </c>
      <c r="O332" s="50">
        <f t="shared" si="35"/>
        <v>57687</v>
      </c>
      <c r="P332" s="50">
        <v>0</v>
      </c>
      <c r="Q332" s="76"/>
      <c r="R332" s="140">
        <f>50*(S9+S10)</f>
        <v>700</v>
      </c>
      <c r="S332" s="79">
        <v>53.55</v>
      </c>
      <c r="T332" s="80">
        <v>13.75</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4793117.2899999982</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104">
        <v>0</v>
      </c>
      <c r="Q334" s="76"/>
      <c r="R334" s="154"/>
      <c r="S334" s="79" t="s">
        <v>22</v>
      </c>
      <c r="T334" s="80" t="s">
        <v>22</v>
      </c>
    </row>
    <row r="335" spans="2:20" ht="56">
      <c r="B335" s="5" t="s">
        <v>807</v>
      </c>
      <c r="C335" s="45" t="s">
        <v>135</v>
      </c>
      <c r="D335" s="45">
        <v>90443</v>
      </c>
      <c r="E335" s="6" t="s">
        <v>808</v>
      </c>
      <c r="F335" s="45" t="s">
        <v>187</v>
      </c>
      <c r="G335" s="46">
        <f t="shared" si="36"/>
        <v>420</v>
      </c>
      <c r="H335" s="46">
        <f>TRUNC(S335*(1-LOTE_01!$K$10),2)</f>
        <v>3.07</v>
      </c>
      <c r="I335" s="46">
        <f>TRUNC(T335*(1-LOTE_01!$K$10),2)</f>
        <v>6.37</v>
      </c>
      <c r="J335" s="100">
        <f t="shared" si="37"/>
        <v>0.22470000000000001</v>
      </c>
      <c r="K335" s="48">
        <f t="shared" si="31"/>
        <v>3.75</v>
      </c>
      <c r="L335" s="48">
        <f t="shared" si="32"/>
        <v>7.8</v>
      </c>
      <c r="M335" s="48">
        <f t="shared" si="33"/>
        <v>1575</v>
      </c>
      <c r="N335" s="48">
        <f t="shared" si="34"/>
        <v>3276</v>
      </c>
      <c r="O335" s="50">
        <f t="shared" si="35"/>
        <v>4851</v>
      </c>
      <c r="P335" s="50">
        <v>0</v>
      </c>
      <c r="Q335" s="76"/>
      <c r="R335" s="140">
        <f>30*S9+30*S10</f>
        <v>420</v>
      </c>
      <c r="S335" s="79">
        <v>3.0699999999999994</v>
      </c>
      <c r="T335" s="80">
        <v>6.37</v>
      </c>
    </row>
    <row r="336" spans="2:20" ht="70">
      <c r="B336" s="5" t="s">
        <v>809</v>
      </c>
      <c r="C336" s="45" t="s">
        <v>135</v>
      </c>
      <c r="D336" s="45">
        <v>90444</v>
      </c>
      <c r="E336" s="6" t="s">
        <v>810</v>
      </c>
      <c r="F336" s="45" t="s">
        <v>187</v>
      </c>
      <c r="G336" s="46">
        <f t="shared" si="36"/>
        <v>100</v>
      </c>
      <c r="H336" s="46">
        <f>TRUNC(S336*(1-LOTE_01!$K$10),2)</f>
        <v>5.39</v>
      </c>
      <c r="I336" s="46">
        <f>TRUNC(T336*(1-LOTE_01!$K$10),2)</f>
        <v>12.9</v>
      </c>
      <c r="J336" s="100">
        <f t="shared" si="37"/>
        <v>0.22470000000000001</v>
      </c>
      <c r="K336" s="48">
        <f t="shared" ref="K336:K399" si="38">TRUNC(H336*(1+J336),2)</f>
        <v>6.6</v>
      </c>
      <c r="L336" s="48">
        <f t="shared" ref="L336:L399" si="39">TRUNC(I336*(1+J336),2)</f>
        <v>15.79</v>
      </c>
      <c r="M336" s="48">
        <f t="shared" ref="M336:M399" si="40">TRUNC(K336*G336,2)</f>
        <v>660</v>
      </c>
      <c r="N336" s="48">
        <f t="shared" ref="N336:N399" si="41">TRUNC(L336*G336,2)</f>
        <v>1579</v>
      </c>
      <c r="O336" s="50">
        <f t="shared" ref="O336:O399" si="42">TRUNC(M336+N336,2)</f>
        <v>2239</v>
      </c>
      <c r="P336" s="50">
        <v>0</v>
      </c>
      <c r="Q336" s="76"/>
      <c r="R336" s="140">
        <f>IF((5*S9+30*S10)&gt;100,100,(5*S9+30*S10))</f>
        <v>100</v>
      </c>
      <c r="S336" s="79">
        <v>5.3899999999999988</v>
      </c>
      <c r="T336" s="80">
        <v>12.9</v>
      </c>
    </row>
    <row r="337" spans="2:20" ht="42">
      <c r="B337" s="5" t="s">
        <v>811</v>
      </c>
      <c r="C337" s="45" t="s">
        <v>135</v>
      </c>
      <c r="D337" s="45">
        <v>104795</v>
      </c>
      <c r="E337" s="6" t="s">
        <v>812</v>
      </c>
      <c r="F337" s="45" t="s">
        <v>187</v>
      </c>
      <c r="G337" s="46">
        <f t="shared" si="36"/>
        <v>7000</v>
      </c>
      <c r="H337" s="46">
        <f>TRUNC(S337*(1-LOTE_01!$K$10),2)</f>
        <v>0.63</v>
      </c>
      <c r="I337" s="46">
        <f>TRUNC(T337*(1-LOTE_01!$K$10),2)</f>
        <v>1.23</v>
      </c>
      <c r="J337" s="100">
        <f t="shared" si="37"/>
        <v>0.22470000000000001</v>
      </c>
      <c r="K337" s="48">
        <f t="shared" si="38"/>
        <v>0.77</v>
      </c>
      <c r="L337" s="48">
        <f t="shared" si="39"/>
        <v>1.5</v>
      </c>
      <c r="M337" s="48">
        <f t="shared" si="40"/>
        <v>5390</v>
      </c>
      <c r="N337" s="48">
        <f t="shared" si="41"/>
        <v>10500</v>
      </c>
      <c r="O337" s="50">
        <f t="shared" si="42"/>
        <v>15890</v>
      </c>
      <c r="P337" s="50">
        <v>0</v>
      </c>
      <c r="Q337" s="76"/>
      <c r="R337" s="140">
        <f>500*S9+500*S10</f>
        <v>7000</v>
      </c>
      <c r="S337" s="79">
        <v>0.63000000000000012</v>
      </c>
      <c r="T337" s="80">
        <v>1.23</v>
      </c>
    </row>
    <row r="338" spans="2:20" ht="56">
      <c r="B338" s="5" t="s">
        <v>813</v>
      </c>
      <c r="C338" s="45" t="s">
        <v>135</v>
      </c>
      <c r="D338" s="45">
        <v>104792</v>
      </c>
      <c r="E338" s="6" t="s">
        <v>814</v>
      </c>
      <c r="F338" s="45" t="s">
        <v>187</v>
      </c>
      <c r="G338" s="46">
        <f t="shared" ref="G338:G401" si="43">TRUNC(R338,2)</f>
        <v>7000</v>
      </c>
      <c r="H338" s="46">
        <f>TRUNC(S338*(1-LOTE_01!$K$10),2)</f>
        <v>0.19</v>
      </c>
      <c r="I338" s="46">
        <f>TRUNC(T338*(1-LOTE_01!$K$10),2)</f>
        <v>0.35</v>
      </c>
      <c r="J338" s="100">
        <f t="shared" ref="J338:J401" si="44">$J$4</f>
        <v>0.22470000000000001</v>
      </c>
      <c r="K338" s="48">
        <f t="shared" si="38"/>
        <v>0.23</v>
      </c>
      <c r="L338" s="48">
        <f t="shared" si="39"/>
        <v>0.42</v>
      </c>
      <c r="M338" s="48">
        <f t="shared" si="40"/>
        <v>1610</v>
      </c>
      <c r="N338" s="48">
        <f t="shared" si="41"/>
        <v>2940</v>
      </c>
      <c r="O338" s="50">
        <f t="shared" si="42"/>
        <v>4550</v>
      </c>
      <c r="P338" s="50">
        <v>0</v>
      </c>
      <c r="Q338" s="76"/>
      <c r="R338" s="140">
        <f>500*S9+500*S10</f>
        <v>7000</v>
      </c>
      <c r="S338" s="79">
        <v>0.19000000000000006</v>
      </c>
      <c r="T338" s="80">
        <v>0.35</v>
      </c>
    </row>
    <row r="339" spans="2:20" ht="42">
      <c r="B339" s="5" t="s">
        <v>815</v>
      </c>
      <c r="C339" s="45" t="s">
        <v>135</v>
      </c>
      <c r="D339" s="45">
        <v>97661</v>
      </c>
      <c r="E339" s="6" t="s">
        <v>816</v>
      </c>
      <c r="F339" s="45" t="s">
        <v>187</v>
      </c>
      <c r="G339" s="46">
        <f t="shared" si="43"/>
        <v>700</v>
      </c>
      <c r="H339" s="46">
        <f>TRUNC(S339*(1-LOTE_01!$K$10),2)</f>
        <v>0.35</v>
      </c>
      <c r="I339" s="46">
        <f>TRUNC(T339*(1-LOTE_01!$K$10),2)</f>
        <v>0.63</v>
      </c>
      <c r="J339" s="100">
        <f t="shared" si="44"/>
        <v>0.22470000000000001</v>
      </c>
      <c r="K339" s="48">
        <f t="shared" si="38"/>
        <v>0.42</v>
      </c>
      <c r="L339" s="48">
        <f t="shared" si="39"/>
        <v>0.77</v>
      </c>
      <c r="M339" s="48">
        <f t="shared" si="40"/>
        <v>294</v>
      </c>
      <c r="N339" s="48">
        <f t="shared" si="41"/>
        <v>539</v>
      </c>
      <c r="O339" s="50">
        <f t="shared" si="42"/>
        <v>833</v>
      </c>
      <c r="P339" s="50">
        <v>0</v>
      </c>
      <c r="Q339" s="76"/>
      <c r="R339" s="140">
        <f>50*S9+50*S10</f>
        <v>700</v>
      </c>
      <c r="S339" s="79">
        <v>0.35</v>
      </c>
      <c r="T339" s="80">
        <v>0.63</v>
      </c>
    </row>
    <row r="340" spans="2:20" ht="28">
      <c r="B340" s="5" t="s">
        <v>817</v>
      </c>
      <c r="C340" s="45" t="s">
        <v>97</v>
      </c>
      <c r="D340" s="45" t="s">
        <v>818</v>
      </c>
      <c r="E340" s="6" t="s">
        <v>819</v>
      </c>
      <c r="F340" s="45" t="s">
        <v>187</v>
      </c>
      <c r="G340" s="46">
        <f t="shared" si="43"/>
        <v>1400</v>
      </c>
      <c r="H340" s="46">
        <f>TRUNC(S340*(1-LOTE_01!$K$10),2)</f>
        <v>0.42</v>
      </c>
      <c r="I340" s="46">
        <f>TRUNC(T340*(1-LOTE_01!$K$10),2)</f>
        <v>1.04</v>
      </c>
      <c r="J340" s="100">
        <f t="shared" si="44"/>
        <v>0.22470000000000001</v>
      </c>
      <c r="K340" s="48">
        <f t="shared" si="38"/>
        <v>0.51</v>
      </c>
      <c r="L340" s="48">
        <f t="shared" si="39"/>
        <v>1.27</v>
      </c>
      <c r="M340" s="48">
        <f t="shared" si="40"/>
        <v>714</v>
      </c>
      <c r="N340" s="48">
        <f t="shared" si="41"/>
        <v>1778</v>
      </c>
      <c r="O340" s="50">
        <f t="shared" si="42"/>
        <v>2492</v>
      </c>
      <c r="P340" s="50">
        <v>0</v>
      </c>
      <c r="Q340" s="76"/>
      <c r="R340" s="140">
        <f>100*S9+100*S10</f>
        <v>1400</v>
      </c>
      <c r="S340" s="79">
        <v>0.42</v>
      </c>
      <c r="T340" s="80">
        <v>1.04</v>
      </c>
    </row>
    <row r="341" spans="2:20" ht="42">
      <c r="B341" s="5" t="s">
        <v>820</v>
      </c>
      <c r="C341" s="45" t="s">
        <v>97</v>
      </c>
      <c r="D341" s="45" t="s">
        <v>821</v>
      </c>
      <c r="E341" s="6" t="s">
        <v>822</v>
      </c>
      <c r="F341" s="45" t="s">
        <v>104</v>
      </c>
      <c r="G341" s="46">
        <f t="shared" si="43"/>
        <v>42</v>
      </c>
      <c r="H341" s="46">
        <f>TRUNC(S341*(1-LOTE_01!$K$10),2)</f>
        <v>50.77</v>
      </c>
      <c r="I341" s="46">
        <f>TRUNC(T341*(1-LOTE_01!$K$10),2)</f>
        <v>27.84</v>
      </c>
      <c r="J341" s="100">
        <f t="shared" si="44"/>
        <v>0.22470000000000001</v>
      </c>
      <c r="K341" s="48">
        <f t="shared" si="38"/>
        <v>62.17</v>
      </c>
      <c r="L341" s="48">
        <f t="shared" si="39"/>
        <v>34.090000000000003</v>
      </c>
      <c r="M341" s="48">
        <f t="shared" si="40"/>
        <v>2611.14</v>
      </c>
      <c r="N341" s="48">
        <f t="shared" si="41"/>
        <v>1431.78</v>
      </c>
      <c r="O341" s="50">
        <f t="shared" si="42"/>
        <v>4042.92</v>
      </c>
      <c r="P341" s="50">
        <v>0</v>
      </c>
      <c r="Q341" s="76"/>
      <c r="R341" s="140">
        <f>3*(S9+S10)</f>
        <v>42</v>
      </c>
      <c r="S341" s="79">
        <v>50.77</v>
      </c>
      <c r="T341" s="80">
        <v>27.84</v>
      </c>
    </row>
    <row r="342" spans="2:20" ht="28">
      <c r="B342" s="5" t="s">
        <v>823</v>
      </c>
      <c r="C342" s="45" t="s">
        <v>165</v>
      </c>
      <c r="D342" s="45" t="s">
        <v>824</v>
      </c>
      <c r="E342" s="6" t="s">
        <v>825</v>
      </c>
      <c r="F342" s="45" t="s">
        <v>559</v>
      </c>
      <c r="G342" s="46">
        <f t="shared" si="43"/>
        <v>200</v>
      </c>
      <c r="H342" s="46">
        <f>TRUNC(S342*(1-LOTE_01!$K$10),2)</f>
        <v>266.56</v>
      </c>
      <c r="I342" s="46">
        <f>TRUNC(T342*(1-LOTE_01!$K$10),2)</f>
        <v>125.27</v>
      </c>
      <c r="J342" s="100">
        <f t="shared" si="44"/>
        <v>0.22470000000000001</v>
      </c>
      <c r="K342" s="48">
        <f t="shared" si="38"/>
        <v>326.45</v>
      </c>
      <c r="L342" s="48">
        <f t="shared" si="39"/>
        <v>153.41</v>
      </c>
      <c r="M342" s="48">
        <f t="shared" si="40"/>
        <v>65290</v>
      </c>
      <c r="N342" s="48">
        <f t="shared" si="41"/>
        <v>30682</v>
      </c>
      <c r="O342" s="50">
        <f t="shared" si="42"/>
        <v>95972</v>
      </c>
      <c r="P342" s="50">
        <v>0</v>
      </c>
      <c r="Q342" s="76"/>
      <c r="R342" s="140">
        <f>IF((10*S9+20*S10)&gt;500,500,(10*S9+20*S10))</f>
        <v>200</v>
      </c>
      <c r="S342" s="79">
        <v>266.56</v>
      </c>
      <c r="T342" s="80">
        <v>125.27</v>
      </c>
    </row>
    <row r="343" spans="2:20" ht="42">
      <c r="B343" s="5" t="s">
        <v>826</v>
      </c>
      <c r="C343" s="45" t="s">
        <v>165</v>
      </c>
      <c r="D343" s="45" t="s">
        <v>827</v>
      </c>
      <c r="E343" s="6" t="s">
        <v>828</v>
      </c>
      <c r="F343" s="45" t="s">
        <v>559</v>
      </c>
      <c r="G343" s="46">
        <f t="shared" si="43"/>
        <v>70</v>
      </c>
      <c r="H343" s="46">
        <f>TRUNC(S343*(1-LOTE_01!$K$10),2)</f>
        <v>155.19</v>
      </c>
      <c r="I343" s="46">
        <f>TRUNC(T343*(1-LOTE_01!$K$10),2)</f>
        <v>74.25</v>
      </c>
      <c r="J343" s="100">
        <f t="shared" si="44"/>
        <v>0.22470000000000001</v>
      </c>
      <c r="K343" s="48">
        <f t="shared" si="38"/>
        <v>190.06</v>
      </c>
      <c r="L343" s="48">
        <f t="shared" si="39"/>
        <v>90.93</v>
      </c>
      <c r="M343" s="48">
        <f t="shared" si="40"/>
        <v>13304.2</v>
      </c>
      <c r="N343" s="48">
        <f t="shared" si="41"/>
        <v>6365.1</v>
      </c>
      <c r="O343" s="50">
        <f t="shared" si="42"/>
        <v>19669.3</v>
      </c>
      <c r="P343" s="50">
        <v>0</v>
      </c>
      <c r="Q343" s="76"/>
      <c r="R343" s="140">
        <f>IF((5*S9+5*S10)&gt;200,200,(5*S9+5*S10))</f>
        <v>70</v>
      </c>
      <c r="S343" s="79">
        <v>155.19</v>
      </c>
      <c r="T343" s="80">
        <v>74.25</v>
      </c>
    </row>
    <row r="344" spans="2:20" ht="28">
      <c r="B344" s="5" t="s">
        <v>829</v>
      </c>
      <c r="C344" s="45" t="s">
        <v>165</v>
      </c>
      <c r="D344" s="45" t="s">
        <v>830</v>
      </c>
      <c r="E344" s="6" t="s">
        <v>831</v>
      </c>
      <c r="F344" s="45" t="s">
        <v>559</v>
      </c>
      <c r="G344" s="46">
        <f t="shared" si="43"/>
        <v>200</v>
      </c>
      <c r="H344" s="46">
        <f>TRUNC(S344*(1-LOTE_01!$K$10),2)</f>
        <v>254.47</v>
      </c>
      <c r="I344" s="46">
        <f>TRUNC(T344*(1-LOTE_01!$K$10),2)</f>
        <v>141.21</v>
      </c>
      <c r="J344" s="100">
        <f t="shared" si="44"/>
        <v>0.22470000000000001</v>
      </c>
      <c r="K344" s="48">
        <f t="shared" si="38"/>
        <v>311.64</v>
      </c>
      <c r="L344" s="48">
        <f t="shared" si="39"/>
        <v>172.93</v>
      </c>
      <c r="M344" s="48">
        <f t="shared" si="40"/>
        <v>62328</v>
      </c>
      <c r="N344" s="48">
        <f t="shared" si="41"/>
        <v>34586</v>
      </c>
      <c r="O344" s="50">
        <f t="shared" si="42"/>
        <v>96914</v>
      </c>
      <c r="P344" s="50">
        <v>0</v>
      </c>
      <c r="Q344" s="76"/>
      <c r="R344" s="140">
        <f>IF((10*S9+20*S10)&gt;200,200,(10*S9+20*S10))</f>
        <v>200</v>
      </c>
      <c r="S344" s="79">
        <v>254.47</v>
      </c>
      <c r="T344" s="80">
        <v>141.21</v>
      </c>
    </row>
    <row r="345" spans="2:20" ht="28">
      <c r="B345" s="5" t="s">
        <v>832</v>
      </c>
      <c r="C345" s="45" t="s">
        <v>97</v>
      </c>
      <c r="D345" s="45" t="s">
        <v>833</v>
      </c>
      <c r="E345" s="6" t="s">
        <v>834</v>
      </c>
      <c r="F345" s="45" t="s">
        <v>104</v>
      </c>
      <c r="G345" s="46">
        <f t="shared" si="43"/>
        <v>140</v>
      </c>
      <c r="H345" s="46">
        <f>TRUNC(S345*(1-LOTE_01!$K$10),2)</f>
        <v>45.25</v>
      </c>
      <c r="I345" s="46">
        <f>TRUNC(T345*(1-LOTE_01!$K$10),2)</f>
        <v>14.7</v>
      </c>
      <c r="J345" s="100">
        <f t="shared" si="44"/>
        <v>0.22470000000000001</v>
      </c>
      <c r="K345" s="48">
        <f t="shared" si="38"/>
        <v>55.41</v>
      </c>
      <c r="L345" s="48">
        <f t="shared" si="39"/>
        <v>18</v>
      </c>
      <c r="M345" s="48">
        <f t="shared" si="40"/>
        <v>7757.4</v>
      </c>
      <c r="N345" s="48">
        <f t="shared" si="41"/>
        <v>2520</v>
      </c>
      <c r="O345" s="50">
        <f t="shared" si="42"/>
        <v>10277.4</v>
      </c>
      <c r="P345" s="50">
        <v>0</v>
      </c>
      <c r="Q345" s="76"/>
      <c r="R345" s="140">
        <f>IF((10*S9+10*S10)&gt;200,200,(10*S9+10*S10))</f>
        <v>140</v>
      </c>
      <c r="S345" s="79">
        <v>45.25</v>
      </c>
      <c r="T345" s="80">
        <v>14.7</v>
      </c>
    </row>
    <row r="346" spans="2:20" ht="70">
      <c r="B346" s="5" t="s">
        <v>835</v>
      </c>
      <c r="C346" s="45" t="s">
        <v>135</v>
      </c>
      <c r="D346" s="45">
        <v>91863</v>
      </c>
      <c r="E346" s="6" t="s">
        <v>836</v>
      </c>
      <c r="F346" s="45" t="s">
        <v>187</v>
      </c>
      <c r="G346" s="46">
        <f t="shared" si="43"/>
        <v>760</v>
      </c>
      <c r="H346" s="46">
        <f>TRUNC(S346*(1-LOTE_01!$K$10),2)</f>
        <v>8.25</v>
      </c>
      <c r="I346" s="46">
        <f>TRUNC(T346*(1-LOTE_01!$K$10),2)</f>
        <v>6.17</v>
      </c>
      <c r="J346" s="100">
        <f t="shared" si="44"/>
        <v>0.22470000000000001</v>
      </c>
      <c r="K346" s="48">
        <f t="shared" si="38"/>
        <v>10.1</v>
      </c>
      <c r="L346" s="48">
        <f t="shared" si="39"/>
        <v>7.55</v>
      </c>
      <c r="M346" s="48">
        <f t="shared" si="40"/>
        <v>7676</v>
      </c>
      <c r="N346" s="48">
        <f t="shared" si="41"/>
        <v>5738</v>
      </c>
      <c r="O346" s="50">
        <f t="shared" si="42"/>
        <v>13414</v>
      </c>
      <c r="P346" s="50">
        <v>0</v>
      </c>
      <c r="Q346" s="76"/>
      <c r="R346" s="140">
        <f>IF((20*S9+100*S10)&gt;1000,1000,(20*S9+100*S10))</f>
        <v>760</v>
      </c>
      <c r="S346" s="79">
        <v>8.25</v>
      </c>
      <c r="T346" s="80">
        <v>6.17</v>
      </c>
    </row>
    <row r="347" spans="2:20" ht="70">
      <c r="B347" s="5" t="s">
        <v>837</v>
      </c>
      <c r="C347" s="45" t="s">
        <v>135</v>
      </c>
      <c r="D347" s="45">
        <v>91864</v>
      </c>
      <c r="E347" s="6" t="s">
        <v>838</v>
      </c>
      <c r="F347" s="45" t="s">
        <v>187</v>
      </c>
      <c r="G347" s="46">
        <f t="shared" si="43"/>
        <v>500</v>
      </c>
      <c r="H347" s="46">
        <f>TRUNC(S347*(1-LOTE_01!$K$10),2)</f>
        <v>11.87</v>
      </c>
      <c r="I347" s="46">
        <f>TRUNC(T347*(1-LOTE_01!$K$10),2)</f>
        <v>7.19</v>
      </c>
      <c r="J347" s="100">
        <f t="shared" si="44"/>
        <v>0.22470000000000001</v>
      </c>
      <c r="K347" s="48">
        <f t="shared" si="38"/>
        <v>14.53</v>
      </c>
      <c r="L347" s="48">
        <f t="shared" si="39"/>
        <v>8.8000000000000007</v>
      </c>
      <c r="M347" s="48">
        <f t="shared" si="40"/>
        <v>7265</v>
      </c>
      <c r="N347" s="48">
        <f t="shared" si="41"/>
        <v>4400</v>
      </c>
      <c r="O347" s="50">
        <f t="shared" si="42"/>
        <v>11665</v>
      </c>
      <c r="P347" s="50">
        <v>0</v>
      </c>
      <c r="Q347" s="76"/>
      <c r="R347" s="140">
        <f>IF((20*S9+100*S10)&gt;500,500,(20*S9+100*S10))</f>
        <v>500</v>
      </c>
      <c r="S347" s="79">
        <v>11.869999999999997</v>
      </c>
      <c r="T347" s="80">
        <v>7.19</v>
      </c>
    </row>
    <row r="348" spans="2:20" ht="56">
      <c r="B348" s="5" t="s">
        <v>839</v>
      </c>
      <c r="C348" s="45" t="s">
        <v>135</v>
      </c>
      <c r="D348" s="45">
        <v>91926</v>
      </c>
      <c r="E348" s="6" t="s">
        <v>840</v>
      </c>
      <c r="F348" s="45" t="s">
        <v>187</v>
      </c>
      <c r="G348" s="46">
        <f t="shared" si="43"/>
        <v>8400</v>
      </c>
      <c r="H348" s="46">
        <f>TRUNC(S348*(1-LOTE_01!$K$10),2)</f>
        <v>3.51</v>
      </c>
      <c r="I348" s="46">
        <f>TRUNC(T348*(1-LOTE_01!$K$10),2)</f>
        <v>1.47</v>
      </c>
      <c r="J348" s="100">
        <f t="shared" si="44"/>
        <v>0.22470000000000001</v>
      </c>
      <c r="K348" s="48">
        <f t="shared" si="38"/>
        <v>4.29</v>
      </c>
      <c r="L348" s="48">
        <f t="shared" si="39"/>
        <v>1.8</v>
      </c>
      <c r="M348" s="48">
        <f t="shared" si="40"/>
        <v>36036</v>
      </c>
      <c r="N348" s="48">
        <f t="shared" si="41"/>
        <v>15120</v>
      </c>
      <c r="O348" s="50">
        <f t="shared" si="42"/>
        <v>51156</v>
      </c>
      <c r="P348" s="50">
        <v>0</v>
      </c>
      <c r="Q348" s="76"/>
      <c r="R348" s="140">
        <f>600*S9+600*S10</f>
        <v>8400</v>
      </c>
      <c r="S348" s="79">
        <v>3.5100000000000007</v>
      </c>
      <c r="T348" s="80">
        <v>1.47</v>
      </c>
    </row>
    <row r="349" spans="2:20" ht="56">
      <c r="B349" s="5" t="s">
        <v>841</v>
      </c>
      <c r="C349" s="45" t="s">
        <v>135</v>
      </c>
      <c r="D349" s="45">
        <v>91924</v>
      </c>
      <c r="E349" s="6" t="s">
        <v>842</v>
      </c>
      <c r="F349" s="45" t="s">
        <v>187</v>
      </c>
      <c r="G349" s="46">
        <f t="shared" si="43"/>
        <v>8400</v>
      </c>
      <c r="H349" s="46">
        <f>TRUNC(S349*(1-LOTE_01!$K$10),2)</f>
        <v>2.34</v>
      </c>
      <c r="I349" s="46">
        <f>TRUNC(T349*(1-LOTE_01!$K$10),2)</f>
        <v>1.1599999999999999</v>
      </c>
      <c r="J349" s="100">
        <f t="shared" si="44"/>
        <v>0.22470000000000001</v>
      </c>
      <c r="K349" s="48">
        <f t="shared" si="38"/>
        <v>2.86</v>
      </c>
      <c r="L349" s="48">
        <f t="shared" si="39"/>
        <v>1.42</v>
      </c>
      <c r="M349" s="48">
        <f t="shared" si="40"/>
        <v>24024</v>
      </c>
      <c r="N349" s="48">
        <f t="shared" si="41"/>
        <v>11928</v>
      </c>
      <c r="O349" s="50">
        <f t="shared" si="42"/>
        <v>35952</v>
      </c>
      <c r="P349" s="50">
        <v>0</v>
      </c>
      <c r="Q349" s="76"/>
      <c r="R349" s="140">
        <f>600*S9+600*S10</f>
        <v>8400</v>
      </c>
      <c r="S349" s="79">
        <v>2.34</v>
      </c>
      <c r="T349" s="80">
        <v>1.1599999999999999</v>
      </c>
    </row>
    <row r="350" spans="2:20" ht="56">
      <c r="B350" s="5" t="s">
        <v>843</v>
      </c>
      <c r="C350" s="45" t="s">
        <v>135</v>
      </c>
      <c r="D350" s="45">
        <v>91928</v>
      </c>
      <c r="E350" s="6" t="s">
        <v>844</v>
      </c>
      <c r="F350" s="45" t="s">
        <v>187</v>
      </c>
      <c r="G350" s="46">
        <f t="shared" si="43"/>
        <v>2800</v>
      </c>
      <c r="H350" s="46">
        <f>TRUNC(S350*(1-LOTE_01!$K$10),2)</f>
        <v>5.58</v>
      </c>
      <c r="I350" s="46">
        <f>TRUNC(T350*(1-LOTE_01!$K$10),2)</f>
        <v>1.97</v>
      </c>
      <c r="J350" s="100">
        <f t="shared" si="44"/>
        <v>0.22470000000000001</v>
      </c>
      <c r="K350" s="48">
        <f t="shared" si="38"/>
        <v>6.83</v>
      </c>
      <c r="L350" s="48">
        <f t="shared" si="39"/>
        <v>2.41</v>
      </c>
      <c r="M350" s="48">
        <f t="shared" si="40"/>
        <v>19124</v>
      </c>
      <c r="N350" s="48">
        <f t="shared" si="41"/>
        <v>6748</v>
      </c>
      <c r="O350" s="50">
        <f t="shared" si="42"/>
        <v>25872</v>
      </c>
      <c r="P350" s="50">
        <v>0</v>
      </c>
      <c r="Q350" s="76"/>
      <c r="R350" s="140">
        <f>200*S9+200*S10</f>
        <v>2800</v>
      </c>
      <c r="S350" s="79">
        <v>5.58</v>
      </c>
      <c r="T350" s="80">
        <v>1.97</v>
      </c>
    </row>
    <row r="351" spans="2:20" ht="56">
      <c r="B351" s="5" t="s">
        <v>845</v>
      </c>
      <c r="C351" s="45" t="s">
        <v>135</v>
      </c>
      <c r="D351" s="45">
        <v>91952</v>
      </c>
      <c r="E351" s="6" t="s">
        <v>846</v>
      </c>
      <c r="F351" s="45" t="s">
        <v>210</v>
      </c>
      <c r="G351" s="46">
        <f t="shared" si="43"/>
        <v>350</v>
      </c>
      <c r="H351" s="46">
        <f>TRUNC(S351*(1-LOTE_01!$K$10),2)</f>
        <v>13.08</v>
      </c>
      <c r="I351" s="46">
        <f>TRUNC(T351*(1-LOTE_01!$K$10),2)</f>
        <v>11.38</v>
      </c>
      <c r="J351" s="100">
        <f t="shared" si="44"/>
        <v>0.22470000000000001</v>
      </c>
      <c r="K351" s="48">
        <f t="shared" si="38"/>
        <v>16.010000000000002</v>
      </c>
      <c r="L351" s="48">
        <f t="shared" si="39"/>
        <v>13.93</v>
      </c>
      <c r="M351" s="48">
        <f t="shared" si="40"/>
        <v>5603.5</v>
      </c>
      <c r="N351" s="48">
        <f t="shared" si="41"/>
        <v>4875.5</v>
      </c>
      <c r="O351" s="50">
        <f t="shared" si="42"/>
        <v>10479</v>
      </c>
      <c r="P351" s="50">
        <v>0</v>
      </c>
      <c r="Q351" s="76"/>
      <c r="R351" s="140">
        <f>25*S9+25*S10</f>
        <v>350</v>
      </c>
      <c r="S351" s="79">
        <v>13.08</v>
      </c>
      <c r="T351" s="80">
        <v>11.38</v>
      </c>
    </row>
    <row r="352" spans="2:20" ht="56">
      <c r="B352" s="5" t="s">
        <v>847</v>
      </c>
      <c r="C352" s="45" t="s">
        <v>135</v>
      </c>
      <c r="D352" s="45">
        <v>91959</v>
      </c>
      <c r="E352" s="6" t="s">
        <v>848</v>
      </c>
      <c r="F352" s="45" t="s">
        <v>210</v>
      </c>
      <c r="G352" s="46">
        <f t="shared" si="43"/>
        <v>140</v>
      </c>
      <c r="H352" s="46">
        <f>TRUNC(S352*(1-LOTE_01!$K$10),2)</f>
        <v>32.659999999999997</v>
      </c>
      <c r="I352" s="46">
        <f>TRUNC(T352*(1-LOTE_01!$K$10),2)</f>
        <v>25.8</v>
      </c>
      <c r="J352" s="100">
        <f t="shared" si="44"/>
        <v>0.22470000000000001</v>
      </c>
      <c r="K352" s="48">
        <f t="shared" si="38"/>
        <v>39.99</v>
      </c>
      <c r="L352" s="48">
        <f t="shared" si="39"/>
        <v>31.59</v>
      </c>
      <c r="M352" s="48">
        <f t="shared" si="40"/>
        <v>5598.6</v>
      </c>
      <c r="N352" s="48">
        <f t="shared" si="41"/>
        <v>4422.6000000000004</v>
      </c>
      <c r="O352" s="50">
        <f t="shared" si="42"/>
        <v>10021.200000000001</v>
      </c>
      <c r="P352" s="50">
        <v>0</v>
      </c>
      <c r="Q352" s="76"/>
      <c r="R352" s="140">
        <f>10*S9+10*S10</f>
        <v>140</v>
      </c>
      <c r="S352" s="79">
        <v>32.659999999999997</v>
      </c>
      <c r="T352" s="80">
        <v>25.8</v>
      </c>
    </row>
    <row r="353" spans="2:20" ht="56">
      <c r="B353" s="5" t="s">
        <v>849</v>
      </c>
      <c r="C353" s="45" t="s">
        <v>135</v>
      </c>
      <c r="D353" s="45">
        <v>91967</v>
      </c>
      <c r="E353" s="6" t="s">
        <v>850</v>
      </c>
      <c r="F353" s="45" t="s">
        <v>210</v>
      </c>
      <c r="G353" s="46">
        <f t="shared" si="43"/>
        <v>140</v>
      </c>
      <c r="H353" s="46">
        <f>TRUNC(S353*(1-LOTE_01!$K$10),2)</f>
        <v>44.32</v>
      </c>
      <c r="I353" s="46">
        <f>TRUNC(T353*(1-LOTE_01!$K$10),2)</f>
        <v>34.01</v>
      </c>
      <c r="J353" s="100">
        <f t="shared" si="44"/>
        <v>0.22470000000000001</v>
      </c>
      <c r="K353" s="48">
        <f t="shared" si="38"/>
        <v>54.27</v>
      </c>
      <c r="L353" s="48">
        <f t="shared" si="39"/>
        <v>41.65</v>
      </c>
      <c r="M353" s="48">
        <f t="shared" si="40"/>
        <v>7597.8</v>
      </c>
      <c r="N353" s="48">
        <f t="shared" si="41"/>
        <v>5831</v>
      </c>
      <c r="O353" s="50">
        <f t="shared" si="42"/>
        <v>13428.8</v>
      </c>
      <c r="P353" s="50">
        <v>0</v>
      </c>
      <c r="Q353" s="76"/>
      <c r="R353" s="140">
        <f>10*S9+10*S10</f>
        <v>140</v>
      </c>
      <c r="S353" s="79">
        <v>44.32</v>
      </c>
      <c r="T353" s="80">
        <v>34.01</v>
      </c>
    </row>
    <row r="354" spans="2:20" ht="56">
      <c r="B354" s="5" t="s">
        <v>851</v>
      </c>
      <c r="C354" s="45" t="s">
        <v>135</v>
      </c>
      <c r="D354" s="45">
        <v>92005</v>
      </c>
      <c r="E354" s="6" t="s">
        <v>852</v>
      </c>
      <c r="F354" s="45" t="s">
        <v>210</v>
      </c>
      <c r="G354" s="46">
        <f t="shared" si="43"/>
        <v>200</v>
      </c>
      <c r="H354" s="46">
        <f>TRUNC(S354*(1-LOTE_01!$K$10),2)</f>
        <v>43.65</v>
      </c>
      <c r="I354" s="46">
        <f>TRUNC(T354*(1-LOTE_01!$K$10),2)</f>
        <v>34.049999999999997</v>
      </c>
      <c r="J354" s="100">
        <f t="shared" si="44"/>
        <v>0.22470000000000001</v>
      </c>
      <c r="K354" s="48">
        <f t="shared" si="38"/>
        <v>53.45</v>
      </c>
      <c r="L354" s="48">
        <f t="shared" si="39"/>
        <v>41.7</v>
      </c>
      <c r="M354" s="48">
        <f t="shared" si="40"/>
        <v>10690</v>
      </c>
      <c r="N354" s="48">
        <f t="shared" si="41"/>
        <v>8340</v>
      </c>
      <c r="O354" s="50">
        <f t="shared" si="42"/>
        <v>19030</v>
      </c>
      <c r="P354" s="50">
        <v>0</v>
      </c>
      <c r="Q354" s="76"/>
      <c r="R354" s="140">
        <f>IF((10*S9+20*S10)&gt;500,500,(10*S9+20*S10))</f>
        <v>200</v>
      </c>
      <c r="S354" s="79">
        <v>43.650000000000006</v>
      </c>
      <c r="T354" s="80">
        <v>34.049999999999997</v>
      </c>
    </row>
    <row r="355" spans="2:20" ht="56">
      <c r="B355" s="5" t="s">
        <v>853</v>
      </c>
      <c r="C355" s="45" t="s">
        <v>135</v>
      </c>
      <c r="D355" s="45">
        <v>92008</v>
      </c>
      <c r="E355" s="6" t="s">
        <v>854</v>
      </c>
      <c r="F355" s="45" t="s">
        <v>210</v>
      </c>
      <c r="G355" s="46">
        <f t="shared" si="43"/>
        <v>200</v>
      </c>
      <c r="H355" s="46">
        <f>TRUNC(S355*(1-LOTE_01!$K$10),2)</f>
        <v>35.24</v>
      </c>
      <c r="I355" s="46">
        <f>TRUNC(T355*(1-LOTE_01!$K$10),2)</f>
        <v>26.63</v>
      </c>
      <c r="J355" s="100">
        <f t="shared" si="44"/>
        <v>0.22470000000000001</v>
      </c>
      <c r="K355" s="48">
        <f t="shared" si="38"/>
        <v>43.15</v>
      </c>
      <c r="L355" s="48">
        <f t="shared" si="39"/>
        <v>32.61</v>
      </c>
      <c r="M355" s="48">
        <f t="shared" si="40"/>
        <v>8630</v>
      </c>
      <c r="N355" s="48">
        <f t="shared" si="41"/>
        <v>6522</v>
      </c>
      <c r="O355" s="50">
        <f t="shared" si="42"/>
        <v>15152</v>
      </c>
      <c r="P355" s="50">
        <v>0</v>
      </c>
      <c r="Q355" s="76"/>
      <c r="R355" s="140">
        <f>IF((10*S9+20*S10)&gt;500,500,(10*S9+20*S10))</f>
        <v>200</v>
      </c>
      <c r="S355" s="79">
        <v>35.239999999999995</v>
      </c>
      <c r="T355" s="80">
        <v>26.63</v>
      </c>
    </row>
    <row r="356" spans="2:20" ht="56">
      <c r="B356" s="5" t="s">
        <v>855</v>
      </c>
      <c r="C356" s="45" t="s">
        <v>135</v>
      </c>
      <c r="D356" s="45">
        <v>92000</v>
      </c>
      <c r="E356" s="6" t="s">
        <v>856</v>
      </c>
      <c r="F356" s="45" t="s">
        <v>210</v>
      </c>
      <c r="G356" s="46">
        <f t="shared" si="43"/>
        <v>420</v>
      </c>
      <c r="H356" s="46">
        <f>TRUNC(S356*(1-LOTE_01!$K$10),2)</f>
        <v>22.3</v>
      </c>
      <c r="I356" s="46">
        <f>TRUNC(T356*(1-LOTE_01!$K$10),2)</f>
        <v>18.04</v>
      </c>
      <c r="J356" s="100">
        <f t="shared" si="44"/>
        <v>0.22470000000000001</v>
      </c>
      <c r="K356" s="48">
        <f t="shared" si="38"/>
        <v>27.31</v>
      </c>
      <c r="L356" s="48">
        <f t="shared" si="39"/>
        <v>22.09</v>
      </c>
      <c r="M356" s="48">
        <f t="shared" si="40"/>
        <v>11470.2</v>
      </c>
      <c r="N356" s="48">
        <f t="shared" si="41"/>
        <v>9277.7999999999993</v>
      </c>
      <c r="O356" s="50">
        <f t="shared" si="42"/>
        <v>20748</v>
      </c>
      <c r="P356" s="50">
        <v>0</v>
      </c>
      <c r="Q356" s="76"/>
      <c r="R356" s="140">
        <f>30*S9+30*S10</f>
        <v>420</v>
      </c>
      <c r="S356" s="79">
        <v>22.300000000000004</v>
      </c>
      <c r="T356" s="80">
        <v>18.04</v>
      </c>
    </row>
    <row r="357" spans="2:20" ht="42">
      <c r="B357" s="5" t="s">
        <v>857</v>
      </c>
      <c r="C357" s="45" t="s">
        <v>97</v>
      </c>
      <c r="D357" s="45" t="s">
        <v>858</v>
      </c>
      <c r="E357" s="6" t="s">
        <v>859</v>
      </c>
      <c r="F357" s="45" t="s">
        <v>104</v>
      </c>
      <c r="G357" s="46">
        <f t="shared" si="43"/>
        <v>540</v>
      </c>
      <c r="H357" s="46">
        <f>TRUNC(S357*(1-LOTE_01!$K$10),2)</f>
        <v>15.38</v>
      </c>
      <c r="I357" s="46">
        <f>TRUNC(T357*(1-LOTE_01!$K$10),2)</f>
        <v>31.2</v>
      </c>
      <c r="J357" s="100">
        <f t="shared" si="44"/>
        <v>0.22470000000000001</v>
      </c>
      <c r="K357" s="48">
        <f t="shared" si="38"/>
        <v>18.829999999999998</v>
      </c>
      <c r="L357" s="48">
        <f t="shared" si="39"/>
        <v>38.21</v>
      </c>
      <c r="M357" s="48">
        <f t="shared" si="40"/>
        <v>10168.200000000001</v>
      </c>
      <c r="N357" s="48">
        <f t="shared" si="41"/>
        <v>20633.400000000001</v>
      </c>
      <c r="O357" s="50">
        <f t="shared" si="42"/>
        <v>30801.599999999999</v>
      </c>
      <c r="P357" s="50">
        <v>0</v>
      </c>
      <c r="Q357" s="76"/>
      <c r="R357" s="140">
        <f>30*S9+50*S10</f>
        <v>540</v>
      </c>
      <c r="S357" s="79">
        <v>15.38</v>
      </c>
      <c r="T357" s="80">
        <v>31.2</v>
      </c>
    </row>
    <row r="358" spans="2:20" ht="28">
      <c r="B358" s="5" t="s">
        <v>860</v>
      </c>
      <c r="C358" s="45" t="s">
        <v>97</v>
      </c>
      <c r="D358" s="45" t="s">
        <v>861</v>
      </c>
      <c r="E358" s="6" t="s">
        <v>862</v>
      </c>
      <c r="F358" s="45" t="s">
        <v>104</v>
      </c>
      <c r="G358" s="46">
        <f t="shared" si="43"/>
        <v>50</v>
      </c>
      <c r="H358" s="46">
        <f>TRUNC(S358*(1-LOTE_01!$K$10),2)</f>
        <v>47.2</v>
      </c>
      <c r="I358" s="46">
        <f>TRUNC(T358*(1-LOTE_01!$K$10),2)</f>
        <v>23.4</v>
      </c>
      <c r="J358" s="100">
        <f t="shared" si="44"/>
        <v>0.22470000000000001</v>
      </c>
      <c r="K358" s="48">
        <f t="shared" si="38"/>
        <v>57.8</v>
      </c>
      <c r="L358" s="48">
        <f t="shared" si="39"/>
        <v>28.65</v>
      </c>
      <c r="M358" s="48">
        <f t="shared" si="40"/>
        <v>2890</v>
      </c>
      <c r="N358" s="48">
        <f t="shared" si="41"/>
        <v>1432.5</v>
      </c>
      <c r="O358" s="50">
        <f t="shared" si="42"/>
        <v>4322.5</v>
      </c>
      <c r="P358" s="50">
        <v>0</v>
      </c>
      <c r="Q358" s="76"/>
      <c r="R358" s="140">
        <f>IF((10*S9+10*S10)&gt;50,50,(10*S9+10*S10))</f>
        <v>50</v>
      </c>
      <c r="S358" s="79">
        <v>47.2</v>
      </c>
      <c r="T358" s="80">
        <v>23.4</v>
      </c>
    </row>
    <row r="359" spans="2:20" ht="84">
      <c r="B359" s="5" t="s">
        <v>863</v>
      </c>
      <c r="C359" s="45" t="s">
        <v>97</v>
      </c>
      <c r="D359" s="45" t="s">
        <v>864</v>
      </c>
      <c r="E359" s="6" t="s">
        <v>865</v>
      </c>
      <c r="F359" s="45" t="s">
        <v>104</v>
      </c>
      <c r="G359" s="46">
        <f t="shared" si="43"/>
        <v>200</v>
      </c>
      <c r="H359" s="46">
        <f>TRUNC(S359*(1-LOTE_01!$K$10),2)</f>
        <v>196.59</v>
      </c>
      <c r="I359" s="46">
        <f>TRUNC(T359*(1-LOTE_01!$K$10),2)</f>
        <v>46.8</v>
      </c>
      <c r="J359" s="100">
        <f t="shared" si="44"/>
        <v>0.22470000000000001</v>
      </c>
      <c r="K359" s="48">
        <f t="shared" si="38"/>
        <v>240.76</v>
      </c>
      <c r="L359" s="48">
        <f t="shared" si="39"/>
        <v>57.31</v>
      </c>
      <c r="M359" s="48">
        <f t="shared" si="40"/>
        <v>48152</v>
      </c>
      <c r="N359" s="48">
        <f t="shared" si="41"/>
        <v>11462</v>
      </c>
      <c r="O359" s="50">
        <f t="shared" si="42"/>
        <v>59614</v>
      </c>
      <c r="P359" s="50">
        <v>0</v>
      </c>
      <c r="Q359" s="76"/>
      <c r="R359" s="140">
        <f>IF((20*S9+20*S10)&gt;200,200,(20*S9+20*S10))</f>
        <v>200</v>
      </c>
      <c r="S359" s="79">
        <v>196.59</v>
      </c>
      <c r="T359" s="80">
        <v>46.8</v>
      </c>
    </row>
    <row r="360" spans="2:20" ht="98">
      <c r="B360" s="5" t="s">
        <v>866</v>
      </c>
      <c r="C360" s="45" t="s">
        <v>97</v>
      </c>
      <c r="D360" s="45" t="s">
        <v>867</v>
      </c>
      <c r="E360" s="6" t="s">
        <v>868</v>
      </c>
      <c r="F360" s="45" t="s">
        <v>104</v>
      </c>
      <c r="G360" s="46">
        <f t="shared" si="43"/>
        <v>28</v>
      </c>
      <c r="H360" s="46">
        <f>TRUNC(S360*(1-LOTE_01!$K$10),2)</f>
        <v>283.87</v>
      </c>
      <c r="I360" s="46">
        <f>TRUNC(T360*(1-LOTE_01!$K$10),2)</f>
        <v>112.32</v>
      </c>
      <c r="J360" s="100">
        <f t="shared" si="44"/>
        <v>0.22470000000000001</v>
      </c>
      <c r="K360" s="48">
        <f t="shared" si="38"/>
        <v>347.65</v>
      </c>
      <c r="L360" s="48">
        <f t="shared" si="39"/>
        <v>137.55000000000001</v>
      </c>
      <c r="M360" s="48">
        <f t="shared" si="40"/>
        <v>9734.2000000000007</v>
      </c>
      <c r="N360" s="48">
        <f t="shared" si="41"/>
        <v>3851.4</v>
      </c>
      <c r="O360" s="50">
        <f t="shared" si="42"/>
        <v>13585.6</v>
      </c>
      <c r="P360" s="50">
        <v>0</v>
      </c>
      <c r="Q360" s="76"/>
      <c r="R360" s="140">
        <f>IF((2*S9+2*S10)&gt;50,100,(2*S9+2*S10))</f>
        <v>28</v>
      </c>
      <c r="S360" s="79">
        <v>283.87</v>
      </c>
      <c r="T360" s="80">
        <v>112.32</v>
      </c>
    </row>
    <row r="361" spans="2:20" ht="56">
      <c r="B361" s="5" t="s">
        <v>869</v>
      </c>
      <c r="C361" s="45" t="s">
        <v>135</v>
      </c>
      <c r="D361" s="45">
        <v>97607</v>
      </c>
      <c r="E361" s="6" t="s">
        <v>870</v>
      </c>
      <c r="F361" s="45" t="s">
        <v>210</v>
      </c>
      <c r="G361" s="46">
        <f t="shared" si="43"/>
        <v>50</v>
      </c>
      <c r="H361" s="46">
        <f>TRUNC(S361*(1-LOTE_01!$K$10),2)</f>
        <v>83.98</v>
      </c>
      <c r="I361" s="46">
        <f>TRUNC(T361*(1-LOTE_01!$K$10),2)</f>
        <v>20.309999999999999</v>
      </c>
      <c r="J361" s="100">
        <f t="shared" si="44"/>
        <v>0.22470000000000001</v>
      </c>
      <c r="K361" s="48">
        <f t="shared" si="38"/>
        <v>102.85</v>
      </c>
      <c r="L361" s="48">
        <f t="shared" si="39"/>
        <v>24.87</v>
      </c>
      <c r="M361" s="48">
        <f t="shared" si="40"/>
        <v>5142.5</v>
      </c>
      <c r="N361" s="48">
        <f t="shared" si="41"/>
        <v>1243.5</v>
      </c>
      <c r="O361" s="50">
        <f t="shared" si="42"/>
        <v>6386</v>
      </c>
      <c r="P361" s="50">
        <v>0</v>
      </c>
      <c r="Q361" s="76"/>
      <c r="R361" s="140">
        <f>IF((5*S9+5*S10)&gt;50,50,(5*S9+5*S10))</f>
        <v>50</v>
      </c>
      <c r="S361" s="79">
        <v>83.98</v>
      </c>
      <c r="T361" s="80">
        <v>20.309999999999999</v>
      </c>
    </row>
    <row r="362" spans="2:20" ht="28">
      <c r="B362" s="5" t="s">
        <v>871</v>
      </c>
      <c r="C362" s="45" t="s">
        <v>165</v>
      </c>
      <c r="D362" s="45" t="s">
        <v>872</v>
      </c>
      <c r="E362" s="6" t="s">
        <v>873</v>
      </c>
      <c r="F362" s="45" t="s">
        <v>559</v>
      </c>
      <c r="G362" s="46">
        <f t="shared" si="43"/>
        <v>50</v>
      </c>
      <c r="H362" s="46">
        <f>TRUNC(S362*(1-LOTE_01!$K$10),2)</f>
        <v>338.8</v>
      </c>
      <c r="I362" s="46">
        <f>TRUNC(T362*(1-LOTE_01!$K$10),2)</f>
        <v>47.83</v>
      </c>
      <c r="J362" s="100">
        <f t="shared" si="44"/>
        <v>0.22470000000000001</v>
      </c>
      <c r="K362" s="48">
        <f t="shared" si="38"/>
        <v>414.92</v>
      </c>
      <c r="L362" s="48">
        <f t="shared" si="39"/>
        <v>58.57</v>
      </c>
      <c r="M362" s="48">
        <f t="shared" si="40"/>
        <v>20746</v>
      </c>
      <c r="N362" s="48">
        <f t="shared" si="41"/>
        <v>2928.5</v>
      </c>
      <c r="O362" s="50">
        <f t="shared" si="42"/>
        <v>23674.5</v>
      </c>
      <c r="P362" s="50">
        <v>0</v>
      </c>
      <c r="Q362" s="76"/>
      <c r="R362" s="140">
        <f>IF((5*S9+5*S10)&gt;50,50,(5*S9+5*S10))</f>
        <v>50</v>
      </c>
      <c r="S362" s="79">
        <v>338.8</v>
      </c>
      <c r="T362" s="80">
        <v>47.83</v>
      </c>
    </row>
    <row r="363" spans="2:20" ht="42">
      <c r="B363" s="5" t="s">
        <v>874</v>
      </c>
      <c r="C363" s="45" t="s">
        <v>135</v>
      </c>
      <c r="D363" s="45">
        <v>100903</v>
      </c>
      <c r="E363" s="6" t="s">
        <v>875</v>
      </c>
      <c r="F363" s="45" t="s">
        <v>210</v>
      </c>
      <c r="G363" s="46">
        <f t="shared" si="43"/>
        <v>500</v>
      </c>
      <c r="H363" s="46">
        <f>TRUNC(S363*(1-LOTE_01!$K$10),2)</f>
        <v>24.54</v>
      </c>
      <c r="I363" s="46">
        <f>TRUNC(T363*(1-LOTE_01!$K$10),2)</f>
        <v>16.57</v>
      </c>
      <c r="J363" s="100">
        <f t="shared" si="44"/>
        <v>0.22470000000000001</v>
      </c>
      <c r="K363" s="48">
        <f t="shared" si="38"/>
        <v>30.05</v>
      </c>
      <c r="L363" s="48">
        <f t="shared" si="39"/>
        <v>20.29</v>
      </c>
      <c r="M363" s="48">
        <f t="shared" si="40"/>
        <v>15025</v>
      </c>
      <c r="N363" s="48">
        <f t="shared" si="41"/>
        <v>10145</v>
      </c>
      <c r="O363" s="50">
        <f t="shared" si="42"/>
        <v>25170</v>
      </c>
      <c r="P363" s="50">
        <v>0</v>
      </c>
      <c r="Q363" s="76"/>
      <c r="R363" s="140">
        <f>IF((100*S9+100*S10)&gt;500,500,(100*S9+100*S10))</f>
        <v>500</v>
      </c>
      <c r="S363" s="79">
        <v>24.54</v>
      </c>
      <c r="T363" s="80">
        <v>16.57</v>
      </c>
    </row>
    <row r="364" spans="2:20" ht="56">
      <c r="B364" s="5" t="s">
        <v>876</v>
      </c>
      <c r="C364" s="45" t="s">
        <v>135</v>
      </c>
      <c r="D364" s="45">
        <v>97599</v>
      </c>
      <c r="E364" s="6" t="s">
        <v>877</v>
      </c>
      <c r="F364" s="45" t="s">
        <v>210</v>
      </c>
      <c r="G364" s="46">
        <f t="shared" si="43"/>
        <v>100</v>
      </c>
      <c r="H364" s="46">
        <f>TRUNC(S364*(1-LOTE_01!$K$10),2)</f>
        <v>19.93</v>
      </c>
      <c r="I364" s="46">
        <f>TRUNC(T364*(1-LOTE_01!$K$10),2)</f>
        <v>7.73</v>
      </c>
      <c r="J364" s="100">
        <f t="shared" si="44"/>
        <v>0.22470000000000001</v>
      </c>
      <c r="K364" s="48">
        <f t="shared" si="38"/>
        <v>24.4</v>
      </c>
      <c r="L364" s="48">
        <f t="shared" si="39"/>
        <v>9.4600000000000009</v>
      </c>
      <c r="M364" s="48">
        <f t="shared" si="40"/>
        <v>2440</v>
      </c>
      <c r="N364" s="48">
        <f t="shared" si="41"/>
        <v>946</v>
      </c>
      <c r="O364" s="50">
        <f t="shared" si="42"/>
        <v>3386</v>
      </c>
      <c r="P364" s="50">
        <v>0</v>
      </c>
      <c r="Q364" s="76"/>
      <c r="R364" s="140">
        <f>IF((20*S9+20*S10)&gt;100,100,(20*S9+20*S10))</f>
        <v>100</v>
      </c>
      <c r="S364" s="79">
        <v>19.93</v>
      </c>
      <c r="T364" s="80">
        <v>7.73</v>
      </c>
    </row>
    <row r="365" spans="2:20" ht="28">
      <c r="B365" s="5" t="s">
        <v>878</v>
      </c>
      <c r="C365" s="45" t="s">
        <v>97</v>
      </c>
      <c r="D365" s="45" t="s">
        <v>879</v>
      </c>
      <c r="E365" s="6" t="s">
        <v>880</v>
      </c>
      <c r="F365" s="45" t="s">
        <v>881</v>
      </c>
      <c r="G365" s="46">
        <f t="shared" si="43"/>
        <v>770</v>
      </c>
      <c r="H365" s="46">
        <f>TRUNC(S365*(1-LOTE_01!$K$10),2)</f>
        <v>119.88</v>
      </c>
      <c r="I365" s="46">
        <f>TRUNC(T365*(1-LOTE_01!$K$10),2)</f>
        <v>46.8</v>
      </c>
      <c r="J365" s="100">
        <f t="shared" si="44"/>
        <v>0.22470000000000001</v>
      </c>
      <c r="K365" s="48">
        <f t="shared" si="38"/>
        <v>146.81</v>
      </c>
      <c r="L365" s="48">
        <f t="shared" si="39"/>
        <v>57.31</v>
      </c>
      <c r="M365" s="48">
        <f t="shared" si="40"/>
        <v>113043.7</v>
      </c>
      <c r="N365" s="48">
        <f t="shared" si="41"/>
        <v>44128.7</v>
      </c>
      <c r="O365" s="50">
        <f t="shared" si="42"/>
        <v>157172.4</v>
      </c>
      <c r="P365" s="50">
        <v>0</v>
      </c>
      <c r="Q365" s="76"/>
      <c r="R365" s="141">
        <f>(6+6+3+2+2+6+4+2+2+4+6+6+6)*(S9+S10)</f>
        <v>770</v>
      </c>
      <c r="S365" s="79">
        <v>119.88</v>
      </c>
      <c r="T365" s="80">
        <v>46.8</v>
      </c>
    </row>
    <row r="366" spans="2:20" ht="28">
      <c r="B366" s="5" t="s">
        <v>882</v>
      </c>
      <c r="C366" s="45" t="s">
        <v>97</v>
      </c>
      <c r="D366" s="45" t="s">
        <v>883</v>
      </c>
      <c r="E366" s="6" t="s">
        <v>884</v>
      </c>
      <c r="F366" s="45" t="s">
        <v>104</v>
      </c>
      <c r="G366" s="46">
        <f t="shared" si="43"/>
        <v>462</v>
      </c>
      <c r="H366" s="46">
        <f>TRUNC(S366*(1-LOTE_01!$K$10),2)</f>
        <v>118.88</v>
      </c>
      <c r="I366" s="46">
        <f>TRUNC(T366*(1-LOTE_01!$K$10),2)</f>
        <v>46.8</v>
      </c>
      <c r="J366" s="100">
        <f t="shared" si="44"/>
        <v>0.22470000000000001</v>
      </c>
      <c r="K366" s="48">
        <f t="shared" si="38"/>
        <v>145.59</v>
      </c>
      <c r="L366" s="48">
        <f t="shared" si="39"/>
        <v>57.31</v>
      </c>
      <c r="M366" s="48">
        <f t="shared" si="40"/>
        <v>67262.58</v>
      </c>
      <c r="N366" s="48">
        <f t="shared" si="41"/>
        <v>26477.22</v>
      </c>
      <c r="O366" s="50">
        <f t="shared" si="42"/>
        <v>93739.8</v>
      </c>
      <c r="P366" s="50">
        <v>0</v>
      </c>
      <c r="Q366" s="76"/>
      <c r="R366" s="141">
        <f>(3+9+14+7)*(S9+S10)</f>
        <v>462</v>
      </c>
      <c r="S366" s="79">
        <v>118.88</v>
      </c>
      <c r="T366" s="80">
        <v>46.8</v>
      </c>
    </row>
    <row r="367" spans="2:20" ht="42">
      <c r="B367" s="5" t="s">
        <v>885</v>
      </c>
      <c r="C367" s="45" t="s">
        <v>97</v>
      </c>
      <c r="D367" s="45" t="s">
        <v>886</v>
      </c>
      <c r="E367" s="6" t="s">
        <v>887</v>
      </c>
      <c r="F367" s="45" t="s">
        <v>104</v>
      </c>
      <c r="G367" s="46">
        <f t="shared" si="43"/>
        <v>140</v>
      </c>
      <c r="H367" s="46">
        <f>TRUNC(S367*(1-LOTE_01!$K$10),2)</f>
        <v>118.88</v>
      </c>
      <c r="I367" s="46">
        <f>TRUNC(T367*(1-LOTE_01!$K$10),2)</f>
        <v>46.8</v>
      </c>
      <c r="J367" s="100">
        <f t="shared" si="44"/>
        <v>0.22470000000000001</v>
      </c>
      <c r="K367" s="48">
        <f t="shared" si="38"/>
        <v>145.59</v>
      </c>
      <c r="L367" s="48">
        <f t="shared" si="39"/>
        <v>57.31</v>
      </c>
      <c r="M367" s="48">
        <f t="shared" si="40"/>
        <v>20382.599999999999</v>
      </c>
      <c r="N367" s="48">
        <f t="shared" si="41"/>
        <v>8023.4</v>
      </c>
      <c r="O367" s="50">
        <f t="shared" si="42"/>
        <v>28406</v>
      </c>
      <c r="P367" s="50">
        <v>0</v>
      </c>
      <c r="Q367" s="76"/>
      <c r="R367" s="141">
        <f>10*(S9+S10)</f>
        <v>140</v>
      </c>
      <c r="S367" s="79">
        <v>118.88</v>
      </c>
      <c r="T367" s="80">
        <v>46.8</v>
      </c>
    </row>
    <row r="368" spans="2:20" ht="28">
      <c r="B368" s="5" t="s">
        <v>888</v>
      </c>
      <c r="C368" s="45" t="s">
        <v>97</v>
      </c>
      <c r="D368" s="45" t="s">
        <v>889</v>
      </c>
      <c r="E368" s="6" t="s">
        <v>890</v>
      </c>
      <c r="F368" s="45" t="s">
        <v>104</v>
      </c>
      <c r="G368" s="46">
        <f t="shared" si="43"/>
        <v>280</v>
      </c>
      <c r="H368" s="46">
        <f>TRUNC(S368*(1-LOTE_01!$K$10),2)</f>
        <v>2037.31</v>
      </c>
      <c r="I368" s="46">
        <f>TRUNC(T368*(1-LOTE_01!$K$10),2)</f>
        <v>52</v>
      </c>
      <c r="J368" s="100">
        <f t="shared" si="44"/>
        <v>0.22470000000000001</v>
      </c>
      <c r="K368" s="48">
        <f t="shared" si="38"/>
        <v>2495.09</v>
      </c>
      <c r="L368" s="48">
        <f t="shared" si="39"/>
        <v>63.68</v>
      </c>
      <c r="M368" s="48">
        <f t="shared" si="40"/>
        <v>698625.2</v>
      </c>
      <c r="N368" s="48">
        <f t="shared" si="41"/>
        <v>17830.400000000001</v>
      </c>
      <c r="O368" s="50">
        <f t="shared" si="42"/>
        <v>716455.6</v>
      </c>
      <c r="P368" s="50">
        <v>0</v>
      </c>
      <c r="Q368" s="76"/>
      <c r="R368" s="141">
        <f>20*(S9+S10)</f>
        <v>280</v>
      </c>
      <c r="S368" s="79">
        <v>2037.31</v>
      </c>
      <c r="T368" s="80">
        <v>52</v>
      </c>
    </row>
    <row r="369" spans="2:20" ht="28">
      <c r="B369" s="5" t="s">
        <v>891</v>
      </c>
      <c r="C369" s="45" t="s">
        <v>97</v>
      </c>
      <c r="D369" s="45" t="s">
        <v>892</v>
      </c>
      <c r="E369" s="6" t="s">
        <v>893</v>
      </c>
      <c r="F369" s="45" t="s">
        <v>104</v>
      </c>
      <c r="G369" s="46">
        <f t="shared" si="43"/>
        <v>168</v>
      </c>
      <c r="H369" s="46">
        <f>TRUNC(S369*(1-LOTE_01!$K$10),2)</f>
        <v>1900.63</v>
      </c>
      <c r="I369" s="46">
        <f>TRUNC(T369*(1-LOTE_01!$K$10),2)</f>
        <v>52</v>
      </c>
      <c r="J369" s="100">
        <f t="shared" si="44"/>
        <v>0.22470000000000001</v>
      </c>
      <c r="K369" s="48">
        <f t="shared" si="38"/>
        <v>2327.6999999999998</v>
      </c>
      <c r="L369" s="48">
        <f t="shared" si="39"/>
        <v>63.68</v>
      </c>
      <c r="M369" s="48">
        <f t="shared" si="40"/>
        <v>391053.6</v>
      </c>
      <c r="N369" s="48">
        <f t="shared" si="41"/>
        <v>10698.24</v>
      </c>
      <c r="O369" s="50">
        <f t="shared" si="42"/>
        <v>401751.84</v>
      </c>
      <c r="P369" s="50">
        <v>0</v>
      </c>
      <c r="Q369" s="76"/>
      <c r="R369" s="141">
        <f>12*(S9+S10)</f>
        <v>168</v>
      </c>
      <c r="S369" s="79">
        <v>1900.63</v>
      </c>
      <c r="T369" s="80">
        <v>52</v>
      </c>
    </row>
    <row r="370" spans="2:20" ht="28">
      <c r="B370" s="5" t="s">
        <v>894</v>
      </c>
      <c r="C370" s="45" t="s">
        <v>97</v>
      </c>
      <c r="D370" s="45" t="s">
        <v>895</v>
      </c>
      <c r="E370" s="6" t="s">
        <v>896</v>
      </c>
      <c r="F370" s="45" t="s">
        <v>104</v>
      </c>
      <c r="G370" s="46">
        <f t="shared" si="43"/>
        <v>448</v>
      </c>
      <c r="H370" s="46">
        <f>TRUNC(S370*(1-LOTE_01!$K$10),2)</f>
        <v>870.46</v>
      </c>
      <c r="I370" s="46">
        <f>TRUNC(T370*(1-LOTE_01!$K$10),2)</f>
        <v>52</v>
      </c>
      <c r="J370" s="100">
        <f t="shared" si="44"/>
        <v>0.22470000000000001</v>
      </c>
      <c r="K370" s="48">
        <f t="shared" si="38"/>
        <v>1066.05</v>
      </c>
      <c r="L370" s="48">
        <f t="shared" si="39"/>
        <v>63.68</v>
      </c>
      <c r="M370" s="48">
        <f t="shared" si="40"/>
        <v>477590.4</v>
      </c>
      <c r="N370" s="48">
        <f t="shared" si="41"/>
        <v>28528.639999999999</v>
      </c>
      <c r="O370" s="50">
        <f t="shared" si="42"/>
        <v>506119.04</v>
      </c>
      <c r="P370" s="50">
        <v>0</v>
      </c>
      <c r="Q370" s="76"/>
      <c r="R370" s="141">
        <f>(19+13)*(S9+S10)</f>
        <v>448</v>
      </c>
      <c r="S370" s="79">
        <v>870.46</v>
      </c>
      <c r="T370" s="80">
        <v>52</v>
      </c>
    </row>
    <row r="371" spans="2:20" ht="56">
      <c r="B371" s="5" t="s">
        <v>897</v>
      </c>
      <c r="C371" s="45" t="s">
        <v>97</v>
      </c>
      <c r="D371" s="45" t="s">
        <v>898</v>
      </c>
      <c r="E371" s="6" t="s">
        <v>899</v>
      </c>
      <c r="F371" s="45" t="s">
        <v>104</v>
      </c>
      <c r="G371" s="46">
        <f t="shared" si="43"/>
        <v>200.9</v>
      </c>
      <c r="H371" s="46">
        <f>TRUNC(S371*(1-LOTE_01!$K$10),2)</f>
        <v>162.85</v>
      </c>
      <c r="I371" s="46">
        <f>TRUNC(T371*(1-LOTE_01!$K$10),2)</f>
        <v>57.2</v>
      </c>
      <c r="J371" s="100">
        <f t="shared" si="44"/>
        <v>0.22470000000000001</v>
      </c>
      <c r="K371" s="48">
        <f t="shared" si="38"/>
        <v>199.44</v>
      </c>
      <c r="L371" s="48">
        <f t="shared" si="39"/>
        <v>70.05</v>
      </c>
      <c r="M371" s="48">
        <f t="shared" si="40"/>
        <v>40067.49</v>
      </c>
      <c r="N371" s="48">
        <f t="shared" si="41"/>
        <v>14073.04</v>
      </c>
      <c r="O371" s="50">
        <f t="shared" si="42"/>
        <v>54140.53</v>
      </c>
      <c r="P371" s="50">
        <v>0</v>
      </c>
      <c r="Q371" s="76"/>
      <c r="R371" s="141">
        <f>(4+4.85+5.5)*(S9+S10)</f>
        <v>200.9</v>
      </c>
      <c r="S371" s="79">
        <v>162.85</v>
      </c>
      <c r="T371" s="80">
        <v>57.2</v>
      </c>
    </row>
    <row r="372" spans="2:20" ht="28">
      <c r="B372" s="5" t="s">
        <v>900</v>
      </c>
      <c r="C372" s="45" t="s">
        <v>97</v>
      </c>
      <c r="D372" s="45" t="s">
        <v>901</v>
      </c>
      <c r="E372" s="6" t="s">
        <v>902</v>
      </c>
      <c r="F372" s="45" t="s">
        <v>187</v>
      </c>
      <c r="G372" s="46">
        <f t="shared" si="43"/>
        <v>200.9</v>
      </c>
      <c r="H372" s="46">
        <f>TRUNC(S372*(1-LOTE_01!$K$10),2)</f>
        <v>59.77</v>
      </c>
      <c r="I372" s="46">
        <f>TRUNC(T372*(1-LOTE_01!$K$10),2)</f>
        <v>19.170000000000002</v>
      </c>
      <c r="J372" s="100">
        <f t="shared" si="44"/>
        <v>0.22470000000000001</v>
      </c>
      <c r="K372" s="48">
        <f t="shared" si="38"/>
        <v>73.2</v>
      </c>
      <c r="L372" s="48">
        <f t="shared" si="39"/>
        <v>23.47</v>
      </c>
      <c r="M372" s="48">
        <f t="shared" si="40"/>
        <v>14705.88</v>
      </c>
      <c r="N372" s="48">
        <f t="shared" si="41"/>
        <v>4715.12</v>
      </c>
      <c r="O372" s="50">
        <f t="shared" si="42"/>
        <v>19421</v>
      </c>
      <c r="P372" s="50">
        <v>0</v>
      </c>
      <c r="Q372" s="76"/>
      <c r="R372" s="141">
        <f>R371</f>
        <v>200.9</v>
      </c>
      <c r="S372" s="79">
        <v>59.77</v>
      </c>
      <c r="T372" s="80">
        <v>19.170000000000002</v>
      </c>
    </row>
    <row r="373" spans="2:20" ht="42">
      <c r="B373" s="5" t="s">
        <v>903</v>
      </c>
      <c r="C373" s="45" t="s">
        <v>97</v>
      </c>
      <c r="D373" s="45" t="s">
        <v>904</v>
      </c>
      <c r="E373" s="6" t="s">
        <v>905</v>
      </c>
      <c r="F373" s="45" t="s">
        <v>104</v>
      </c>
      <c r="G373" s="46">
        <f t="shared" si="43"/>
        <v>56</v>
      </c>
      <c r="H373" s="46">
        <f>TRUNC(S373*(1-LOTE_01!$K$10),2)</f>
        <v>263.26</v>
      </c>
      <c r="I373" s="46">
        <f>TRUNC(T373*(1-LOTE_01!$K$10),2)</f>
        <v>10.4</v>
      </c>
      <c r="J373" s="100">
        <f t="shared" si="44"/>
        <v>0.22470000000000001</v>
      </c>
      <c r="K373" s="48">
        <f t="shared" si="38"/>
        <v>322.41000000000003</v>
      </c>
      <c r="L373" s="48">
        <f t="shared" si="39"/>
        <v>12.73</v>
      </c>
      <c r="M373" s="48">
        <f t="shared" si="40"/>
        <v>18054.96</v>
      </c>
      <c r="N373" s="48">
        <f t="shared" si="41"/>
        <v>712.88</v>
      </c>
      <c r="O373" s="50">
        <f t="shared" si="42"/>
        <v>18767.84</v>
      </c>
      <c r="P373" s="50">
        <v>0</v>
      </c>
      <c r="Q373" s="76"/>
      <c r="R373" s="140">
        <f>4*S9+4*S10</f>
        <v>56</v>
      </c>
      <c r="S373" s="79">
        <v>263.26</v>
      </c>
      <c r="T373" s="80">
        <v>10.4</v>
      </c>
    </row>
    <row r="374" spans="2:20" ht="28">
      <c r="B374" s="5" t="s">
        <v>906</v>
      </c>
      <c r="C374" s="45" t="s">
        <v>97</v>
      </c>
      <c r="D374" s="45" t="s">
        <v>907</v>
      </c>
      <c r="E374" s="6" t="s">
        <v>908</v>
      </c>
      <c r="F374" s="45" t="s">
        <v>104</v>
      </c>
      <c r="G374" s="46">
        <f t="shared" si="43"/>
        <v>56</v>
      </c>
      <c r="H374" s="46">
        <f>TRUNC(S374*(1-LOTE_01!$K$10),2)</f>
        <v>236.26</v>
      </c>
      <c r="I374" s="46">
        <f>TRUNC(T374*(1-LOTE_01!$K$10),2)</f>
        <v>10.4</v>
      </c>
      <c r="J374" s="100">
        <f t="shared" si="44"/>
        <v>0.22470000000000001</v>
      </c>
      <c r="K374" s="48">
        <f t="shared" si="38"/>
        <v>289.33999999999997</v>
      </c>
      <c r="L374" s="48">
        <f t="shared" si="39"/>
        <v>12.73</v>
      </c>
      <c r="M374" s="48">
        <f t="shared" si="40"/>
        <v>16203.04</v>
      </c>
      <c r="N374" s="48">
        <f t="shared" si="41"/>
        <v>712.88</v>
      </c>
      <c r="O374" s="50">
        <f t="shared" si="42"/>
        <v>16915.919999999998</v>
      </c>
      <c r="P374" s="50">
        <v>0</v>
      </c>
      <c r="Q374" s="76"/>
      <c r="R374" s="140">
        <f>4*S9+4*S10</f>
        <v>56</v>
      </c>
      <c r="S374" s="79">
        <v>236.26</v>
      </c>
      <c r="T374" s="80">
        <v>10.4</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104">
        <v>0</v>
      </c>
      <c r="Q375" s="76"/>
      <c r="R375" s="154"/>
      <c r="S375" s="79" t="s">
        <v>22</v>
      </c>
      <c r="T375" s="80" t="s">
        <v>22</v>
      </c>
    </row>
    <row r="376" spans="2:20" ht="56">
      <c r="B376" s="5" t="s">
        <v>911</v>
      </c>
      <c r="C376" s="45" t="s">
        <v>135</v>
      </c>
      <c r="D376" s="45">
        <v>93661</v>
      </c>
      <c r="E376" s="6" t="s">
        <v>912</v>
      </c>
      <c r="F376" s="45" t="s">
        <v>210</v>
      </c>
      <c r="G376" s="46">
        <f t="shared" si="43"/>
        <v>28</v>
      </c>
      <c r="H376" s="46">
        <f>TRUNC(S376*(1-LOTE_01!$K$10),2)</f>
        <v>48.13</v>
      </c>
      <c r="I376" s="46">
        <f>TRUNC(T376*(1-LOTE_01!$K$10),2)</f>
        <v>3.08</v>
      </c>
      <c r="J376" s="100">
        <f t="shared" si="44"/>
        <v>0.22470000000000001</v>
      </c>
      <c r="K376" s="48">
        <f t="shared" si="38"/>
        <v>58.94</v>
      </c>
      <c r="L376" s="48">
        <f t="shared" si="39"/>
        <v>3.77</v>
      </c>
      <c r="M376" s="48">
        <f t="shared" si="40"/>
        <v>1650.32</v>
      </c>
      <c r="N376" s="48">
        <f t="shared" si="41"/>
        <v>105.56</v>
      </c>
      <c r="O376" s="50">
        <f t="shared" si="42"/>
        <v>1755.88</v>
      </c>
      <c r="P376" s="50">
        <v>0</v>
      </c>
      <c r="Q376" s="76"/>
      <c r="R376" s="140">
        <f>2*S9+2*S10</f>
        <v>28</v>
      </c>
      <c r="S376" s="79">
        <v>48.13</v>
      </c>
      <c r="T376" s="80">
        <v>3.08</v>
      </c>
    </row>
    <row r="377" spans="2:20" ht="56">
      <c r="B377" s="5" t="s">
        <v>913</v>
      </c>
      <c r="C377" s="45" t="s">
        <v>135</v>
      </c>
      <c r="D377" s="45">
        <v>93662</v>
      </c>
      <c r="E377" s="6" t="s">
        <v>914</v>
      </c>
      <c r="F377" s="45" t="s">
        <v>210</v>
      </c>
      <c r="G377" s="46">
        <f t="shared" si="43"/>
        <v>28</v>
      </c>
      <c r="H377" s="46">
        <f>TRUNC(S377*(1-LOTE_01!$K$10),2)</f>
        <v>49.32</v>
      </c>
      <c r="I377" s="46">
        <f>TRUNC(T377*(1-LOTE_01!$K$10),2)</f>
        <v>4.0999999999999996</v>
      </c>
      <c r="J377" s="100">
        <f t="shared" si="44"/>
        <v>0.22470000000000001</v>
      </c>
      <c r="K377" s="48">
        <f t="shared" si="38"/>
        <v>60.4</v>
      </c>
      <c r="L377" s="48">
        <f t="shared" si="39"/>
        <v>5.0199999999999996</v>
      </c>
      <c r="M377" s="48">
        <f t="shared" si="40"/>
        <v>1691.2</v>
      </c>
      <c r="N377" s="48">
        <f t="shared" si="41"/>
        <v>140.56</v>
      </c>
      <c r="O377" s="50">
        <f t="shared" si="42"/>
        <v>1831.76</v>
      </c>
      <c r="P377" s="50">
        <v>0</v>
      </c>
      <c r="Q377" s="76"/>
      <c r="R377" s="140">
        <f>2*S9+2*S10</f>
        <v>28</v>
      </c>
      <c r="S377" s="79">
        <v>49.32</v>
      </c>
      <c r="T377" s="80">
        <v>4.0999999999999996</v>
      </c>
    </row>
    <row r="378" spans="2:20" ht="56">
      <c r="B378" s="5" t="s">
        <v>915</v>
      </c>
      <c r="C378" s="45" t="s">
        <v>135</v>
      </c>
      <c r="D378" s="45">
        <v>93663</v>
      </c>
      <c r="E378" s="6" t="s">
        <v>916</v>
      </c>
      <c r="F378" s="45" t="s">
        <v>210</v>
      </c>
      <c r="G378" s="46">
        <f t="shared" si="43"/>
        <v>50</v>
      </c>
      <c r="H378" s="46">
        <f>TRUNC(S378*(1-LOTE_01!$K$10),2)</f>
        <v>50.3</v>
      </c>
      <c r="I378" s="46">
        <f>TRUNC(T378*(1-LOTE_01!$K$10),2)</f>
        <v>5.66</v>
      </c>
      <c r="J378" s="100">
        <f t="shared" si="44"/>
        <v>0.22470000000000001</v>
      </c>
      <c r="K378" s="48">
        <f t="shared" si="38"/>
        <v>61.6</v>
      </c>
      <c r="L378" s="48">
        <f t="shared" si="39"/>
        <v>6.93</v>
      </c>
      <c r="M378" s="48">
        <f t="shared" si="40"/>
        <v>3080</v>
      </c>
      <c r="N378" s="48">
        <f t="shared" si="41"/>
        <v>346.5</v>
      </c>
      <c r="O378" s="50">
        <f t="shared" si="42"/>
        <v>3426.5</v>
      </c>
      <c r="P378" s="50">
        <v>0</v>
      </c>
      <c r="Q378" s="76"/>
      <c r="R378" s="140">
        <f>IF((10*S9+10*S10)&gt;50,50,(10*S9+10*S10))</f>
        <v>50</v>
      </c>
      <c r="S378" s="79">
        <v>50.3</v>
      </c>
      <c r="T378" s="80">
        <v>5.66</v>
      </c>
    </row>
    <row r="379" spans="2:20" ht="56">
      <c r="B379" s="5" t="s">
        <v>917</v>
      </c>
      <c r="C379" s="45" t="s">
        <v>135</v>
      </c>
      <c r="D379" s="45">
        <v>101896</v>
      </c>
      <c r="E379" s="6" t="s">
        <v>918</v>
      </c>
      <c r="F379" s="45" t="s">
        <v>210</v>
      </c>
      <c r="G379" s="46">
        <f t="shared" si="43"/>
        <v>5</v>
      </c>
      <c r="H379" s="46">
        <f>TRUNC(S379*(1-LOTE_01!$K$10),2)</f>
        <v>528.79</v>
      </c>
      <c r="I379" s="46">
        <f>TRUNC(T379*(1-LOTE_01!$K$10),2)</f>
        <v>53.96</v>
      </c>
      <c r="J379" s="100">
        <f t="shared" si="44"/>
        <v>0.22470000000000001</v>
      </c>
      <c r="K379" s="48">
        <f t="shared" si="38"/>
        <v>647.6</v>
      </c>
      <c r="L379" s="48">
        <f t="shared" si="39"/>
        <v>66.08</v>
      </c>
      <c r="M379" s="48">
        <f t="shared" si="40"/>
        <v>3238</v>
      </c>
      <c r="N379" s="48">
        <f t="shared" si="41"/>
        <v>330.4</v>
      </c>
      <c r="O379" s="50">
        <f t="shared" si="42"/>
        <v>3568.4</v>
      </c>
      <c r="P379" s="50">
        <v>0</v>
      </c>
      <c r="Q379" s="76"/>
      <c r="R379" s="140">
        <f>IF((1*S9+1*S10)&gt;5,5,(1*S9+1*S10))</f>
        <v>5</v>
      </c>
      <c r="S379" s="79">
        <v>528.79</v>
      </c>
      <c r="T379" s="80">
        <v>53.96</v>
      </c>
    </row>
    <row r="380" spans="2:20" ht="42">
      <c r="B380" s="5" t="s">
        <v>919</v>
      </c>
      <c r="C380" s="45" t="s">
        <v>165</v>
      </c>
      <c r="D380" s="45" t="s">
        <v>920</v>
      </c>
      <c r="E380" s="6" t="s">
        <v>921</v>
      </c>
      <c r="F380" s="45" t="s">
        <v>559</v>
      </c>
      <c r="G380" s="46">
        <f t="shared" si="43"/>
        <v>5</v>
      </c>
      <c r="H380" s="46">
        <f>TRUNC(S380*(1-LOTE_01!$K$10),2)</f>
        <v>1395.79</v>
      </c>
      <c r="I380" s="46">
        <f>TRUNC(T380*(1-LOTE_01!$K$10),2)</f>
        <v>63.77</v>
      </c>
      <c r="J380" s="100">
        <f t="shared" si="44"/>
        <v>0.22470000000000001</v>
      </c>
      <c r="K380" s="48">
        <f t="shared" si="38"/>
        <v>1709.42</v>
      </c>
      <c r="L380" s="48">
        <f t="shared" si="39"/>
        <v>78.09</v>
      </c>
      <c r="M380" s="48">
        <f t="shared" si="40"/>
        <v>8547.1</v>
      </c>
      <c r="N380" s="48">
        <f t="shared" si="41"/>
        <v>390.45</v>
      </c>
      <c r="O380" s="50">
        <f t="shared" si="42"/>
        <v>8937.5499999999993</v>
      </c>
      <c r="P380" s="50">
        <v>0</v>
      </c>
      <c r="Q380" s="76"/>
      <c r="R380" s="140">
        <f>IF((1*S9+1*S10)&gt;5,5,(1*S9+1*S10))</f>
        <v>5</v>
      </c>
      <c r="S380" s="79">
        <v>1395.79</v>
      </c>
      <c r="T380" s="80">
        <v>63.77</v>
      </c>
    </row>
    <row r="381" spans="2:20" ht="56">
      <c r="B381" s="5" t="s">
        <v>922</v>
      </c>
      <c r="C381" s="45" t="s">
        <v>97</v>
      </c>
      <c r="D381" s="45" t="s">
        <v>923</v>
      </c>
      <c r="E381" s="6" t="s">
        <v>924</v>
      </c>
      <c r="F381" s="45" t="s">
        <v>925</v>
      </c>
      <c r="G381" s="46">
        <f t="shared" si="43"/>
        <v>200</v>
      </c>
      <c r="H381" s="46">
        <f>TRUNC(S381*(1-LOTE_01!$K$10),2)</f>
        <v>53.42</v>
      </c>
      <c r="I381" s="46">
        <f>TRUNC(T381*(1-LOTE_01!$K$10),2)</f>
        <v>15.6</v>
      </c>
      <c r="J381" s="100">
        <f t="shared" si="44"/>
        <v>0.22470000000000001</v>
      </c>
      <c r="K381" s="48">
        <f t="shared" si="38"/>
        <v>65.42</v>
      </c>
      <c r="L381" s="48">
        <f t="shared" si="39"/>
        <v>19.100000000000001</v>
      </c>
      <c r="M381" s="48">
        <f t="shared" si="40"/>
        <v>13084</v>
      </c>
      <c r="N381" s="48">
        <f t="shared" si="41"/>
        <v>3820</v>
      </c>
      <c r="O381" s="50">
        <f t="shared" si="42"/>
        <v>16904</v>
      </c>
      <c r="P381" s="50">
        <v>0</v>
      </c>
      <c r="Q381" s="76"/>
      <c r="R381" s="140">
        <f>IF((20*S9+20*S10)&gt;200,200,(20*S9+20*S10))</f>
        <v>200</v>
      </c>
      <c r="S381" s="79">
        <v>53.42</v>
      </c>
      <c r="T381" s="80">
        <v>15.6</v>
      </c>
    </row>
    <row r="382" spans="2:20" ht="70">
      <c r="B382" s="5" t="s">
        <v>926</v>
      </c>
      <c r="C382" s="45" t="s">
        <v>135</v>
      </c>
      <c r="D382" s="45">
        <v>91867</v>
      </c>
      <c r="E382" s="6" t="s">
        <v>927</v>
      </c>
      <c r="F382" s="45" t="s">
        <v>187</v>
      </c>
      <c r="G382" s="46">
        <f t="shared" si="43"/>
        <v>500</v>
      </c>
      <c r="H382" s="46">
        <f>TRUNC(S382*(1-LOTE_01!$K$10),2)</f>
        <v>7.76</v>
      </c>
      <c r="I382" s="46">
        <f>TRUNC(T382*(1-LOTE_01!$K$10),2)</f>
        <v>4.8600000000000003</v>
      </c>
      <c r="J382" s="100">
        <f t="shared" si="44"/>
        <v>0.22470000000000001</v>
      </c>
      <c r="K382" s="48">
        <f t="shared" si="38"/>
        <v>9.5</v>
      </c>
      <c r="L382" s="48">
        <f t="shared" si="39"/>
        <v>5.95</v>
      </c>
      <c r="M382" s="48">
        <f t="shared" si="40"/>
        <v>4750</v>
      </c>
      <c r="N382" s="48">
        <f t="shared" si="41"/>
        <v>2975</v>
      </c>
      <c r="O382" s="50">
        <f t="shared" si="42"/>
        <v>7725</v>
      </c>
      <c r="P382" s="50">
        <v>0</v>
      </c>
      <c r="Q382" s="76"/>
      <c r="R382" s="140">
        <f>IF((50*S9+50*S10)&gt;500,500,(50*S9+50*S10))</f>
        <v>500</v>
      </c>
      <c r="S382" s="79">
        <v>7.7599999999999989</v>
      </c>
      <c r="T382" s="80">
        <v>4.8600000000000003</v>
      </c>
    </row>
    <row r="383" spans="2:20" ht="70">
      <c r="B383" s="5" t="s">
        <v>928</v>
      </c>
      <c r="C383" s="45" t="s">
        <v>135</v>
      </c>
      <c r="D383" s="45">
        <v>91864</v>
      </c>
      <c r="E383" s="6" t="s">
        <v>838</v>
      </c>
      <c r="F383" s="45" t="s">
        <v>187</v>
      </c>
      <c r="G383" s="46">
        <f t="shared" si="43"/>
        <v>100</v>
      </c>
      <c r="H383" s="46">
        <f>TRUNC(S383*(1-LOTE_01!$K$10),2)</f>
        <v>11.87</v>
      </c>
      <c r="I383" s="46">
        <f>TRUNC(T383*(1-LOTE_01!$K$10),2)</f>
        <v>7.19</v>
      </c>
      <c r="J383" s="100">
        <f t="shared" si="44"/>
        <v>0.22470000000000001</v>
      </c>
      <c r="K383" s="48">
        <f t="shared" si="38"/>
        <v>14.53</v>
      </c>
      <c r="L383" s="48">
        <f t="shared" si="39"/>
        <v>8.8000000000000007</v>
      </c>
      <c r="M383" s="48">
        <f t="shared" si="40"/>
        <v>1453</v>
      </c>
      <c r="N383" s="48">
        <f t="shared" si="41"/>
        <v>880</v>
      </c>
      <c r="O383" s="50">
        <f t="shared" si="42"/>
        <v>2333</v>
      </c>
      <c r="P383" s="50">
        <v>0</v>
      </c>
      <c r="Q383" s="76"/>
      <c r="R383" s="140">
        <f>IF((20*S9+20*S10)&gt;100,100,(20*S9+20*S10))</f>
        <v>100</v>
      </c>
      <c r="S383" s="79">
        <v>11.869999999999997</v>
      </c>
      <c r="T383" s="80">
        <v>7.19</v>
      </c>
    </row>
    <row r="384" spans="2:20" ht="42">
      <c r="B384" s="5" t="s">
        <v>929</v>
      </c>
      <c r="C384" s="45" t="s">
        <v>165</v>
      </c>
      <c r="D384" s="45" t="s">
        <v>930</v>
      </c>
      <c r="E384" s="6" t="s">
        <v>931</v>
      </c>
      <c r="F384" s="45" t="s">
        <v>531</v>
      </c>
      <c r="G384" s="46">
        <f t="shared" si="43"/>
        <v>200</v>
      </c>
      <c r="H384" s="46">
        <f>TRUNC(S384*(1-LOTE_01!$K$10),2)</f>
        <v>46.69</v>
      </c>
      <c r="I384" s="46">
        <f>TRUNC(T384*(1-LOTE_01!$K$10),2)</f>
        <v>15.42</v>
      </c>
      <c r="J384" s="100">
        <f t="shared" si="44"/>
        <v>0.22470000000000001</v>
      </c>
      <c r="K384" s="48">
        <f t="shared" si="38"/>
        <v>57.18</v>
      </c>
      <c r="L384" s="48">
        <f t="shared" si="39"/>
        <v>18.88</v>
      </c>
      <c r="M384" s="48">
        <f t="shared" si="40"/>
        <v>11436</v>
      </c>
      <c r="N384" s="48">
        <f t="shared" si="41"/>
        <v>3776</v>
      </c>
      <c r="O384" s="50">
        <f t="shared" si="42"/>
        <v>15212</v>
      </c>
      <c r="P384" s="50">
        <v>0</v>
      </c>
      <c r="Q384" s="76"/>
      <c r="R384" s="140">
        <f>IF((20*S9+20*S10)&gt;200,200,(20*S9+20*S10))</f>
        <v>200</v>
      </c>
      <c r="S384" s="79">
        <v>46.69</v>
      </c>
      <c r="T384" s="80">
        <v>15.42</v>
      </c>
    </row>
    <row r="385" spans="2:20" ht="56">
      <c r="B385" s="5" t="s">
        <v>932</v>
      </c>
      <c r="C385" s="45" t="s">
        <v>135</v>
      </c>
      <c r="D385" s="45">
        <v>95778</v>
      </c>
      <c r="E385" s="6" t="s">
        <v>1814</v>
      </c>
      <c r="F385" s="45" t="s">
        <v>210</v>
      </c>
      <c r="G385" s="46">
        <f t="shared" si="43"/>
        <v>100</v>
      </c>
      <c r="H385" s="46">
        <f>TRUNC(S385*(1-LOTE_01!$K$10),2)</f>
        <v>21.95</v>
      </c>
      <c r="I385" s="46">
        <f>TRUNC(T385*(1-LOTE_01!$K$10),2)</f>
        <v>12.88</v>
      </c>
      <c r="J385" s="100">
        <f t="shared" si="44"/>
        <v>0.22470000000000001</v>
      </c>
      <c r="K385" s="48">
        <f t="shared" si="38"/>
        <v>26.88</v>
      </c>
      <c r="L385" s="48">
        <f t="shared" si="39"/>
        <v>15.77</v>
      </c>
      <c r="M385" s="48">
        <f t="shared" si="40"/>
        <v>2688</v>
      </c>
      <c r="N385" s="48">
        <f t="shared" si="41"/>
        <v>1577</v>
      </c>
      <c r="O385" s="50">
        <f t="shared" si="42"/>
        <v>4265</v>
      </c>
      <c r="P385" s="50">
        <v>0</v>
      </c>
      <c r="Q385" s="76"/>
      <c r="R385" s="140">
        <f>IF((10*S9+15*S10)&gt;100,100,(10*S9+15*S10))</f>
        <v>100</v>
      </c>
      <c r="S385" s="79">
        <v>21.949999999999996</v>
      </c>
      <c r="T385" s="80">
        <v>12.88</v>
      </c>
    </row>
    <row r="386" spans="2:20" ht="56">
      <c r="B386" s="5" t="s">
        <v>933</v>
      </c>
      <c r="C386" s="45" t="s">
        <v>135</v>
      </c>
      <c r="D386" s="45">
        <v>95780</v>
      </c>
      <c r="E386" s="6" t="s">
        <v>1815</v>
      </c>
      <c r="F386" s="45" t="s">
        <v>210</v>
      </c>
      <c r="G386" s="46">
        <f t="shared" si="43"/>
        <v>100</v>
      </c>
      <c r="H386" s="46">
        <f>TRUNC(S386*(1-LOTE_01!$K$10),2)</f>
        <v>22.78</v>
      </c>
      <c r="I386" s="46">
        <f>TRUNC(T386*(1-LOTE_01!$K$10),2)</f>
        <v>10.96</v>
      </c>
      <c r="J386" s="100">
        <f t="shared" si="44"/>
        <v>0.22470000000000001</v>
      </c>
      <c r="K386" s="48">
        <f t="shared" si="38"/>
        <v>27.89</v>
      </c>
      <c r="L386" s="48">
        <f t="shared" si="39"/>
        <v>13.42</v>
      </c>
      <c r="M386" s="48">
        <f t="shared" si="40"/>
        <v>2789</v>
      </c>
      <c r="N386" s="48">
        <f t="shared" si="41"/>
        <v>1342</v>
      </c>
      <c r="O386" s="50">
        <f t="shared" si="42"/>
        <v>4131</v>
      </c>
      <c r="P386" s="50">
        <v>0</v>
      </c>
      <c r="Q386" s="76"/>
      <c r="R386" s="140">
        <f>IF((10*S9+15*S10)&gt;100,100,(10*S9+15*S10))</f>
        <v>100</v>
      </c>
      <c r="S386" s="79">
        <v>22.78</v>
      </c>
      <c r="T386" s="80">
        <v>10.96</v>
      </c>
    </row>
    <row r="387" spans="2:20" ht="56">
      <c r="B387" s="5" t="s">
        <v>934</v>
      </c>
      <c r="C387" s="45" t="s">
        <v>135</v>
      </c>
      <c r="D387" s="45">
        <v>91944</v>
      </c>
      <c r="E387" s="6" t="s">
        <v>935</v>
      </c>
      <c r="F387" s="45" t="s">
        <v>210</v>
      </c>
      <c r="G387" s="46">
        <f t="shared" si="43"/>
        <v>100</v>
      </c>
      <c r="H387" s="46">
        <f>TRUNC(S387*(1-LOTE_01!$K$10),2)</f>
        <v>9.14</v>
      </c>
      <c r="I387" s="46">
        <f>TRUNC(T387*(1-LOTE_01!$K$10),2)</f>
        <v>8.5299999999999994</v>
      </c>
      <c r="J387" s="100">
        <f t="shared" si="44"/>
        <v>0.22470000000000001</v>
      </c>
      <c r="K387" s="48">
        <f t="shared" si="38"/>
        <v>11.19</v>
      </c>
      <c r="L387" s="48">
        <f t="shared" si="39"/>
        <v>10.44</v>
      </c>
      <c r="M387" s="48">
        <f t="shared" si="40"/>
        <v>1119</v>
      </c>
      <c r="N387" s="48">
        <f t="shared" si="41"/>
        <v>1044</v>
      </c>
      <c r="O387" s="50">
        <f t="shared" si="42"/>
        <v>2163</v>
      </c>
      <c r="P387" s="50">
        <v>0</v>
      </c>
      <c r="Q387" s="76"/>
      <c r="R387" s="140">
        <f>IF((10*S9+15*S10)&gt;100,100,(10*S9+15*S10))</f>
        <v>100</v>
      </c>
      <c r="S387" s="79">
        <v>9.1400000000000023</v>
      </c>
      <c r="T387" s="80">
        <v>8.5299999999999994</v>
      </c>
    </row>
    <row r="388" spans="2:20" ht="56">
      <c r="B388" s="5" t="s">
        <v>936</v>
      </c>
      <c r="C388" s="45" t="s">
        <v>135</v>
      </c>
      <c r="D388" s="45">
        <v>91926</v>
      </c>
      <c r="E388" s="6" t="s">
        <v>840</v>
      </c>
      <c r="F388" s="45" t="s">
        <v>187</v>
      </c>
      <c r="G388" s="46">
        <f t="shared" si="43"/>
        <v>3200</v>
      </c>
      <c r="H388" s="46">
        <f>TRUNC(S388*(1-LOTE_01!$K$10),2)</f>
        <v>3.51</v>
      </c>
      <c r="I388" s="46">
        <f>TRUNC(T388*(1-LOTE_01!$K$10),2)</f>
        <v>1.47</v>
      </c>
      <c r="J388" s="100">
        <f t="shared" si="44"/>
        <v>0.22470000000000001</v>
      </c>
      <c r="K388" s="48">
        <f t="shared" si="38"/>
        <v>4.29</v>
      </c>
      <c r="L388" s="48">
        <f t="shared" si="39"/>
        <v>1.8</v>
      </c>
      <c r="M388" s="48">
        <f t="shared" si="40"/>
        <v>13728</v>
      </c>
      <c r="N388" s="48">
        <f t="shared" si="41"/>
        <v>5760</v>
      </c>
      <c r="O388" s="50">
        <f t="shared" si="42"/>
        <v>19488</v>
      </c>
      <c r="P388" s="50">
        <v>0</v>
      </c>
      <c r="Q388" s="76"/>
      <c r="R388" s="140">
        <f>100*S9+400*S10</f>
        <v>3200</v>
      </c>
      <c r="S388" s="79">
        <v>3.5100000000000007</v>
      </c>
      <c r="T388" s="80">
        <v>1.47</v>
      </c>
    </row>
    <row r="389" spans="2:20" ht="56">
      <c r="B389" s="5" t="s">
        <v>937</v>
      </c>
      <c r="C389" s="45" t="s">
        <v>135</v>
      </c>
      <c r="D389" s="45">
        <v>91928</v>
      </c>
      <c r="E389" s="6" t="s">
        <v>844</v>
      </c>
      <c r="F389" s="45" t="s">
        <v>187</v>
      </c>
      <c r="G389" s="46">
        <f t="shared" si="43"/>
        <v>2000</v>
      </c>
      <c r="H389" s="46">
        <f>TRUNC(S389*(1-LOTE_01!$K$10),2)</f>
        <v>5.58</v>
      </c>
      <c r="I389" s="46">
        <f>TRUNC(T389*(1-LOTE_01!$K$10),2)</f>
        <v>1.97</v>
      </c>
      <c r="J389" s="100">
        <f t="shared" si="44"/>
        <v>0.22470000000000001</v>
      </c>
      <c r="K389" s="48">
        <f t="shared" si="38"/>
        <v>6.83</v>
      </c>
      <c r="L389" s="48">
        <f t="shared" si="39"/>
        <v>2.41</v>
      </c>
      <c r="M389" s="48">
        <f t="shared" si="40"/>
        <v>13660</v>
      </c>
      <c r="N389" s="48">
        <f t="shared" si="41"/>
        <v>4820</v>
      </c>
      <c r="O389" s="50">
        <f t="shared" si="42"/>
        <v>18480</v>
      </c>
      <c r="P389" s="50">
        <v>0</v>
      </c>
      <c r="Q389" s="76"/>
      <c r="R389" s="140">
        <f>100*S9+200*S10</f>
        <v>2000</v>
      </c>
      <c r="S389" s="79">
        <v>5.58</v>
      </c>
      <c r="T389" s="80">
        <v>1.97</v>
      </c>
    </row>
    <row r="390" spans="2:20" ht="56">
      <c r="B390" s="5" t="s">
        <v>938</v>
      </c>
      <c r="C390" s="45" t="s">
        <v>135</v>
      </c>
      <c r="D390" s="45">
        <v>91930</v>
      </c>
      <c r="E390" s="6" t="s">
        <v>939</v>
      </c>
      <c r="F390" s="45" t="s">
        <v>187</v>
      </c>
      <c r="G390" s="46">
        <f t="shared" si="43"/>
        <v>1600</v>
      </c>
      <c r="H390" s="46">
        <f>TRUNC(S390*(1-LOTE_01!$K$10),2)</f>
        <v>7.9</v>
      </c>
      <c r="I390" s="46">
        <f>TRUNC(T390*(1-LOTE_01!$K$10),2)</f>
        <v>2.57</v>
      </c>
      <c r="J390" s="100">
        <f t="shared" si="44"/>
        <v>0.22470000000000001</v>
      </c>
      <c r="K390" s="48">
        <f t="shared" si="38"/>
        <v>9.67</v>
      </c>
      <c r="L390" s="48">
        <f t="shared" si="39"/>
        <v>3.14</v>
      </c>
      <c r="M390" s="48">
        <f t="shared" si="40"/>
        <v>15472</v>
      </c>
      <c r="N390" s="48">
        <f t="shared" si="41"/>
        <v>5024</v>
      </c>
      <c r="O390" s="50">
        <f t="shared" si="42"/>
        <v>20496</v>
      </c>
      <c r="P390" s="50">
        <v>0</v>
      </c>
      <c r="Q390" s="76"/>
      <c r="R390" s="140">
        <f>50*S9+200*S10</f>
        <v>1600</v>
      </c>
      <c r="S390" s="79">
        <v>7.9</v>
      </c>
      <c r="T390" s="80">
        <v>2.57</v>
      </c>
    </row>
    <row r="391" spans="2:20" ht="42">
      <c r="B391" s="5" t="s">
        <v>940</v>
      </c>
      <c r="C391" s="45" t="s">
        <v>97</v>
      </c>
      <c r="D391" s="45" t="s">
        <v>904</v>
      </c>
      <c r="E391" s="6" t="s">
        <v>905</v>
      </c>
      <c r="F391" s="45" t="s">
        <v>104</v>
      </c>
      <c r="G391" s="46">
        <f t="shared" si="43"/>
        <v>56</v>
      </c>
      <c r="H391" s="46">
        <f>TRUNC(S391*(1-LOTE_01!$K$10),2)</f>
        <v>263.26</v>
      </c>
      <c r="I391" s="46">
        <f>TRUNC(T391*(1-LOTE_01!$K$10),2)</f>
        <v>10.4</v>
      </c>
      <c r="J391" s="100">
        <f t="shared" si="44"/>
        <v>0.22470000000000001</v>
      </c>
      <c r="K391" s="48">
        <f t="shared" si="38"/>
        <v>322.41000000000003</v>
      </c>
      <c r="L391" s="48">
        <f t="shared" si="39"/>
        <v>12.73</v>
      </c>
      <c r="M391" s="48">
        <f t="shared" si="40"/>
        <v>18054.96</v>
      </c>
      <c r="N391" s="48">
        <f t="shared" si="41"/>
        <v>712.88</v>
      </c>
      <c r="O391" s="50">
        <f t="shared" si="42"/>
        <v>18767.84</v>
      </c>
      <c r="P391" s="50">
        <v>0</v>
      </c>
      <c r="Q391" s="76"/>
      <c r="R391" s="140">
        <f>4*S9+4*S10</f>
        <v>56</v>
      </c>
      <c r="S391" s="79">
        <v>263.26</v>
      </c>
      <c r="T391" s="80">
        <v>10.4</v>
      </c>
    </row>
    <row r="392" spans="2:20" ht="28">
      <c r="B392" s="5" t="s">
        <v>941</v>
      </c>
      <c r="C392" s="45" t="s">
        <v>97</v>
      </c>
      <c r="D392" s="45" t="s">
        <v>907</v>
      </c>
      <c r="E392" s="6" t="s">
        <v>908</v>
      </c>
      <c r="F392" s="45" t="s">
        <v>104</v>
      </c>
      <c r="G392" s="46">
        <f t="shared" si="43"/>
        <v>28</v>
      </c>
      <c r="H392" s="46">
        <f>TRUNC(S392*(1-LOTE_01!$K$10),2)</f>
        <v>236.26</v>
      </c>
      <c r="I392" s="46">
        <f>TRUNC(T392*(1-LOTE_01!$K$10),2)</f>
        <v>10.4</v>
      </c>
      <c r="J392" s="100">
        <f t="shared" si="44"/>
        <v>0.22470000000000001</v>
      </c>
      <c r="K392" s="48">
        <f t="shared" si="38"/>
        <v>289.33999999999997</v>
      </c>
      <c r="L392" s="48">
        <f t="shared" si="39"/>
        <v>12.73</v>
      </c>
      <c r="M392" s="48">
        <f t="shared" si="40"/>
        <v>8101.52</v>
      </c>
      <c r="N392" s="48">
        <f t="shared" si="41"/>
        <v>356.44</v>
      </c>
      <c r="O392" s="50">
        <f t="shared" si="42"/>
        <v>8457.9599999999991</v>
      </c>
      <c r="P392" s="50">
        <v>0</v>
      </c>
      <c r="Q392" s="76"/>
      <c r="R392" s="140">
        <f>2*S9+2*S10</f>
        <v>28</v>
      </c>
      <c r="S392" s="79">
        <v>236.26</v>
      </c>
      <c r="T392" s="80">
        <v>10.4</v>
      </c>
    </row>
    <row r="393" spans="2:20" ht="42">
      <c r="B393" s="5" t="s">
        <v>942</v>
      </c>
      <c r="C393" s="45" t="s">
        <v>135</v>
      </c>
      <c r="D393" s="45">
        <v>101903</v>
      </c>
      <c r="E393" s="6" t="s">
        <v>943</v>
      </c>
      <c r="F393" s="45" t="s">
        <v>210</v>
      </c>
      <c r="G393" s="46">
        <f t="shared" si="43"/>
        <v>28</v>
      </c>
      <c r="H393" s="46">
        <f>TRUNC(S393*(1-LOTE_01!$K$10),2)</f>
        <v>363.18</v>
      </c>
      <c r="I393" s="46">
        <f>TRUNC(T393*(1-LOTE_01!$K$10),2)</f>
        <v>11.61</v>
      </c>
      <c r="J393" s="100">
        <f t="shared" si="44"/>
        <v>0.22470000000000001</v>
      </c>
      <c r="K393" s="48">
        <f t="shared" si="38"/>
        <v>444.78</v>
      </c>
      <c r="L393" s="48">
        <f t="shared" si="39"/>
        <v>14.21</v>
      </c>
      <c r="M393" s="48">
        <f t="shared" si="40"/>
        <v>12453.84</v>
      </c>
      <c r="N393" s="48">
        <f t="shared" si="41"/>
        <v>397.88</v>
      </c>
      <c r="O393" s="50">
        <f t="shared" si="42"/>
        <v>12851.72</v>
      </c>
      <c r="P393" s="50">
        <v>0</v>
      </c>
      <c r="Q393" s="76"/>
      <c r="R393" s="140">
        <f>2*S9+2*S10</f>
        <v>28</v>
      </c>
      <c r="S393" s="79">
        <v>363.18</v>
      </c>
      <c r="T393" s="80">
        <v>11.61</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104">
        <v>0</v>
      </c>
      <c r="Q394" s="76"/>
      <c r="R394" s="154"/>
      <c r="S394" s="79" t="s">
        <v>22</v>
      </c>
      <c r="T394" s="80" t="s">
        <v>22</v>
      </c>
    </row>
    <row r="395" spans="2:20" ht="56">
      <c r="B395" s="5" t="s">
        <v>946</v>
      </c>
      <c r="C395" s="45" t="s">
        <v>135</v>
      </c>
      <c r="D395" s="45">
        <v>96984</v>
      </c>
      <c r="E395" s="6" t="s">
        <v>947</v>
      </c>
      <c r="F395" s="45" t="s">
        <v>210</v>
      </c>
      <c r="G395" s="46">
        <f t="shared" si="43"/>
        <v>140</v>
      </c>
      <c r="H395" s="46">
        <f>TRUNC(S395*(1-LOTE_01!$K$10),2)</f>
        <v>37.21</v>
      </c>
      <c r="I395" s="46">
        <f>TRUNC(T395*(1-LOTE_01!$K$10),2)</f>
        <v>38.840000000000003</v>
      </c>
      <c r="J395" s="100">
        <f t="shared" si="44"/>
        <v>0.22470000000000001</v>
      </c>
      <c r="K395" s="48">
        <f t="shared" si="38"/>
        <v>45.57</v>
      </c>
      <c r="L395" s="48">
        <f t="shared" si="39"/>
        <v>47.56</v>
      </c>
      <c r="M395" s="48">
        <f t="shared" si="40"/>
        <v>6379.8</v>
      </c>
      <c r="N395" s="48">
        <f t="shared" si="41"/>
        <v>6658.4</v>
      </c>
      <c r="O395" s="50">
        <f t="shared" si="42"/>
        <v>13038.2</v>
      </c>
      <c r="P395" s="50">
        <v>0</v>
      </c>
      <c r="Q395" s="76"/>
      <c r="R395" s="140">
        <f>10*S9+10*S10</f>
        <v>140</v>
      </c>
      <c r="S395" s="79">
        <v>37.209999999999994</v>
      </c>
      <c r="T395" s="80">
        <v>38.840000000000003</v>
      </c>
    </row>
    <row r="396" spans="2:20" ht="42">
      <c r="B396" s="5" t="s">
        <v>948</v>
      </c>
      <c r="C396" s="45" t="s">
        <v>97</v>
      </c>
      <c r="D396" s="45" t="s">
        <v>949</v>
      </c>
      <c r="E396" s="6" t="s">
        <v>950</v>
      </c>
      <c r="F396" s="45" t="s">
        <v>104</v>
      </c>
      <c r="G396" s="46">
        <f t="shared" si="43"/>
        <v>84</v>
      </c>
      <c r="H396" s="46">
        <f>TRUNC(S396*(1-LOTE_01!$K$10),2)</f>
        <v>3.65</v>
      </c>
      <c r="I396" s="46">
        <f>TRUNC(T396*(1-LOTE_01!$K$10),2)</f>
        <v>1.3</v>
      </c>
      <c r="J396" s="100">
        <f t="shared" si="44"/>
        <v>0.22470000000000001</v>
      </c>
      <c r="K396" s="48">
        <f t="shared" si="38"/>
        <v>4.47</v>
      </c>
      <c r="L396" s="48">
        <f t="shared" si="39"/>
        <v>1.59</v>
      </c>
      <c r="M396" s="48">
        <f t="shared" si="40"/>
        <v>375.48</v>
      </c>
      <c r="N396" s="48">
        <f t="shared" si="41"/>
        <v>133.56</v>
      </c>
      <c r="O396" s="50">
        <f t="shared" si="42"/>
        <v>509.04</v>
      </c>
      <c r="P396" s="50">
        <v>0</v>
      </c>
      <c r="Q396" s="76"/>
      <c r="R396" s="140">
        <f>6*S9+6*S10</f>
        <v>84</v>
      </c>
      <c r="S396" s="79">
        <v>3.65</v>
      </c>
      <c r="T396" s="80">
        <v>1.3</v>
      </c>
    </row>
    <row r="397" spans="2:20" ht="42">
      <c r="B397" s="5" t="s">
        <v>951</v>
      </c>
      <c r="C397" s="45" t="s">
        <v>135</v>
      </c>
      <c r="D397" s="45">
        <v>96985</v>
      </c>
      <c r="E397" s="6" t="s">
        <v>952</v>
      </c>
      <c r="F397" s="45" t="s">
        <v>210</v>
      </c>
      <c r="G397" s="46">
        <f t="shared" si="43"/>
        <v>140</v>
      </c>
      <c r="H397" s="46">
        <f>TRUNC(S397*(1-LOTE_01!$K$10),2)</f>
        <v>72.95</v>
      </c>
      <c r="I397" s="46">
        <f>TRUNC(T397*(1-LOTE_01!$K$10),2)</f>
        <v>13.05</v>
      </c>
      <c r="J397" s="100">
        <f t="shared" si="44"/>
        <v>0.22470000000000001</v>
      </c>
      <c r="K397" s="48">
        <f t="shared" si="38"/>
        <v>89.34</v>
      </c>
      <c r="L397" s="48">
        <f t="shared" si="39"/>
        <v>15.98</v>
      </c>
      <c r="M397" s="48">
        <f t="shared" si="40"/>
        <v>12507.6</v>
      </c>
      <c r="N397" s="48">
        <f t="shared" si="41"/>
        <v>2237.1999999999998</v>
      </c>
      <c r="O397" s="50">
        <f t="shared" si="42"/>
        <v>14744.8</v>
      </c>
      <c r="P397" s="50">
        <v>0</v>
      </c>
      <c r="Q397" s="76"/>
      <c r="R397" s="140">
        <f>10*S9+10*S10</f>
        <v>140</v>
      </c>
      <c r="S397" s="79">
        <v>72.95</v>
      </c>
      <c r="T397" s="80">
        <v>13.05</v>
      </c>
    </row>
    <row r="398" spans="2:20" ht="56">
      <c r="B398" s="5" t="s">
        <v>953</v>
      </c>
      <c r="C398" s="45" t="s">
        <v>135</v>
      </c>
      <c r="D398" s="45">
        <v>98111</v>
      </c>
      <c r="E398" s="6" t="s">
        <v>954</v>
      </c>
      <c r="F398" s="45" t="s">
        <v>210</v>
      </c>
      <c r="G398" s="46">
        <f t="shared" si="43"/>
        <v>42</v>
      </c>
      <c r="H398" s="46">
        <f>TRUNC(S398*(1-LOTE_01!$K$10),2)</f>
        <v>46.29</v>
      </c>
      <c r="I398" s="46">
        <f>TRUNC(T398*(1-LOTE_01!$K$10),2)</f>
        <v>5.58</v>
      </c>
      <c r="J398" s="100">
        <f t="shared" si="44"/>
        <v>0.22470000000000001</v>
      </c>
      <c r="K398" s="48">
        <f t="shared" si="38"/>
        <v>56.69</v>
      </c>
      <c r="L398" s="48">
        <f t="shared" si="39"/>
        <v>6.83</v>
      </c>
      <c r="M398" s="48">
        <f t="shared" si="40"/>
        <v>2380.98</v>
      </c>
      <c r="N398" s="48">
        <f t="shared" si="41"/>
        <v>286.86</v>
      </c>
      <c r="O398" s="50">
        <f t="shared" si="42"/>
        <v>2667.84</v>
      </c>
      <c r="P398" s="50">
        <v>0</v>
      </c>
      <c r="Q398" s="76"/>
      <c r="R398" s="140">
        <f>3*S9+3*S10</f>
        <v>42</v>
      </c>
      <c r="S398" s="79">
        <v>46.29</v>
      </c>
      <c r="T398" s="80">
        <v>5.58</v>
      </c>
    </row>
    <row r="399" spans="2:20" ht="28">
      <c r="B399" s="5" t="s">
        <v>955</v>
      </c>
      <c r="C399" s="45" t="s">
        <v>97</v>
      </c>
      <c r="D399" s="45" t="s">
        <v>956</v>
      </c>
      <c r="E399" s="6" t="s">
        <v>957</v>
      </c>
      <c r="F399" s="45" t="s">
        <v>187</v>
      </c>
      <c r="G399" s="46">
        <f t="shared" si="43"/>
        <v>700</v>
      </c>
      <c r="H399" s="46">
        <f>TRUNC(S399*(1-LOTE_01!$K$10),2)</f>
        <v>54.99</v>
      </c>
      <c r="I399" s="46">
        <f>TRUNC(T399*(1-LOTE_01!$K$10),2)</f>
        <v>5.2</v>
      </c>
      <c r="J399" s="100">
        <f t="shared" si="44"/>
        <v>0.22470000000000001</v>
      </c>
      <c r="K399" s="48">
        <f t="shared" si="38"/>
        <v>67.34</v>
      </c>
      <c r="L399" s="48">
        <f t="shared" si="39"/>
        <v>6.36</v>
      </c>
      <c r="M399" s="48">
        <f t="shared" si="40"/>
        <v>47138</v>
      </c>
      <c r="N399" s="48">
        <f t="shared" si="41"/>
        <v>4452</v>
      </c>
      <c r="O399" s="50">
        <f t="shared" si="42"/>
        <v>51590</v>
      </c>
      <c r="P399" s="50">
        <v>0</v>
      </c>
      <c r="Q399" s="76"/>
      <c r="R399" s="140">
        <f>50*S9+50*S10</f>
        <v>700</v>
      </c>
      <c r="S399" s="79">
        <v>54.99</v>
      </c>
      <c r="T399" s="80">
        <v>5.2</v>
      </c>
    </row>
    <row r="400" spans="2:20" ht="42">
      <c r="B400" s="5" t="s">
        <v>958</v>
      </c>
      <c r="C400" s="45" t="s">
        <v>135</v>
      </c>
      <c r="D400" s="45">
        <v>96977</v>
      </c>
      <c r="E400" s="6" t="s">
        <v>959</v>
      </c>
      <c r="F400" s="45" t="s">
        <v>187</v>
      </c>
      <c r="G400" s="46">
        <f t="shared" si="43"/>
        <v>700</v>
      </c>
      <c r="H400" s="46">
        <f>TRUNC(S400*(1-LOTE_01!$K$10),2)</f>
        <v>56.3</v>
      </c>
      <c r="I400" s="46">
        <f>TRUNC(T400*(1-LOTE_01!$K$10),2)</f>
        <v>1.64</v>
      </c>
      <c r="J400" s="100">
        <f t="shared" si="44"/>
        <v>0.22470000000000001</v>
      </c>
      <c r="K400" s="48">
        <f t="shared" ref="K400:K463" si="45">TRUNC(H400*(1+J400),2)</f>
        <v>68.95</v>
      </c>
      <c r="L400" s="48">
        <f t="shared" ref="L400:L463" si="46">TRUNC(I400*(1+J400),2)</f>
        <v>2</v>
      </c>
      <c r="M400" s="48">
        <f t="shared" ref="M400:M463" si="47">TRUNC(K400*G400,2)</f>
        <v>48265</v>
      </c>
      <c r="N400" s="48">
        <f t="shared" ref="N400:N463" si="48">TRUNC(L400*G400,2)</f>
        <v>1400</v>
      </c>
      <c r="O400" s="50">
        <f t="shared" ref="O400:O463" si="49">TRUNC(M400+N400,2)</f>
        <v>49665</v>
      </c>
      <c r="P400" s="50">
        <v>0</v>
      </c>
      <c r="Q400" s="76"/>
      <c r="R400" s="140">
        <f>50*S9+50*S10</f>
        <v>700</v>
      </c>
      <c r="S400" s="79">
        <v>56.3</v>
      </c>
      <c r="T400" s="80">
        <v>1.64</v>
      </c>
    </row>
    <row r="401" spans="2:20" ht="28">
      <c r="B401" s="5" t="s">
        <v>960</v>
      </c>
      <c r="C401" s="45" t="s">
        <v>97</v>
      </c>
      <c r="D401" s="45" t="s">
        <v>961</v>
      </c>
      <c r="E401" s="6" t="s">
        <v>962</v>
      </c>
      <c r="F401" s="45" t="s">
        <v>187</v>
      </c>
      <c r="G401" s="46">
        <f t="shared" si="43"/>
        <v>2520</v>
      </c>
      <c r="H401" s="46">
        <f>TRUNC(S401*(1-LOTE_01!$K$10),2)</f>
        <v>14.24</v>
      </c>
      <c r="I401" s="46">
        <f>TRUNC(T401*(1-LOTE_01!$K$10),2)</f>
        <v>6.19</v>
      </c>
      <c r="J401" s="100">
        <f t="shared" si="44"/>
        <v>0.22470000000000001</v>
      </c>
      <c r="K401" s="48">
        <f t="shared" si="45"/>
        <v>17.43</v>
      </c>
      <c r="L401" s="48">
        <f t="shared" si="46"/>
        <v>7.58</v>
      </c>
      <c r="M401" s="48">
        <f t="shared" si="47"/>
        <v>43923.6</v>
      </c>
      <c r="N401" s="48">
        <f t="shared" si="48"/>
        <v>19101.599999999999</v>
      </c>
      <c r="O401" s="50">
        <f t="shared" si="49"/>
        <v>63025.2</v>
      </c>
      <c r="P401" s="50">
        <v>0</v>
      </c>
      <c r="Q401" s="76"/>
      <c r="R401" s="140">
        <f>60*3*S9+180*S10</f>
        <v>2520</v>
      </c>
      <c r="S401" s="79">
        <v>14.24</v>
      </c>
      <c r="T401" s="80">
        <v>6.19</v>
      </c>
    </row>
    <row r="402" spans="2:20" ht="28">
      <c r="B402" s="5" t="s">
        <v>963</v>
      </c>
      <c r="C402" s="45" t="s">
        <v>97</v>
      </c>
      <c r="D402" s="45" t="s">
        <v>964</v>
      </c>
      <c r="E402" s="6" t="s">
        <v>965</v>
      </c>
      <c r="F402" s="45" t="s">
        <v>104</v>
      </c>
      <c r="G402" s="46">
        <f t="shared" ref="G402:G465" si="50">TRUNC(R402,2)</f>
        <v>70</v>
      </c>
      <c r="H402" s="46">
        <f>TRUNC(S402*(1-LOTE_01!$K$10),2)</f>
        <v>13.13</v>
      </c>
      <c r="I402" s="46">
        <f>TRUNC(T402*(1-LOTE_01!$K$10),2)</f>
        <v>2.59</v>
      </c>
      <c r="J402" s="100">
        <f t="shared" ref="J402:J465" si="51">$J$4</f>
        <v>0.22470000000000001</v>
      </c>
      <c r="K402" s="48">
        <f t="shared" si="45"/>
        <v>16.079999999999998</v>
      </c>
      <c r="L402" s="48">
        <f t="shared" si="46"/>
        <v>3.17</v>
      </c>
      <c r="M402" s="48">
        <f t="shared" si="47"/>
        <v>1125.5999999999999</v>
      </c>
      <c r="N402" s="48">
        <f t="shared" si="48"/>
        <v>221.9</v>
      </c>
      <c r="O402" s="50">
        <f t="shared" si="49"/>
        <v>1347.5</v>
      </c>
      <c r="P402" s="50">
        <v>0</v>
      </c>
      <c r="Q402" s="76"/>
      <c r="R402" s="140">
        <f>5*S9+5*S10</f>
        <v>70</v>
      </c>
      <c r="S402" s="79">
        <v>13.13</v>
      </c>
      <c r="T402" s="80">
        <v>2.59</v>
      </c>
    </row>
    <row r="403" spans="2:20" ht="28">
      <c r="B403" s="5" t="s">
        <v>966</v>
      </c>
      <c r="C403" s="45" t="s">
        <v>97</v>
      </c>
      <c r="D403" s="45" t="s">
        <v>967</v>
      </c>
      <c r="E403" s="6" t="s">
        <v>968</v>
      </c>
      <c r="F403" s="45" t="s">
        <v>104</v>
      </c>
      <c r="G403" s="46">
        <f t="shared" si="50"/>
        <v>140</v>
      </c>
      <c r="H403" s="46">
        <f>TRUNC(S403*(1-LOTE_01!$K$10),2)</f>
        <v>30.31</v>
      </c>
      <c r="I403" s="46">
        <f>TRUNC(T403*(1-LOTE_01!$K$10),2)</f>
        <v>41.6</v>
      </c>
      <c r="J403" s="100">
        <f t="shared" si="51"/>
        <v>0.22470000000000001</v>
      </c>
      <c r="K403" s="48">
        <f t="shared" si="45"/>
        <v>37.119999999999997</v>
      </c>
      <c r="L403" s="48">
        <f t="shared" si="46"/>
        <v>50.94</v>
      </c>
      <c r="M403" s="48">
        <f t="shared" si="47"/>
        <v>5196.8</v>
      </c>
      <c r="N403" s="48">
        <f t="shared" si="48"/>
        <v>7131.6</v>
      </c>
      <c r="O403" s="50">
        <f t="shared" si="49"/>
        <v>12328.4</v>
      </c>
      <c r="P403" s="50">
        <v>0</v>
      </c>
      <c r="Q403" s="76"/>
      <c r="R403" s="140">
        <f>10*S9+10*S10</f>
        <v>140</v>
      </c>
      <c r="S403" s="79">
        <v>30.31</v>
      </c>
      <c r="T403" s="80">
        <v>41.6</v>
      </c>
    </row>
    <row r="404" spans="2:20" ht="56">
      <c r="B404" s="5" t="s">
        <v>969</v>
      </c>
      <c r="C404" s="45" t="s">
        <v>97</v>
      </c>
      <c r="D404" s="45" t="s">
        <v>970</v>
      </c>
      <c r="E404" s="6" t="s">
        <v>971</v>
      </c>
      <c r="F404" s="45" t="s">
        <v>104</v>
      </c>
      <c r="G404" s="46">
        <f t="shared" si="50"/>
        <v>70</v>
      </c>
      <c r="H404" s="46">
        <f>TRUNC(S404*(1-LOTE_01!$K$10),2)</f>
        <v>131.38999999999999</v>
      </c>
      <c r="I404" s="46">
        <f>TRUNC(T404*(1-LOTE_01!$K$10),2)</f>
        <v>11.5</v>
      </c>
      <c r="J404" s="100">
        <f t="shared" si="51"/>
        <v>0.22470000000000001</v>
      </c>
      <c r="K404" s="48">
        <f t="shared" si="45"/>
        <v>160.91</v>
      </c>
      <c r="L404" s="48">
        <f t="shared" si="46"/>
        <v>14.08</v>
      </c>
      <c r="M404" s="48">
        <f t="shared" si="47"/>
        <v>11263.7</v>
      </c>
      <c r="N404" s="48">
        <f t="shared" si="48"/>
        <v>985.6</v>
      </c>
      <c r="O404" s="50">
        <f t="shared" si="49"/>
        <v>12249.3</v>
      </c>
      <c r="P404" s="50">
        <v>0</v>
      </c>
      <c r="Q404" s="76"/>
      <c r="R404" s="140">
        <f>5*S9+5*S10</f>
        <v>70</v>
      </c>
      <c r="S404" s="79">
        <v>131.38999999999999</v>
      </c>
      <c r="T404" s="80">
        <v>11.5</v>
      </c>
    </row>
    <row r="405" spans="2:20" ht="56">
      <c r="B405" s="5" t="s">
        <v>972</v>
      </c>
      <c r="C405" s="45" t="s">
        <v>97</v>
      </c>
      <c r="D405" s="45" t="s">
        <v>973</v>
      </c>
      <c r="E405" s="6" t="s">
        <v>974</v>
      </c>
      <c r="F405" s="45" t="s">
        <v>104</v>
      </c>
      <c r="G405" s="46">
        <f t="shared" si="50"/>
        <v>14</v>
      </c>
      <c r="H405" s="46">
        <f>TRUNC(S405*(1-LOTE_01!$K$10),2)</f>
        <v>118.15</v>
      </c>
      <c r="I405" s="46">
        <f>TRUNC(T405*(1-LOTE_01!$K$10),2)</f>
        <v>421.31</v>
      </c>
      <c r="J405" s="100">
        <f t="shared" si="51"/>
        <v>0.22470000000000001</v>
      </c>
      <c r="K405" s="48">
        <f t="shared" si="45"/>
        <v>144.69</v>
      </c>
      <c r="L405" s="48">
        <f t="shared" si="46"/>
        <v>515.97</v>
      </c>
      <c r="M405" s="48">
        <f t="shared" si="47"/>
        <v>2025.66</v>
      </c>
      <c r="N405" s="48">
        <f t="shared" si="48"/>
        <v>7223.58</v>
      </c>
      <c r="O405" s="50">
        <f t="shared" si="49"/>
        <v>9249.24</v>
      </c>
      <c r="P405" s="50">
        <v>0</v>
      </c>
      <c r="Q405" s="76"/>
      <c r="R405" s="140">
        <f>1*S9+1*S10</f>
        <v>14</v>
      </c>
      <c r="S405" s="79">
        <v>118.15</v>
      </c>
      <c r="T405" s="80">
        <v>421.31</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104">
        <v>0</v>
      </c>
      <c r="Q406" s="76"/>
      <c r="R406" s="154"/>
      <c r="S406" s="79" t="s">
        <v>22</v>
      </c>
      <c r="T406" s="80" t="s">
        <v>22</v>
      </c>
    </row>
    <row r="407" spans="2:20" ht="98">
      <c r="B407" s="5" t="s">
        <v>977</v>
      </c>
      <c r="C407" s="45" t="s">
        <v>97</v>
      </c>
      <c r="D407" s="45" t="s">
        <v>978</v>
      </c>
      <c r="E407" s="6" t="s">
        <v>979</v>
      </c>
      <c r="F407" s="45" t="s">
        <v>104</v>
      </c>
      <c r="G407" s="46">
        <f t="shared" si="50"/>
        <v>5</v>
      </c>
      <c r="H407" s="46">
        <f>TRUNC(S407*(1-LOTE_01!$K$10),2)</f>
        <v>3379.12</v>
      </c>
      <c r="I407" s="46">
        <f>TRUNC(T407*(1-LOTE_01!$K$10),2)</f>
        <v>624</v>
      </c>
      <c r="J407" s="100">
        <f t="shared" si="51"/>
        <v>0.22470000000000001</v>
      </c>
      <c r="K407" s="48">
        <f t="shared" si="45"/>
        <v>4138.3999999999996</v>
      </c>
      <c r="L407" s="48">
        <f t="shared" si="46"/>
        <v>764.21</v>
      </c>
      <c r="M407" s="48">
        <f t="shared" si="47"/>
        <v>20692</v>
      </c>
      <c r="N407" s="48">
        <f t="shared" si="48"/>
        <v>3821.05</v>
      </c>
      <c r="O407" s="50">
        <f t="shared" si="49"/>
        <v>24513.05</v>
      </c>
      <c r="P407" s="50">
        <v>0</v>
      </c>
      <c r="Q407" s="76"/>
      <c r="R407" s="140">
        <f>IF((1*S9+1*S10)&gt;5,5,(1*S9+1*S10))</f>
        <v>5</v>
      </c>
      <c r="S407" s="79">
        <v>3379.12</v>
      </c>
      <c r="T407" s="80">
        <v>624</v>
      </c>
    </row>
    <row r="408" spans="2:20" ht="56">
      <c r="B408" s="5" t="s">
        <v>980</v>
      </c>
      <c r="C408" s="45" t="s">
        <v>97</v>
      </c>
      <c r="D408" s="45" t="s">
        <v>981</v>
      </c>
      <c r="E408" s="6" t="s">
        <v>982</v>
      </c>
      <c r="F408" s="45" t="s">
        <v>104</v>
      </c>
      <c r="G408" s="46">
        <f t="shared" si="50"/>
        <v>14</v>
      </c>
      <c r="H408" s="46">
        <f>TRUNC(S408*(1-LOTE_01!$K$10),2)</f>
        <v>170.48</v>
      </c>
      <c r="I408" s="46">
        <f>TRUNC(T408*(1-LOTE_01!$K$10),2)</f>
        <v>416</v>
      </c>
      <c r="J408" s="100">
        <f t="shared" si="51"/>
        <v>0.22470000000000001</v>
      </c>
      <c r="K408" s="48">
        <f t="shared" si="45"/>
        <v>208.78</v>
      </c>
      <c r="L408" s="48">
        <f t="shared" si="46"/>
        <v>509.47</v>
      </c>
      <c r="M408" s="48">
        <f t="shared" si="47"/>
        <v>2922.92</v>
      </c>
      <c r="N408" s="48">
        <f t="shared" si="48"/>
        <v>7132.58</v>
      </c>
      <c r="O408" s="50">
        <f t="shared" si="49"/>
        <v>10055.5</v>
      </c>
      <c r="P408" s="50">
        <v>0</v>
      </c>
      <c r="Q408" s="76"/>
      <c r="R408" s="140">
        <f>1*S9+1*S10</f>
        <v>14</v>
      </c>
      <c r="S408" s="79">
        <v>170.48</v>
      </c>
      <c r="T408" s="80">
        <v>416</v>
      </c>
    </row>
    <row r="409" spans="2:20" ht="28">
      <c r="B409" s="5" t="s">
        <v>983</v>
      </c>
      <c r="C409" s="45" t="s">
        <v>97</v>
      </c>
      <c r="D409" s="45" t="s">
        <v>984</v>
      </c>
      <c r="E409" s="6" t="s">
        <v>985</v>
      </c>
      <c r="F409" s="45" t="s">
        <v>104</v>
      </c>
      <c r="G409" s="46">
        <f t="shared" si="50"/>
        <v>10</v>
      </c>
      <c r="H409" s="46">
        <f>TRUNC(S409*(1-LOTE_01!$K$10),2)</f>
        <v>170.48</v>
      </c>
      <c r="I409" s="46">
        <f>TRUNC(T409*(1-LOTE_01!$K$10),2)</f>
        <v>416</v>
      </c>
      <c r="J409" s="100">
        <f t="shared" si="51"/>
        <v>0.22470000000000001</v>
      </c>
      <c r="K409" s="48">
        <f t="shared" si="45"/>
        <v>208.78</v>
      </c>
      <c r="L409" s="48">
        <f t="shared" si="46"/>
        <v>509.47</v>
      </c>
      <c r="M409" s="48">
        <f t="shared" si="47"/>
        <v>2087.8000000000002</v>
      </c>
      <c r="N409" s="48">
        <f t="shared" si="48"/>
        <v>5094.7</v>
      </c>
      <c r="O409" s="50">
        <f t="shared" si="49"/>
        <v>7182.5</v>
      </c>
      <c r="P409" s="50">
        <v>0</v>
      </c>
      <c r="Q409" s="76"/>
      <c r="R409" s="140">
        <f>IF((1*S9+1*S10)&gt;10,10,(1*S9+1*S10))</f>
        <v>10</v>
      </c>
      <c r="S409" s="79">
        <v>170.48</v>
      </c>
      <c r="T409" s="80">
        <v>416</v>
      </c>
    </row>
    <row r="410" spans="2:20" ht="28">
      <c r="B410" s="5" t="s">
        <v>986</v>
      </c>
      <c r="C410" s="45" t="s">
        <v>97</v>
      </c>
      <c r="D410" s="45" t="s">
        <v>987</v>
      </c>
      <c r="E410" s="6" t="s">
        <v>988</v>
      </c>
      <c r="F410" s="45" t="s">
        <v>104</v>
      </c>
      <c r="G410" s="46">
        <f t="shared" si="50"/>
        <v>70</v>
      </c>
      <c r="H410" s="46">
        <f>TRUNC(S410*(1-LOTE_01!$K$10),2)</f>
        <v>166.15</v>
      </c>
      <c r="I410" s="46">
        <f>TRUNC(T410*(1-LOTE_01!$K$10),2)</f>
        <v>5.17</v>
      </c>
      <c r="J410" s="100">
        <f t="shared" si="51"/>
        <v>0.22470000000000001</v>
      </c>
      <c r="K410" s="48">
        <f t="shared" si="45"/>
        <v>203.48</v>
      </c>
      <c r="L410" s="48">
        <f t="shared" si="46"/>
        <v>6.33</v>
      </c>
      <c r="M410" s="48">
        <f t="shared" si="47"/>
        <v>14243.6</v>
      </c>
      <c r="N410" s="48">
        <f t="shared" si="48"/>
        <v>443.1</v>
      </c>
      <c r="O410" s="50">
        <f t="shared" si="49"/>
        <v>14686.7</v>
      </c>
      <c r="P410" s="50">
        <v>0</v>
      </c>
      <c r="Q410" s="76"/>
      <c r="R410" s="140">
        <f>5*S9+5*S10</f>
        <v>70</v>
      </c>
      <c r="S410" s="79">
        <v>166.15</v>
      </c>
      <c r="T410" s="80">
        <v>5.17</v>
      </c>
    </row>
    <row r="411" spans="2:20" ht="28">
      <c r="B411" s="5" t="s">
        <v>989</v>
      </c>
      <c r="C411" s="45" t="s">
        <v>97</v>
      </c>
      <c r="D411" s="45" t="s">
        <v>990</v>
      </c>
      <c r="E411" s="6" t="s">
        <v>991</v>
      </c>
      <c r="F411" s="45" t="s">
        <v>104</v>
      </c>
      <c r="G411" s="46">
        <f t="shared" si="50"/>
        <v>70</v>
      </c>
      <c r="H411" s="46">
        <f>TRUNC(S411*(1-LOTE_01!$K$10),2)</f>
        <v>45.17</v>
      </c>
      <c r="I411" s="46">
        <f>TRUNC(T411*(1-LOTE_01!$K$10),2)</f>
        <v>43.09</v>
      </c>
      <c r="J411" s="100">
        <f t="shared" si="51"/>
        <v>0.22470000000000001</v>
      </c>
      <c r="K411" s="48">
        <f t="shared" si="45"/>
        <v>55.31</v>
      </c>
      <c r="L411" s="48">
        <f t="shared" si="46"/>
        <v>52.77</v>
      </c>
      <c r="M411" s="48">
        <f t="shared" si="47"/>
        <v>3871.7</v>
      </c>
      <c r="N411" s="48">
        <f t="shared" si="48"/>
        <v>3693.9</v>
      </c>
      <c r="O411" s="50">
        <f t="shared" si="49"/>
        <v>7565.6</v>
      </c>
      <c r="P411" s="50">
        <v>0</v>
      </c>
      <c r="Q411" s="76"/>
      <c r="R411" s="140">
        <f>5*S9+5*S10</f>
        <v>70</v>
      </c>
      <c r="S411" s="79">
        <v>45.17</v>
      </c>
      <c r="T411" s="80">
        <v>43.09</v>
      </c>
    </row>
    <row r="412" spans="2:20" ht="84">
      <c r="B412" s="5" t="s">
        <v>992</v>
      </c>
      <c r="C412" s="45" t="s">
        <v>135</v>
      </c>
      <c r="D412" s="45">
        <v>100561</v>
      </c>
      <c r="E412" s="6" t="s">
        <v>993</v>
      </c>
      <c r="F412" s="45" t="s">
        <v>210</v>
      </c>
      <c r="G412" s="46">
        <f t="shared" si="50"/>
        <v>10</v>
      </c>
      <c r="H412" s="46">
        <f>TRUNC(S412*(1-LOTE_01!$K$10),2)</f>
        <v>117.13</v>
      </c>
      <c r="I412" s="46">
        <f>TRUNC(T412*(1-LOTE_01!$K$10),2)</f>
        <v>40.85</v>
      </c>
      <c r="J412" s="100">
        <f t="shared" si="51"/>
        <v>0.22470000000000001</v>
      </c>
      <c r="K412" s="48">
        <f t="shared" si="45"/>
        <v>143.44</v>
      </c>
      <c r="L412" s="48">
        <f t="shared" si="46"/>
        <v>50.02</v>
      </c>
      <c r="M412" s="48">
        <f t="shared" si="47"/>
        <v>1434.4</v>
      </c>
      <c r="N412" s="48">
        <f t="shared" si="48"/>
        <v>500.2</v>
      </c>
      <c r="O412" s="50">
        <f t="shared" si="49"/>
        <v>1934.6</v>
      </c>
      <c r="P412" s="50">
        <v>0</v>
      </c>
      <c r="Q412" s="76"/>
      <c r="R412" s="140">
        <f>IF((1*S9+1*S10)&gt;10,10,(1*S9+1*S10))</f>
        <v>10</v>
      </c>
      <c r="S412" s="79">
        <v>117.13</v>
      </c>
      <c r="T412" s="80">
        <v>40.85</v>
      </c>
    </row>
    <row r="413" spans="2:20" ht="84">
      <c r="B413" s="5" t="s">
        <v>994</v>
      </c>
      <c r="C413" s="45" t="s">
        <v>135</v>
      </c>
      <c r="D413" s="45">
        <v>101875</v>
      </c>
      <c r="E413" s="6" t="s">
        <v>995</v>
      </c>
      <c r="F413" s="45" t="s">
        <v>210</v>
      </c>
      <c r="G413" s="46">
        <f t="shared" si="50"/>
        <v>10</v>
      </c>
      <c r="H413" s="46">
        <f>TRUNC(S413*(1-LOTE_01!$K$10),2)</f>
        <v>345.17</v>
      </c>
      <c r="I413" s="46">
        <f>TRUNC(T413*(1-LOTE_01!$K$10),2)</f>
        <v>74.94</v>
      </c>
      <c r="J413" s="100">
        <f t="shared" si="51"/>
        <v>0.22470000000000001</v>
      </c>
      <c r="K413" s="48">
        <f t="shared" si="45"/>
        <v>422.72</v>
      </c>
      <c r="L413" s="48">
        <f t="shared" si="46"/>
        <v>91.77</v>
      </c>
      <c r="M413" s="48">
        <f t="shared" si="47"/>
        <v>4227.2</v>
      </c>
      <c r="N413" s="48">
        <f t="shared" si="48"/>
        <v>917.7</v>
      </c>
      <c r="O413" s="50">
        <f t="shared" si="49"/>
        <v>5144.8999999999996</v>
      </c>
      <c r="P413" s="50">
        <v>0</v>
      </c>
      <c r="Q413" s="76"/>
      <c r="R413" s="140">
        <f>IF((1*S10+1*S9)&gt;10,10,(1*S10+1*S9))</f>
        <v>10</v>
      </c>
      <c r="S413" s="79">
        <v>345.17</v>
      </c>
      <c r="T413" s="80">
        <v>74.94</v>
      </c>
    </row>
    <row r="414" spans="2:20" ht="56">
      <c r="B414" s="5" t="s">
        <v>996</v>
      </c>
      <c r="C414" s="45" t="s">
        <v>97</v>
      </c>
      <c r="D414" s="45" t="s">
        <v>997</v>
      </c>
      <c r="E414" s="6" t="s">
        <v>998</v>
      </c>
      <c r="F414" s="45" t="s">
        <v>999</v>
      </c>
      <c r="G414" s="46">
        <f t="shared" si="50"/>
        <v>100</v>
      </c>
      <c r="H414" s="46">
        <f>TRUNC(S414*(1-LOTE_01!$K$10),2)</f>
        <v>407.43</v>
      </c>
      <c r="I414" s="46">
        <f>TRUNC(T414*(1-LOTE_01!$K$10),2)</f>
        <v>385.92</v>
      </c>
      <c r="J414" s="100">
        <f t="shared" si="51"/>
        <v>0.22470000000000001</v>
      </c>
      <c r="K414" s="48">
        <f t="shared" si="45"/>
        <v>498.97</v>
      </c>
      <c r="L414" s="48">
        <f t="shared" si="46"/>
        <v>472.63</v>
      </c>
      <c r="M414" s="48">
        <f t="shared" si="47"/>
        <v>49897</v>
      </c>
      <c r="N414" s="48">
        <f t="shared" si="48"/>
        <v>47263</v>
      </c>
      <c r="O414" s="50">
        <f t="shared" si="49"/>
        <v>97160</v>
      </c>
      <c r="P414" s="50">
        <v>0</v>
      </c>
      <c r="Q414" s="76"/>
      <c r="R414" s="140">
        <f>IF((5*S9+20*S10)&gt;100,100,(5*S9+20*S10))</f>
        <v>100</v>
      </c>
      <c r="S414" s="79">
        <v>407.43</v>
      </c>
      <c r="T414" s="80">
        <v>385.92</v>
      </c>
    </row>
    <row r="415" spans="2:20" ht="56">
      <c r="B415" s="5" t="s">
        <v>1000</v>
      </c>
      <c r="C415" s="45" t="s">
        <v>135</v>
      </c>
      <c r="D415" s="45">
        <v>98295</v>
      </c>
      <c r="E415" s="6" t="s">
        <v>1001</v>
      </c>
      <c r="F415" s="45" t="s">
        <v>187</v>
      </c>
      <c r="G415" s="46">
        <f t="shared" si="50"/>
        <v>10000</v>
      </c>
      <c r="H415" s="46">
        <f>TRUNC(S415*(1-LOTE_01!$K$10),2)</f>
        <v>5.77</v>
      </c>
      <c r="I415" s="46">
        <f>TRUNC(T415*(1-LOTE_01!$K$10),2)</f>
        <v>0.12</v>
      </c>
      <c r="J415" s="100">
        <f t="shared" si="51"/>
        <v>0.22470000000000001</v>
      </c>
      <c r="K415" s="48">
        <f t="shared" si="45"/>
        <v>7.06</v>
      </c>
      <c r="L415" s="48">
        <f t="shared" si="46"/>
        <v>0.14000000000000001</v>
      </c>
      <c r="M415" s="48">
        <f t="shared" si="47"/>
        <v>70600</v>
      </c>
      <c r="N415" s="48">
        <f t="shared" si="48"/>
        <v>1400</v>
      </c>
      <c r="O415" s="50">
        <f t="shared" si="49"/>
        <v>72000</v>
      </c>
      <c r="P415" s="50">
        <v>0</v>
      </c>
      <c r="Q415" s="76"/>
      <c r="R415" s="140">
        <f>IF((500*S9+1000*S10)&gt;15000,15000,(500*S9+1000*S10))</f>
        <v>10000</v>
      </c>
      <c r="S415" s="79">
        <v>5.77</v>
      </c>
      <c r="T415" s="80">
        <v>0.12</v>
      </c>
    </row>
    <row r="416" spans="2:20" ht="42">
      <c r="B416" s="5" t="s">
        <v>1002</v>
      </c>
      <c r="C416" s="45" t="s">
        <v>135</v>
      </c>
      <c r="D416" s="45">
        <v>98301</v>
      </c>
      <c r="E416" s="6" t="s">
        <v>1003</v>
      </c>
      <c r="F416" s="45" t="s">
        <v>210</v>
      </c>
      <c r="G416" s="46">
        <f t="shared" si="50"/>
        <v>70</v>
      </c>
      <c r="H416" s="46">
        <f>TRUNC(S416*(1-LOTE_01!$K$10),2)</f>
        <v>571.29999999999995</v>
      </c>
      <c r="I416" s="46">
        <f>TRUNC(T416*(1-LOTE_01!$K$10),2)</f>
        <v>296.93</v>
      </c>
      <c r="J416" s="100">
        <f t="shared" si="51"/>
        <v>0.22470000000000001</v>
      </c>
      <c r="K416" s="48">
        <f t="shared" si="45"/>
        <v>699.67</v>
      </c>
      <c r="L416" s="48">
        <f t="shared" si="46"/>
        <v>363.65</v>
      </c>
      <c r="M416" s="48">
        <f t="shared" si="47"/>
        <v>48976.9</v>
      </c>
      <c r="N416" s="48">
        <f t="shared" si="48"/>
        <v>25455.5</v>
      </c>
      <c r="O416" s="50">
        <f t="shared" si="49"/>
        <v>74432.399999999994</v>
      </c>
      <c r="P416" s="50">
        <v>0</v>
      </c>
      <c r="Q416" s="76"/>
      <c r="R416" s="140">
        <f>5*S9+5*S10</f>
        <v>70</v>
      </c>
      <c r="S416" s="79">
        <v>571.29999999999995</v>
      </c>
      <c r="T416" s="80">
        <v>296.93</v>
      </c>
    </row>
    <row r="417" spans="2:20" ht="28">
      <c r="B417" s="5" t="s">
        <v>1004</v>
      </c>
      <c r="C417" s="45" t="s">
        <v>97</v>
      </c>
      <c r="D417" s="45" t="s">
        <v>1005</v>
      </c>
      <c r="E417" s="6" t="s">
        <v>1006</v>
      </c>
      <c r="F417" s="45" t="s">
        <v>104</v>
      </c>
      <c r="G417" s="46">
        <f t="shared" si="50"/>
        <v>660</v>
      </c>
      <c r="H417" s="46">
        <f>TRUNC(S417*(1-LOTE_01!$K$10),2)</f>
        <v>31.03</v>
      </c>
      <c r="I417" s="46">
        <f>TRUNC(T417*(1-LOTE_01!$K$10),2)</f>
        <v>21.61</v>
      </c>
      <c r="J417" s="100">
        <f t="shared" si="51"/>
        <v>0.22470000000000001</v>
      </c>
      <c r="K417" s="48">
        <f t="shared" si="45"/>
        <v>38</v>
      </c>
      <c r="L417" s="48">
        <f t="shared" si="46"/>
        <v>26.46</v>
      </c>
      <c r="M417" s="48">
        <f t="shared" si="47"/>
        <v>25080</v>
      </c>
      <c r="N417" s="48">
        <f t="shared" si="48"/>
        <v>17463.599999999999</v>
      </c>
      <c r="O417" s="50">
        <f t="shared" si="49"/>
        <v>42543.6</v>
      </c>
      <c r="P417" s="50">
        <v>0</v>
      </c>
      <c r="Q417" s="76"/>
      <c r="R417" s="140">
        <f>30*S9+70*S10</f>
        <v>660</v>
      </c>
      <c r="S417" s="79">
        <v>31.03</v>
      </c>
      <c r="T417" s="80">
        <v>21.61</v>
      </c>
    </row>
    <row r="418" spans="2:20" ht="28">
      <c r="B418" s="5" t="s">
        <v>1007</v>
      </c>
      <c r="C418" s="45" t="s">
        <v>97</v>
      </c>
      <c r="D418" s="45" t="s">
        <v>1008</v>
      </c>
      <c r="E418" s="6" t="s">
        <v>1009</v>
      </c>
      <c r="F418" s="45" t="s">
        <v>104</v>
      </c>
      <c r="G418" s="46">
        <f t="shared" si="50"/>
        <v>660</v>
      </c>
      <c r="H418" s="46">
        <f>TRUNC(S418*(1-LOTE_01!$K$10),2)</f>
        <v>54.04</v>
      </c>
      <c r="I418" s="46">
        <f>TRUNC(T418*(1-LOTE_01!$K$10),2)</f>
        <v>21.61</v>
      </c>
      <c r="J418" s="100">
        <f t="shared" si="51"/>
        <v>0.22470000000000001</v>
      </c>
      <c r="K418" s="48">
        <f t="shared" si="45"/>
        <v>66.180000000000007</v>
      </c>
      <c r="L418" s="48">
        <f t="shared" si="46"/>
        <v>26.46</v>
      </c>
      <c r="M418" s="48">
        <f t="shared" si="47"/>
        <v>43678.8</v>
      </c>
      <c r="N418" s="48">
        <f t="shared" si="48"/>
        <v>17463.599999999999</v>
      </c>
      <c r="O418" s="50">
        <f t="shared" si="49"/>
        <v>61142.400000000001</v>
      </c>
      <c r="P418" s="50">
        <v>0</v>
      </c>
      <c r="Q418" s="76"/>
      <c r="R418" s="140">
        <f>30*S9+70*S10</f>
        <v>660</v>
      </c>
      <c r="S418" s="79">
        <v>54.04</v>
      </c>
      <c r="T418" s="80">
        <v>21.61</v>
      </c>
    </row>
    <row r="419" spans="2:20" ht="28">
      <c r="B419" s="5" t="s">
        <v>1010</v>
      </c>
      <c r="C419" s="45" t="s">
        <v>97</v>
      </c>
      <c r="D419" s="45" t="s">
        <v>1011</v>
      </c>
      <c r="E419" s="6" t="s">
        <v>1012</v>
      </c>
      <c r="F419" s="45" t="s">
        <v>999</v>
      </c>
      <c r="G419" s="46">
        <f t="shared" si="50"/>
        <v>280</v>
      </c>
      <c r="H419" s="46">
        <f>TRUNC(S419*(1-LOTE_01!$K$10),2)</f>
        <v>32.81</v>
      </c>
      <c r="I419" s="46">
        <f>TRUNC(T419*(1-LOTE_01!$K$10),2)</f>
        <v>0.68</v>
      </c>
      <c r="J419" s="100">
        <f t="shared" si="51"/>
        <v>0.22470000000000001</v>
      </c>
      <c r="K419" s="48">
        <f t="shared" si="45"/>
        <v>40.18</v>
      </c>
      <c r="L419" s="48">
        <f t="shared" si="46"/>
        <v>0.83</v>
      </c>
      <c r="M419" s="48">
        <f t="shared" si="47"/>
        <v>11250.4</v>
      </c>
      <c r="N419" s="48">
        <f t="shared" si="48"/>
        <v>232.4</v>
      </c>
      <c r="O419" s="50">
        <f t="shared" si="49"/>
        <v>11482.8</v>
      </c>
      <c r="P419" s="50">
        <v>0</v>
      </c>
      <c r="Q419" s="76"/>
      <c r="R419" s="140">
        <f>20*S9+20*S10</f>
        <v>280</v>
      </c>
      <c r="S419" s="79">
        <v>32.81</v>
      </c>
      <c r="T419" s="80">
        <v>0.68</v>
      </c>
    </row>
    <row r="420" spans="2:20" ht="56">
      <c r="B420" s="5" t="s">
        <v>1013</v>
      </c>
      <c r="C420" s="45" t="s">
        <v>135</v>
      </c>
      <c r="D420" s="45">
        <v>98268</v>
      </c>
      <c r="E420" s="6" t="s">
        <v>1014</v>
      </c>
      <c r="F420" s="45" t="s">
        <v>187</v>
      </c>
      <c r="G420" s="46">
        <f t="shared" si="50"/>
        <v>320</v>
      </c>
      <c r="H420" s="46">
        <f>TRUNC(S420*(1-LOTE_01!$K$10),2)</f>
        <v>12.76</v>
      </c>
      <c r="I420" s="46">
        <f>TRUNC(T420*(1-LOTE_01!$K$10),2)</f>
        <v>4.7699999999999996</v>
      </c>
      <c r="J420" s="100">
        <f t="shared" si="51"/>
        <v>0.22470000000000001</v>
      </c>
      <c r="K420" s="48">
        <f t="shared" si="45"/>
        <v>15.62</v>
      </c>
      <c r="L420" s="48">
        <f t="shared" si="46"/>
        <v>5.84</v>
      </c>
      <c r="M420" s="48">
        <f t="shared" si="47"/>
        <v>4998.3999999999996</v>
      </c>
      <c r="N420" s="48">
        <f t="shared" si="48"/>
        <v>1868.8</v>
      </c>
      <c r="O420" s="50">
        <f t="shared" si="49"/>
        <v>6867.2</v>
      </c>
      <c r="P420" s="50">
        <v>0</v>
      </c>
      <c r="Q420" s="76"/>
      <c r="R420" s="140">
        <f>10*S9+40*S10</f>
        <v>320</v>
      </c>
      <c r="S420" s="79">
        <v>12.760000000000002</v>
      </c>
      <c r="T420" s="80">
        <v>4.7699999999999996</v>
      </c>
    </row>
    <row r="421" spans="2:20" ht="28">
      <c r="B421" s="5" t="s">
        <v>1015</v>
      </c>
      <c r="C421" s="45" t="s">
        <v>135</v>
      </c>
      <c r="D421" s="45">
        <v>98307</v>
      </c>
      <c r="E421" s="6" t="s">
        <v>1016</v>
      </c>
      <c r="F421" s="45" t="s">
        <v>210</v>
      </c>
      <c r="G421" s="46">
        <f t="shared" si="50"/>
        <v>660</v>
      </c>
      <c r="H421" s="46">
        <f>TRUNC(S421*(1-LOTE_01!$K$10),2)</f>
        <v>55.01</v>
      </c>
      <c r="I421" s="46">
        <f>TRUNC(T421*(1-LOTE_01!$K$10),2)</f>
        <v>11.62</v>
      </c>
      <c r="J421" s="100">
        <f t="shared" si="51"/>
        <v>0.22470000000000001</v>
      </c>
      <c r="K421" s="48">
        <f t="shared" si="45"/>
        <v>67.37</v>
      </c>
      <c r="L421" s="48">
        <f t="shared" si="46"/>
        <v>14.23</v>
      </c>
      <c r="M421" s="48">
        <f t="shared" si="47"/>
        <v>44464.2</v>
      </c>
      <c r="N421" s="48">
        <f t="shared" si="48"/>
        <v>9391.7999999999993</v>
      </c>
      <c r="O421" s="50">
        <f t="shared" si="49"/>
        <v>53856</v>
      </c>
      <c r="P421" s="50">
        <v>0</v>
      </c>
      <c r="Q421" s="76"/>
      <c r="R421" s="140">
        <f>30*S9+70*S10</f>
        <v>660</v>
      </c>
      <c r="S421" s="79">
        <v>55.01</v>
      </c>
      <c r="T421" s="80">
        <v>11.62</v>
      </c>
    </row>
    <row r="422" spans="2:20" ht="28">
      <c r="B422" s="5" t="s">
        <v>1017</v>
      </c>
      <c r="C422" s="45" t="s">
        <v>97</v>
      </c>
      <c r="D422" s="45" t="s">
        <v>1018</v>
      </c>
      <c r="E422" s="6" t="s">
        <v>1019</v>
      </c>
      <c r="F422" s="45" t="s">
        <v>104</v>
      </c>
      <c r="G422" s="46">
        <f t="shared" si="50"/>
        <v>70</v>
      </c>
      <c r="H422" s="46">
        <f>TRUNC(S422*(1-LOTE_01!$K$10),2)</f>
        <v>211.65</v>
      </c>
      <c r="I422" s="46">
        <f>TRUNC(T422*(1-LOTE_01!$K$10),2)</f>
        <v>10.35</v>
      </c>
      <c r="J422" s="100">
        <f t="shared" si="51"/>
        <v>0.22470000000000001</v>
      </c>
      <c r="K422" s="48">
        <f t="shared" si="45"/>
        <v>259.2</v>
      </c>
      <c r="L422" s="48">
        <f t="shared" si="46"/>
        <v>12.67</v>
      </c>
      <c r="M422" s="48">
        <f t="shared" si="47"/>
        <v>18144</v>
      </c>
      <c r="N422" s="48">
        <f t="shared" si="48"/>
        <v>886.9</v>
      </c>
      <c r="O422" s="50">
        <f t="shared" si="49"/>
        <v>19030.900000000001</v>
      </c>
      <c r="P422" s="50">
        <v>0</v>
      </c>
      <c r="Q422" s="76"/>
      <c r="R422" s="140">
        <f>5*S9+5*S10</f>
        <v>70</v>
      </c>
      <c r="S422" s="79">
        <v>211.65</v>
      </c>
      <c r="T422" s="80">
        <v>10.35</v>
      </c>
    </row>
    <row r="423" spans="2:20" ht="56">
      <c r="B423" s="5" t="s">
        <v>1020</v>
      </c>
      <c r="C423" s="45" t="s">
        <v>135</v>
      </c>
      <c r="D423" s="45">
        <v>91941</v>
      </c>
      <c r="E423" s="6" t="s">
        <v>1021</v>
      </c>
      <c r="F423" s="45" t="s">
        <v>210</v>
      </c>
      <c r="G423" s="46">
        <f t="shared" si="50"/>
        <v>200</v>
      </c>
      <c r="H423" s="46">
        <f>TRUNC(S423*(1-LOTE_01!$K$10),2)</f>
        <v>6.55</v>
      </c>
      <c r="I423" s="46">
        <f>TRUNC(T423*(1-LOTE_01!$K$10),2)</f>
        <v>8.44</v>
      </c>
      <c r="J423" s="100">
        <f t="shared" si="51"/>
        <v>0.22470000000000001</v>
      </c>
      <c r="K423" s="48">
        <f t="shared" si="45"/>
        <v>8.02</v>
      </c>
      <c r="L423" s="48">
        <f t="shared" si="46"/>
        <v>10.33</v>
      </c>
      <c r="M423" s="48">
        <f t="shared" si="47"/>
        <v>1604</v>
      </c>
      <c r="N423" s="48">
        <f t="shared" si="48"/>
        <v>2066</v>
      </c>
      <c r="O423" s="50">
        <f t="shared" si="49"/>
        <v>3670</v>
      </c>
      <c r="P423" s="50">
        <v>0</v>
      </c>
      <c r="Q423" s="76"/>
      <c r="R423" s="140">
        <f>IF((10*S9+50*S10)&gt;200,200,(10*S9+50*S10))</f>
        <v>200</v>
      </c>
      <c r="S423" s="79">
        <v>6.5500000000000007</v>
      </c>
      <c r="T423" s="80">
        <v>8.44</v>
      </c>
    </row>
    <row r="424" spans="2:20" ht="56">
      <c r="B424" s="5" t="s">
        <v>1022</v>
      </c>
      <c r="C424" s="45" t="s">
        <v>135</v>
      </c>
      <c r="D424" s="45">
        <v>91944</v>
      </c>
      <c r="E424" s="6" t="s">
        <v>935</v>
      </c>
      <c r="F424" s="45" t="s">
        <v>210</v>
      </c>
      <c r="G424" s="46">
        <f t="shared" si="50"/>
        <v>200</v>
      </c>
      <c r="H424" s="46">
        <f>TRUNC(S424*(1-LOTE_01!$K$10),2)</f>
        <v>9.14</v>
      </c>
      <c r="I424" s="46">
        <f>TRUNC(T424*(1-LOTE_01!$K$10),2)</f>
        <v>8.5299999999999994</v>
      </c>
      <c r="J424" s="100">
        <f t="shared" si="51"/>
        <v>0.22470000000000001</v>
      </c>
      <c r="K424" s="48">
        <f t="shared" si="45"/>
        <v>11.19</v>
      </c>
      <c r="L424" s="48">
        <f t="shared" si="46"/>
        <v>10.44</v>
      </c>
      <c r="M424" s="48">
        <f t="shared" si="47"/>
        <v>2238</v>
      </c>
      <c r="N424" s="48">
        <f t="shared" si="48"/>
        <v>2088</v>
      </c>
      <c r="O424" s="50">
        <f t="shared" si="49"/>
        <v>4326</v>
      </c>
      <c r="P424" s="50">
        <v>0</v>
      </c>
      <c r="Q424" s="76"/>
      <c r="R424" s="140">
        <f>IF((10*S9+50*S10)&gt;200,200,(10*S9+50*S10))</f>
        <v>200</v>
      </c>
      <c r="S424" s="79">
        <v>9.1400000000000023</v>
      </c>
      <c r="T424" s="80">
        <v>8.5299999999999994</v>
      </c>
    </row>
    <row r="425" spans="2:20" ht="70">
      <c r="B425" s="5" t="s">
        <v>1023</v>
      </c>
      <c r="C425" s="45" t="s">
        <v>135</v>
      </c>
      <c r="D425" s="45">
        <v>97887</v>
      </c>
      <c r="E425" s="6" t="s">
        <v>1024</v>
      </c>
      <c r="F425" s="45" t="s">
        <v>210</v>
      </c>
      <c r="G425" s="46">
        <f t="shared" si="50"/>
        <v>70</v>
      </c>
      <c r="H425" s="46">
        <f>TRUNC(S425*(1-LOTE_01!$K$10),2)</f>
        <v>194.39</v>
      </c>
      <c r="I425" s="46">
        <f>TRUNC(T425*(1-LOTE_01!$K$10),2)</f>
        <v>121.37</v>
      </c>
      <c r="J425" s="100">
        <f t="shared" si="51"/>
        <v>0.22470000000000001</v>
      </c>
      <c r="K425" s="48">
        <f t="shared" si="45"/>
        <v>238.06</v>
      </c>
      <c r="L425" s="48">
        <f t="shared" si="46"/>
        <v>148.63999999999999</v>
      </c>
      <c r="M425" s="48">
        <f t="shared" si="47"/>
        <v>16664.2</v>
      </c>
      <c r="N425" s="48">
        <f t="shared" si="48"/>
        <v>10404.799999999999</v>
      </c>
      <c r="O425" s="50">
        <f t="shared" si="49"/>
        <v>27069</v>
      </c>
      <c r="P425" s="50">
        <v>0</v>
      </c>
      <c r="Q425" s="76"/>
      <c r="R425" s="140">
        <f>5*S9+5*S10</f>
        <v>70</v>
      </c>
      <c r="S425" s="79">
        <v>194.39</v>
      </c>
      <c r="T425" s="80">
        <v>121.37</v>
      </c>
    </row>
    <row r="426" spans="2:20" ht="70">
      <c r="B426" s="5" t="s">
        <v>1025</v>
      </c>
      <c r="C426" s="45" t="s">
        <v>135</v>
      </c>
      <c r="D426" s="45">
        <v>93009</v>
      </c>
      <c r="E426" s="6" t="s">
        <v>1026</v>
      </c>
      <c r="F426" s="45" t="s">
        <v>187</v>
      </c>
      <c r="G426" s="46">
        <f t="shared" si="50"/>
        <v>380</v>
      </c>
      <c r="H426" s="46">
        <f>TRUNC(S426*(1-LOTE_01!$K$10),2)</f>
        <v>25.61</v>
      </c>
      <c r="I426" s="46">
        <f>TRUNC(T426*(1-LOTE_01!$K$10),2)</f>
        <v>6.62</v>
      </c>
      <c r="J426" s="100">
        <f t="shared" si="51"/>
        <v>0.22470000000000001</v>
      </c>
      <c r="K426" s="48">
        <f t="shared" si="45"/>
        <v>31.36</v>
      </c>
      <c r="L426" s="48">
        <f t="shared" si="46"/>
        <v>8.1</v>
      </c>
      <c r="M426" s="48">
        <f t="shared" si="47"/>
        <v>11916.8</v>
      </c>
      <c r="N426" s="48">
        <f t="shared" si="48"/>
        <v>3078</v>
      </c>
      <c r="O426" s="50">
        <f t="shared" si="49"/>
        <v>14994.8</v>
      </c>
      <c r="P426" s="50">
        <v>0</v>
      </c>
      <c r="Q426" s="76"/>
      <c r="R426" s="140">
        <f>10*S9+50*S10</f>
        <v>380</v>
      </c>
      <c r="S426" s="79">
        <v>25.609999999999996</v>
      </c>
      <c r="T426" s="80">
        <v>6.62</v>
      </c>
    </row>
    <row r="427" spans="2:20" ht="42">
      <c r="B427" s="5" t="s">
        <v>1027</v>
      </c>
      <c r="C427" s="45" t="s">
        <v>165</v>
      </c>
      <c r="D427" s="45" t="s">
        <v>1028</v>
      </c>
      <c r="E427" s="6" t="s">
        <v>1029</v>
      </c>
      <c r="F427" s="45" t="s">
        <v>531</v>
      </c>
      <c r="G427" s="46">
        <f t="shared" si="50"/>
        <v>100</v>
      </c>
      <c r="H427" s="46">
        <f>TRUNC(S427*(1-LOTE_01!$K$10),2)</f>
        <v>21.87</v>
      </c>
      <c r="I427" s="46">
        <f>TRUNC(T427*(1-LOTE_01!$K$10),2)</f>
        <v>23.91</v>
      </c>
      <c r="J427" s="100">
        <f t="shared" si="51"/>
        <v>0.22470000000000001</v>
      </c>
      <c r="K427" s="48">
        <f t="shared" si="45"/>
        <v>26.78</v>
      </c>
      <c r="L427" s="48">
        <f t="shared" si="46"/>
        <v>29.28</v>
      </c>
      <c r="M427" s="48">
        <f t="shared" si="47"/>
        <v>2678</v>
      </c>
      <c r="N427" s="48">
        <f t="shared" si="48"/>
        <v>2928</v>
      </c>
      <c r="O427" s="50">
        <f t="shared" si="49"/>
        <v>5606</v>
      </c>
      <c r="P427" s="50">
        <v>0</v>
      </c>
      <c r="Q427" s="76"/>
      <c r="R427" s="140">
        <f>5*S9+10*S10</f>
        <v>100</v>
      </c>
      <c r="S427" s="79">
        <v>21.87</v>
      </c>
      <c r="T427" s="80">
        <v>23.91</v>
      </c>
    </row>
    <row r="428" spans="2:20" ht="70">
      <c r="B428" s="5" t="s">
        <v>1030</v>
      </c>
      <c r="C428" s="45" t="s">
        <v>135</v>
      </c>
      <c r="D428" s="45">
        <v>91864</v>
      </c>
      <c r="E428" s="6" t="s">
        <v>838</v>
      </c>
      <c r="F428" s="45" t="s">
        <v>187</v>
      </c>
      <c r="G428" s="46">
        <f t="shared" si="50"/>
        <v>400</v>
      </c>
      <c r="H428" s="46">
        <f>TRUNC(S428*(1-LOTE_01!$K$10),2)</f>
        <v>11.87</v>
      </c>
      <c r="I428" s="46">
        <f>TRUNC(T428*(1-LOTE_01!$K$10),2)</f>
        <v>7.19</v>
      </c>
      <c r="J428" s="100">
        <f t="shared" si="51"/>
        <v>0.22470000000000001</v>
      </c>
      <c r="K428" s="48">
        <f t="shared" si="45"/>
        <v>14.53</v>
      </c>
      <c r="L428" s="48">
        <f t="shared" si="46"/>
        <v>8.8000000000000007</v>
      </c>
      <c r="M428" s="48">
        <f t="shared" si="47"/>
        <v>5812</v>
      </c>
      <c r="N428" s="48">
        <f t="shared" si="48"/>
        <v>3520</v>
      </c>
      <c r="O428" s="50">
        <f t="shared" si="49"/>
        <v>9332</v>
      </c>
      <c r="P428" s="50">
        <v>0</v>
      </c>
      <c r="Q428" s="76"/>
      <c r="R428" s="140">
        <f>20*S9+40*S10</f>
        <v>400</v>
      </c>
      <c r="S428" s="79">
        <v>11.869999999999997</v>
      </c>
      <c r="T428" s="80">
        <v>7.19</v>
      </c>
    </row>
    <row r="429" spans="2:20" ht="70">
      <c r="B429" s="5" t="s">
        <v>1031</v>
      </c>
      <c r="C429" s="45" t="s">
        <v>135</v>
      </c>
      <c r="D429" s="45">
        <v>91867</v>
      </c>
      <c r="E429" s="6" t="s">
        <v>927</v>
      </c>
      <c r="F429" s="45" t="s">
        <v>187</v>
      </c>
      <c r="G429" s="46">
        <f t="shared" si="50"/>
        <v>70</v>
      </c>
      <c r="H429" s="46">
        <f>TRUNC(S429*(1-LOTE_01!$K$10),2)</f>
        <v>7.76</v>
      </c>
      <c r="I429" s="46">
        <f>TRUNC(T429*(1-LOTE_01!$K$10),2)</f>
        <v>4.8600000000000003</v>
      </c>
      <c r="J429" s="100">
        <f t="shared" si="51"/>
        <v>0.22470000000000001</v>
      </c>
      <c r="K429" s="48">
        <f t="shared" si="45"/>
        <v>9.5</v>
      </c>
      <c r="L429" s="48">
        <f t="shared" si="46"/>
        <v>5.95</v>
      </c>
      <c r="M429" s="48">
        <f t="shared" si="47"/>
        <v>665</v>
      </c>
      <c r="N429" s="48">
        <f t="shared" si="48"/>
        <v>416.5</v>
      </c>
      <c r="O429" s="50">
        <f t="shared" si="49"/>
        <v>1081.5</v>
      </c>
      <c r="P429" s="50">
        <v>0</v>
      </c>
      <c r="Q429" s="76"/>
      <c r="R429" s="140">
        <f>5*S9+5*S10</f>
        <v>70</v>
      </c>
      <c r="S429" s="79">
        <v>7.7599999999999989</v>
      </c>
      <c r="T429" s="80">
        <v>4.8600000000000003</v>
      </c>
    </row>
    <row r="430" spans="2:20" ht="42">
      <c r="B430" s="5" t="s">
        <v>1032</v>
      </c>
      <c r="C430" s="45" t="s">
        <v>165</v>
      </c>
      <c r="D430" s="45" t="s">
        <v>1033</v>
      </c>
      <c r="E430" s="6" t="s">
        <v>1034</v>
      </c>
      <c r="F430" s="45" t="s">
        <v>531</v>
      </c>
      <c r="G430" s="46">
        <f>IF($S$11=0,0,TRUNC(R430,2))</f>
        <v>200</v>
      </c>
      <c r="H430" s="46">
        <f>TRUNC(S430*(1-LOTE_01!$K$10),2)</f>
        <v>25.9</v>
      </c>
      <c r="I430" s="46">
        <f>TRUNC(T430*(1-LOTE_01!$K$10),2)</f>
        <v>15.94</v>
      </c>
      <c r="J430" s="100">
        <f t="shared" si="51"/>
        <v>0.22470000000000001</v>
      </c>
      <c r="K430" s="48">
        <f t="shared" si="45"/>
        <v>31.71</v>
      </c>
      <c r="L430" s="48">
        <f t="shared" si="46"/>
        <v>19.52</v>
      </c>
      <c r="M430" s="48">
        <f t="shared" si="47"/>
        <v>6342</v>
      </c>
      <c r="N430" s="48">
        <f t="shared" si="48"/>
        <v>3904</v>
      </c>
      <c r="O430" s="50">
        <f t="shared" si="49"/>
        <v>10246</v>
      </c>
      <c r="P430" s="50">
        <v>0</v>
      </c>
      <c r="Q430" s="76"/>
      <c r="R430" s="140">
        <f>5*S9+25*S10+10</f>
        <v>200</v>
      </c>
      <c r="S430" s="79">
        <v>25.9</v>
      </c>
      <c r="T430" s="80">
        <v>15.94</v>
      </c>
    </row>
    <row r="431" spans="2:20" ht="42">
      <c r="B431" s="5" t="s">
        <v>1035</v>
      </c>
      <c r="C431" s="45" t="s">
        <v>165</v>
      </c>
      <c r="D431" s="45" t="s">
        <v>1036</v>
      </c>
      <c r="E431" s="6" t="s">
        <v>1037</v>
      </c>
      <c r="F431" s="45" t="s">
        <v>531</v>
      </c>
      <c r="G431" s="46">
        <f t="shared" si="50"/>
        <v>100</v>
      </c>
      <c r="H431" s="46">
        <f>TRUNC(S431*(1-LOTE_01!$K$10),2)</f>
        <v>19.43</v>
      </c>
      <c r="I431" s="46">
        <f>TRUNC(T431*(1-LOTE_01!$K$10),2)</f>
        <v>15.94</v>
      </c>
      <c r="J431" s="100">
        <f t="shared" si="51"/>
        <v>0.22470000000000001</v>
      </c>
      <c r="K431" s="48">
        <f t="shared" si="45"/>
        <v>23.79</v>
      </c>
      <c r="L431" s="48">
        <f t="shared" si="46"/>
        <v>19.52</v>
      </c>
      <c r="M431" s="48">
        <f t="shared" si="47"/>
        <v>2379</v>
      </c>
      <c r="N431" s="48">
        <f t="shared" si="48"/>
        <v>1952</v>
      </c>
      <c r="O431" s="50">
        <f t="shared" si="49"/>
        <v>4331</v>
      </c>
      <c r="P431" s="50">
        <v>0</v>
      </c>
      <c r="Q431" s="76"/>
      <c r="R431" s="140">
        <f>5*S9+10*S10</f>
        <v>100</v>
      </c>
      <c r="S431" s="79">
        <v>19.43</v>
      </c>
      <c r="T431" s="80">
        <v>15.94</v>
      </c>
    </row>
    <row r="432" spans="2:20" ht="56">
      <c r="B432" s="5" t="s">
        <v>1038</v>
      </c>
      <c r="C432" s="45" t="s">
        <v>97</v>
      </c>
      <c r="D432" s="45" t="s">
        <v>1039</v>
      </c>
      <c r="E432" s="6" t="s">
        <v>1040</v>
      </c>
      <c r="F432" s="45" t="s">
        <v>925</v>
      </c>
      <c r="G432" s="46">
        <f t="shared" si="50"/>
        <v>160</v>
      </c>
      <c r="H432" s="46">
        <f>TRUNC(S432*(1-LOTE_01!$K$10),2)</f>
        <v>36.65</v>
      </c>
      <c r="I432" s="46">
        <f>TRUNC(T432*(1-LOTE_01!$K$10),2)</f>
        <v>26</v>
      </c>
      <c r="J432" s="100">
        <f t="shared" si="51"/>
        <v>0.22470000000000001</v>
      </c>
      <c r="K432" s="48">
        <f t="shared" si="45"/>
        <v>44.88</v>
      </c>
      <c r="L432" s="48">
        <f t="shared" si="46"/>
        <v>31.84</v>
      </c>
      <c r="M432" s="48">
        <f t="shared" si="47"/>
        <v>7180.8</v>
      </c>
      <c r="N432" s="48">
        <f t="shared" si="48"/>
        <v>5094.3999999999996</v>
      </c>
      <c r="O432" s="50">
        <f t="shared" si="49"/>
        <v>12275.2</v>
      </c>
      <c r="P432" s="50">
        <v>0</v>
      </c>
      <c r="Q432" s="76"/>
      <c r="R432" s="140">
        <f>5*S9+20*S10</f>
        <v>160</v>
      </c>
      <c r="S432" s="79">
        <v>36.65</v>
      </c>
      <c r="T432" s="80">
        <v>26</v>
      </c>
    </row>
    <row r="433" spans="2:20" ht="42">
      <c r="B433" s="5" t="s">
        <v>1041</v>
      </c>
      <c r="C433" s="45" t="s">
        <v>165</v>
      </c>
      <c r="D433" s="45" t="s">
        <v>1042</v>
      </c>
      <c r="E433" s="6" t="s">
        <v>1043</v>
      </c>
      <c r="F433" s="45" t="s">
        <v>531</v>
      </c>
      <c r="G433" s="46">
        <f t="shared" si="50"/>
        <v>70</v>
      </c>
      <c r="H433" s="46">
        <f>TRUNC(S433*(1-LOTE_01!$K$10),2)</f>
        <v>46.68</v>
      </c>
      <c r="I433" s="46">
        <f>TRUNC(T433*(1-LOTE_01!$K$10),2)</f>
        <v>15.42</v>
      </c>
      <c r="J433" s="100">
        <f t="shared" si="51"/>
        <v>0.22470000000000001</v>
      </c>
      <c r="K433" s="48">
        <f t="shared" si="45"/>
        <v>57.16</v>
      </c>
      <c r="L433" s="48">
        <f t="shared" si="46"/>
        <v>18.88</v>
      </c>
      <c r="M433" s="48">
        <f t="shared" si="47"/>
        <v>4001.2</v>
      </c>
      <c r="N433" s="48">
        <f t="shared" si="48"/>
        <v>1321.6</v>
      </c>
      <c r="O433" s="50">
        <f t="shared" si="49"/>
        <v>5322.8</v>
      </c>
      <c r="P433" s="50">
        <v>0</v>
      </c>
      <c r="Q433" s="76"/>
      <c r="R433" s="140">
        <f>5*S9+5*S10</f>
        <v>70</v>
      </c>
      <c r="S433" s="79">
        <v>46.68</v>
      </c>
      <c r="T433" s="80">
        <v>15.42</v>
      </c>
    </row>
    <row r="434" spans="2:20" ht="28">
      <c r="B434" s="5" t="s">
        <v>1044</v>
      </c>
      <c r="C434" s="45" t="s">
        <v>97</v>
      </c>
      <c r="D434" s="45" t="s">
        <v>1045</v>
      </c>
      <c r="E434" s="6" t="s">
        <v>1046</v>
      </c>
      <c r="F434" s="45" t="s">
        <v>187</v>
      </c>
      <c r="G434" s="46">
        <f t="shared" si="50"/>
        <v>420</v>
      </c>
      <c r="H434" s="46">
        <f>TRUNC(S434*(1-LOTE_01!$K$10),2)</f>
        <v>57.61</v>
      </c>
      <c r="I434" s="46">
        <f>TRUNC(T434*(1-LOTE_01!$K$10),2)</f>
        <v>38.81</v>
      </c>
      <c r="J434" s="100">
        <f t="shared" si="51"/>
        <v>0.22470000000000001</v>
      </c>
      <c r="K434" s="48">
        <f t="shared" si="45"/>
        <v>70.55</v>
      </c>
      <c r="L434" s="48">
        <f t="shared" si="46"/>
        <v>47.53</v>
      </c>
      <c r="M434" s="48">
        <f t="shared" si="47"/>
        <v>29631</v>
      </c>
      <c r="N434" s="48">
        <f t="shared" si="48"/>
        <v>19962.599999999999</v>
      </c>
      <c r="O434" s="50">
        <f t="shared" si="49"/>
        <v>49593.599999999999</v>
      </c>
      <c r="P434" s="50">
        <v>0</v>
      </c>
      <c r="Q434" s="76"/>
      <c r="R434" s="140">
        <f>30*S9+30*S10</f>
        <v>420</v>
      </c>
      <c r="S434" s="79">
        <v>57.61</v>
      </c>
      <c r="T434" s="80">
        <v>38.81</v>
      </c>
    </row>
    <row r="435" spans="2:20">
      <c r="B435" s="5" t="s">
        <v>1047</v>
      </c>
      <c r="C435" s="45" t="s">
        <v>97</v>
      </c>
      <c r="D435" s="45" t="s">
        <v>1048</v>
      </c>
      <c r="E435" s="6" t="s">
        <v>1049</v>
      </c>
      <c r="F435" s="45" t="s">
        <v>104</v>
      </c>
      <c r="G435" s="46">
        <f t="shared" si="50"/>
        <v>70</v>
      </c>
      <c r="H435" s="46">
        <f>TRUNC(S435*(1-LOTE_01!$K$10),2)</f>
        <v>108.99</v>
      </c>
      <c r="I435" s="46">
        <f>TRUNC(T435*(1-LOTE_01!$K$10),2)</f>
        <v>12.42</v>
      </c>
      <c r="J435" s="100">
        <f t="shared" si="51"/>
        <v>0.22470000000000001</v>
      </c>
      <c r="K435" s="48">
        <f t="shared" si="45"/>
        <v>133.47999999999999</v>
      </c>
      <c r="L435" s="48">
        <f t="shared" si="46"/>
        <v>15.21</v>
      </c>
      <c r="M435" s="48">
        <f t="shared" si="47"/>
        <v>9343.6</v>
      </c>
      <c r="N435" s="48">
        <f t="shared" si="48"/>
        <v>1064.7</v>
      </c>
      <c r="O435" s="50">
        <f t="shared" si="49"/>
        <v>10408.299999999999</v>
      </c>
      <c r="P435" s="50">
        <v>0</v>
      </c>
      <c r="Q435" s="76"/>
      <c r="R435" s="140">
        <f>5*S9+5*S10</f>
        <v>70</v>
      </c>
      <c r="S435" s="79">
        <v>108.99</v>
      </c>
      <c r="T435" s="80">
        <v>12.42</v>
      </c>
    </row>
    <row r="436" spans="2:20">
      <c r="B436" s="5" t="s">
        <v>1050</v>
      </c>
      <c r="C436" s="45" t="s">
        <v>97</v>
      </c>
      <c r="D436" s="45" t="s">
        <v>1051</v>
      </c>
      <c r="E436" s="6" t="s">
        <v>1052</v>
      </c>
      <c r="F436" s="45" t="s">
        <v>104</v>
      </c>
      <c r="G436" s="46">
        <f t="shared" si="50"/>
        <v>70</v>
      </c>
      <c r="H436" s="46">
        <f>TRUNC(S436*(1-LOTE_01!$K$10),2)</f>
        <v>20.21</v>
      </c>
      <c r="I436" s="46">
        <f>TRUNC(T436*(1-LOTE_01!$K$10),2)</f>
        <v>12.42</v>
      </c>
      <c r="J436" s="100">
        <f t="shared" si="51"/>
        <v>0.22470000000000001</v>
      </c>
      <c r="K436" s="48">
        <f t="shared" si="45"/>
        <v>24.75</v>
      </c>
      <c r="L436" s="48">
        <f t="shared" si="46"/>
        <v>15.21</v>
      </c>
      <c r="M436" s="48">
        <f t="shared" si="47"/>
        <v>1732.5</v>
      </c>
      <c r="N436" s="48">
        <f t="shared" si="48"/>
        <v>1064.7</v>
      </c>
      <c r="O436" s="50">
        <f t="shared" si="49"/>
        <v>2797.2</v>
      </c>
      <c r="P436" s="50">
        <v>0</v>
      </c>
      <c r="Q436" s="76"/>
      <c r="R436" s="140">
        <f>5*S9+5*S10</f>
        <v>70</v>
      </c>
      <c r="S436" s="79">
        <v>20.21</v>
      </c>
      <c r="T436" s="80">
        <v>12.42</v>
      </c>
    </row>
    <row r="437" spans="2:20">
      <c r="B437" s="5" t="s">
        <v>1053</v>
      </c>
      <c r="C437" s="45" t="s">
        <v>97</v>
      </c>
      <c r="D437" s="45" t="s">
        <v>1054</v>
      </c>
      <c r="E437" s="6" t="s">
        <v>1055</v>
      </c>
      <c r="F437" s="45" t="s">
        <v>104</v>
      </c>
      <c r="G437" s="46">
        <f t="shared" si="50"/>
        <v>70</v>
      </c>
      <c r="H437" s="46">
        <f>TRUNC(S437*(1-LOTE_01!$K$10),2)</f>
        <v>105.85</v>
      </c>
      <c r="I437" s="46">
        <f>TRUNC(T437*(1-LOTE_01!$K$10),2)</f>
        <v>12.42</v>
      </c>
      <c r="J437" s="100">
        <f t="shared" si="51"/>
        <v>0.22470000000000001</v>
      </c>
      <c r="K437" s="48">
        <f t="shared" si="45"/>
        <v>129.63</v>
      </c>
      <c r="L437" s="48">
        <f t="shared" si="46"/>
        <v>15.21</v>
      </c>
      <c r="M437" s="48">
        <f t="shared" si="47"/>
        <v>9074.1</v>
      </c>
      <c r="N437" s="48">
        <f t="shared" si="48"/>
        <v>1064.7</v>
      </c>
      <c r="O437" s="50">
        <f t="shared" si="49"/>
        <v>10138.799999999999</v>
      </c>
      <c r="P437" s="50">
        <v>0</v>
      </c>
      <c r="Q437" s="76"/>
      <c r="R437" s="140">
        <f>5*S9+5*S10</f>
        <v>70</v>
      </c>
      <c r="S437" s="79">
        <v>105.85</v>
      </c>
      <c r="T437" s="80">
        <v>12.42</v>
      </c>
    </row>
    <row r="438" spans="2:20">
      <c r="B438" s="5" t="s">
        <v>1056</v>
      </c>
      <c r="C438" s="45" t="s">
        <v>97</v>
      </c>
      <c r="D438" s="45" t="s">
        <v>1057</v>
      </c>
      <c r="E438" s="6" t="s">
        <v>1058</v>
      </c>
      <c r="F438" s="45" t="s">
        <v>1059</v>
      </c>
      <c r="G438" s="46">
        <f t="shared" si="50"/>
        <v>46</v>
      </c>
      <c r="H438" s="46">
        <f>TRUNC(S438*(1-LOTE_01!$K$10),2)</f>
        <v>33.26</v>
      </c>
      <c r="I438" s="46">
        <f>TRUNC(T438*(1-LOTE_01!$K$10),2)</f>
        <v>10.4</v>
      </c>
      <c r="J438" s="100">
        <f t="shared" si="51"/>
        <v>0.22470000000000001</v>
      </c>
      <c r="K438" s="48">
        <f t="shared" si="45"/>
        <v>40.729999999999997</v>
      </c>
      <c r="L438" s="48">
        <f t="shared" si="46"/>
        <v>12.73</v>
      </c>
      <c r="M438" s="48">
        <f t="shared" si="47"/>
        <v>1873.58</v>
      </c>
      <c r="N438" s="48">
        <f t="shared" si="48"/>
        <v>585.58000000000004</v>
      </c>
      <c r="O438" s="50">
        <f t="shared" si="49"/>
        <v>2459.16</v>
      </c>
      <c r="P438" s="50">
        <v>0</v>
      </c>
      <c r="Q438" s="76"/>
      <c r="R438" s="140">
        <f>2*S9+5*S10</f>
        <v>46</v>
      </c>
      <c r="S438" s="79">
        <v>33.26</v>
      </c>
      <c r="T438" s="80">
        <v>10.4</v>
      </c>
    </row>
    <row r="439" spans="2:20" ht="28">
      <c r="B439" s="5" t="s">
        <v>1060</v>
      </c>
      <c r="C439" s="45" t="s">
        <v>97</v>
      </c>
      <c r="D439" s="45" t="s">
        <v>1061</v>
      </c>
      <c r="E439" s="6" t="s">
        <v>1062</v>
      </c>
      <c r="F439" s="45" t="s">
        <v>104</v>
      </c>
      <c r="G439" s="46">
        <f t="shared" si="50"/>
        <v>280</v>
      </c>
      <c r="H439" s="46">
        <f>TRUNC(S439*(1-LOTE_01!$K$10),2)</f>
        <v>53.49</v>
      </c>
      <c r="I439" s="46">
        <f>TRUNC(T439*(1-LOTE_01!$K$10),2)</f>
        <v>43.22</v>
      </c>
      <c r="J439" s="100">
        <f t="shared" si="51"/>
        <v>0.22470000000000001</v>
      </c>
      <c r="K439" s="48">
        <f t="shared" si="45"/>
        <v>65.5</v>
      </c>
      <c r="L439" s="48">
        <f t="shared" si="46"/>
        <v>52.93</v>
      </c>
      <c r="M439" s="48">
        <f t="shared" si="47"/>
        <v>18340</v>
      </c>
      <c r="N439" s="48">
        <f t="shared" si="48"/>
        <v>14820.4</v>
      </c>
      <c r="O439" s="50">
        <f t="shared" si="49"/>
        <v>33160.400000000001</v>
      </c>
      <c r="P439" s="50">
        <v>0</v>
      </c>
      <c r="Q439" s="76"/>
      <c r="R439" s="140">
        <f>20*S9+20*S10</f>
        <v>280</v>
      </c>
      <c r="S439" s="79">
        <v>53.49</v>
      </c>
      <c r="T439" s="80">
        <v>43.22</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104">
        <v>0</v>
      </c>
      <c r="Q440" s="76"/>
      <c r="R440" s="154"/>
      <c r="S440" s="79" t="s">
        <v>22</v>
      </c>
      <c r="T440" s="80" t="s">
        <v>22</v>
      </c>
    </row>
    <row r="441" spans="2:20" ht="84">
      <c r="B441" s="5" t="s">
        <v>1065</v>
      </c>
      <c r="C441" s="45" t="s">
        <v>135</v>
      </c>
      <c r="D441" s="45">
        <v>101878</v>
      </c>
      <c r="E441" s="6" t="s">
        <v>1066</v>
      </c>
      <c r="F441" s="45" t="s">
        <v>210</v>
      </c>
      <c r="G441" s="46">
        <f t="shared" si="50"/>
        <v>10</v>
      </c>
      <c r="H441" s="46">
        <f>TRUNC(S441*(1-LOTE_01!$K$10),2)</f>
        <v>399.69</v>
      </c>
      <c r="I441" s="46">
        <f>TRUNC(T441*(1-LOTE_01!$K$10),2)</f>
        <v>15.74</v>
      </c>
      <c r="J441" s="100">
        <f t="shared" si="51"/>
        <v>0.22470000000000001</v>
      </c>
      <c r="K441" s="48">
        <f t="shared" si="45"/>
        <v>489.5</v>
      </c>
      <c r="L441" s="48">
        <f t="shared" si="46"/>
        <v>19.27</v>
      </c>
      <c r="M441" s="48">
        <f t="shared" si="47"/>
        <v>4895</v>
      </c>
      <c r="N441" s="48">
        <f t="shared" si="48"/>
        <v>192.7</v>
      </c>
      <c r="O441" s="50">
        <f t="shared" si="49"/>
        <v>5087.7</v>
      </c>
      <c r="P441" s="50">
        <v>0</v>
      </c>
      <c r="Q441" s="76"/>
      <c r="R441" s="140">
        <f>IF((1*S9+1*S10)&gt;10,10,(1*S9+1*S10))</f>
        <v>10</v>
      </c>
      <c r="S441" s="79">
        <v>399.69</v>
      </c>
      <c r="T441" s="80">
        <v>15.74</v>
      </c>
    </row>
    <row r="442" spans="2:20" ht="84">
      <c r="B442" s="5" t="s">
        <v>1067</v>
      </c>
      <c r="C442" s="45" t="s">
        <v>135</v>
      </c>
      <c r="D442" s="45">
        <v>101879</v>
      </c>
      <c r="E442" s="6" t="s">
        <v>1068</v>
      </c>
      <c r="F442" s="45" t="s">
        <v>210</v>
      </c>
      <c r="G442" s="46">
        <f t="shared" si="50"/>
        <v>10</v>
      </c>
      <c r="H442" s="46">
        <f>TRUNC(S442*(1-LOTE_01!$K$10),2)</f>
        <v>495.07</v>
      </c>
      <c r="I442" s="46">
        <f>TRUNC(T442*(1-LOTE_01!$K$10),2)</f>
        <v>85.51</v>
      </c>
      <c r="J442" s="100">
        <f t="shared" si="51"/>
        <v>0.22470000000000001</v>
      </c>
      <c r="K442" s="48">
        <f t="shared" si="45"/>
        <v>606.30999999999995</v>
      </c>
      <c r="L442" s="48">
        <f t="shared" si="46"/>
        <v>104.72</v>
      </c>
      <c r="M442" s="48">
        <f t="shared" si="47"/>
        <v>6063.1</v>
      </c>
      <c r="N442" s="48">
        <f t="shared" si="48"/>
        <v>1047.2</v>
      </c>
      <c r="O442" s="50">
        <f t="shared" si="49"/>
        <v>7110.3</v>
      </c>
      <c r="P442" s="50">
        <v>0</v>
      </c>
      <c r="Q442" s="76"/>
      <c r="R442" s="140">
        <f>IF((1*S9+1*S10)&gt;10,10,(1*S9+1*S10))</f>
        <v>10</v>
      </c>
      <c r="S442" s="79">
        <v>495.07000000000005</v>
      </c>
      <c r="T442" s="80">
        <v>85.51</v>
      </c>
    </row>
    <row r="443" spans="2:20" ht="84">
      <c r="B443" s="5" t="s">
        <v>1069</v>
      </c>
      <c r="C443" s="45" t="s">
        <v>135</v>
      </c>
      <c r="D443" s="45">
        <v>101880</v>
      </c>
      <c r="E443" s="6" t="s">
        <v>1070</v>
      </c>
      <c r="F443" s="45" t="s">
        <v>210</v>
      </c>
      <c r="G443" s="46">
        <f t="shared" si="50"/>
        <v>10</v>
      </c>
      <c r="H443" s="46">
        <f>TRUNC(S443*(1-LOTE_01!$K$10),2)</f>
        <v>572.91</v>
      </c>
      <c r="I443" s="46">
        <f>TRUNC(T443*(1-LOTE_01!$K$10),2)</f>
        <v>105.48</v>
      </c>
      <c r="J443" s="100">
        <f t="shared" si="51"/>
        <v>0.22470000000000001</v>
      </c>
      <c r="K443" s="48">
        <f t="shared" si="45"/>
        <v>701.64</v>
      </c>
      <c r="L443" s="48">
        <f t="shared" si="46"/>
        <v>129.18</v>
      </c>
      <c r="M443" s="48">
        <f t="shared" si="47"/>
        <v>7016.4</v>
      </c>
      <c r="N443" s="48">
        <f t="shared" si="48"/>
        <v>1291.8</v>
      </c>
      <c r="O443" s="50">
        <f t="shared" si="49"/>
        <v>8308.2000000000007</v>
      </c>
      <c r="P443" s="50">
        <v>0</v>
      </c>
      <c r="Q443" s="76"/>
      <c r="R443" s="140">
        <f>IF((1*S9+1*S10)&gt;10,10,(1*S9+1*S10))</f>
        <v>10</v>
      </c>
      <c r="S443" s="79">
        <v>572.91</v>
      </c>
      <c r="T443" s="80">
        <v>105.48</v>
      </c>
    </row>
    <row r="444" spans="2:20" ht="84">
      <c r="B444" s="5" t="s">
        <v>1071</v>
      </c>
      <c r="C444" s="45" t="s">
        <v>135</v>
      </c>
      <c r="D444" s="45">
        <v>101882</v>
      </c>
      <c r="E444" s="6" t="s">
        <v>1072</v>
      </c>
      <c r="F444" s="45" t="s">
        <v>210</v>
      </c>
      <c r="G444" s="46">
        <f t="shared" si="50"/>
        <v>10</v>
      </c>
      <c r="H444" s="46">
        <f>TRUNC(S444*(1-LOTE_01!$K$10),2)</f>
        <v>1140.81</v>
      </c>
      <c r="I444" s="46">
        <f>TRUNC(T444*(1-LOTE_01!$K$10),2)</f>
        <v>105.02</v>
      </c>
      <c r="J444" s="100">
        <f t="shared" si="51"/>
        <v>0.22470000000000001</v>
      </c>
      <c r="K444" s="48">
        <f t="shared" si="45"/>
        <v>1397.15</v>
      </c>
      <c r="L444" s="48">
        <f t="shared" si="46"/>
        <v>128.61000000000001</v>
      </c>
      <c r="M444" s="48">
        <f t="shared" si="47"/>
        <v>13971.5</v>
      </c>
      <c r="N444" s="48">
        <f t="shared" si="48"/>
        <v>1286.0999999999999</v>
      </c>
      <c r="O444" s="50">
        <f t="shared" si="49"/>
        <v>15257.6</v>
      </c>
      <c r="P444" s="50">
        <v>0</v>
      </c>
      <c r="Q444" s="76"/>
      <c r="R444" s="140">
        <f>IF((1*S9+1*S10)&gt;10,10,(1*S9+1*S10))</f>
        <v>10</v>
      </c>
      <c r="S444" s="79">
        <v>1140.81</v>
      </c>
      <c r="T444" s="80">
        <v>105.02</v>
      </c>
    </row>
    <row r="445" spans="2:20" ht="84">
      <c r="B445" s="5" t="s">
        <v>1073</v>
      </c>
      <c r="C445" s="45" t="s">
        <v>135</v>
      </c>
      <c r="D445" s="45">
        <v>101881</v>
      </c>
      <c r="E445" s="6" t="s">
        <v>1074</v>
      </c>
      <c r="F445" s="45" t="s">
        <v>210</v>
      </c>
      <c r="G445" s="46">
        <f t="shared" si="50"/>
        <v>10</v>
      </c>
      <c r="H445" s="46">
        <f>TRUNC(S445*(1-LOTE_01!$K$10),2)</f>
        <v>811.95</v>
      </c>
      <c r="I445" s="46">
        <f>TRUNC(T445*(1-LOTE_01!$K$10),2)</f>
        <v>106.02</v>
      </c>
      <c r="J445" s="100">
        <f t="shared" si="51"/>
        <v>0.22470000000000001</v>
      </c>
      <c r="K445" s="48">
        <f t="shared" si="45"/>
        <v>994.39</v>
      </c>
      <c r="L445" s="48">
        <f t="shared" si="46"/>
        <v>129.84</v>
      </c>
      <c r="M445" s="48">
        <f t="shared" si="47"/>
        <v>9943.9</v>
      </c>
      <c r="N445" s="48">
        <f t="shared" si="48"/>
        <v>1298.4000000000001</v>
      </c>
      <c r="O445" s="50">
        <f t="shared" si="49"/>
        <v>11242.3</v>
      </c>
      <c r="P445" s="50">
        <v>0</v>
      </c>
      <c r="Q445" s="76"/>
      <c r="R445" s="140">
        <f>IF((1*S9+1*S10)&gt;10,10,(1*S9+1*S10))</f>
        <v>10</v>
      </c>
      <c r="S445" s="79">
        <v>811.95</v>
      </c>
      <c r="T445" s="80">
        <v>106.02</v>
      </c>
    </row>
    <row r="446" spans="2:20" ht="56">
      <c r="B446" s="5" t="s">
        <v>1075</v>
      </c>
      <c r="C446" s="45" t="s">
        <v>135</v>
      </c>
      <c r="D446" s="45">
        <v>93653</v>
      </c>
      <c r="E446" s="6" t="s">
        <v>1076</v>
      </c>
      <c r="F446" s="45" t="s">
        <v>210</v>
      </c>
      <c r="G446" s="46">
        <f t="shared" si="50"/>
        <v>260</v>
      </c>
      <c r="H446" s="46">
        <f>TRUNC(S446*(1-LOTE_01!$K$10),2)</f>
        <v>9.61</v>
      </c>
      <c r="I446" s="46">
        <f>TRUNC(T446*(1-LOTE_01!$K$10),2)</f>
        <v>1.58</v>
      </c>
      <c r="J446" s="100">
        <f t="shared" si="51"/>
        <v>0.22470000000000001</v>
      </c>
      <c r="K446" s="48">
        <f t="shared" si="45"/>
        <v>11.76</v>
      </c>
      <c r="L446" s="48">
        <f t="shared" si="46"/>
        <v>1.93</v>
      </c>
      <c r="M446" s="48">
        <f t="shared" si="47"/>
        <v>3057.6</v>
      </c>
      <c r="N446" s="48">
        <f t="shared" si="48"/>
        <v>501.8</v>
      </c>
      <c r="O446" s="50">
        <f t="shared" si="49"/>
        <v>3559.4</v>
      </c>
      <c r="P446" s="50">
        <v>0</v>
      </c>
      <c r="Q446" s="76"/>
      <c r="R446" s="140">
        <f>10*S9+30*S10</f>
        <v>260</v>
      </c>
      <c r="S446" s="79">
        <v>9.61</v>
      </c>
      <c r="T446" s="80">
        <v>1.58</v>
      </c>
    </row>
    <row r="447" spans="2:20" ht="56">
      <c r="B447" s="5" t="s">
        <v>1077</v>
      </c>
      <c r="C447" s="45" t="s">
        <v>135</v>
      </c>
      <c r="D447" s="45">
        <v>93654</v>
      </c>
      <c r="E447" s="6" t="s">
        <v>1078</v>
      </c>
      <c r="F447" s="45" t="s">
        <v>210</v>
      </c>
      <c r="G447" s="46">
        <f t="shared" si="50"/>
        <v>260</v>
      </c>
      <c r="H447" s="46">
        <f>TRUNC(S447*(1-LOTE_01!$K$10),2)</f>
        <v>9.61</v>
      </c>
      <c r="I447" s="46">
        <f>TRUNC(T447*(1-LOTE_01!$K$10),2)</f>
        <v>1.58</v>
      </c>
      <c r="J447" s="100">
        <f t="shared" si="51"/>
        <v>0.22470000000000001</v>
      </c>
      <c r="K447" s="48">
        <f t="shared" si="45"/>
        <v>11.76</v>
      </c>
      <c r="L447" s="48">
        <f t="shared" si="46"/>
        <v>1.93</v>
      </c>
      <c r="M447" s="48">
        <f t="shared" si="47"/>
        <v>3057.6</v>
      </c>
      <c r="N447" s="48">
        <f t="shared" si="48"/>
        <v>501.8</v>
      </c>
      <c r="O447" s="50">
        <f t="shared" si="49"/>
        <v>3559.4</v>
      </c>
      <c r="P447" s="50">
        <v>0</v>
      </c>
      <c r="Q447" s="76"/>
      <c r="R447" s="140">
        <f>10*S9+30*S10</f>
        <v>260</v>
      </c>
      <c r="S447" s="79">
        <v>9.61</v>
      </c>
      <c r="T447" s="80">
        <v>1.58</v>
      </c>
    </row>
    <row r="448" spans="2:20" ht="56">
      <c r="B448" s="5" t="s">
        <v>1079</v>
      </c>
      <c r="C448" s="45" t="s">
        <v>135</v>
      </c>
      <c r="D448" s="45">
        <v>93655</v>
      </c>
      <c r="E448" s="6" t="s">
        <v>1080</v>
      </c>
      <c r="F448" s="45" t="s">
        <v>210</v>
      </c>
      <c r="G448" s="46">
        <f t="shared" si="50"/>
        <v>70</v>
      </c>
      <c r="H448" s="46">
        <f>TRUNC(S448*(1-LOTE_01!$K$10),2)</f>
        <v>10.17</v>
      </c>
      <c r="I448" s="46">
        <f>TRUNC(T448*(1-LOTE_01!$K$10),2)</f>
        <v>2.12</v>
      </c>
      <c r="J448" s="100">
        <f t="shared" si="51"/>
        <v>0.22470000000000001</v>
      </c>
      <c r="K448" s="48">
        <f t="shared" si="45"/>
        <v>12.45</v>
      </c>
      <c r="L448" s="48">
        <f t="shared" si="46"/>
        <v>2.59</v>
      </c>
      <c r="M448" s="48">
        <f t="shared" si="47"/>
        <v>871.5</v>
      </c>
      <c r="N448" s="48">
        <f t="shared" si="48"/>
        <v>181.3</v>
      </c>
      <c r="O448" s="50">
        <f t="shared" si="49"/>
        <v>1052.8</v>
      </c>
      <c r="P448" s="50">
        <v>0</v>
      </c>
      <c r="Q448" s="76"/>
      <c r="R448" s="140">
        <f>5*S9+5*S10</f>
        <v>70</v>
      </c>
      <c r="S448" s="79">
        <v>10.169999999999998</v>
      </c>
      <c r="T448" s="80">
        <v>2.12</v>
      </c>
    </row>
    <row r="449" spans="2:20" ht="56">
      <c r="B449" s="5" t="s">
        <v>1081</v>
      </c>
      <c r="C449" s="45" t="s">
        <v>135</v>
      </c>
      <c r="D449" s="45">
        <v>93661</v>
      </c>
      <c r="E449" s="6" t="s">
        <v>912</v>
      </c>
      <c r="F449" s="45" t="s">
        <v>210</v>
      </c>
      <c r="G449" s="46">
        <f t="shared" si="50"/>
        <v>14</v>
      </c>
      <c r="H449" s="46">
        <f>TRUNC(S449*(1-LOTE_01!$K$10),2)</f>
        <v>48.13</v>
      </c>
      <c r="I449" s="46">
        <f>TRUNC(T449*(1-LOTE_01!$K$10),2)</f>
        <v>3.08</v>
      </c>
      <c r="J449" s="100">
        <f t="shared" si="51"/>
        <v>0.22470000000000001</v>
      </c>
      <c r="K449" s="48">
        <f t="shared" si="45"/>
        <v>58.94</v>
      </c>
      <c r="L449" s="48">
        <f t="shared" si="46"/>
        <v>3.77</v>
      </c>
      <c r="M449" s="48">
        <f t="shared" si="47"/>
        <v>825.16</v>
      </c>
      <c r="N449" s="48">
        <f t="shared" si="48"/>
        <v>52.78</v>
      </c>
      <c r="O449" s="50">
        <f t="shared" si="49"/>
        <v>877.94</v>
      </c>
      <c r="P449" s="50">
        <v>0</v>
      </c>
      <c r="Q449" s="76"/>
      <c r="R449" s="140">
        <f>1*S9+1*S10</f>
        <v>14</v>
      </c>
      <c r="S449" s="79">
        <v>48.13</v>
      </c>
      <c r="T449" s="80">
        <v>3.08</v>
      </c>
    </row>
    <row r="450" spans="2:20" ht="56">
      <c r="B450" s="5" t="s">
        <v>1082</v>
      </c>
      <c r="C450" s="45" t="s">
        <v>135</v>
      </c>
      <c r="D450" s="45">
        <v>93666</v>
      </c>
      <c r="E450" s="6" t="s">
        <v>1083</v>
      </c>
      <c r="F450" s="45" t="s">
        <v>210</v>
      </c>
      <c r="G450" s="46">
        <f t="shared" si="50"/>
        <v>14</v>
      </c>
      <c r="H450" s="46">
        <f>TRUNC(S450*(1-LOTE_01!$K$10),2)</f>
        <v>56.92</v>
      </c>
      <c r="I450" s="46">
        <f>TRUNC(T450*(1-LOTE_01!$K$10),2)</f>
        <v>16.239999999999998</v>
      </c>
      <c r="J450" s="100">
        <f t="shared" si="51"/>
        <v>0.22470000000000001</v>
      </c>
      <c r="K450" s="48">
        <f t="shared" si="45"/>
        <v>69.7</v>
      </c>
      <c r="L450" s="48">
        <f t="shared" si="46"/>
        <v>19.88</v>
      </c>
      <c r="M450" s="48">
        <f t="shared" si="47"/>
        <v>975.8</v>
      </c>
      <c r="N450" s="48">
        <f t="shared" si="48"/>
        <v>278.32</v>
      </c>
      <c r="O450" s="50">
        <f t="shared" si="49"/>
        <v>1254.1199999999999</v>
      </c>
      <c r="P450" s="50">
        <v>0</v>
      </c>
      <c r="Q450" s="76"/>
      <c r="R450" s="140">
        <f>1*S9+1*S10</f>
        <v>14</v>
      </c>
      <c r="S450" s="79">
        <v>56.92</v>
      </c>
      <c r="T450" s="80">
        <v>16.239999999999998</v>
      </c>
    </row>
    <row r="451" spans="2:20" ht="56">
      <c r="B451" s="5" t="s">
        <v>1084</v>
      </c>
      <c r="C451" s="45" t="s">
        <v>135</v>
      </c>
      <c r="D451" s="45">
        <v>93672</v>
      </c>
      <c r="E451" s="6" t="s">
        <v>1085</v>
      </c>
      <c r="F451" s="45" t="s">
        <v>210</v>
      </c>
      <c r="G451" s="46">
        <f t="shared" si="50"/>
        <v>14</v>
      </c>
      <c r="H451" s="46">
        <f>TRUNC(S451*(1-LOTE_01!$K$10),2)</f>
        <v>69.38</v>
      </c>
      <c r="I451" s="46">
        <f>TRUNC(T451*(1-LOTE_01!$K$10),2)</f>
        <v>17.420000000000002</v>
      </c>
      <c r="J451" s="100">
        <f t="shared" si="51"/>
        <v>0.22470000000000001</v>
      </c>
      <c r="K451" s="48">
        <f t="shared" si="45"/>
        <v>84.96</v>
      </c>
      <c r="L451" s="48">
        <f t="shared" si="46"/>
        <v>21.33</v>
      </c>
      <c r="M451" s="48">
        <f t="shared" si="47"/>
        <v>1189.44</v>
      </c>
      <c r="N451" s="48">
        <f t="shared" si="48"/>
        <v>298.62</v>
      </c>
      <c r="O451" s="50">
        <f t="shared" si="49"/>
        <v>1488.06</v>
      </c>
      <c r="P451" s="50">
        <v>0</v>
      </c>
      <c r="Q451" s="76"/>
      <c r="R451" s="140">
        <f>1*S9+1*S10</f>
        <v>14</v>
      </c>
      <c r="S451" s="79">
        <v>69.38</v>
      </c>
      <c r="T451" s="80">
        <v>17.420000000000002</v>
      </c>
    </row>
    <row r="452" spans="2:20" ht="56">
      <c r="B452" s="5" t="s">
        <v>1086</v>
      </c>
      <c r="C452" s="45" t="s">
        <v>135</v>
      </c>
      <c r="D452" s="45">
        <v>101894</v>
      </c>
      <c r="E452" s="6" t="s">
        <v>1087</v>
      </c>
      <c r="F452" s="45" t="s">
        <v>210</v>
      </c>
      <c r="G452" s="46">
        <f t="shared" si="50"/>
        <v>14</v>
      </c>
      <c r="H452" s="46">
        <f>TRUNC(S452*(1-LOTE_01!$K$10),2)</f>
        <v>122.21</v>
      </c>
      <c r="I452" s="46">
        <f>TRUNC(T452*(1-LOTE_01!$K$10),2)</f>
        <v>33.36</v>
      </c>
      <c r="J452" s="100">
        <f t="shared" si="51"/>
        <v>0.22470000000000001</v>
      </c>
      <c r="K452" s="48">
        <f t="shared" si="45"/>
        <v>149.66999999999999</v>
      </c>
      <c r="L452" s="48">
        <f t="shared" si="46"/>
        <v>40.85</v>
      </c>
      <c r="M452" s="48">
        <f t="shared" si="47"/>
        <v>2095.38</v>
      </c>
      <c r="N452" s="48">
        <f t="shared" si="48"/>
        <v>571.9</v>
      </c>
      <c r="O452" s="50">
        <f t="shared" si="49"/>
        <v>2667.28</v>
      </c>
      <c r="P452" s="50">
        <v>0</v>
      </c>
      <c r="Q452" s="76"/>
      <c r="R452" s="140">
        <f>1*S9+1*S10</f>
        <v>14</v>
      </c>
      <c r="S452" s="79">
        <v>122.21</v>
      </c>
      <c r="T452" s="80">
        <v>33.36</v>
      </c>
    </row>
    <row r="453" spans="2:20" ht="56">
      <c r="B453" s="5" t="s">
        <v>1088</v>
      </c>
      <c r="C453" s="45" t="s">
        <v>135</v>
      </c>
      <c r="D453" s="45">
        <v>91932</v>
      </c>
      <c r="E453" s="6" t="s">
        <v>1089</v>
      </c>
      <c r="F453" s="45" t="s">
        <v>187</v>
      </c>
      <c r="G453" s="46">
        <f t="shared" si="50"/>
        <v>340</v>
      </c>
      <c r="H453" s="46">
        <f>TRUNC(S453*(1-LOTE_01!$K$10),2)</f>
        <v>14.55</v>
      </c>
      <c r="I453" s="46">
        <f>TRUNC(T453*(1-LOTE_01!$K$10),2)</f>
        <v>3.83</v>
      </c>
      <c r="J453" s="100">
        <f t="shared" si="51"/>
        <v>0.22470000000000001</v>
      </c>
      <c r="K453" s="48">
        <f t="shared" si="45"/>
        <v>17.809999999999999</v>
      </c>
      <c r="L453" s="48">
        <f t="shared" si="46"/>
        <v>4.6900000000000004</v>
      </c>
      <c r="M453" s="48">
        <f t="shared" si="47"/>
        <v>6055.4</v>
      </c>
      <c r="N453" s="48">
        <f t="shared" si="48"/>
        <v>1594.6</v>
      </c>
      <c r="O453" s="50">
        <f t="shared" si="49"/>
        <v>7650</v>
      </c>
      <c r="P453" s="50">
        <v>0</v>
      </c>
      <c r="Q453" s="76"/>
      <c r="R453" s="140">
        <f>20*S9+30*S10</f>
        <v>340</v>
      </c>
      <c r="S453" s="79">
        <v>14.549999999999999</v>
      </c>
      <c r="T453" s="80">
        <v>3.83</v>
      </c>
    </row>
    <row r="454" spans="2:20" ht="56">
      <c r="B454" s="5" t="s">
        <v>1090</v>
      </c>
      <c r="C454" s="45" t="s">
        <v>135</v>
      </c>
      <c r="D454" s="45">
        <v>91928</v>
      </c>
      <c r="E454" s="6" t="s">
        <v>844</v>
      </c>
      <c r="F454" s="45" t="s">
        <v>187</v>
      </c>
      <c r="G454" s="46">
        <f t="shared" si="50"/>
        <v>340</v>
      </c>
      <c r="H454" s="46">
        <f>TRUNC(S454*(1-LOTE_01!$K$10),2)</f>
        <v>5.58</v>
      </c>
      <c r="I454" s="46">
        <f>TRUNC(T454*(1-LOTE_01!$K$10),2)</f>
        <v>1.97</v>
      </c>
      <c r="J454" s="100">
        <f t="shared" si="51"/>
        <v>0.22470000000000001</v>
      </c>
      <c r="K454" s="48">
        <f t="shared" si="45"/>
        <v>6.83</v>
      </c>
      <c r="L454" s="48">
        <f t="shared" si="46"/>
        <v>2.41</v>
      </c>
      <c r="M454" s="48">
        <f t="shared" si="47"/>
        <v>2322.1999999999998</v>
      </c>
      <c r="N454" s="48">
        <f t="shared" si="48"/>
        <v>819.4</v>
      </c>
      <c r="O454" s="50">
        <f t="shared" si="49"/>
        <v>3141.6</v>
      </c>
      <c r="P454" s="50">
        <v>0</v>
      </c>
      <c r="Q454" s="76"/>
      <c r="R454" s="140">
        <f>20*S9+30*S10</f>
        <v>340</v>
      </c>
      <c r="S454" s="79">
        <v>5.58</v>
      </c>
      <c r="T454" s="80">
        <v>1.97</v>
      </c>
    </row>
    <row r="455" spans="2:20" ht="56">
      <c r="B455" s="5" t="s">
        <v>1091</v>
      </c>
      <c r="C455" s="45" t="s">
        <v>135</v>
      </c>
      <c r="D455" s="45">
        <v>91926</v>
      </c>
      <c r="E455" s="6" t="s">
        <v>840</v>
      </c>
      <c r="F455" s="45" t="s">
        <v>187</v>
      </c>
      <c r="G455" s="46">
        <f t="shared" si="50"/>
        <v>7600</v>
      </c>
      <c r="H455" s="46">
        <f>TRUNC(S455*(1-LOTE_01!$K$10),2)</f>
        <v>3.51</v>
      </c>
      <c r="I455" s="46">
        <f>TRUNC(T455*(1-LOTE_01!$K$10),2)</f>
        <v>1.47</v>
      </c>
      <c r="J455" s="100">
        <f t="shared" si="51"/>
        <v>0.22470000000000001</v>
      </c>
      <c r="K455" s="48">
        <f t="shared" si="45"/>
        <v>4.29</v>
      </c>
      <c r="L455" s="48">
        <f t="shared" si="46"/>
        <v>1.8</v>
      </c>
      <c r="M455" s="48">
        <f t="shared" si="47"/>
        <v>32604</v>
      </c>
      <c r="N455" s="48">
        <f t="shared" si="48"/>
        <v>13680</v>
      </c>
      <c r="O455" s="50">
        <f t="shared" si="49"/>
        <v>46284</v>
      </c>
      <c r="P455" s="50">
        <v>0</v>
      </c>
      <c r="Q455" s="76"/>
      <c r="R455" s="140">
        <f>1000*S10+200*S9</f>
        <v>7600</v>
      </c>
      <c r="S455" s="79">
        <v>3.5100000000000007</v>
      </c>
      <c r="T455" s="80">
        <v>1.47</v>
      </c>
    </row>
    <row r="456" spans="2:20" ht="56">
      <c r="B456" s="5" t="s">
        <v>1092</v>
      </c>
      <c r="C456" s="45" t="s">
        <v>135</v>
      </c>
      <c r="D456" s="45">
        <v>91927</v>
      </c>
      <c r="E456" s="6" t="s">
        <v>1093</v>
      </c>
      <c r="F456" s="45" t="s">
        <v>187</v>
      </c>
      <c r="G456" s="46">
        <f t="shared" si="50"/>
        <v>7600</v>
      </c>
      <c r="H456" s="46">
        <f>TRUNC(S456*(1-LOTE_01!$K$10),2)</f>
        <v>4.04</v>
      </c>
      <c r="I456" s="46">
        <f>TRUNC(T456*(1-LOTE_01!$K$10),2)</f>
        <v>1.46</v>
      </c>
      <c r="J456" s="100">
        <f t="shared" si="51"/>
        <v>0.22470000000000001</v>
      </c>
      <c r="K456" s="48">
        <f t="shared" si="45"/>
        <v>4.9400000000000004</v>
      </c>
      <c r="L456" s="48">
        <f t="shared" si="46"/>
        <v>1.78</v>
      </c>
      <c r="M456" s="48">
        <f t="shared" si="47"/>
        <v>37544</v>
      </c>
      <c r="N456" s="48">
        <f t="shared" si="48"/>
        <v>13528</v>
      </c>
      <c r="O456" s="50">
        <f t="shared" si="49"/>
        <v>51072</v>
      </c>
      <c r="P456" s="50">
        <v>0</v>
      </c>
      <c r="Q456" s="76"/>
      <c r="R456" s="140">
        <f>1000*S10+200*S9</f>
        <v>7600</v>
      </c>
      <c r="S456" s="79">
        <v>4.04</v>
      </c>
      <c r="T456" s="80">
        <v>1.46</v>
      </c>
    </row>
    <row r="457" spans="2:20" ht="28">
      <c r="B457" s="5" t="s">
        <v>1094</v>
      </c>
      <c r="C457" s="45" t="s">
        <v>97</v>
      </c>
      <c r="D457" s="45" t="s">
        <v>1095</v>
      </c>
      <c r="E457" s="6" t="s">
        <v>1096</v>
      </c>
      <c r="F457" s="45" t="s">
        <v>104</v>
      </c>
      <c r="G457" s="46">
        <f t="shared" si="50"/>
        <v>10</v>
      </c>
      <c r="H457" s="46">
        <f>TRUNC(S457*(1-LOTE_01!$K$10),2)</f>
        <v>25.57</v>
      </c>
      <c r="I457" s="46">
        <f>TRUNC(T457*(1-LOTE_01!$K$10),2)</f>
        <v>62.4</v>
      </c>
      <c r="J457" s="100">
        <f t="shared" si="51"/>
        <v>0.22470000000000001</v>
      </c>
      <c r="K457" s="48">
        <f t="shared" si="45"/>
        <v>31.31</v>
      </c>
      <c r="L457" s="48">
        <f t="shared" si="46"/>
        <v>76.42</v>
      </c>
      <c r="M457" s="48">
        <f t="shared" si="47"/>
        <v>313.10000000000002</v>
      </c>
      <c r="N457" s="48">
        <f t="shared" si="48"/>
        <v>764.2</v>
      </c>
      <c r="O457" s="50">
        <f t="shared" si="49"/>
        <v>1077.3</v>
      </c>
      <c r="P457" s="50">
        <v>0</v>
      </c>
      <c r="Q457" s="76"/>
      <c r="R457" s="140">
        <f>IF((1*S9+1*S10)&gt;10,10,(1*S9+1*S10))</f>
        <v>10</v>
      </c>
      <c r="S457" s="79">
        <v>25.57</v>
      </c>
      <c r="T457" s="80">
        <v>62.4</v>
      </c>
    </row>
    <row r="458" spans="2:20" ht="42">
      <c r="B458" s="5" t="s">
        <v>1097</v>
      </c>
      <c r="C458" s="45" t="s">
        <v>165</v>
      </c>
      <c r="D458" s="45" t="s">
        <v>1098</v>
      </c>
      <c r="E458" s="6" t="s">
        <v>1099</v>
      </c>
      <c r="F458" s="45" t="s">
        <v>559</v>
      </c>
      <c r="G458" s="46">
        <f t="shared" si="50"/>
        <v>10</v>
      </c>
      <c r="H458" s="46">
        <f>TRUNC(S458*(1-LOTE_01!$K$10),2)</f>
        <v>266.07</v>
      </c>
      <c r="I458" s="46">
        <f>TRUNC(T458*(1-LOTE_01!$K$10),2)</f>
        <v>98.84</v>
      </c>
      <c r="J458" s="100">
        <f t="shared" si="51"/>
        <v>0.22470000000000001</v>
      </c>
      <c r="K458" s="48">
        <f t="shared" si="45"/>
        <v>325.85000000000002</v>
      </c>
      <c r="L458" s="48">
        <f t="shared" si="46"/>
        <v>121.04</v>
      </c>
      <c r="M458" s="48">
        <f t="shared" si="47"/>
        <v>3258.5</v>
      </c>
      <c r="N458" s="48">
        <f t="shared" si="48"/>
        <v>1210.4000000000001</v>
      </c>
      <c r="O458" s="50">
        <f t="shared" si="49"/>
        <v>4468.8999999999996</v>
      </c>
      <c r="P458" s="50">
        <v>0</v>
      </c>
      <c r="Q458" s="76"/>
      <c r="R458" s="140">
        <f>IF((1*S9+1*S10)&gt;10,10,(1*S9+1*S10))</f>
        <v>10</v>
      </c>
      <c r="S458" s="79">
        <v>266.07</v>
      </c>
      <c r="T458" s="80">
        <v>98.84</v>
      </c>
    </row>
    <row r="459" spans="2:20" ht="42">
      <c r="B459" s="5" t="s">
        <v>1100</v>
      </c>
      <c r="C459" s="45" t="s">
        <v>165</v>
      </c>
      <c r="D459" s="45" t="s">
        <v>1101</v>
      </c>
      <c r="E459" s="6" t="s">
        <v>1102</v>
      </c>
      <c r="F459" s="45" t="s">
        <v>559</v>
      </c>
      <c r="G459" s="46">
        <f t="shared" si="50"/>
        <v>10</v>
      </c>
      <c r="H459" s="46">
        <f>TRUNC(S459*(1-LOTE_01!$K$10),2)</f>
        <v>192.55</v>
      </c>
      <c r="I459" s="46">
        <f>TRUNC(T459*(1-LOTE_01!$K$10),2)</f>
        <v>92.47</v>
      </c>
      <c r="J459" s="100">
        <f t="shared" si="51"/>
        <v>0.22470000000000001</v>
      </c>
      <c r="K459" s="48">
        <f t="shared" si="45"/>
        <v>235.81</v>
      </c>
      <c r="L459" s="48">
        <f t="shared" si="46"/>
        <v>113.24</v>
      </c>
      <c r="M459" s="48">
        <f t="shared" si="47"/>
        <v>2358.1</v>
      </c>
      <c r="N459" s="48">
        <f t="shared" si="48"/>
        <v>1132.4000000000001</v>
      </c>
      <c r="O459" s="50">
        <f t="shared" si="49"/>
        <v>3490.5</v>
      </c>
      <c r="P459" s="50">
        <v>0</v>
      </c>
      <c r="Q459" s="76"/>
      <c r="R459" s="140">
        <f>IF((1*S9+1*S10)&gt;10,10,(1*S9+1*S10))</f>
        <v>10</v>
      </c>
      <c r="S459" s="79">
        <v>192.55</v>
      </c>
      <c r="T459" s="80">
        <v>92.47</v>
      </c>
    </row>
    <row r="460" spans="2:20" ht="42">
      <c r="B460" s="5" t="s">
        <v>1103</v>
      </c>
      <c r="C460" s="45" t="s">
        <v>165</v>
      </c>
      <c r="D460" s="45" t="s">
        <v>1104</v>
      </c>
      <c r="E460" s="6" t="s">
        <v>1105</v>
      </c>
      <c r="F460" s="45" t="s">
        <v>559</v>
      </c>
      <c r="G460" s="46">
        <f t="shared" si="50"/>
        <v>10</v>
      </c>
      <c r="H460" s="46">
        <f>TRUNC(S460*(1-LOTE_01!$K$10),2)</f>
        <v>102.97</v>
      </c>
      <c r="I460" s="46">
        <f>TRUNC(T460*(1-LOTE_01!$K$10),2)</f>
        <v>82.9</v>
      </c>
      <c r="J460" s="100">
        <f t="shared" si="51"/>
        <v>0.22470000000000001</v>
      </c>
      <c r="K460" s="48">
        <f t="shared" si="45"/>
        <v>126.1</v>
      </c>
      <c r="L460" s="48">
        <f t="shared" si="46"/>
        <v>101.52</v>
      </c>
      <c r="M460" s="48">
        <f t="shared" si="47"/>
        <v>1261</v>
      </c>
      <c r="N460" s="48">
        <f t="shared" si="48"/>
        <v>1015.2</v>
      </c>
      <c r="O460" s="50">
        <f t="shared" si="49"/>
        <v>2276.1999999999998</v>
      </c>
      <c r="P460" s="50">
        <v>0</v>
      </c>
      <c r="Q460" s="76"/>
      <c r="R460" s="140">
        <f>IF((1*S9+1*S10)&gt;10,10,(1*S9+1*S10))</f>
        <v>10</v>
      </c>
      <c r="S460" s="79">
        <v>102.97</v>
      </c>
      <c r="T460" s="80">
        <v>82.9</v>
      </c>
    </row>
    <row r="461" spans="2:20" ht="28">
      <c r="B461" s="5" t="s">
        <v>1106</v>
      </c>
      <c r="C461" s="45" t="s">
        <v>97</v>
      </c>
      <c r="D461" s="45" t="s">
        <v>1107</v>
      </c>
      <c r="E461" s="6" t="s">
        <v>1108</v>
      </c>
      <c r="F461" s="45" t="s">
        <v>104</v>
      </c>
      <c r="G461" s="46">
        <f t="shared" si="50"/>
        <v>14</v>
      </c>
      <c r="H461" s="46">
        <f>TRUNC(S461*(1-LOTE_01!$K$10),2)</f>
        <v>201.07</v>
      </c>
      <c r="I461" s="46">
        <f>TRUNC(T461*(1-LOTE_01!$K$10),2)</f>
        <v>15.6</v>
      </c>
      <c r="J461" s="100">
        <f t="shared" si="51"/>
        <v>0.22470000000000001</v>
      </c>
      <c r="K461" s="48">
        <f t="shared" si="45"/>
        <v>246.25</v>
      </c>
      <c r="L461" s="48">
        <f t="shared" si="46"/>
        <v>19.100000000000001</v>
      </c>
      <c r="M461" s="48">
        <f t="shared" si="47"/>
        <v>3447.5</v>
      </c>
      <c r="N461" s="48">
        <f t="shared" si="48"/>
        <v>267.39999999999998</v>
      </c>
      <c r="O461" s="50">
        <f t="shared" si="49"/>
        <v>3714.9</v>
      </c>
      <c r="P461" s="50">
        <v>0</v>
      </c>
      <c r="Q461" s="76"/>
      <c r="R461" s="140">
        <f>1*S9+1*S10</f>
        <v>14</v>
      </c>
      <c r="S461" s="79">
        <v>201.07</v>
      </c>
      <c r="T461" s="80">
        <v>15.6</v>
      </c>
    </row>
    <row r="462" spans="2:20" ht="42">
      <c r="B462" s="5" t="s">
        <v>1109</v>
      </c>
      <c r="C462" s="45" t="s">
        <v>97</v>
      </c>
      <c r="D462" s="45" t="s">
        <v>1110</v>
      </c>
      <c r="E462" s="6" t="s">
        <v>1111</v>
      </c>
      <c r="F462" s="45" t="s">
        <v>104</v>
      </c>
      <c r="G462" s="46">
        <f t="shared" si="50"/>
        <v>40</v>
      </c>
      <c r="H462" s="46">
        <f>TRUNC(S462*(1-LOTE_01!$K$10),2)</f>
        <v>93.79</v>
      </c>
      <c r="I462" s="46">
        <f>TRUNC(T462*(1-LOTE_01!$K$10),2)</f>
        <v>26</v>
      </c>
      <c r="J462" s="100">
        <f t="shared" si="51"/>
        <v>0.22470000000000001</v>
      </c>
      <c r="K462" s="48">
        <f t="shared" si="45"/>
        <v>114.86</v>
      </c>
      <c r="L462" s="48">
        <f t="shared" si="46"/>
        <v>31.84</v>
      </c>
      <c r="M462" s="48">
        <f t="shared" si="47"/>
        <v>4594.3999999999996</v>
      </c>
      <c r="N462" s="48">
        <f t="shared" si="48"/>
        <v>1273.5999999999999</v>
      </c>
      <c r="O462" s="50">
        <f t="shared" si="49"/>
        <v>5868</v>
      </c>
      <c r="P462" s="50">
        <v>0</v>
      </c>
      <c r="Q462" s="76"/>
      <c r="R462" s="140">
        <f>IF((2*S9+4*S10)&gt;50,50,(2*S9+4*S10))</f>
        <v>40</v>
      </c>
      <c r="S462" s="79">
        <v>93.79</v>
      </c>
      <c r="T462" s="80">
        <v>26</v>
      </c>
    </row>
    <row r="463" spans="2:20" ht="42">
      <c r="B463" s="5" t="s">
        <v>1112</v>
      </c>
      <c r="C463" s="45" t="s">
        <v>97</v>
      </c>
      <c r="D463" s="45" t="s">
        <v>1113</v>
      </c>
      <c r="E463" s="6" t="s">
        <v>1114</v>
      </c>
      <c r="F463" s="45" t="s">
        <v>104</v>
      </c>
      <c r="G463" s="46">
        <f t="shared" si="50"/>
        <v>14</v>
      </c>
      <c r="H463" s="46">
        <f>TRUNC(S463*(1-LOTE_01!$K$10),2)</f>
        <v>275.64999999999998</v>
      </c>
      <c r="I463" s="46">
        <f>TRUNC(T463*(1-LOTE_01!$K$10),2)</f>
        <v>26</v>
      </c>
      <c r="J463" s="100">
        <f t="shared" si="51"/>
        <v>0.22470000000000001</v>
      </c>
      <c r="K463" s="48">
        <f t="shared" si="45"/>
        <v>337.58</v>
      </c>
      <c r="L463" s="48">
        <f t="shared" si="46"/>
        <v>31.84</v>
      </c>
      <c r="M463" s="48">
        <f t="shared" si="47"/>
        <v>4726.12</v>
      </c>
      <c r="N463" s="48">
        <f t="shared" si="48"/>
        <v>445.76</v>
      </c>
      <c r="O463" s="50">
        <f t="shared" si="49"/>
        <v>5171.88</v>
      </c>
      <c r="P463" s="50">
        <v>0</v>
      </c>
      <c r="Q463" s="76"/>
      <c r="R463" s="140">
        <f>1*S9+1*S10</f>
        <v>14</v>
      </c>
      <c r="S463" s="79">
        <v>275.64999999999998</v>
      </c>
      <c r="T463" s="80">
        <v>26</v>
      </c>
    </row>
    <row r="464" spans="2:20" ht="42">
      <c r="B464" s="5" t="s">
        <v>1115</v>
      </c>
      <c r="C464" s="45" t="s">
        <v>97</v>
      </c>
      <c r="D464" s="45" t="s">
        <v>1116</v>
      </c>
      <c r="E464" s="6" t="s">
        <v>1117</v>
      </c>
      <c r="F464" s="45" t="s">
        <v>104</v>
      </c>
      <c r="G464" s="46">
        <f t="shared" si="50"/>
        <v>14</v>
      </c>
      <c r="H464" s="46">
        <f>TRUNC(S464*(1-LOTE_01!$K$10),2)</f>
        <v>244.14</v>
      </c>
      <c r="I464" s="46">
        <f>TRUNC(T464*(1-LOTE_01!$K$10),2)</f>
        <v>18.2</v>
      </c>
      <c r="J464" s="100">
        <f t="shared" si="51"/>
        <v>0.22470000000000001</v>
      </c>
      <c r="K464" s="48">
        <f t="shared" ref="K464:K527" si="52">TRUNC(H464*(1+J464),2)</f>
        <v>298.99</v>
      </c>
      <c r="L464" s="48">
        <f t="shared" ref="L464:L527" si="53">TRUNC(I464*(1+J464),2)</f>
        <v>22.28</v>
      </c>
      <c r="M464" s="48">
        <f t="shared" ref="M464:M527" si="54">TRUNC(K464*G464,2)</f>
        <v>4185.8599999999997</v>
      </c>
      <c r="N464" s="48">
        <f t="shared" ref="N464:N527" si="55">TRUNC(L464*G464,2)</f>
        <v>311.92</v>
      </c>
      <c r="O464" s="50">
        <f t="shared" ref="O464:O527" si="56">TRUNC(M464+N464,2)</f>
        <v>4497.78</v>
      </c>
      <c r="P464" s="50">
        <v>0</v>
      </c>
      <c r="Q464" s="76"/>
      <c r="R464" s="140">
        <f>1*S9+1*S10</f>
        <v>14</v>
      </c>
      <c r="S464" s="79">
        <v>244.14</v>
      </c>
      <c r="T464" s="80">
        <v>18.2</v>
      </c>
    </row>
    <row r="465" spans="2:20">
      <c r="B465" s="5" t="s">
        <v>1118</v>
      </c>
      <c r="C465" s="45" t="s">
        <v>97</v>
      </c>
      <c r="D465" s="45" t="s">
        <v>1119</v>
      </c>
      <c r="E465" s="6" t="s">
        <v>1120</v>
      </c>
      <c r="F465" s="45" t="s">
        <v>104</v>
      </c>
      <c r="G465" s="46">
        <f t="shared" si="50"/>
        <v>14</v>
      </c>
      <c r="H465" s="46">
        <f>TRUNC(S465*(1-LOTE_01!$K$10),2)</f>
        <v>132.44999999999999</v>
      </c>
      <c r="I465" s="46">
        <f>TRUNC(T465*(1-LOTE_01!$K$10),2)</f>
        <v>18.2</v>
      </c>
      <c r="J465" s="100">
        <f t="shared" si="51"/>
        <v>0.22470000000000001</v>
      </c>
      <c r="K465" s="48">
        <f t="shared" si="52"/>
        <v>162.21</v>
      </c>
      <c r="L465" s="48">
        <f t="shared" si="53"/>
        <v>22.28</v>
      </c>
      <c r="M465" s="48">
        <f t="shared" si="54"/>
        <v>2270.94</v>
      </c>
      <c r="N465" s="48">
        <f t="shared" si="55"/>
        <v>311.92</v>
      </c>
      <c r="O465" s="50">
        <f t="shared" si="56"/>
        <v>2582.86</v>
      </c>
      <c r="P465" s="50">
        <v>0</v>
      </c>
      <c r="Q465" s="76"/>
      <c r="R465" s="140">
        <f>1*S9+1*S10</f>
        <v>14</v>
      </c>
      <c r="S465" s="79">
        <v>132.44999999999999</v>
      </c>
      <c r="T465" s="80">
        <v>18.2</v>
      </c>
    </row>
    <row r="466" spans="2:20">
      <c r="B466" s="5" t="s">
        <v>1121</v>
      </c>
      <c r="C466" s="45" t="s">
        <v>97</v>
      </c>
      <c r="D466" s="45" t="s">
        <v>1122</v>
      </c>
      <c r="E466" s="6" t="s">
        <v>1123</v>
      </c>
      <c r="F466" s="45" t="s">
        <v>104</v>
      </c>
      <c r="G466" s="46">
        <f t="shared" ref="G466:G529" si="57">TRUNC(R466,2)</f>
        <v>14</v>
      </c>
      <c r="H466" s="46">
        <f>TRUNC(S466*(1-LOTE_01!$K$10),2)</f>
        <v>351.6</v>
      </c>
      <c r="I466" s="46">
        <f>TRUNC(T466*(1-LOTE_01!$K$10),2)</f>
        <v>47.84</v>
      </c>
      <c r="J466" s="100">
        <f t="shared" ref="J466:J529" si="58">$J$4</f>
        <v>0.22470000000000001</v>
      </c>
      <c r="K466" s="48">
        <f t="shared" si="52"/>
        <v>430.6</v>
      </c>
      <c r="L466" s="48">
        <f t="shared" si="53"/>
        <v>58.58</v>
      </c>
      <c r="M466" s="48">
        <f t="shared" si="54"/>
        <v>6028.4</v>
      </c>
      <c r="N466" s="48">
        <f t="shared" si="55"/>
        <v>820.12</v>
      </c>
      <c r="O466" s="50">
        <f t="shared" si="56"/>
        <v>6848.52</v>
      </c>
      <c r="P466" s="50">
        <v>0</v>
      </c>
      <c r="Q466" s="76"/>
      <c r="R466" s="140">
        <f>1*S9+1*S10</f>
        <v>14</v>
      </c>
      <c r="S466" s="79">
        <v>351.6</v>
      </c>
      <c r="T466" s="80">
        <v>47.84</v>
      </c>
    </row>
    <row r="467" spans="2:20" ht="56">
      <c r="B467" s="5" t="s">
        <v>1124</v>
      </c>
      <c r="C467" s="45" t="s">
        <v>97</v>
      </c>
      <c r="D467" s="45" t="s">
        <v>1039</v>
      </c>
      <c r="E467" s="6" t="s">
        <v>1040</v>
      </c>
      <c r="F467" s="45" t="s">
        <v>925</v>
      </c>
      <c r="G467" s="46">
        <f t="shared" si="57"/>
        <v>700</v>
      </c>
      <c r="H467" s="46">
        <f>TRUNC(S467*(1-LOTE_01!$K$10),2)</f>
        <v>36.65</v>
      </c>
      <c r="I467" s="46">
        <f>TRUNC(T467*(1-LOTE_01!$K$10),2)</f>
        <v>26</v>
      </c>
      <c r="J467" s="100">
        <f t="shared" si="58"/>
        <v>0.22470000000000001</v>
      </c>
      <c r="K467" s="48">
        <f t="shared" si="52"/>
        <v>44.88</v>
      </c>
      <c r="L467" s="48">
        <f t="shared" si="53"/>
        <v>31.84</v>
      </c>
      <c r="M467" s="48">
        <f t="shared" si="54"/>
        <v>31416</v>
      </c>
      <c r="N467" s="48">
        <f t="shared" si="55"/>
        <v>22288</v>
      </c>
      <c r="O467" s="50">
        <f t="shared" si="56"/>
        <v>53704</v>
      </c>
      <c r="P467" s="50">
        <v>0</v>
      </c>
      <c r="Q467" s="76"/>
      <c r="R467" s="140">
        <f>50*S9+50*S10</f>
        <v>700</v>
      </c>
      <c r="S467" s="79">
        <v>36.65</v>
      </c>
      <c r="T467" s="80">
        <v>26</v>
      </c>
    </row>
    <row r="468" spans="2:20" ht="70">
      <c r="B468" s="5" t="s">
        <v>1125</v>
      </c>
      <c r="C468" s="45" t="s">
        <v>135</v>
      </c>
      <c r="D468" s="45">
        <v>91867</v>
      </c>
      <c r="E468" s="6" t="s">
        <v>927</v>
      </c>
      <c r="F468" s="45" t="s">
        <v>187</v>
      </c>
      <c r="G468" s="46">
        <f t="shared" si="57"/>
        <v>700</v>
      </c>
      <c r="H468" s="46">
        <f>TRUNC(S468*(1-LOTE_01!$K$10),2)</f>
        <v>7.76</v>
      </c>
      <c r="I468" s="46">
        <f>TRUNC(T468*(1-LOTE_01!$K$10),2)</f>
        <v>4.8600000000000003</v>
      </c>
      <c r="J468" s="100">
        <f t="shared" si="58"/>
        <v>0.22470000000000001</v>
      </c>
      <c r="K468" s="48">
        <f t="shared" si="52"/>
        <v>9.5</v>
      </c>
      <c r="L468" s="48">
        <f t="shared" si="53"/>
        <v>5.95</v>
      </c>
      <c r="M468" s="48">
        <f t="shared" si="54"/>
        <v>6650</v>
      </c>
      <c r="N468" s="48">
        <f t="shared" si="55"/>
        <v>4165</v>
      </c>
      <c r="O468" s="50">
        <f t="shared" si="56"/>
        <v>10815</v>
      </c>
      <c r="P468" s="50">
        <v>0</v>
      </c>
      <c r="Q468" s="76"/>
      <c r="R468" s="140">
        <f>50*S9+50*S10</f>
        <v>700</v>
      </c>
      <c r="S468" s="79">
        <v>7.7599999999999989</v>
      </c>
      <c r="T468" s="80">
        <v>4.8600000000000003</v>
      </c>
    </row>
    <row r="469" spans="2:20" ht="70">
      <c r="B469" s="5" t="s">
        <v>1126</v>
      </c>
      <c r="C469" s="45" t="s">
        <v>135</v>
      </c>
      <c r="D469" s="45">
        <v>91864</v>
      </c>
      <c r="E469" s="6" t="s">
        <v>838</v>
      </c>
      <c r="F469" s="45" t="s">
        <v>187</v>
      </c>
      <c r="G469" s="46">
        <f t="shared" si="57"/>
        <v>70</v>
      </c>
      <c r="H469" s="46">
        <f>TRUNC(S469*(1-LOTE_01!$K$10),2)</f>
        <v>11.87</v>
      </c>
      <c r="I469" s="46">
        <f>TRUNC(T469*(1-LOTE_01!$K$10),2)</f>
        <v>7.19</v>
      </c>
      <c r="J469" s="100">
        <f t="shared" si="58"/>
        <v>0.22470000000000001</v>
      </c>
      <c r="K469" s="48">
        <f t="shared" si="52"/>
        <v>14.53</v>
      </c>
      <c r="L469" s="48">
        <f t="shared" si="53"/>
        <v>8.8000000000000007</v>
      </c>
      <c r="M469" s="48">
        <f t="shared" si="54"/>
        <v>1017.1</v>
      </c>
      <c r="N469" s="48">
        <f t="shared" si="55"/>
        <v>616</v>
      </c>
      <c r="O469" s="50">
        <f t="shared" si="56"/>
        <v>1633.1</v>
      </c>
      <c r="P469" s="50">
        <v>0</v>
      </c>
      <c r="Q469" s="76"/>
      <c r="R469" s="140">
        <f>5*S9+5*S10</f>
        <v>70</v>
      </c>
      <c r="S469" s="79">
        <v>11.869999999999997</v>
      </c>
      <c r="T469" s="80">
        <v>7.19</v>
      </c>
    </row>
    <row r="470" spans="2:20" ht="42">
      <c r="B470" s="5" t="s">
        <v>1127</v>
      </c>
      <c r="C470" s="45" t="s">
        <v>165</v>
      </c>
      <c r="D470" s="45" t="s">
        <v>1036</v>
      </c>
      <c r="E470" s="6" t="s">
        <v>1037</v>
      </c>
      <c r="F470" s="45" t="s">
        <v>531</v>
      </c>
      <c r="G470" s="46">
        <f t="shared" si="57"/>
        <v>70</v>
      </c>
      <c r="H470" s="46">
        <f>TRUNC(S470*(1-LOTE_01!$K$10),2)</f>
        <v>19.43</v>
      </c>
      <c r="I470" s="46">
        <f>TRUNC(T470*(1-LOTE_01!$K$10),2)</f>
        <v>15.94</v>
      </c>
      <c r="J470" s="100">
        <f t="shared" si="58"/>
        <v>0.22470000000000001</v>
      </c>
      <c r="K470" s="48">
        <f t="shared" si="52"/>
        <v>23.79</v>
      </c>
      <c r="L470" s="48">
        <f t="shared" si="53"/>
        <v>19.52</v>
      </c>
      <c r="M470" s="48">
        <f t="shared" si="54"/>
        <v>1665.3</v>
      </c>
      <c r="N470" s="48">
        <f t="shared" si="55"/>
        <v>1366.4</v>
      </c>
      <c r="O470" s="50">
        <f t="shared" si="56"/>
        <v>3031.7</v>
      </c>
      <c r="P470" s="50">
        <v>0</v>
      </c>
      <c r="Q470" s="76"/>
      <c r="R470" s="140">
        <f>5*S9+5*S10</f>
        <v>70</v>
      </c>
      <c r="S470" s="79">
        <v>19.43</v>
      </c>
      <c r="T470" s="80">
        <v>15.94</v>
      </c>
    </row>
    <row r="471" spans="2:20" ht="28">
      <c r="B471" s="5" t="s">
        <v>1128</v>
      </c>
      <c r="C471" s="45" t="s">
        <v>165</v>
      </c>
      <c r="D471" s="45" t="s">
        <v>1129</v>
      </c>
      <c r="E471" s="6" t="s">
        <v>1130</v>
      </c>
      <c r="F471" s="45" t="s">
        <v>531</v>
      </c>
      <c r="G471" s="46">
        <f t="shared" si="57"/>
        <v>140</v>
      </c>
      <c r="H471" s="46">
        <f>TRUNC(S471*(1-LOTE_01!$K$10),2)</f>
        <v>54.46</v>
      </c>
      <c r="I471" s="46">
        <f>TRUNC(T471*(1-LOTE_01!$K$10),2)</f>
        <v>5.74</v>
      </c>
      <c r="J471" s="100">
        <f t="shared" si="58"/>
        <v>0.22470000000000001</v>
      </c>
      <c r="K471" s="48">
        <f t="shared" si="52"/>
        <v>66.69</v>
      </c>
      <c r="L471" s="48">
        <f t="shared" si="53"/>
        <v>7.02</v>
      </c>
      <c r="M471" s="48">
        <f t="shared" si="54"/>
        <v>9336.6</v>
      </c>
      <c r="N471" s="48">
        <f t="shared" si="55"/>
        <v>982.8</v>
      </c>
      <c r="O471" s="50">
        <f t="shared" si="56"/>
        <v>10319.4</v>
      </c>
      <c r="P471" s="50">
        <v>0</v>
      </c>
      <c r="Q471" s="76"/>
      <c r="R471" s="140">
        <f>10*S9+10*S10</f>
        <v>140</v>
      </c>
      <c r="S471" s="79">
        <v>54.46</v>
      </c>
      <c r="T471" s="80">
        <v>5.74</v>
      </c>
    </row>
    <row r="472" spans="2:20" ht="28">
      <c r="B472" s="5" t="s">
        <v>1131</v>
      </c>
      <c r="C472" s="45" t="s">
        <v>97</v>
      </c>
      <c r="D472" s="45" t="s">
        <v>1132</v>
      </c>
      <c r="E472" s="6" t="s">
        <v>1133</v>
      </c>
      <c r="F472" s="45" t="s">
        <v>187</v>
      </c>
      <c r="G472" s="46">
        <f t="shared" si="57"/>
        <v>140</v>
      </c>
      <c r="H472" s="46">
        <f>TRUNC(S472*(1-LOTE_01!$K$10),2)</f>
        <v>11.32</v>
      </c>
      <c r="I472" s="46">
        <f>TRUNC(T472*(1-LOTE_01!$K$10),2)</f>
        <v>2.08</v>
      </c>
      <c r="J472" s="100">
        <f t="shared" si="58"/>
        <v>0.22470000000000001</v>
      </c>
      <c r="K472" s="48">
        <f t="shared" si="52"/>
        <v>13.86</v>
      </c>
      <c r="L472" s="48">
        <f t="shared" si="53"/>
        <v>2.54</v>
      </c>
      <c r="M472" s="48">
        <f t="shared" si="54"/>
        <v>1940.4</v>
      </c>
      <c r="N472" s="48">
        <f t="shared" si="55"/>
        <v>355.6</v>
      </c>
      <c r="O472" s="50">
        <f t="shared" si="56"/>
        <v>2296</v>
      </c>
      <c r="P472" s="50">
        <v>0</v>
      </c>
      <c r="Q472" s="76"/>
      <c r="R472" s="140">
        <f>10*S9+10*S10</f>
        <v>140</v>
      </c>
      <c r="S472" s="79">
        <v>11.32</v>
      </c>
      <c r="T472" s="80">
        <v>2.08</v>
      </c>
    </row>
    <row r="473" spans="2:20" ht="56">
      <c r="B473" s="5" t="s">
        <v>1134</v>
      </c>
      <c r="C473" s="45" t="s">
        <v>135</v>
      </c>
      <c r="D473" s="45">
        <v>95778</v>
      </c>
      <c r="E473" s="6" t="s">
        <v>1814</v>
      </c>
      <c r="F473" s="45" t="s">
        <v>210</v>
      </c>
      <c r="G473" s="46">
        <f t="shared" si="57"/>
        <v>70</v>
      </c>
      <c r="H473" s="46">
        <f>TRUNC(S473*(1-LOTE_01!$K$10),2)</f>
        <v>21.95</v>
      </c>
      <c r="I473" s="46">
        <f>TRUNC(T473*(1-LOTE_01!$K$10),2)</f>
        <v>12.88</v>
      </c>
      <c r="J473" s="100">
        <f t="shared" si="58"/>
        <v>0.22470000000000001</v>
      </c>
      <c r="K473" s="48">
        <f t="shared" si="52"/>
        <v>26.88</v>
      </c>
      <c r="L473" s="48">
        <f t="shared" si="53"/>
        <v>15.77</v>
      </c>
      <c r="M473" s="48">
        <f t="shared" si="54"/>
        <v>1881.6</v>
      </c>
      <c r="N473" s="48">
        <f t="shared" si="55"/>
        <v>1103.9000000000001</v>
      </c>
      <c r="O473" s="50">
        <f t="shared" si="56"/>
        <v>2985.5</v>
      </c>
      <c r="P473" s="50">
        <v>0</v>
      </c>
      <c r="Q473" s="76"/>
      <c r="R473" s="140">
        <f>5*S9+5*S10</f>
        <v>70</v>
      </c>
      <c r="S473" s="79">
        <v>21.949999999999996</v>
      </c>
      <c r="T473" s="80">
        <v>12.88</v>
      </c>
    </row>
    <row r="474" spans="2:20" ht="56">
      <c r="B474" s="5" t="s">
        <v>1135</v>
      </c>
      <c r="C474" s="45" t="s">
        <v>135</v>
      </c>
      <c r="D474" s="45">
        <v>91941</v>
      </c>
      <c r="E474" s="6" t="s">
        <v>1021</v>
      </c>
      <c r="F474" s="45" t="s">
        <v>210</v>
      </c>
      <c r="G474" s="46">
        <f t="shared" si="57"/>
        <v>70</v>
      </c>
      <c r="H474" s="46">
        <f>TRUNC(S474*(1-LOTE_01!$K$10),2)</f>
        <v>6.55</v>
      </c>
      <c r="I474" s="46">
        <f>TRUNC(T474*(1-LOTE_01!$K$10),2)</f>
        <v>8.44</v>
      </c>
      <c r="J474" s="100">
        <f t="shared" si="58"/>
        <v>0.22470000000000001</v>
      </c>
      <c r="K474" s="48">
        <f t="shared" si="52"/>
        <v>8.02</v>
      </c>
      <c r="L474" s="48">
        <f t="shared" si="53"/>
        <v>10.33</v>
      </c>
      <c r="M474" s="48">
        <f t="shared" si="54"/>
        <v>561.4</v>
      </c>
      <c r="N474" s="48">
        <f t="shared" si="55"/>
        <v>723.1</v>
      </c>
      <c r="O474" s="50">
        <f t="shared" si="56"/>
        <v>1284.5</v>
      </c>
      <c r="P474" s="50">
        <v>0</v>
      </c>
      <c r="Q474" s="76"/>
      <c r="R474" s="140">
        <f>5*S9+5*S10</f>
        <v>70</v>
      </c>
      <c r="S474" s="79">
        <v>6.5500000000000007</v>
      </c>
      <c r="T474" s="80">
        <v>8.44</v>
      </c>
    </row>
    <row r="475" spans="2:20" ht="56">
      <c r="B475" s="5" t="s">
        <v>1136</v>
      </c>
      <c r="C475" s="45" t="s">
        <v>135</v>
      </c>
      <c r="D475" s="45">
        <v>91944</v>
      </c>
      <c r="E475" s="6" t="s">
        <v>935</v>
      </c>
      <c r="F475" s="45" t="s">
        <v>210</v>
      </c>
      <c r="G475" s="46">
        <f t="shared" si="57"/>
        <v>86</v>
      </c>
      <c r="H475" s="46">
        <f>TRUNC(S475*(1-LOTE_01!$K$10),2)</f>
        <v>9.14</v>
      </c>
      <c r="I475" s="46">
        <f>TRUNC(T475*(1-LOTE_01!$K$10),2)</f>
        <v>8.5299999999999994</v>
      </c>
      <c r="J475" s="100">
        <f t="shared" si="58"/>
        <v>0.22470000000000001</v>
      </c>
      <c r="K475" s="48">
        <f t="shared" si="52"/>
        <v>11.19</v>
      </c>
      <c r="L475" s="48">
        <f t="shared" si="53"/>
        <v>10.44</v>
      </c>
      <c r="M475" s="48">
        <f t="shared" si="54"/>
        <v>962.34</v>
      </c>
      <c r="N475" s="48">
        <f t="shared" si="55"/>
        <v>897.84</v>
      </c>
      <c r="O475" s="50">
        <f t="shared" si="56"/>
        <v>1860.18</v>
      </c>
      <c r="P475" s="50">
        <v>0</v>
      </c>
      <c r="Q475" s="76"/>
      <c r="R475" s="140">
        <f>10*S9+1*S10</f>
        <v>86</v>
      </c>
      <c r="S475" s="79">
        <v>9.1400000000000023</v>
      </c>
      <c r="T475" s="80">
        <v>8.5299999999999994</v>
      </c>
    </row>
    <row r="476" spans="2:20" ht="56">
      <c r="B476" s="5" t="s">
        <v>1137</v>
      </c>
      <c r="C476" s="45" t="s">
        <v>135</v>
      </c>
      <c r="D476" s="45">
        <v>92000</v>
      </c>
      <c r="E476" s="6" t="s">
        <v>856</v>
      </c>
      <c r="F476" s="45" t="s">
        <v>210</v>
      </c>
      <c r="G476" s="46">
        <f t="shared" si="57"/>
        <v>280</v>
      </c>
      <c r="H476" s="46">
        <f>TRUNC(S476*(1-LOTE_01!$K$10),2)</f>
        <v>22.3</v>
      </c>
      <c r="I476" s="46">
        <f>TRUNC(T476*(1-LOTE_01!$K$10),2)</f>
        <v>18.04</v>
      </c>
      <c r="J476" s="100">
        <f t="shared" si="58"/>
        <v>0.22470000000000001</v>
      </c>
      <c r="K476" s="48">
        <f t="shared" si="52"/>
        <v>27.31</v>
      </c>
      <c r="L476" s="48">
        <f t="shared" si="53"/>
        <v>22.09</v>
      </c>
      <c r="M476" s="48">
        <f t="shared" si="54"/>
        <v>7646.8</v>
      </c>
      <c r="N476" s="48">
        <f t="shared" si="55"/>
        <v>6185.2</v>
      </c>
      <c r="O476" s="50">
        <f t="shared" si="56"/>
        <v>13832</v>
      </c>
      <c r="P476" s="50">
        <v>0</v>
      </c>
      <c r="Q476" s="76"/>
      <c r="R476" s="140">
        <f>20*S9+20*S10</f>
        <v>280</v>
      </c>
      <c r="S476" s="79">
        <v>22.300000000000004</v>
      </c>
      <c r="T476" s="80">
        <v>18.04</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104">
        <v>0</v>
      </c>
      <c r="Q477" s="76"/>
      <c r="R477" s="154"/>
      <c r="S477" s="79" t="s">
        <v>22</v>
      </c>
      <c r="T477" s="80" t="s">
        <v>22</v>
      </c>
    </row>
    <row r="478" spans="2:20" ht="56">
      <c r="B478" s="5" t="s">
        <v>1139</v>
      </c>
      <c r="C478" s="45" t="s">
        <v>97</v>
      </c>
      <c r="D478" s="45" t="s">
        <v>1140</v>
      </c>
      <c r="E478" s="6" t="s">
        <v>1141</v>
      </c>
      <c r="F478" s="45" t="s">
        <v>104</v>
      </c>
      <c r="G478" s="46">
        <f t="shared" si="57"/>
        <v>14</v>
      </c>
      <c r="H478" s="46">
        <f>TRUNC(S478*(1-LOTE_01!$K$10),2)</f>
        <v>195.74</v>
      </c>
      <c r="I478" s="46">
        <f>TRUNC(T478*(1-LOTE_01!$K$10),2)</f>
        <v>343.2</v>
      </c>
      <c r="J478" s="100">
        <f t="shared" si="58"/>
        <v>0.22470000000000001</v>
      </c>
      <c r="K478" s="48">
        <f t="shared" si="52"/>
        <v>239.72</v>
      </c>
      <c r="L478" s="48">
        <f t="shared" si="53"/>
        <v>420.31</v>
      </c>
      <c r="M478" s="48">
        <f t="shared" si="54"/>
        <v>3356.08</v>
      </c>
      <c r="N478" s="48">
        <f t="shared" si="55"/>
        <v>5884.34</v>
      </c>
      <c r="O478" s="50">
        <f t="shared" si="56"/>
        <v>9240.42</v>
      </c>
      <c r="P478" s="50">
        <v>0</v>
      </c>
      <c r="Q478" s="76"/>
      <c r="R478" s="140">
        <f>1*S9+1*S10</f>
        <v>14</v>
      </c>
      <c r="S478" s="79">
        <v>195.74</v>
      </c>
      <c r="T478" s="80">
        <v>343.2</v>
      </c>
    </row>
    <row r="479" spans="2:20" ht="28">
      <c r="B479" s="5" t="s">
        <v>1142</v>
      </c>
      <c r="C479" s="45" t="s">
        <v>97</v>
      </c>
      <c r="D479" s="45" t="s">
        <v>1143</v>
      </c>
      <c r="E479" s="6" t="s">
        <v>1144</v>
      </c>
      <c r="F479" s="45" t="s">
        <v>104</v>
      </c>
      <c r="G479" s="46">
        <f t="shared" si="57"/>
        <v>10</v>
      </c>
      <c r="H479" s="46">
        <f>TRUNC(S479*(1-LOTE_01!$K$10),2)</f>
        <v>21.31</v>
      </c>
      <c r="I479" s="46">
        <f>TRUNC(T479*(1-LOTE_01!$K$10),2)</f>
        <v>52</v>
      </c>
      <c r="J479" s="100">
        <f t="shared" si="58"/>
        <v>0.22470000000000001</v>
      </c>
      <c r="K479" s="48">
        <f t="shared" si="52"/>
        <v>26.09</v>
      </c>
      <c r="L479" s="48">
        <f t="shared" si="53"/>
        <v>63.68</v>
      </c>
      <c r="M479" s="48">
        <f t="shared" si="54"/>
        <v>260.89999999999998</v>
      </c>
      <c r="N479" s="48">
        <f t="shared" si="55"/>
        <v>636.79999999999995</v>
      </c>
      <c r="O479" s="50">
        <f t="shared" si="56"/>
        <v>897.7</v>
      </c>
      <c r="P479" s="50">
        <v>0</v>
      </c>
      <c r="Q479" s="76"/>
      <c r="R479" s="140">
        <f>IF((1*S9+1*S10)&gt;10,10,(1*S9+1*S10))</f>
        <v>10</v>
      </c>
      <c r="S479" s="79">
        <v>21.31</v>
      </c>
      <c r="T479" s="80">
        <v>52</v>
      </c>
    </row>
    <row r="480" spans="2:20">
      <c r="B480" s="5" t="s">
        <v>1145</v>
      </c>
      <c r="C480" s="45" t="s">
        <v>97</v>
      </c>
      <c r="D480" s="45" t="s">
        <v>1146</v>
      </c>
      <c r="E480" s="6" t="s">
        <v>1147</v>
      </c>
      <c r="F480" s="45" t="s">
        <v>104</v>
      </c>
      <c r="G480" s="46">
        <f t="shared" si="57"/>
        <v>10</v>
      </c>
      <c r="H480" s="46">
        <f>TRUNC(S480*(1-LOTE_01!$K$10),2)</f>
        <v>170.48</v>
      </c>
      <c r="I480" s="46">
        <f>TRUNC(T480*(1-LOTE_01!$K$10),2)</f>
        <v>416</v>
      </c>
      <c r="J480" s="100">
        <f t="shared" si="58"/>
        <v>0.22470000000000001</v>
      </c>
      <c r="K480" s="48">
        <f t="shared" si="52"/>
        <v>208.78</v>
      </c>
      <c r="L480" s="48">
        <f t="shared" si="53"/>
        <v>509.47</v>
      </c>
      <c r="M480" s="48">
        <f t="shared" si="54"/>
        <v>2087.8000000000002</v>
      </c>
      <c r="N480" s="48">
        <f t="shared" si="55"/>
        <v>5094.7</v>
      </c>
      <c r="O480" s="50">
        <f t="shared" si="56"/>
        <v>7182.5</v>
      </c>
      <c r="P480" s="50">
        <v>0</v>
      </c>
      <c r="Q480" s="76"/>
      <c r="R480" s="140">
        <f>IF((1*S9+1*S10)&gt;10,10,(1*S9+1*S10))</f>
        <v>10</v>
      </c>
      <c r="S480" s="79">
        <v>170.48</v>
      </c>
      <c r="T480" s="80">
        <v>416</v>
      </c>
    </row>
    <row r="481" spans="2:20" ht="28">
      <c r="B481" s="5" t="s">
        <v>1148</v>
      </c>
      <c r="C481" s="45" t="s">
        <v>97</v>
      </c>
      <c r="D481" s="45" t="s">
        <v>1149</v>
      </c>
      <c r="E481" s="6" t="s">
        <v>1150</v>
      </c>
      <c r="F481" s="45" t="s">
        <v>104</v>
      </c>
      <c r="G481" s="46">
        <f t="shared" si="57"/>
        <v>10</v>
      </c>
      <c r="H481" s="46">
        <f>TRUNC(S481*(1-LOTE_01!$K$10),2)</f>
        <v>258.72000000000003</v>
      </c>
      <c r="I481" s="46">
        <f>TRUNC(T481*(1-LOTE_01!$K$10),2)</f>
        <v>776.64</v>
      </c>
      <c r="J481" s="100">
        <f t="shared" si="58"/>
        <v>0.22470000000000001</v>
      </c>
      <c r="K481" s="48">
        <f t="shared" si="52"/>
        <v>316.85000000000002</v>
      </c>
      <c r="L481" s="48">
        <f t="shared" si="53"/>
        <v>951.15</v>
      </c>
      <c r="M481" s="48">
        <f t="shared" si="54"/>
        <v>3168.5</v>
      </c>
      <c r="N481" s="48">
        <f t="shared" si="55"/>
        <v>9511.5</v>
      </c>
      <c r="O481" s="50">
        <f t="shared" si="56"/>
        <v>12680</v>
      </c>
      <c r="P481" s="50">
        <v>0</v>
      </c>
      <c r="Q481" s="76"/>
      <c r="R481" s="140">
        <f>IF((1*S9+1*S10)&gt;10,10,(1*S9+1*S10))</f>
        <v>10</v>
      </c>
      <c r="S481" s="79">
        <v>258.72000000000003</v>
      </c>
      <c r="T481" s="80">
        <v>776.64</v>
      </c>
    </row>
    <row r="482" spans="2:20">
      <c r="B482" s="5" t="s">
        <v>1151</v>
      </c>
      <c r="C482" s="45" t="s">
        <v>97</v>
      </c>
      <c r="D482" s="45" t="s">
        <v>1152</v>
      </c>
      <c r="E482" s="6" t="s">
        <v>1153</v>
      </c>
      <c r="F482" s="45" t="s">
        <v>104</v>
      </c>
      <c r="G482" s="46">
        <f t="shared" si="57"/>
        <v>10</v>
      </c>
      <c r="H482" s="46">
        <f>TRUNC(S482*(1-LOTE_01!$K$10),2)</f>
        <v>42.62</v>
      </c>
      <c r="I482" s="46">
        <f>TRUNC(T482*(1-LOTE_01!$K$10),2)</f>
        <v>104</v>
      </c>
      <c r="J482" s="100">
        <f t="shared" si="58"/>
        <v>0.22470000000000001</v>
      </c>
      <c r="K482" s="48">
        <f t="shared" si="52"/>
        <v>52.19</v>
      </c>
      <c r="L482" s="48">
        <f t="shared" si="53"/>
        <v>127.36</v>
      </c>
      <c r="M482" s="48">
        <f t="shared" si="54"/>
        <v>521.9</v>
      </c>
      <c r="N482" s="48">
        <f t="shared" si="55"/>
        <v>1273.5999999999999</v>
      </c>
      <c r="O482" s="50">
        <f t="shared" si="56"/>
        <v>1795.5</v>
      </c>
      <c r="P482" s="50">
        <v>0</v>
      </c>
      <c r="Q482" s="76"/>
      <c r="R482" s="140">
        <f>IF((1*S9+1*S10)&gt;10,10,(1*S9+1*S10))</f>
        <v>10</v>
      </c>
      <c r="S482" s="79">
        <v>42.62</v>
      </c>
      <c r="T482" s="80">
        <v>104</v>
      </c>
    </row>
    <row r="483" spans="2:20" ht="56">
      <c r="B483" s="5" t="s">
        <v>1154</v>
      </c>
      <c r="C483" s="45" t="s">
        <v>97</v>
      </c>
      <c r="D483" s="45" t="s">
        <v>1155</v>
      </c>
      <c r="E483" s="6" t="s">
        <v>1156</v>
      </c>
      <c r="F483" s="45" t="s">
        <v>104</v>
      </c>
      <c r="G483" s="46">
        <f t="shared" si="57"/>
        <v>10</v>
      </c>
      <c r="H483" s="46">
        <f>TRUNC(S483*(1-LOTE_01!$K$10),2)</f>
        <v>181.13</v>
      </c>
      <c r="I483" s="46">
        <f>TRUNC(T483*(1-LOTE_01!$K$10),2)</f>
        <v>442</v>
      </c>
      <c r="J483" s="100">
        <f t="shared" si="58"/>
        <v>0.22470000000000001</v>
      </c>
      <c r="K483" s="48">
        <f t="shared" si="52"/>
        <v>221.82</v>
      </c>
      <c r="L483" s="48">
        <f t="shared" si="53"/>
        <v>541.30999999999995</v>
      </c>
      <c r="M483" s="48">
        <f t="shared" si="54"/>
        <v>2218.1999999999998</v>
      </c>
      <c r="N483" s="48">
        <f t="shared" si="55"/>
        <v>5413.1</v>
      </c>
      <c r="O483" s="50">
        <f t="shared" si="56"/>
        <v>7631.3</v>
      </c>
      <c r="P483" s="50">
        <v>0</v>
      </c>
      <c r="Q483" s="76"/>
      <c r="R483" s="140">
        <f>IF((1*S9+1*S10)&gt;10,10,(1*S9+1*S10))</f>
        <v>10</v>
      </c>
      <c r="S483" s="79">
        <v>181.13</v>
      </c>
      <c r="T483" s="80">
        <v>442</v>
      </c>
    </row>
    <row r="484" spans="2:20" ht="56">
      <c r="B484" s="5" t="s">
        <v>1157</v>
      </c>
      <c r="C484" s="45" t="s">
        <v>97</v>
      </c>
      <c r="D484" s="45" t="s">
        <v>1158</v>
      </c>
      <c r="E484" s="6" t="s">
        <v>1159</v>
      </c>
      <c r="F484" s="45" t="s">
        <v>104</v>
      </c>
      <c r="G484" s="46">
        <f t="shared" si="57"/>
        <v>10</v>
      </c>
      <c r="H484" s="46">
        <f>TRUNC(S484*(1-LOTE_01!$K$10),2)</f>
        <v>2230.75</v>
      </c>
      <c r="I484" s="46">
        <f>TRUNC(T484*(1-LOTE_01!$K$10),2)</f>
        <v>7573.88</v>
      </c>
      <c r="J484" s="100">
        <f t="shared" si="58"/>
        <v>0.22470000000000001</v>
      </c>
      <c r="K484" s="48">
        <f t="shared" si="52"/>
        <v>2731.99</v>
      </c>
      <c r="L484" s="48">
        <f t="shared" si="53"/>
        <v>9275.73</v>
      </c>
      <c r="M484" s="48">
        <f t="shared" si="54"/>
        <v>27319.9</v>
      </c>
      <c r="N484" s="48">
        <f t="shared" si="55"/>
        <v>92757.3</v>
      </c>
      <c r="O484" s="50">
        <f t="shared" si="56"/>
        <v>120077.2</v>
      </c>
      <c r="P484" s="50">
        <v>0</v>
      </c>
      <c r="Q484" s="76"/>
      <c r="R484" s="140">
        <f>IF((1*S9+1*S10)&gt;10,10,(1*S9+1*S10))</f>
        <v>10</v>
      </c>
      <c r="S484" s="79">
        <v>2230.75</v>
      </c>
      <c r="T484" s="80">
        <v>7573.88</v>
      </c>
    </row>
    <row r="485" spans="2:20" ht="70">
      <c r="B485" s="5" t="s">
        <v>1160</v>
      </c>
      <c r="C485" s="45" t="s">
        <v>97</v>
      </c>
      <c r="D485" s="45" t="s">
        <v>1161</v>
      </c>
      <c r="E485" s="6" t="s">
        <v>1162</v>
      </c>
      <c r="F485" s="45" t="s">
        <v>104</v>
      </c>
      <c r="G485" s="46">
        <f t="shared" si="57"/>
        <v>10</v>
      </c>
      <c r="H485" s="46">
        <f>TRUNC(S485*(1-LOTE_01!$K$10),2)</f>
        <v>2086.5100000000002</v>
      </c>
      <c r="I485" s="46">
        <f>TRUNC(T485*(1-LOTE_01!$K$10),2)</f>
        <v>1769.39</v>
      </c>
      <c r="J485" s="100">
        <f t="shared" si="58"/>
        <v>0.22470000000000001</v>
      </c>
      <c r="K485" s="48">
        <f t="shared" si="52"/>
        <v>2555.34</v>
      </c>
      <c r="L485" s="48">
        <f t="shared" si="53"/>
        <v>2166.9699999999998</v>
      </c>
      <c r="M485" s="48">
        <f t="shared" si="54"/>
        <v>25553.4</v>
      </c>
      <c r="N485" s="48">
        <f t="shared" si="55"/>
        <v>21669.7</v>
      </c>
      <c r="O485" s="50">
        <f t="shared" si="56"/>
        <v>47223.1</v>
      </c>
      <c r="P485" s="50">
        <v>0</v>
      </c>
      <c r="Q485" s="76"/>
      <c r="R485" s="140">
        <f>IF((1*S9+1*S10)&gt;10,10,(1*S9+1*S10))</f>
        <v>10</v>
      </c>
      <c r="S485" s="79">
        <v>2086.5100000000002</v>
      </c>
      <c r="T485" s="80">
        <v>1769.39</v>
      </c>
    </row>
    <row r="486" spans="2:20" ht="28">
      <c r="B486" s="5" t="s">
        <v>1163</v>
      </c>
      <c r="C486" s="45" t="s">
        <v>97</v>
      </c>
      <c r="D486" s="45" t="s">
        <v>1164</v>
      </c>
      <c r="E486" s="6" t="s">
        <v>1165</v>
      </c>
      <c r="F486" s="45" t="s">
        <v>104</v>
      </c>
      <c r="G486" s="46">
        <f t="shared" si="57"/>
        <v>224</v>
      </c>
      <c r="H486" s="46">
        <f>TRUNC(S486*(1-LOTE_01!$K$10),2)</f>
        <v>165.29</v>
      </c>
      <c r="I486" s="46">
        <f>TRUNC(T486*(1-LOTE_01!$K$10),2)</f>
        <v>22.66</v>
      </c>
      <c r="J486" s="100">
        <f t="shared" si="58"/>
        <v>0.22470000000000001</v>
      </c>
      <c r="K486" s="48">
        <f t="shared" si="52"/>
        <v>202.43</v>
      </c>
      <c r="L486" s="48">
        <f t="shared" si="53"/>
        <v>27.75</v>
      </c>
      <c r="M486" s="48">
        <f t="shared" si="54"/>
        <v>45344.32</v>
      </c>
      <c r="N486" s="48">
        <f t="shared" si="55"/>
        <v>6216</v>
      </c>
      <c r="O486" s="50">
        <f t="shared" si="56"/>
        <v>51560.32</v>
      </c>
      <c r="P486" s="50">
        <v>0</v>
      </c>
      <c r="Q486" s="76"/>
      <c r="R486" s="140">
        <f>16*S10+16*S9</f>
        <v>224</v>
      </c>
      <c r="S486" s="79">
        <v>165.29</v>
      </c>
      <c r="T486" s="80">
        <v>22.66</v>
      </c>
    </row>
    <row r="487" spans="2:20" ht="28">
      <c r="B487" s="5" t="s">
        <v>1166</v>
      </c>
      <c r="C487" s="45" t="s">
        <v>97</v>
      </c>
      <c r="D487" s="45" t="s">
        <v>1167</v>
      </c>
      <c r="E487" s="6" t="s">
        <v>1168</v>
      </c>
      <c r="F487" s="45" t="s">
        <v>104</v>
      </c>
      <c r="G487" s="46">
        <f t="shared" si="57"/>
        <v>224</v>
      </c>
      <c r="H487" s="46">
        <f>TRUNC(S487*(1-LOTE_01!$K$10),2)</f>
        <v>180.89</v>
      </c>
      <c r="I487" s="46">
        <f>TRUNC(T487*(1-LOTE_01!$K$10),2)</f>
        <v>22.66</v>
      </c>
      <c r="J487" s="100">
        <f t="shared" si="58"/>
        <v>0.22470000000000001</v>
      </c>
      <c r="K487" s="48">
        <f t="shared" si="52"/>
        <v>221.53</v>
      </c>
      <c r="L487" s="48">
        <f t="shared" si="53"/>
        <v>27.75</v>
      </c>
      <c r="M487" s="48">
        <f t="shared" si="54"/>
        <v>49622.720000000001</v>
      </c>
      <c r="N487" s="48">
        <f t="shared" si="55"/>
        <v>6216</v>
      </c>
      <c r="O487" s="50">
        <f t="shared" si="56"/>
        <v>55838.720000000001</v>
      </c>
      <c r="P487" s="50">
        <v>0</v>
      </c>
      <c r="Q487" s="76"/>
      <c r="R487" s="140">
        <f>16*S10+16*S9</f>
        <v>224</v>
      </c>
      <c r="S487" s="79">
        <v>180.89</v>
      </c>
      <c r="T487" s="80">
        <v>22.66</v>
      </c>
    </row>
    <row r="488" spans="2:20" ht="28">
      <c r="B488" s="5" t="s">
        <v>1169</v>
      </c>
      <c r="C488" s="45" t="s">
        <v>97</v>
      </c>
      <c r="D488" s="45" t="s">
        <v>1170</v>
      </c>
      <c r="E488" s="6" t="s">
        <v>1171</v>
      </c>
      <c r="F488" s="45" t="s">
        <v>104</v>
      </c>
      <c r="G488" s="46">
        <f t="shared" si="57"/>
        <v>224</v>
      </c>
      <c r="H488" s="46">
        <f>TRUNC(S488*(1-LOTE_01!$K$10),2)</f>
        <v>334.39</v>
      </c>
      <c r="I488" s="46">
        <f>TRUNC(T488*(1-LOTE_01!$K$10),2)</f>
        <v>22.66</v>
      </c>
      <c r="J488" s="100">
        <f t="shared" si="58"/>
        <v>0.22470000000000001</v>
      </c>
      <c r="K488" s="48">
        <f t="shared" si="52"/>
        <v>409.52</v>
      </c>
      <c r="L488" s="48">
        <f t="shared" si="53"/>
        <v>27.75</v>
      </c>
      <c r="M488" s="48">
        <f t="shared" si="54"/>
        <v>91732.479999999996</v>
      </c>
      <c r="N488" s="48">
        <f t="shared" si="55"/>
        <v>6216</v>
      </c>
      <c r="O488" s="50">
        <f t="shared" si="56"/>
        <v>97948.479999999996</v>
      </c>
      <c r="P488" s="50">
        <v>0</v>
      </c>
      <c r="Q488" s="76"/>
      <c r="R488" s="140">
        <f>16*S10+16*S9</f>
        <v>224</v>
      </c>
      <c r="S488" s="79">
        <v>334.39</v>
      </c>
      <c r="T488" s="80">
        <v>22.66</v>
      </c>
    </row>
    <row r="489" spans="2:20" ht="56">
      <c r="B489" s="5" t="s">
        <v>1172</v>
      </c>
      <c r="C489" s="45" t="s">
        <v>97</v>
      </c>
      <c r="D489" s="45" t="s">
        <v>1173</v>
      </c>
      <c r="E489" s="6" t="s">
        <v>1174</v>
      </c>
      <c r="F489" s="45" t="s">
        <v>104</v>
      </c>
      <c r="G489" s="46">
        <f t="shared" si="57"/>
        <v>14</v>
      </c>
      <c r="H489" s="46">
        <f>TRUNC(S489*(1-LOTE_01!$K$10),2)</f>
        <v>767.49</v>
      </c>
      <c r="I489" s="46">
        <f>TRUNC(T489*(1-LOTE_01!$K$10),2)</f>
        <v>226.65</v>
      </c>
      <c r="J489" s="100">
        <f t="shared" si="58"/>
        <v>0.22470000000000001</v>
      </c>
      <c r="K489" s="48">
        <f t="shared" si="52"/>
        <v>939.94</v>
      </c>
      <c r="L489" s="48">
        <f t="shared" si="53"/>
        <v>277.57</v>
      </c>
      <c r="M489" s="48">
        <f t="shared" si="54"/>
        <v>13159.16</v>
      </c>
      <c r="N489" s="48">
        <f t="shared" si="55"/>
        <v>3885.98</v>
      </c>
      <c r="O489" s="50">
        <f t="shared" si="56"/>
        <v>17045.14</v>
      </c>
      <c r="P489" s="50">
        <v>0</v>
      </c>
      <c r="Q489" s="76"/>
      <c r="R489" s="140">
        <f>S10+S9</f>
        <v>14</v>
      </c>
      <c r="S489" s="79">
        <v>767.49</v>
      </c>
      <c r="T489" s="80">
        <v>226.65</v>
      </c>
    </row>
    <row r="490" spans="2:20" ht="56">
      <c r="B490" s="5" t="s">
        <v>1175</v>
      </c>
      <c r="C490" s="45" t="s">
        <v>97</v>
      </c>
      <c r="D490" s="45" t="s">
        <v>1176</v>
      </c>
      <c r="E490" s="6" t="s">
        <v>1177</v>
      </c>
      <c r="F490" s="45" t="s">
        <v>104</v>
      </c>
      <c r="G490" s="46">
        <f t="shared" si="57"/>
        <v>14</v>
      </c>
      <c r="H490" s="46">
        <f>TRUNC(S490*(1-LOTE_01!$K$10),2)</f>
        <v>2022.64</v>
      </c>
      <c r="I490" s="46">
        <f>TRUNC(T490*(1-LOTE_01!$K$10),2)</f>
        <v>725.28</v>
      </c>
      <c r="J490" s="100">
        <f t="shared" si="58"/>
        <v>0.22470000000000001</v>
      </c>
      <c r="K490" s="48">
        <f t="shared" si="52"/>
        <v>2477.12</v>
      </c>
      <c r="L490" s="48">
        <f t="shared" si="53"/>
        <v>888.25</v>
      </c>
      <c r="M490" s="48">
        <f t="shared" si="54"/>
        <v>34679.68</v>
      </c>
      <c r="N490" s="48">
        <f t="shared" si="55"/>
        <v>12435.5</v>
      </c>
      <c r="O490" s="50">
        <f t="shared" si="56"/>
        <v>47115.18</v>
      </c>
      <c r="P490" s="50">
        <v>0</v>
      </c>
      <c r="Q490" s="76"/>
      <c r="R490" s="140">
        <f>S10+S9</f>
        <v>14</v>
      </c>
      <c r="S490" s="79">
        <v>2022.64</v>
      </c>
      <c r="T490" s="80">
        <v>725.28</v>
      </c>
    </row>
    <row r="491" spans="2:20" ht="56">
      <c r="B491" s="5" t="s">
        <v>1178</v>
      </c>
      <c r="C491" s="45" t="s">
        <v>97</v>
      </c>
      <c r="D491" s="45" t="s">
        <v>1179</v>
      </c>
      <c r="E491" s="6" t="s">
        <v>1180</v>
      </c>
      <c r="F491" s="45" t="s">
        <v>104</v>
      </c>
      <c r="G491" s="46">
        <f t="shared" si="57"/>
        <v>14</v>
      </c>
      <c r="H491" s="46">
        <f>TRUNC(S491*(1-LOTE_01!$K$10),2)</f>
        <v>2272.64</v>
      </c>
      <c r="I491" s="46">
        <f>TRUNC(T491*(1-LOTE_01!$K$10),2)</f>
        <v>725.28</v>
      </c>
      <c r="J491" s="100">
        <f t="shared" si="58"/>
        <v>0.22470000000000001</v>
      </c>
      <c r="K491" s="48">
        <f t="shared" si="52"/>
        <v>2783.3</v>
      </c>
      <c r="L491" s="48">
        <f t="shared" si="53"/>
        <v>888.25</v>
      </c>
      <c r="M491" s="48">
        <f t="shared" si="54"/>
        <v>38966.199999999997</v>
      </c>
      <c r="N491" s="48">
        <f t="shared" si="55"/>
        <v>12435.5</v>
      </c>
      <c r="O491" s="50">
        <f t="shared" si="56"/>
        <v>51401.7</v>
      </c>
      <c r="P491" s="50">
        <v>0</v>
      </c>
      <c r="Q491" s="76"/>
      <c r="R491" s="140">
        <f>S10+S9</f>
        <v>14</v>
      </c>
      <c r="S491" s="79">
        <v>2272.64</v>
      </c>
      <c r="T491" s="80">
        <v>725.28</v>
      </c>
    </row>
    <row r="492" spans="2:20" ht="56">
      <c r="B492" s="5" t="s">
        <v>1181</v>
      </c>
      <c r="C492" s="45" t="s">
        <v>97</v>
      </c>
      <c r="D492" s="45" t="s">
        <v>1182</v>
      </c>
      <c r="E492" s="6" t="s">
        <v>1183</v>
      </c>
      <c r="F492" s="45" t="s">
        <v>104</v>
      </c>
      <c r="G492" s="46">
        <f t="shared" si="57"/>
        <v>14</v>
      </c>
      <c r="H492" s="46">
        <f>TRUNC(S492*(1-LOTE_01!$K$10),2)</f>
        <v>3765.8</v>
      </c>
      <c r="I492" s="46">
        <f>TRUNC(T492*(1-LOTE_01!$K$10),2)</f>
        <v>906.6</v>
      </c>
      <c r="J492" s="100">
        <f t="shared" si="58"/>
        <v>0.22470000000000001</v>
      </c>
      <c r="K492" s="48">
        <f t="shared" si="52"/>
        <v>4611.97</v>
      </c>
      <c r="L492" s="48">
        <f t="shared" si="53"/>
        <v>1110.31</v>
      </c>
      <c r="M492" s="48">
        <f t="shared" si="54"/>
        <v>64567.58</v>
      </c>
      <c r="N492" s="48">
        <f t="shared" si="55"/>
        <v>15544.34</v>
      </c>
      <c r="O492" s="50">
        <f t="shared" si="56"/>
        <v>80111.92</v>
      </c>
      <c r="P492" s="50">
        <v>0</v>
      </c>
      <c r="Q492" s="76"/>
      <c r="R492" s="140">
        <f>S10+S9</f>
        <v>14</v>
      </c>
      <c r="S492" s="79">
        <v>3765.8</v>
      </c>
      <c r="T492" s="80">
        <v>906.6</v>
      </c>
    </row>
    <row r="493" spans="2:20" ht="56">
      <c r="B493" s="5" t="s">
        <v>1184</v>
      </c>
      <c r="C493" s="45" t="s">
        <v>97</v>
      </c>
      <c r="D493" s="45" t="s">
        <v>1185</v>
      </c>
      <c r="E493" s="6" t="s">
        <v>1186</v>
      </c>
      <c r="F493" s="45" t="s">
        <v>104</v>
      </c>
      <c r="G493" s="46">
        <f t="shared" si="57"/>
        <v>14</v>
      </c>
      <c r="H493" s="46">
        <f>TRUNC(S493*(1-LOTE_01!$K$10),2)</f>
        <v>4065.8</v>
      </c>
      <c r="I493" s="46">
        <f>TRUNC(T493*(1-LOTE_01!$K$10),2)</f>
        <v>906.6</v>
      </c>
      <c r="J493" s="100">
        <f t="shared" si="58"/>
        <v>0.22470000000000001</v>
      </c>
      <c r="K493" s="48">
        <f t="shared" si="52"/>
        <v>4979.38</v>
      </c>
      <c r="L493" s="48">
        <f t="shared" si="53"/>
        <v>1110.31</v>
      </c>
      <c r="M493" s="48">
        <f t="shared" si="54"/>
        <v>69711.320000000007</v>
      </c>
      <c r="N493" s="48">
        <f t="shared" si="55"/>
        <v>15544.34</v>
      </c>
      <c r="O493" s="50">
        <f t="shared" si="56"/>
        <v>85255.66</v>
      </c>
      <c r="P493" s="50">
        <v>0</v>
      </c>
      <c r="Q493" s="76"/>
      <c r="R493" s="140">
        <f>S10+S9</f>
        <v>14</v>
      </c>
      <c r="S493" s="79">
        <v>4065.8</v>
      </c>
      <c r="T493" s="80">
        <v>906.6</v>
      </c>
    </row>
    <row r="494" spans="2:20" ht="28">
      <c r="B494" s="5" t="s">
        <v>1187</v>
      </c>
      <c r="C494" s="45" t="s">
        <v>97</v>
      </c>
      <c r="D494" s="45" t="s">
        <v>1188</v>
      </c>
      <c r="E494" s="6" t="s">
        <v>1189</v>
      </c>
      <c r="F494" s="45" t="s">
        <v>104</v>
      </c>
      <c r="G494" s="46">
        <f t="shared" si="57"/>
        <v>70</v>
      </c>
      <c r="H494" s="46">
        <f>TRUNC(S494*(1-LOTE_01!$K$10),2)</f>
        <v>34.28</v>
      </c>
      <c r="I494" s="46">
        <f>TRUNC(T494*(1-LOTE_01!$K$10),2)</f>
        <v>43.22</v>
      </c>
      <c r="J494" s="100">
        <f t="shared" si="58"/>
        <v>0.22470000000000001</v>
      </c>
      <c r="K494" s="48">
        <f t="shared" si="52"/>
        <v>41.98</v>
      </c>
      <c r="L494" s="48">
        <f t="shared" si="53"/>
        <v>52.93</v>
      </c>
      <c r="M494" s="48">
        <f t="shared" si="54"/>
        <v>2938.6</v>
      </c>
      <c r="N494" s="48">
        <f t="shared" si="55"/>
        <v>3705.1</v>
      </c>
      <c r="O494" s="50">
        <f t="shared" si="56"/>
        <v>6643.7</v>
      </c>
      <c r="P494" s="50">
        <v>0</v>
      </c>
      <c r="Q494" s="76"/>
      <c r="R494" s="140">
        <f>5*S9+5*S10</f>
        <v>70</v>
      </c>
      <c r="S494" s="79">
        <v>34.28</v>
      </c>
      <c r="T494" s="80">
        <v>43.22</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496031.7699999999</v>
      </c>
      <c r="Q495" s="76"/>
      <c r="R495" s="154"/>
      <c r="S495" s="79" t="s">
        <v>22</v>
      </c>
      <c r="T495" s="80" t="s">
        <v>22</v>
      </c>
    </row>
    <row r="496" spans="2:20" ht="42">
      <c r="B496" s="5" t="s">
        <v>1190</v>
      </c>
      <c r="C496" s="45" t="s">
        <v>135</v>
      </c>
      <c r="D496" s="45">
        <v>90447</v>
      </c>
      <c r="E496" s="6" t="s">
        <v>1191</v>
      </c>
      <c r="F496" s="45" t="s">
        <v>187</v>
      </c>
      <c r="G496" s="46">
        <f t="shared" si="57"/>
        <v>700</v>
      </c>
      <c r="H496" s="46">
        <f>TRUNC(S496*(1-LOTE_01!$K$10),2)</f>
        <v>3.25</v>
      </c>
      <c r="I496" s="46">
        <f>TRUNC(T496*(1-LOTE_01!$K$10),2)</f>
        <v>9.2799999999999994</v>
      </c>
      <c r="J496" s="100">
        <f t="shared" si="58"/>
        <v>0.22470000000000001</v>
      </c>
      <c r="K496" s="48">
        <f t="shared" si="52"/>
        <v>3.98</v>
      </c>
      <c r="L496" s="48">
        <f t="shared" si="53"/>
        <v>11.36</v>
      </c>
      <c r="M496" s="48">
        <f t="shared" si="54"/>
        <v>2786</v>
      </c>
      <c r="N496" s="48">
        <f t="shared" si="55"/>
        <v>7952</v>
      </c>
      <c r="O496" s="50">
        <f t="shared" si="56"/>
        <v>10738</v>
      </c>
      <c r="P496" s="50">
        <v>0</v>
      </c>
      <c r="Q496" s="76"/>
      <c r="R496" s="140">
        <f>50*S9+50*S10</f>
        <v>700</v>
      </c>
      <c r="S496" s="79">
        <v>3.25</v>
      </c>
      <c r="T496" s="80">
        <v>9.2799999999999994</v>
      </c>
    </row>
    <row r="497" spans="2:20" ht="70">
      <c r="B497" s="5" t="s">
        <v>1192</v>
      </c>
      <c r="C497" s="45" t="s">
        <v>135</v>
      </c>
      <c r="D497" s="45">
        <v>91222</v>
      </c>
      <c r="E497" s="6" t="s">
        <v>1193</v>
      </c>
      <c r="F497" s="45" t="s">
        <v>187</v>
      </c>
      <c r="G497" s="46">
        <f t="shared" si="57"/>
        <v>200</v>
      </c>
      <c r="H497" s="46">
        <f>TRUNC(S497*(1-LOTE_01!$K$10),2)</f>
        <v>3.42</v>
      </c>
      <c r="I497" s="46">
        <f>TRUNC(T497*(1-LOTE_01!$K$10),2)</f>
        <v>7.07</v>
      </c>
      <c r="J497" s="100">
        <f t="shared" si="58"/>
        <v>0.22470000000000001</v>
      </c>
      <c r="K497" s="48">
        <f t="shared" si="52"/>
        <v>4.18</v>
      </c>
      <c r="L497" s="48">
        <f t="shared" si="53"/>
        <v>8.65</v>
      </c>
      <c r="M497" s="48">
        <f t="shared" si="54"/>
        <v>836</v>
      </c>
      <c r="N497" s="48">
        <f t="shared" si="55"/>
        <v>1730</v>
      </c>
      <c r="O497" s="50">
        <f t="shared" si="56"/>
        <v>2566</v>
      </c>
      <c r="P497" s="50">
        <v>0</v>
      </c>
      <c r="Q497" s="76"/>
      <c r="R497" s="140">
        <f>IF((5*S9+30*S10)&gt;200,200,(5*S9+30*S10))</f>
        <v>200</v>
      </c>
      <c r="S497" s="79">
        <v>3.42</v>
      </c>
      <c r="T497" s="80">
        <v>7.07</v>
      </c>
    </row>
    <row r="498" spans="2:20" ht="84">
      <c r="B498" s="5" t="s">
        <v>1194</v>
      </c>
      <c r="C498" s="45" t="s">
        <v>135</v>
      </c>
      <c r="D498" s="45">
        <v>90445</v>
      </c>
      <c r="E498" s="6" t="s">
        <v>1195</v>
      </c>
      <c r="F498" s="45" t="s">
        <v>187</v>
      </c>
      <c r="G498" s="46">
        <f t="shared" si="57"/>
        <v>100</v>
      </c>
      <c r="H498" s="46">
        <f>TRUNC(S498*(1-LOTE_01!$K$10),2)</f>
        <v>7.14</v>
      </c>
      <c r="I498" s="46">
        <f>TRUNC(T498*(1-LOTE_01!$K$10),2)</f>
        <v>17.11</v>
      </c>
      <c r="J498" s="100">
        <f t="shared" si="58"/>
        <v>0.22470000000000001</v>
      </c>
      <c r="K498" s="48">
        <f t="shared" si="52"/>
        <v>8.74</v>
      </c>
      <c r="L498" s="48">
        <f t="shared" si="53"/>
        <v>20.95</v>
      </c>
      <c r="M498" s="48">
        <f t="shared" si="54"/>
        <v>874</v>
      </c>
      <c r="N498" s="48">
        <f t="shared" si="55"/>
        <v>2095</v>
      </c>
      <c r="O498" s="50">
        <f t="shared" si="56"/>
        <v>2969</v>
      </c>
      <c r="P498" s="50">
        <v>0</v>
      </c>
      <c r="Q498" s="76"/>
      <c r="R498" s="140">
        <f>IF((5*S9+30*S10)&gt;100,100,(5*S9+30*S10))</f>
        <v>100</v>
      </c>
      <c r="S498" s="79">
        <v>7.1400000000000006</v>
      </c>
      <c r="T498" s="80">
        <v>17.11</v>
      </c>
    </row>
    <row r="499" spans="2:20" ht="28">
      <c r="B499" s="5" t="s">
        <v>1196</v>
      </c>
      <c r="C499" s="45" t="s">
        <v>97</v>
      </c>
      <c r="D499" s="45" t="s">
        <v>1197</v>
      </c>
      <c r="E499" s="6" t="s">
        <v>1198</v>
      </c>
      <c r="F499" s="45" t="s">
        <v>999</v>
      </c>
      <c r="G499" s="46">
        <f t="shared" si="57"/>
        <v>50</v>
      </c>
      <c r="H499" s="46">
        <f>TRUNC(S499*(1-LOTE_01!$K$10),2)</f>
        <v>316.58999999999997</v>
      </c>
      <c r="I499" s="46">
        <f>TRUNC(T499*(1-LOTE_01!$K$10),2)</f>
        <v>362.82</v>
      </c>
      <c r="J499" s="100">
        <f t="shared" si="58"/>
        <v>0.22470000000000001</v>
      </c>
      <c r="K499" s="48">
        <f t="shared" si="52"/>
        <v>387.72</v>
      </c>
      <c r="L499" s="48">
        <f t="shared" si="53"/>
        <v>444.34</v>
      </c>
      <c r="M499" s="48">
        <f t="shared" si="54"/>
        <v>19386</v>
      </c>
      <c r="N499" s="48">
        <f t="shared" si="55"/>
        <v>22217</v>
      </c>
      <c r="O499" s="50">
        <f t="shared" si="56"/>
        <v>41603</v>
      </c>
      <c r="P499" s="50">
        <v>0</v>
      </c>
      <c r="Q499" s="76"/>
      <c r="R499" s="140">
        <f>IF((5*S9+10*S10)&gt;50,50,(5*S9+10*S10))</f>
        <v>50</v>
      </c>
      <c r="S499" s="79">
        <v>316.58999999999997</v>
      </c>
      <c r="T499" s="80">
        <v>362.82</v>
      </c>
    </row>
    <row r="500" spans="2:20" ht="28">
      <c r="B500" s="5" t="s">
        <v>1199</v>
      </c>
      <c r="C500" s="45" t="s">
        <v>97</v>
      </c>
      <c r="D500" s="45" t="s">
        <v>1200</v>
      </c>
      <c r="E500" s="6" t="s">
        <v>1201</v>
      </c>
      <c r="F500" s="45" t="s">
        <v>999</v>
      </c>
      <c r="G500" s="46">
        <f t="shared" si="57"/>
        <v>50</v>
      </c>
      <c r="H500" s="46">
        <f>TRUNC(S500*(1-LOTE_01!$K$10),2)</f>
        <v>123.67</v>
      </c>
      <c r="I500" s="46">
        <f>TRUNC(T500*(1-LOTE_01!$K$10),2)</f>
        <v>76.069999999999993</v>
      </c>
      <c r="J500" s="100">
        <f t="shared" si="58"/>
        <v>0.22470000000000001</v>
      </c>
      <c r="K500" s="48">
        <f t="shared" si="52"/>
        <v>151.44999999999999</v>
      </c>
      <c r="L500" s="48">
        <f t="shared" si="53"/>
        <v>93.16</v>
      </c>
      <c r="M500" s="48">
        <f t="shared" si="54"/>
        <v>7572.5</v>
      </c>
      <c r="N500" s="48">
        <f t="shared" si="55"/>
        <v>4658</v>
      </c>
      <c r="O500" s="50">
        <f t="shared" si="56"/>
        <v>12230.5</v>
      </c>
      <c r="P500" s="50">
        <v>0</v>
      </c>
      <c r="Q500" s="76"/>
      <c r="R500" s="140">
        <f>IF((5*S9+10*S10)&gt;50,50,(5*S9+10*S10))</f>
        <v>50</v>
      </c>
      <c r="S500" s="79">
        <v>123.67</v>
      </c>
      <c r="T500" s="80">
        <v>76.069999999999993</v>
      </c>
    </row>
    <row r="501" spans="2:20" ht="84">
      <c r="B501" s="5" t="s">
        <v>1202</v>
      </c>
      <c r="C501" s="45" t="s">
        <v>97</v>
      </c>
      <c r="D501" s="45" t="s">
        <v>1203</v>
      </c>
      <c r="E501" s="6" t="s">
        <v>1204</v>
      </c>
      <c r="F501" s="45" t="s">
        <v>104</v>
      </c>
      <c r="G501" s="46">
        <f t="shared" si="57"/>
        <v>50</v>
      </c>
      <c r="H501" s="46">
        <f>TRUNC(S501*(1-LOTE_01!$K$10),2)</f>
        <v>820.44</v>
      </c>
      <c r="I501" s="46">
        <f>TRUNC(T501*(1-LOTE_01!$K$10),2)</f>
        <v>645.66999999999996</v>
      </c>
      <c r="J501" s="100">
        <f t="shared" si="58"/>
        <v>0.22470000000000001</v>
      </c>
      <c r="K501" s="48">
        <f t="shared" si="52"/>
        <v>1004.79</v>
      </c>
      <c r="L501" s="48">
        <f t="shared" si="53"/>
        <v>790.75</v>
      </c>
      <c r="M501" s="48">
        <f t="shared" si="54"/>
        <v>50239.5</v>
      </c>
      <c r="N501" s="48">
        <f t="shared" si="55"/>
        <v>39537.5</v>
      </c>
      <c r="O501" s="50">
        <f t="shared" si="56"/>
        <v>89777</v>
      </c>
      <c r="P501" s="50">
        <v>0</v>
      </c>
      <c r="Q501" s="76"/>
      <c r="R501" s="140">
        <f>IF((5*S9+10*S10)&gt;50,50,(5*S9+10*S10))</f>
        <v>50</v>
      </c>
      <c r="S501" s="79">
        <v>820.44</v>
      </c>
      <c r="T501" s="80">
        <v>645.66999999999996</v>
      </c>
    </row>
    <row r="502" spans="2:20" ht="42">
      <c r="B502" s="5" t="s">
        <v>1205</v>
      </c>
      <c r="C502" s="45" t="s">
        <v>135</v>
      </c>
      <c r="D502" s="45">
        <v>86886</v>
      </c>
      <c r="E502" s="6" t="s">
        <v>1816</v>
      </c>
      <c r="F502" s="45" t="s">
        <v>210</v>
      </c>
      <c r="G502" s="46">
        <f t="shared" si="57"/>
        <v>50</v>
      </c>
      <c r="H502" s="46">
        <f>TRUNC(S502*(1-LOTE_01!$K$10),2)</f>
        <v>41.91</v>
      </c>
      <c r="I502" s="46">
        <f>TRUNC(T502*(1-LOTE_01!$K$10),2)</f>
        <v>3.54</v>
      </c>
      <c r="J502" s="100">
        <f t="shared" si="58"/>
        <v>0.22470000000000001</v>
      </c>
      <c r="K502" s="48">
        <f t="shared" si="52"/>
        <v>51.32</v>
      </c>
      <c r="L502" s="48">
        <f t="shared" si="53"/>
        <v>4.33</v>
      </c>
      <c r="M502" s="48">
        <f t="shared" si="54"/>
        <v>2566</v>
      </c>
      <c r="N502" s="48">
        <f t="shared" si="55"/>
        <v>216.5</v>
      </c>
      <c r="O502" s="50">
        <f t="shared" si="56"/>
        <v>2782.5</v>
      </c>
      <c r="P502" s="50">
        <v>0</v>
      </c>
      <c r="Q502" s="76"/>
      <c r="R502" s="140">
        <f>IF((5*S9+10*S10)&gt;50,50,(5*S9+10*S10))</f>
        <v>50</v>
      </c>
      <c r="S502" s="79">
        <v>41.910000000000004</v>
      </c>
      <c r="T502" s="80">
        <v>3.54</v>
      </c>
    </row>
    <row r="503" spans="2:20" ht="28">
      <c r="B503" s="5" t="s">
        <v>1206</v>
      </c>
      <c r="C503" s="45" t="s">
        <v>165</v>
      </c>
      <c r="D503" s="45" t="s">
        <v>1207</v>
      </c>
      <c r="E503" s="6" t="s">
        <v>1208</v>
      </c>
      <c r="F503" s="45" t="s">
        <v>559</v>
      </c>
      <c r="G503" s="46">
        <f t="shared" si="57"/>
        <v>50</v>
      </c>
      <c r="H503" s="46">
        <f>TRUNC(S503*(1-LOTE_01!$K$10),2)</f>
        <v>182.41</v>
      </c>
      <c r="I503" s="46">
        <f>TRUNC(T503*(1-LOTE_01!$K$10),2)</f>
        <v>19.45</v>
      </c>
      <c r="J503" s="100">
        <f t="shared" si="58"/>
        <v>0.22470000000000001</v>
      </c>
      <c r="K503" s="48">
        <f t="shared" si="52"/>
        <v>223.39</v>
      </c>
      <c r="L503" s="48">
        <f t="shared" si="53"/>
        <v>23.82</v>
      </c>
      <c r="M503" s="48">
        <f t="shared" si="54"/>
        <v>11169.5</v>
      </c>
      <c r="N503" s="48">
        <f t="shared" si="55"/>
        <v>1191</v>
      </c>
      <c r="O503" s="50">
        <f t="shared" si="56"/>
        <v>12360.5</v>
      </c>
      <c r="P503" s="50">
        <v>0</v>
      </c>
      <c r="Q503" s="76"/>
      <c r="R503" s="140">
        <f>IF((5*S9+10*S10)&gt;50,50,(5*S9+10*S10))</f>
        <v>50</v>
      </c>
      <c r="S503" s="79">
        <v>182.41</v>
      </c>
      <c r="T503" s="80">
        <v>19.45</v>
      </c>
    </row>
    <row r="504" spans="2:20" ht="28">
      <c r="B504" s="5" t="s">
        <v>1209</v>
      </c>
      <c r="C504" s="45" t="s">
        <v>165</v>
      </c>
      <c r="D504" s="45" t="s">
        <v>1210</v>
      </c>
      <c r="E504" s="6" t="s">
        <v>1211</v>
      </c>
      <c r="F504" s="45" t="s">
        <v>559</v>
      </c>
      <c r="G504" s="46">
        <f t="shared" si="57"/>
        <v>50</v>
      </c>
      <c r="H504" s="46">
        <f>TRUNC(S504*(1-LOTE_01!$K$10),2)</f>
        <v>119.1</v>
      </c>
      <c r="I504" s="46">
        <f>TRUNC(T504*(1-LOTE_01!$K$10),2)</f>
        <v>19.45</v>
      </c>
      <c r="J504" s="100">
        <f t="shared" si="58"/>
        <v>0.22470000000000001</v>
      </c>
      <c r="K504" s="48">
        <f t="shared" si="52"/>
        <v>145.86000000000001</v>
      </c>
      <c r="L504" s="48">
        <f t="shared" si="53"/>
        <v>23.82</v>
      </c>
      <c r="M504" s="48">
        <f t="shared" si="54"/>
        <v>7293</v>
      </c>
      <c r="N504" s="48">
        <f t="shared" si="55"/>
        <v>1191</v>
      </c>
      <c r="O504" s="50">
        <f t="shared" si="56"/>
        <v>8484</v>
      </c>
      <c r="P504" s="50">
        <v>0</v>
      </c>
      <c r="Q504" s="76"/>
      <c r="R504" s="140">
        <f>IF((5*S9+10*S10)&gt;50,50,(5*S9+10*S10))</f>
        <v>50</v>
      </c>
      <c r="S504" s="79">
        <v>119.1</v>
      </c>
      <c r="T504" s="80">
        <v>19.45</v>
      </c>
    </row>
    <row r="505" spans="2:20" ht="56">
      <c r="B505" s="5" t="s">
        <v>1212</v>
      </c>
      <c r="C505" s="45" t="s">
        <v>135</v>
      </c>
      <c r="D505" s="45">
        <v>89358</v>
      </c>
      <c r="E505" s="6" t="s">
        <v>1213</v>
      </c>
      <c r="F505" s="45" t="s">
        <v>210</v>
      </c>
      <c r="G505" s="46">
        <f t="shared" si="57"/>
        <v>50</v>
      </c>
      <c r="H505" s="46">
        <f>TRUNC(S505*(1-LOTE_01!$K$10),2)</f>
        <v>4.01</v>
      </c>
      <c r="I505" s="46">
        <f>TRUNC(T505*(1-LOTE_01!$K$10),2)</f>
        <v>5.16</v>
      </c>
      <c r="J505" s="100">
        <f t="shared" si="58"/>
        <v>0.22470000000000001</v>
      </c>
      <c r="K505" s="48">
        <f t="shared" si="52"/>
        <v>4.91</v>
      </c>
      <c r="L505" s="48">
        <f t="shared" si="53"/>
        <v>6.31</v>
      </c>
      <c r="M505" s="48">
        <f t="shared" si="54"/>
        <v>245.5</v>
      </c>
      <c r="N505" s="48">
        <f t="shared" si="55"/>
        <v>315.5</v>
      </c>
      <c r="O505" s="50">
        <f t="shared" si="56"/>
        <v>561</v>
      </c>
      <c r="P505" s="50">
        <v>0</v>
      </c>
      <c r="Q505" s="76"/>
      <c r="R505" s="140">
        <f>IF((5*S9+10*S10)&gt;50,50,(5*S9+10*S10))</f>
        <v>50</v>
      </c>
      <c r="S505" s="79">
        <v>4.01</v>
      </c>
      <c r="T505" s="80">
        <v>5.16</v>
      </c>
    </row>
    <row r="506" spans="2:20" ht="56">
      <c r="B506" s="5" t="s">
        <v>1214</v>
      </c>
      <c r="C506" s="45" t="s">
        <v>135</v>
      </c>
      <c r="D506" s="45">
        <v>89362</v>
      </c>
      <c r="E506" s="6" t="s">
        <v>1215</v>
      </c>
      <c r="F506" s="45" t="s">
        <v>210</v>
      </c>
      <c r="G506" s="46">
        <f t="shared" si="57"/>
        <v>50</v>
      </c>
      <c r="H506" s="46">
        <f>TRUNC(S506*(1-LOTE_01!$K$10),2)</f>
        <v>4.87</v>
      </c>
      <c r="I506" s="46">
        <f>TRUNC(T506*(1-LOTE_01!$K$10),2)</f>
        <v>5.98</v>
      </c>
      <c r="J506" s="100">
        <f t="shared" si="58"/>
        <v>0.22470000000000001</v>
      </c>
      <c r="K506" s="48">
        <f t="shared" si="52"/>
        <v>5.96</v>
      </c>
      <c r="L506" s="48">
        <f t="shared" si="53"/>
        <v>7.32</v>
      </c>
      <c r="M506" s="48">
        <f t="shared" si="54"/>
        <v>298</v>
      </c>
      <c r="N506" s="48">
        <f t="shared" si="55"/>
        <v>366</v>
      </c>
      <c r="O506" s="50">
        <f t="shared" si="56"/>
        <v>664</v>
      </c>
      <c r="P506" s="50">
        <v>0</v>
      </c>
      <c r="Q506" s="76"/>
      <c r="R506" s="140">
        <f>IF((5*S9+10*S10)&gt;50,50,(5*S9+10*S10))</f>
        <v>50</v>
      </c>
      <c r="S506" s="79">
        <v>4.8699999999999992</v>
      </c>
      <c r="T506" s="80">
        <v>5.98</v>
      </c>
    </row>
    <row r="507" spans="2:20" ht="70">
      <c r="B507" s="5" t="s">
        <v>1216</v>
      </c>
      <c r="C507" s="45" t="s">
        <v>135</v>
      </c>
      <c r="D507" s="45">
        <v>89366</v>
      </c>
      <c r="E507" s="6" t="s">
        <v>1217</v>
      </c>
      <c r="F507" s="45" t="s">
        <v>210</v>
      </c>
      <c r="G507" s="46">
        <f t="shared" si="57"/>
        <v>50</v>
      </c>
      <c r="H507" s="46">
        <f>TRUNC(S507*(1-LOTE_01!$K$10),2)</f>
        <v>11.69</v>
      </c>
      <c r="I507" s="46">
        <f>TRUNC(T507*(1-LOTE_01!$K$10),2)</f>
        <v>5.31</v>
      </c>
      <c r="J507" s="100">
        <f t="shared" si="58"/>
        <v>0.22470000000000001</v>
      </c>
      <c r="K507" s="48">
        <f t="shared" si="52"/>
        <v>14.31</v>
      </c>
      <c r="L507" s="48">
        <f t="shared" si="53"/>
        <v>6.5</v>
      </c>
      <c r="M507" s="48">
        <f t="shared" si="54"/>
        <v>715.5</v>
      </c>
      <c r="N507" s="48">
        <f t="shared" si="55"/>
        <v>325</v>
      </c>
      <c r="O507" s="50">
        <f t="shared" si="56"/>
        <v>1040.5</v>
      </c>
      <c r="P507" s="50">
        <v>0</v>
      </c>
      <c r="Q507" s="76"/>
      <c r="R507" s="140">
        <f>IF((5*S9+10*S10)&gt;50,50,(5*S9+10*S10))</f>
        <v>50</v>
      </c>
      <c r="S507" s="79">
        <v>11.690000000000001</v>
      </c>
      <c r="T507" s="80">
        <v>5.31</v>
      </c>
    </row>
    <row r="508" spans="2:20" ht="70">
      <c r="B508" s="5" t="s">
        <v>1218</v>
      </c>
      <c r="C508" s="45" t="s">
        <v>135</v>
      </c>
      <c r="D508" s="45">
        <v>89366</v>
      </c>
      <c r="E508" s="6" t="s">
        <v>1217</v>
      </c>
      <c r="F508" s="45" t="s">
        <v>210</v>
      </c>
      <c r="G508" s="46">
        <f t="shared" si="57"/>
        <v>50</v>
      </c>
      <c r="H508" s="46">
        <f>TRUNC(S508*(1-LOTE_01!$K$10),2)</f>
        <v>11.69</v>
      </c>
      <c r="I508" s="46">
        <f>TRUNC(T508*(1-LOTE_01!$K$10),2)</f>
        <v>5.31</v>
      </c>
      <c r="J508" s="100">
        <f t="shared" si="58"/>
        <v>0.22470000000000001</v>
      </c>
      <c r="K508" s="48">
        <f t="shared" si="52"/>
        <v>14.31</v>
      </c>
      <c r="L508" s="48">
        <f t="shared" si="53"/>
        <v>6.5</v>
      </c>
      <c r="M508" s="48">
        <f t="shared" si="54"/>
        <v>715.5</v>
      </c>
      <c r="N508" s="48">
        <f t="shared" si="55"/>
        <v>325</v>
      </c>
      <c r="O508" s="50">
        <f t="shared" si="56"/>
        <v>1040.5</v>
      </c>
      <c r="P508" s="50">
        <v>0</v>
      </c>
      <c r="Q508" s="76"/>
      <c r="R508" s="140">
        <f>IF((5*S9+10*S10)&gt;50,50,(5*S9+10*S10))</f>
        <v>50</v>
      </c>
      <c r="S508" s="79">
        <v>11.690000000000001</v>
      </c>
      <c r="T508" s="80">
        <v>5.31</v>
      </c>
    </row>
    <row r="509" spans="2:20" ht="56">
      <c r="B509" s="5" t="s">
        <v>1219</v>
      </c>
      <c r="C509" s="45" t="s">
        <v>135</v>
      </c>
      <c r="D509" s="45">
        <v>89367</v>
      </c>
      <c r="E509" s="6" t="s">
        <v>1220</v>
      </c>
      <c r="F509" s="45" t="s">
        <v>210</v>
      </c>
      <c r="G509" s="46">
        <f t="shared" si="57"/>
        <v>50</v>
      </c>
      <c r="H509" s="46">
        <f>TRUNC(S509*(1-LOTE_01!$K$10),2)</f>
        <v>7.52</v>
      </c>
      <c r="I509" s="46">
        <f>TRUNC(T509*(1-LOTE_01!$K$10),2)</f>
        <v>7.05</v>
      </c>
      <c r="J509" s="100">
        <f t="shared" si="58"/>
        <v>0.22470000000000001</v>
      </c>
      <c r="K509" s="48">
        <f t="shared" si="52"/>
        <v>9.1999999999999993</v>
      </c>
      <c r="L509" s="48">
        <f t="shared" si="53"/>
        <v>8.6300000000000008</v>
      </c>
      <c r="M509" s="48">
        <f t="shared" si="54"/>
        <v>460</v>
      </c>
      <c r="N509" s="48">
        <f t="shared" si="55"/>
        <v>431.5</v>
      </c>
      <c r="O509" s="50">
        <f t="shared" si="56"/>
        <v>891.5</v>
      </c>
      <c r="P509" s="50">
        <v>0</v>
      </c>
      <c r="Q509" s="76"/>
      <c r="R509" s="140">
        <f>IF((5*S9+10*S10)&gt;50,50,(5*S9+10*S10))</f>
        <v>50</v>
      </c>
      <c r="S509" s="79">
        <v>7.5200000000000005</v>
      </c>
      <c r="T509" s="80">
        <v>7.05</v>
      </c>
    </row>
    <row r="510" spans="2:20" ht="56">
      <c r="B510" s="5" t="s">
        <v>1221</v>
      </c>
      <c r="C510" s="45" t="s">
        <v>135</v>
      </c>
      <c r="D510" s="45">
        <v>89497</v>
      </c>
      <c r="E510" s="6" t="s">
        <v>1222</v>
      </c>
      <c r="F510" s="45" t="s">
        <v>210</v>
      </c>
      <c r="G510" s="46">
        <f t="shared" si="57"/>
        <v>50</v>
      </c>
      <c r="H510" s="46">
        <f>TRUNC(S510*(1-LOTE_01!$K$10),2)</f>
        <v>9.59</v>
      </c>
      <c r="I510" s="46">
        <f>TRUNC(T510*(1-LOTE_01!$K$10),2)</f>
        <v>3.93</v>
      </c>
      <c r="J510" s="100">
        <f t="shared" si="58"/>
        <v>0.22470000000000001</v>
      </c>
      <c r="K510" s="48">
        <f t="shared" si="52"/>
        <v>11.74</v>
      </c>
      <c r="L510" s="48">
        <f t="shared" si="53"/>
        <v>4.8099999999999996</v>
      </c>
      <c r="M510" s="48">
        <f t="shared" si="54"/>
        <v>587</v>
      </c>
      <c r="N510" s="48">
        <f t="shared" si="55"/>
        <v>240.5</v>
      </c>
      <c r="O510" s="50">
        <f t="shared" si="56"/>
        <v>827.5</v>
      </c>
      <c r="P510" s="50">
        <v>0</v>
      </c>
      <c r="Q510" s="76"/>
      <c r="R510" s="140">
        <f>IF((5*S9+10*S10)&gt;50,50,(5*S9+10*S10))</f>
        <v>50</v>
      </c>
      <c r="S510" s="79">
        <v>9.59</v>
      </c>
      <c r="T510" s="80">
        <v>3.93</v>
      </c>
    </row>
    <row r="511" spans="2:20" ht="70">
      <c r="B511" s="5" t="s">
        <v>1223</v>
      </c>
      <c r="C511" s="45" t="s">
        <v>135</v>
      </c>
      <c r="D511" s="45">
        <v>96853</v>
      </c>
      <c r="E511" s="6" t="s">
        <v>1224</v>
      </c>
      <c r="F511" s="45" t="s">
        <v>210</v>
      </c>
      <c r="G511" s="46">
        <f t="shared" si="57"/>
        <v>50</v>
      </c>
      <c r="H511" s="46">
        <f>TRUNC(S511*(1-LOTE_01!$K$10),2)</f>
        <v>18.010000000000002</v>
      </c>
      <c r="I511" s="46">
        <f>TRUNC(T511*(1-LOTE_01!$K$10),2)</f>
        <v>9.36</v>
      </c>
      <c r="J511" s="100">
        <f t="shared" si="58"/>
        <v>0.22470000000000001</v>
      </c>
      <c r="K511" s="48">
        <f t="shared" si="52"/>
        <v>22.05</v>
      </c>
      <c r="L511" s="48">
        <f t="shared" si="53"/>
        <v>11.46</v>
      </c>
      <c r="M511" s="48">
        <f t="shared" si="54"/>
        <v>1102.5</v>
      </c>
      <c r="N511" s="48">
        <f t="shared" si="55"/>
        <v>573</v>
      </c>
      <c r="O511" s="50">
        <f t="shared" si="56"/>
        <v>1675.5</v>
      </c>
      <c r="P511" s="50">
        <v>0</v>
      </c>
      <c r="Q511" s="76"/>
      <c r="R511" s="140">
        <f>IF((5*S9+10*S10)&gt;50,50,(5*S9+10*S10))</f>
        <v>50</v>
      </c>
      <c r="S511" s="79">
        <v>18.010000000000002</v>
      </c>
      <c r="T511" s="80">
        <v>9.36</v>
      </c>
    </row>
    <row r="512" spans="2:20" ht="70">
      <c r="B512" s="5" t="s">
        <v>1225</v>
      </c>
      <c r="C512" s="45" t="s">
        <v>135</v>
      </c>
      <c r="D512" s="45">
        <v>90373</v>
      </c>
      <c r="E512" s="6" t="s">
        <v>1226</v>
      </c>
      <c r="F512" s="45" t="s">
        <v>210</v>
      </c>
      <c r="G512" s="46">
        <f t="shared" si="57"/>
        <v>50</v>
      </c>
      <c r="H512" s="46">
        <f>TRUNC(S512*(1-LOTE_01!$K$10),2)</f>
        <v>8.84</v>
      </c>
      <c r="I512" s="46">
        <f>TRUNC(T512*(1-LOTE_01!$K$10),2)</f>
        <v>4.97</v>
      </c>
      <c r="J512" s="100">
        <f t="shared" si="58"/>
        <v>0.22470000000000001</v>
      </c>
      <c r="K512" s="48">
        <f t="shared" si="52"/>
        <v>10.82</v>
      </c>
      <c r="L512" s="48">
        <f t="shared" si="53"/>
        <v>6.08</v>
      </c>
      <c r="M512" s="48">
        <f t="shared" si="54"/>
        <v>541</v>
      </c>
      <c r="N512" s="48">
        <f t="shared" si="55"/>
        <v>304</v>
      </c>
      <c r="O512" s="50">
        <f t="shared" si="56"/>
        <v>845</v>
      </c>
      <c r="P512" s="50">
        <v>0</v>
      </c>
      <c r="Q512" s="76"/>
      <c r="R512" s="140">
        <f>IF((5*S9+10*S10)&gt;50,50,(5*S9+10*S10))</f>
        <v>50</v>
      </c>
      <c r="S512" s="79">
        <v>8.84</v>
      </c>
      <c r="T512" s="80">
        <v>4.97</v>
      </c>
    </row>
    <row r="513" spans="2:20" ht="56">
      <c r="B513" s="5" t="s">
        <v>1227</v>
      </c>
      <c r="C513" s="45" t="s">
        <v>135</v>
      </c>
      <c r="D513" s="45">
        <v>89369</v>
      </c>
      <c r="E513" s="6" t="s">
        <v>1228</v>
      </c>
      <c r="F513" s="45" t="s">
        <v>210</v>
      </c>
      <c r="G513" s="46">
        <f t="shared" si="57"/>
        <v>50</v>
      </c>
      <c r="H513" s="46">
        <f>TRUNC(S513*(1-LOTE_01!$K$10),2)</f>
        <v>11.47</v>
      </c>
      <c r="I513" s="46">
        <f>TRUNC(T513*(1-LOTE_01!$K$10),2)</f>
        <v>6.9</v>
      </c>
      <c r="J513" s="100">
        <f t="shared" si="58"/>
        <v>0.22470000000000001</v>
      </c>
      <c r="K513" s="48">
        <f t="shared" si="52"/>
        <v>14.04</v>
      </c>
      <c r="L513" s="48">
        <f t="shared" si="53"/>
        <v>8.4499999999999993</v>
      </c>
      <c r="M513" s="48">
        <f t="shared" si="54"/>
        <v>702</v>
      </c>
      <c r="N513" s="48">
        <f t="shared" si="55"/>
        <v>422.5</v>
      </c>
      <c r="O513" s="50">
        <f t="shared" si="56"/>
        <v>1124.5</v>
      </c>
      <c r="P513" s="50">
        <v>0</v>
      </c>
      <c r="Q513" s="76"/>
      <c r="R513" s="140">
        <f>IF((5*S9+10*S10)&gt;50,50,(5*S9+10*S10))</f>
        <v>50</v>
      </c>
      <c r="S513" s="79">
        <v>11.47</v>
      </c>
      <c r="T513" s="80">
        <v>6.9</v>
      </c>
    </row>
    <row r="514" spans="2:20" ht="70">
      <c r="B514" s="5" t="s">
        <v>1229</v>
      </c>
      <c r="C514" s="45" t="s">
        <v>135</v>
      </c>
      <c r="D514" s="45">
        <v>89391</v>
      </c>
      <c r="E514" s="6" t="s">
        <v>1230</v>
      </c>
      <c r="F514" s="45" t="s">
        <v>210</v>
      </c>
      <c r="G514" s="46">
        <f t="shared" si="57"/>
        <v>50</v>
      </c>
      <c r="H514" s="46">
        <f>TRUNC(S514*(1-LOTE_01!$K$10),2)</f>
        <v>5.25</v>
      </c>
      <c r="I514" s="46">
        <f>TRUNC(T514*(1-LOTE_01!$K$10),2)</f>
        <v>4.3</v>
      </c>
      <c r="J514" s="100">
        <f t="shared" si="58"/>
        <v>0.22470000000000001</v>
      </c>
      <c r="K514" s="48">
        <f t="shared" si="52"/>
        <v>6.42</v>
      </c>
      <c r="L514" s="48">
        <f t="shared" si="53"/>
        <v>5.26</v>
      </c>
      <c r="M514" s="48">
        <f t="shared" si="54"/>
        <v>321</v>
      </c>
      <c r="N514" s="48">
        <f t="shared" si="55"/>
        <v>263</v>
      </c>
      <c r="O514" s="50">
        <f t="shared" si="56"/>
        <v>584</v>
      </c>
      <c r="P514" s="50">
        <v>0</v>
      </c>
      <c r="Q514" s="76"/>
      <c r="R514" s="140">
        <f>IF((5*S9+10*S10)&gt;50,50,(5*S9+10*S10))</f>
        <v>50</v>
      </c>
      <c r="S514" s="79">
        <v>5.2500000000000009</v>
      </c>
      <c r="T514" s="80">
        <v>4.3</v>
      </c>
    </row>
    <row r="515" spans="2:20" ht="56">
      <c r="B515" s="5" t="s">
        <v>1231</v>
      </c>
      <c r="C515" s="45" t="s">
        <v>135</v>
      </c>
      <c r="D515" s="45">
        <v>89401</v>
      </c>
      <c r="E515" s="6" t="s">
        <v>1232</v>
      </c>
      <c r="F515" s="45" t="s">
        <v>187</v>
      </c>
      <c r="G515" s="46">
        <f t="shared" si="57"/>
        <v>100</v>
      </c>
      <c r="H515" s="46">
        <f>TRUNC(S515*(1-LOTE_01!$K$10),2)</f>
        <v>6.68</v>
      </c>
      <c r="I515" s="46">
        <f>TRUNC(T515*(1-LOTE_01!$K$10),2)</f>
        <v>5.25</v>
      </c>
      <c r="J515" s="100">
        <f t="shared" si="58"/>
        <v>0.22470000000000001</v>
      </c>
      <c r="K515" s="48">
        <f t="shared" si="52"/>
        <v>8.18</v>
      </c>
      <c r="L515" s="48">
        <f t="shared" si="53"/>
        <v>6.42</v>
      </c>
      <c r="M515" s="48">
        <f t="shared" si="54"/>
        <v>818</v>
      </c>
      <c r="N515" s="48">
        <f t="shared" si="55"/>
        <v>642</v>
      </c>
      <c r="O515" s="50">
        <f t="shared" si="56"/>
        <v>1460</v>
      </c>
      <c r="P515" s="50">
        <v>0</v>
      </c>
      <c r="Q515" s="76"/>
      <c r="R515" s="140">
        <f>IF((10*S9+20*S10)&gt;100,100,(10*S9+20*S10))</f>
        <v>100</v>
      </c>
      <c r="S515" s="79">
        <v>6.68</v>
      </c>
      <c r="T515" s="80">
        <v>5.25</v>
      </c>
    </row>
    <row r="516" spans="2:20" ht="56">
      <c r="B516" s="5" t="s">
        <v>1233</v>
      </c>
      <c r="C516" s="45" t="s">
        <v>135</v>
      </c>
      <c r="D516" s="45">
        <v>89402</v>
      </c>
      <c r="E516" s="6" t="s">
        <v>1234</v>
      </c>
      <c r="F516" s="45" t="s">
        <v>187</v>
      </c>
      <c r="G516" s="46">
        <f t="shared" si="57"/>
        <v>100</v>
      </c>
      <c r="H516" s="46">
        <f>TRUNC(S516*(1-LOTE_01!$K$10),2)</f>
        <v>7.64</v>
      </c>
      <c r="I516" s="46">
        <f>TRUNC(T516*(1-LOTE_01!$K$10),2)</f>
        <v>6.09</v>
      </c>
      <c r="J516" s="100">
        <f t="shared" si="58"/>
        <v>0.22470000000000001</v>
      </c>
      <c r="K516" s="48">
        <f t="shared" si="52"/>
        <v>9.35</v>
      </c>
      <c r="L516" s="48">
        <f t="shared" si="53"/>
        <v>7.45</v>
      </c>
      <c r="M516" s="48">
        <f t="shared" si="54"/>
        <v>935</v>
      </c>
      <c r="N516" s="48">
        <f t="shared" si="55"/>
        <v>745</v>
      </c>
      <c r="O516" s="50">
        <f t="shared" si="56"/>
        <v>1680</v>
      </c>
      <c r="P516" s="50">
        <v>0</v>
      </c>
      <c r="Q516" s="76"/>
      <c r="R516" s="140">
        <f>IF((10*S9+20*S10)&gt;100,100,(10*S9+20*S10))</f>
        <v>100</v>
      </c>
      <c r="S516" s="79">
        <v>7.6400000000000006</v>
      </c>
      <c r="T516" s="80">
        <v>6.09</v>
      </c>
    </row>
    <row r="517" spans="2:20" ht="56">
      <c r="B517" s="5" t="s">
        <v>1235</v>
      </c>
      <c r="C517" s="45" t="s">
        <v>135</v>
      </c>
      <c r="D517" s="45">
        <v>89403</v>
      </c>
      <c r="E517" s="6" t="s">
        <v>1236</v>
      </c>
      <c r="F517" s="45" t="s">
        <v>187</v>
      </c>
      <c r="G517" s="46">
        <f t="shared" si="57"/>
        <v>100</v>
      </c>
      <c r="H517" s="46">
        <f>TRUNC(S517*(1-LOTE_01!$K$10),2)</f>
        <v>13.2</v>
      </c>
      <c r="I517" s="46">
        <f>TRUNC(T517*(1-LOTE_01!$K$10),2)</f>
        <v>7.14</v>
      </c>
      <c r="J517" s="100">
        <f t="shared" si="58"/>
        <v>0.22470000000000001</v>
      </c>
      <c r="K517" s="48">
        <f t="shared" si="52"/>
        <v>16.16</v>
      </c>
      <c r="L517" s="48">
        <f t="shared" si="53"/>
        <v>8.74</v>
      </c>
      <c r="M517" s="48">
        <f t="shared" si="54"/>
        <v>1616</v>
      </c>
      <c r="N517" s="48">
        <f t="shared" si="55"/>
        <v>874</v>
      </c>
      <c r="O517" s="50">
        <f t="shared" si="56"/>
        <v>2490</v>
      </c>
      <c r="P517" s="50">
        <v>0</v>
      </c>
      <c r="Q517" s="76"/>
      <c r="R517" s="140">
        <f>IF((10*S9+20*S10)&gt;100,100,(10*S9+20*S10))</f>
        <v>100</v>
      </c>
      <c r="S517" s="79">
        <v>13.2</v>
      </c>
      <c r="T517" s="80">
        <v>7.14</v>
      </c>
    </row>
    <row r="518" spans="2:20" ht="56">
      <c r="B518" s="5" t="s">
        <v>1237</v>
      </c>
      <c r="C518" s="45" t="s">
        <v>135</v>
      </c>
      <c r="D518" s="45">
        <v>89448</v>
      </c>
      <c r="E518" s="6" t="s">
        <v>1238</v>
      </c>
      <c r="F518" s="45" t="s">
        <v>187</v>
      </c>
      <c r="G518" s="46">
        <f t="shared" si="57"/>
        <v>100</v>
      </c>
      <c r="H518" s="46">
        <f>TRUNC(S518*(1-LOTE_01!$K$10),2)</f>
        <v>14.63</v>
      </c>
      <c r="I518" s="46">
        <f>TRUNC(T518*(1-LOTE_01!$K$10),2)</f>
        <v>1</v>
      </c>
      <c r="J518" s="100">
        <f t="shared" si="58"/>
        <v>0.22470000000000001</v>
      </c>
      <c r="K518" s="48">
        <f t="shared" si="52"/>
        <v>17.91</v>
      </c>
      <c r="L518" s="48">
        <f t="shared" si="53"/>
        <v>1.22</v>
      </c>
      <c r="M518" s="48">
        <f t="shared" si="54"/>
        <v>1791</v>
      </c>
      <c r="N518" s="48">
        <f t="shared" si="55"/>
        <v>122</v>
      </c>
      <c r="O518" s="50">
        <f t="shared" si="56"/>
        <v>1913</v>
      </c>
      <c r="P518" s="50">
        <v>0</v>
      </c>
      <c r="Q518" s="76"/>
      <c r="R518" s="140">
        <f>IF((10*S9+20*S10)&gt;100,100,(10*S9+20*S10))</f>
        <v>100</v>
      </c>
      <c r="S518" s="79">
        <v>14.63</v>
      </c>
      <c r="T518" s="80">
        <v>1</v>
      </c>
    </row>
    <row r="519" spans="2:20" ht="70">
      <c r="B519" s="5" t="s">
        <v>1239</v>
      </c>
      <c r="C519" s="45" t="s">
        <v>135</v>
      </c>
      <c r="D519" s="45">
        <v>89711</v>
      </c>
      <c r="E519" s="6" t="s">
        <v>1240</v>
      </c>
      <c r="F519" s="45" t="s">
        <v>187</v>
      </c>
      <c r="G519" s="46">
        <f t="shared" si="57"/>
        <v>100</v>
      </c>
      <c r="H519" s="46">
        <f>TRUNC(S519*(1-LOTE_01!$K$10),2)</f>
        <v>11.93</v>
      </c>
      <c r="I519" s="46">
        <f>TRUNC(T519*(1-LOTE_01!$K$10),2)</f>
        <v>11.12</v>
      </c>
      <c r="J519" s="100">
        <f t="shared" si="58"/>
        <v>0.22470000000000001</v>
      </c>
      <c r="K519" s="48">
        <f t="shared" si="52"/>
        <v>14.61</v>
      </c>
      <c r="L519" s="48">
        <f t="shared" si="53"/>
        <v>13.61</v>
      </c>
      <c r="M519" s="48">
        <f t="shared" si="54"/>
        <v>1461</v>
      </c>
      <c r="N519" s="48">
        <f t="shared" si="55"/>
        <v>1361</v>
      </c>
      <c r="O519" s="50">
        <f t="shared" si="56"/>
        <v>2822</v>
      </c>
      <c r="P519" s="50">
        <v>0</v>
      </c>
      <c r="Q519" s="76"/>
      <c r="R519" s="140">
        <f>IF((10*S9+20*S10)&gt;100,100,(10*S9+20*S10))</f>
        <v>100</v>
      </c>
      <c r="S519" s="79">
        <v>11.930000000000001</v>
      </c>
      <c r="T519" s="80">
        <v>11.12</v>
      </c>
    </row>
    <row r="520" spans="2:20" ht="70">
      <c r="B520" s="5" t="s">
        <v>1241</v>
      </c>
      <c r="C520" s="45" t="s">
        <v>135</v>
      </c>
      <c r="D520" s="45">
        <v>89712</v>
      </c>
      <c r="E520" s="6" t="s">
        <v>1242</v>
      </c>
      <c r="F520" s="45" t="s">
        <v>187</v>
      </c>
      <c r="G520" s="46">
        <f t="shared" si="57"/>
        <v>100</v>
      </c>
      <c r="H520" s="46">
        <f>TRUNC(S520*(1-LOTE_01!$K$10),2)</f>
        <v>16.22</v>
      </c>
      <c r="I520" s="46">
        <f>TRUNC(T520*(1-LOTE_01!$K$10),2)</f>
        <v>11.86</v>
      </c>
      <c r="J520" s="100">
        <f t="shared" si="58"/>
        <v>0.22470000000000001</v>
      </c>
      <c r="K520" s="48">
        <f t="shared" si="52"/>
        <v>19.86</v>
      </c>
      <c r="L520" s="48">
        <f t="shared" si="53"/>
        <v>14.52</v>
      </c>
      <c r="M520" s="48">
        <f t="shared" si="54"/>
        <v>1986</v>
      </c>
      <c r="N520" s="48">
        <f t="shared" si="55"/>
        <v>1452</v>
      </c>
      <c r="O520" s="50">
        <f t="shared" si="56"/>
        <v>3438</v>
      </c>
      <c r="P520" s="50">
        <v>0</v>
      </c>
      <c r="Q520" s="76"/>
      <c r="R520" s="140">
        <f>IF((10*S9+20*S10)&gt;100,100,(10*S9+20*S10))</f>
        <v>100</v>
      </c>
      <c r="S520" s="79">
        <v>16.22</v>
      </c>
      <c r="T520" s="80">
        <v>11.86</v>
      </c>
    </row>
    <row r="521" spans="2:20" ht="70">
      <c r="B521" s="5" t="s">
        <v>1243</v>
      </c>
      <c r="C521" s="45" t="s">
        <v>135</v>
      </c>
      <c r="D521" s="45">
        <v>89714</v>
      </c>
      <c r="E521" s="6" t="s">
        <v>1244</v>
      </c>
      <c r="F521" s="45" t="s">
        <v>187</v>
      </c>
      <c r="G521" s="46">
        <f t="shared" si="57"/>
        <v>200</v>
      </c>
      <c r="H521" s="46">
        <f>TRUNC(S521*(1-LOTE_01!$K$10),2)</f>
        <v>22.55</v>
      </c>
      <c r="I521" s="46">
        <f>TRUNC(T521*(1-LOTE_01!$K$10),2)</f>
        <v>16.57</v>
      </c>
      <c r="J521" s="100">
        <f t="shared" si="58"/>
        <v>0.22470000000000001</v>
      </c>
      <c r="K521" s="48">
        <f t="shared" si="52"/>
        <v>27.61</v>
      </c>
      <c r="L521" s="48">
        <f t="shared" si="53"/>
        <v>20.29</v>
      </c>
      <c r="M521" s="48">
        <f t="shared" si="54"/>
        <v>5522</v>
      </c>
      <c r="N521" s="48">
        <f t="shared" si="55"/>
        <v>4058</v>
      </c>
      <c r="O521" s="50">
        <f t="shared" si="56"/>
        <v>9580</v>
      </c>
      <c r="P521" s="50">
        <v>0</v>
      </c>
      <c r="Q521" s="76"/>
      <c r="R521" s="140">
        <f>IF((10*S9+30*S10)&gt;200,200,(10*S9+30*S10))</f>
        <v>200</v>
      </c>
      <c r="S521" s="79">
        <v>22.549999999999997</v>
      </c>
      <c r="T521" s="80">
        <v>16.57</v>
      </c>
    </row>
    <row r="522" spans="2:20" ht="56">
      <c r="B522" s="5" t="s">
        <v>1245</v>
      </c>
      <c r="C522" s="45" t="s">
        <v>135</v>
      </c>
      <c r="D522" s="45">
        <v>89689</v>
      </c>
      <c r="E522" s="6" t="s">
        <v>1246</v>
      </c>
      <c r="F522" s="45" t="s">
        <v>210</v>
      </c>
      <c r="G522" s="46">
        <f t="shared" si="57"/>
        <v>50</v>
      </c>
      <c r="H522" s="46">
        <f>TRUNC(S522*(1-LOTE_01!$K$10),2)</f>
        <v>34.83</v>
      </c>
      <c r="I522" s="46">
        <f>TRUNC(T522*(1-LOTE_01!$K$10),2)</f>
        <v>4.25</v>
      </c>
      <c r="J522" s="100">
        <f t="shared" si="58"/>
        <v>0.22470000000000001</v>
      </c>
      <c r="K522" s="48">
        <f t="shared" si="52"/>
        <v>42.65</v>
      </c>
      <c r="L522" s="48">
        <f t="shared" si="53"/>
        <v>5.2</v>
      </c>
      <c r="M522" s="48">
        <f t="shared" si="54"/>
        <v>2132.5</v>
      </c>
      <c r="N522" s="48">
        <f t="shared" si="55"/>
        <v>260</v>
      </c>
      <c r="O522" s="50">
        <f t="shared" si="56"/>
        <v>2392.5</v>
      </c>
      <c r="P522" s="50">
        <v>0</v>
      </c>
      <c r="Q522" s="76"/>
      <c r="R522" s="140">
        <f>IF((5*S9+10*S10)&gt;50,50,(5*S9+10*S10))</f>
        <v>50</v>
      </c>
      <c r="S522" s="79">
        <v>34.83</v>
      </c>
      <c r="T522" s="80">
        <v>4.25</v>
      </c>
    </row>
    <row r="523" spans="2:20" ht="70">
      <c r="B523" s="5" t="s">
        <v>1247</v>
      </c>
      <c r="C523" s="45" t="s">
        <v>135</v>
      </c>
      <c r="D523" s="45">
        <v>89759</v>
      </c>
      <c r="E523" s="6" t="s">
        <v>1248</v>
      </c>
      <c r="F523" s="45" t="s">
        <v>210</v>
      </c>
      <c r="G523" s="46">
        <f t="shared" si="57"/>
        <v>50</v>
      </c>
      <c r="H523" s="46">
        <f>TRUNC(S523*(1-LOTE_01!$K$10),2)</f>
        <v>9.0399999999999991</v>
      </c>
      <c r="I523" s="46">
        <f>TRUNC(T523*(1-LOTE_01!$K$10),2)</f>
        <v>3.38</v>
      </c>
      <c r="J523" s="100">
        <f t="shared" si="58"/>
        <v>0.22470000000000001</v>
      </c>
      <c r="K523" s="48">
        <f t="shared" si="52"/>
        <v>11.07</v>
      </c>
      <c r="L523" s="48">
        <f t="shared" si="53"/>
        <v>4.13</v>
      </c>
      <c r="M523" s="48">
        <f t="shared" si="54"/>
        <v>553.5</v>
      </c>
      <c r="N523" s="48">
        <f t="shared" si="55"/>
        <v>206.5</v>
      </c>
      <c r="O523" s="50">
        <f t="shared" si="56"/>
        <v>760</v>
      </c>
      <c r="P523" s="50">
        <v>0</v>
      </c>
      <c r="Q523" s="76"/>
      <c r="R523" s="140">
        <f>IF((5*S9+10*S10)&gt;50,50,(5*S9+10*S10))</f>
        <v>50</v>
      </c>
      <c r="S523" s="79">
        <v>9.0399999999999991</v>
      </c>
      <c r="T523" s="80">
        <v>3.38</v>
      </c>
    </row>
    <row r="524" spans="2:20" ht="56">
      <c r="B524" s="5" t="s">
        <v>1249</v>
      </c>
      <c r="C524" s="45" t="s">
        <v>135</v>
      </c>
      <c r="D524" s="45">
        <v>103964</v>
      </c>
      <c r="E524" s="6" t="s">
        <v>1250</v>
      </c>
      <c r="F524" s="45" t="s">
        <v>210</v>
      </c>
      <c r="G524" s="46">
        <f t="shared" si="57"/>
        <v>50</v>
      </c>
      <c r="H524" s="46">
        <f>TRUNC(S524*(1-LOTE_01!$K$10),2)</f>
        <v>6.08</v>
      </c>
      <c r="I524" s="46">
        <f>TRUNC(T524*(1-LOTE_01!$K$10),2)</f>
        <v>2.17</v>
      </c>
      <c r="J524" s="100">
        <f t="shared" si="58"/>
        <v>0.22470000000000001</v>
      </c>
      <c r="K524" s="48">
        <f t="shared" si="52"/>
        <v>7.44</v>
      </c>
      <c r="L524" s="48">
        <f t="shared" si="53"/>
        <v>2.65</v>
      </c>
      <c r="M524" s="48">
        <f t="shared" si="54"/>
        <v>372</v>
      </c>
      <c r="N524" s="48">
        <f t="shared" si="55"/>
        <v>132.5</v>
      </c>
      <c r="O524" s="50">
        <f t="shared" si="56"/>
        <v>504.5</v>
      </c>
      <c r="P524" s="50">
        <v>0</v>
      </c>
      <c r="Q524" s="76"/>
      <c r="R524" s="140">
        <f>IF((5*S9+10*S10)&gt;50,50,(5*S9+10*S10))</f>
        <v>50</v>
      </c>
      <c r="S524" s="79">
        <v>6.08</v>
      </c>
      <c r="T524" s="80">
        <v>2.17</v>
      </c>
    </row>
    <row r="525" spans="2:20" ht="70">
      <c r="B525" s="5" t="s">
        <v>1251</v>
      </c>
      <c r="C525" s="45" t="s">
        <v>135</v>
      </c>
      <c r="D525" s="45">
        <v>89709</v>
      </c>
      <c r="E525" s="6" t="s">
        <v>1252</v>
      </c>
      <c r="F525" s="45" t="s">
        <v>210</v>
      </c>
      <c r="G525" s="46">
        <f t="shared" si="57"/>
        <v>46</v>
      </c>
      <c r="H525" s="46">
        <f>TRUNC(S525*(1-LOTE_01!$K$10),2)</f>
        <v>15.91</v>
      </c>
      <c r="I525" s="46">
        <f>TRUNC(T525*(1-LOTE_01!$K$10),2)</f>
        <v>6.12</v>
      </c>
      <c r="J525" s="100">
        <f t="shared" si="58"/>
        <v>0.22470000000000001</v>
      </c>
      <c r="K525" s="48">
        <f t="shared" si="52"/>
        <v>19.48</v>
      </c>
      <c r="L525" s="48">
        <f t="shared" si="53"/>
        <v>7.49</v>
      </c>
      <c r="M525" s="48">
        <f t="shared" si="54"/>
        <v>896.08</v>
      </c>
      <c r="N525" s="48">
        <f t="shared" si="55"/>
        <v>344.54</v>
      </c>
      <c r="O525" s="50">
        <f t="shared" si="56"/>
        <v>1240.6199999999999</v>
      </c>
      <c r="P525" s="50">
        <v>0</v>
      </c>
      <c r="Q525" s="76"/>
      <c r="R525" s="140">
        <f>IF((2*S9+5*S10)&gt;50,50,(2*S9+5*S10))</f>
        <v>46</v>
      </c>
      <c r="S525" s="79">
        <v>15.91</v>
      </c>
      <c r="T525" s="80">
        <v>6.12</v>
      </c>
    </row>
    <row r="526" spans="2:20" ht="56">
      <c r="B526" s="5" t="s">
        <v>1253</v>
      </c>
      <c r="C526" s="45" t="s">
        <v>135</v>
      </c>
      <c r="D526" s="45">
        <v>89491</v>
      </c>
      <c r="E526" s="6" t="s">
        <v>1254</v>
      </c>
      <c r="F526" s="45" t="s">
        <v>210</v>
      </c>
      <c r="G526" s="46">
        <f t="shared" si="57"/>
        <v>46</v>
      </c>
      <c r="H526" s="46">
        <f>TRUNC(S526*(1-LOTE_01!$K$10),2)</f>
        <v>87.21</v>
      </c>
      <c r="I526" s="46">
        <f>TRUNC(T526*(1-LOTE_01!$K$10),2)</f>
        <v>12.1</v>
      </c>
      <c r="J526" s="100">
        <f t="shared" si="58"/>
        <v>0.22470000000000001</v>
      </c>
      <c r="K526" s="48">
        <f t="shared" si="52"/>
        <v>106.8</v>
      </c>
      <c r="L526" s="48">
        <f t="shared" si="53"/>
        <v>14.81</v>
      </c>
      <c r="M526" s="48">
        <f t="shared" si="54"/>
        <v>4912.8</v>
      </c>
      <c r="N526" s="48">
        <f t="shared" si="55"/>
        <v>681.26</v>
      </c>
      <c r="O526" s="50">
        <f t="shared" si="56"/>
        <v>5594.06</v>
      </c>
      <c r="P526" s="50">
        <v>0</v>
      </c>
      <c r="Q526" s="76"/>
      <c r="R526" s="140">
        <f>IF((2*S9+5*S10)&gt;50,50,(2*S9+5*S10))</f>
        <v>46</v>
      </c>
      <c r="S526" s="79">
        <v>87.210000000000008</v>
      </c>
      <c r="T526" s="80">
        <v>12.1</v>
      </c>
    </row>
    <row r="527" spans="2:20" ht="28">
      <c r="B527" s="5" t="s">
        <v>1255</v>
      </c>
      <c r="C527" s="45" t="s">
        <v>165</v>
      </c>
      <c r="D527" s="45" t="s">
        <v>1210</v>
      </c>
      <c r="E527" s="6" t="s">
        <v>1211</v>
      </c>
      <c r="F527" s="45" t="s">
        <v>559</v>
      </c>
      <c r="G527" s="46">
        <f t="shared" si="57"/>
        <v>50</v>
      </c>
      <c r="H527" s="46">
        <f>TRUNC(S527*(1-LOTE_01!$K$10),2)</f>
        <v>119.1</v>
      </c>
      <c r="I527" s="46">
        <f>TRUNC(T527*(1-LOTE_01!$K$10),2)</f>
        <v>19.45</v>
      </c>
      <c r="J527" s="100">
        <f t="shared" si="58"/>
        <v>0.22470000000000001</v>
      </c>
      <c r="K527" s="48">
        <f t="shared" si="52"/>
        <v>145.86000000000001</v>
      </c>
      <c r="L527" s="48">
        <f t="shared" si="53"/>
        <v>23.82</v>
      </c>
      <c r="M527" s="48">
        <f t="shared" si="54"/>
        <v>7293</v>
      </c>
      <c r="N527" s="48">
        <f t="shared" si="55"/>
        <v>1191</v>
      </c>
      <c r="O527" s="50">
        <f t="shared" si="56"/>
        <v>8484</v>
      </c>
      <c r="P527" s="50">
        <v>0</v>
      </c>
      <c r="Q527" s="76"/>
      <c r="R527" s="140">
        <f>IF((5*S9+10*S10)&gt;50,50,(5*S9+10*S10))</f>
        <v>50</v>
      </c>
      <c r="S527" s="79">
        <v>119.1</v>
      </c>
      <c r="T527" s="80">
        <v>19.45</v>
      </c>
    </row>
    <row r="528" spans="2:20" ht="56">
      <c r="B528" s="5" t="s">
        <v>1256</v>
      </c>
      <c r="C528" s="45" t="s">
        <v>135</v>
      </c>
      <c r="D528" s="45">
        <v>89986</v>
      </c>
      <c r="E528" s="6" t="s">
        <v>1257</v>
      </c>
      <c r="F528" s="45" t="s">
        <v>210</v>
      </c>
      <c r="G528" s="46">
        <f t="shared" si="57"/>
        <v>50</v>
      </c>
      <c r="H528" s="46">
        <f>TRUNC(S528*(1-LOTE_01!$K$10),2)</f>
        <v>67.3</v>
      </c>
      <c r="I528" s="46">
        <f>TRUNC(T528*(1-LOTE_01!$K$10),2)</f>
        <v>8.25</v>
      </c>
      <c r="J528" s="100">
        <f t="shared" si="58"/>
        <v>0.22470000000000001</v>
      </c>
      <c r="K528" s="48">
        <f t="shared" ref="K528:K591" si="59">TRUNC(H528*(1+J528),2)</f>
        <v>82.42</v>
      </c>
      <c r="L528" s="48">
        <f t="shared" ref="L528:L591" si="60">TRUNC(I528*(1+J528),2)</f>
        <v>10.1</v>
      </c>
      <c r="M528" s="48">
        <f t="shared" ref="M528:M591" si="61">TRUNC(K528*G528,2)</f>
        <v>4121</v>
      </c>
      <c r="N528" s="48">
        <f t="shared" ref="N528:N591" si="62">TRUNC(L528*G528,2)</f>
        <v>505</v>
      </c>
      <c r="O528" s="50">
        <f t="shared" ref="O528:O591" si="63">TRUNC(M528+N528,2)</f>
        <v>4626</v>
      </c>
      <c r="P528" s="50">
        <v>0</v>
      </c>
      <c r="Q528" s="76"/>
      <c r="R528" s="140">
        <f>IF((5*S9+10*S10)&gt;50,50,(5*S9+10*S10))</f>
        <v>50</v>
      </c>
      <c r="S528" s="79">
        <v>67.3</v>
      </c>
      <c r="T528" s="80">
        <v>8.25</v>
      </c>
    </row>
    <row r="529" spans="2:20" ht="28">
      <c r="B529" s="5" t="s">
        <v>1258</v>
      </c>
      <c r="C529" s="45" t="s">
        <v>165</v>
      </c>
      <c r="D529" s="45" t="s">
        <v>1259</v>
      </c>
      <c r="E529" s="6" t="s">
        <v>1260</v>
      </c>
      <c r="F529" s="45" t="s">
        <v>559</v>
      </c>
      <c r="G529" s="46">
        <f t="shared" si="57"/>
        <v>50</v>
      </c>
      <c r="H529" s="46">
        <f>TRUNC(S529*(1-LOTE_01!$K$10),2)</f>
        <v>95.61</v>
      </c>
      <c r="I529" s="46">
        <f>TRUNC(T529*(1-LOTE_01!$K$10),2)</f>
        <v>19.45</v>
      </c>
      <c r="J529" s="100">
        <f t="shared" si="58"/>
        <v>0.22470000000000001</v>
      </c>
      <c r="K529" s="48">
        <f t="shared" si="59"/>
        <v>117.09</v>
      </c>
      <c r="L529" s="48">
        <f t="shared" si="60"/>
        <v>23.82</v>
      </c>
      <c r="M529" s="48">
        <f t="shared" si="61"/>
        <v>5854.5</v>
      </c>
      <c r="N529" s="48">
        <f t="shared" si="62"/>
        <v>1191</v>
      </c>
      <c r="O529" s="50">
        <f t="shared" si="63"/>
        <v>7045.5</v>
      </c>
      <c r="P529" s="50">
        <v>0</v>
      </c>
      <c r="Q529" s="76"/>
      <c r="R529" s="140">
        <f>IF((5*S9+10*S10)&gt;50,50,(5*S9+10*S10))</f>
        <v>50</v>
      </c>
      <c r="S529" s="79">
        <v>95.61</v>
      </c>
      <c r="T529" s="80">
        <v>19.45</v>
      </c>
    </row>
    <row r="530" spans="2:20" ht="42">
      <c r="B530" s="5" t="s">
        <v>1261</v>
      </c>
      <c r="C530" s="45" t="s">
        <v>135</v>
      </c>
      <c r="D530" s="45">
        <v>94496</v>
      </c>
      <c r="E530" s="6" t="s">
        <v>1262</v>
      </c>
      <c r="F530" s="45" t="s">
        <v>210</v>
      </c>
      <c r="G530" s="46">
        <f t="shared" ref="G530:G593" si="64">TRUNC(R530,2)</f>
        <v>50</v>
      </c>
      <c r="H530" s="46">
        <f>TRUNC(S530*(1-LOTE_01!$K$10),2)</f>
        <v>67.37</v>
      </c>
      <c r="I530" s="46">
        <f>TRUNC(T530*(1-LOTE_01!$K$10),2)</f>
        <v>9.11</v>
      </c>
      <c r="J530" s="100">
        <f t="shared" ref="J530:J593" si="65">$J$4</f>
        <v>0.22470000000000001</v>
      </c>
      <c r="K530" s="48">
        <f t="shared" si="59"/>
        <v>82.5</v>
      </c>
      <c r="L530" s="48">
        <f t="shared" si="60"/>
        <v>11.15</v>
      </c>
      <c r="M530" s="48">
        <f t="shared" si="61"/>
        <v>4125</v>
      </c>
      <c r="N530" s="48">
        <f t="shared" si="62"/>
        <v>557.5</v>
      </c>
      <c r="O530" s="50">
        <f t="shared" si="63"/>
        <v>4682.5</v>
      </c>
      <c r="P530" s="50">
        <v>0</v>
      </c>
      <c r="Q530" s="76"/>
      <c r="R530" s="140">
        <f>IF((5*S9+10*S10)&gt;50,50,(5*S9+10*S10))</f>
        <v>50</v>
      </c>
      <c r="S530" s="79">
        <v>67.37</v>
      </c>
      <c r="T530" s="80">
        <v>9.11</v>
      </c>
    </row>
    <row r="531" spans="2:20" ht="70">
      <c r="B531" s="5" t="s">
        <v>1263</v>
      </c>
      <c r="C531" s="45" t="s">
        <v>135</v>
      </c>
      <c r="D531" s="45">
        <v>94691</v>
      </c>
      <c r="E531" s="6" t="s">
        <v>1264</v>
      </c>
      <c r="F531" s="45" t="s">
        <v>210</v>
      </c>
      <c r="G531" s="46">
        <f t="shared" si="64"/>
        <v>50</v>
      </c>
      <c r="H531" s="46">
        <f>TRUNC(S531*(1-LOTE_01!$K$10),2)</f>
        <v>10.119999999999999</v>
      </c>
      <c r="I531" s="46">
        <f>TRUNC(T531*(1-LOTE_01!$K$10),2)</f>
        <v>3.45</v>
      </c>
      <c r="J531" s="100">
        <f t="shared" si="65"/>
        <v>0.22470000000000001</v>
      </c>
      <c r="K531" s="48">
        <f t="shared" si="59"/>
        <v>12.39</v>
      </c>
      <c r="L531" s="48">
        <f t="shared" si="60"/>
        <v>4.22</v>
      </c>
      <c r="M531" s="48">
        <f t="shared" si="61"/>
        <v>619.5</v>
      </c>
      <c r="N531" s="48">
        <f t="shared" si="62"/>
        <v>211</v>
      </c>
      <c r="O531" s="50">
        <f t="shared" si="63"/>
        <v>830.5</v>
      </c>
      <c r="P531" s="50">
        <v>0</v>
      </c>
      <c r="Q531" s="76"/>
      <c r="R531" s="140">
        <f>IF((5*S9+10*S10)&gt;50,50,(5*S9+10*S10))</f>
        <v>50</v>
      </c>
      <c r="S531" s="79">
        <v>10.120000000000001</v>
      </c>
      <c r="T531" s="80">
        <v>3.45</v>
      </c>
    </row>
    <row r="532" spans="2:20" ht="70">
      <c r="B532" s="5" t="s">
        <v>1265</v>
      </c>
      <c r="C532" s="45" t="s">
        <v>135</v>
      </c>
      <c r="D532" s="45">
        <v>94693</v>
      </c>
      <c r="E532" s="6" t="s">
        <v>1266</v>
      </c>
      <c r="F532" s="45" t="s">
        <v>210</v>
      </c>
      <c r="G532" s="46">
        <f t="shared" si="64"/>
        <v>50</v>
      </c>
      <c r="H532" s="46">
        <f>TRUNC(S532*(1-LOTE_01!$K$10),2)</f>
        <v>13.2</v>
      </c>
      <c r="I532" s="46">
        <f>TRUNC(T532*(1-LOTE_01!$K$10),2)</f>
        <v>4.58</v>
      </c>
      <c r="J532" s="100">
        <f t="shared" si="65"/>
        <v>0.22470000000000001</v>
      </c>
      <c r="K532" s="48">
        <f t="shared" si="59"/>
        <v>16.16</v>
      </c>
      <c r="L532" s="48">
        <f t="shared" si="60"/>
        <v>5.6</v>
      </c>
      <c r="M532" s="48">
        <f t="shared" si="61"/>
        <v>808</v>
      </c>
      <c r="N532" s="48">
        <f t="shared" si="62"/>
        <v>280</v>
      </c>
      <c r="O532" s="50">
        <f t="shared" si="63"/>
        <v>1088</v>
      </c>
      <c r="P532" s="50">
        <v>0</v>
      </c>
      <c r="Q532" s="76"/>
      <c r="R532" s="140">
        <f>IF((5*S9+10*S10)&gt;50,50,(5*S9+10*S10))</f>
        <v>50</v>
      </c>
      <c r="S532" s="79">
        <v>13.200000000000001</v>
      </c>
      <c r="T532" s="80">
        <v>4.58</v>
      </c>
    </row>
    <row r="533" spans="2:20" ht="28">
      <c r="B533" s="5" t="s">
        <v>1267</v>
      </c>
      <c r="C533" s="45" t="s">
        <v>165</v>
      </c>
      <c r="D533" s="45" t="s">
        <v>1268</v>
      </c>
      <c r="E533" s="6" t="s">
        <v>1269</v>
      </c>
      <c r="F533" s="45" t="s">
        <v>559</v>
      </c>
      <c r="G533" s="46">
        <f t="shared" si="64"/>
        <v>50</v>
      </c>
      <c r="H533" s="46">
        <f>TRUNC(S533*(1-LOTE_01!$K$10),2)</f>
        <v>5.89</v>
      </c>
      <c r="I533" s="46">
        <f>TRUNC(T533*(1-LOTE_01!$K$10),2)</f>
        <v>6.06</v>
      </c>
      <c r="J533" s="100">
        <f t="shared" si="65"/>
        <v>0.22470000000000001</v>
      </c>
      <c r="K533" s="48">
        <f t="shared" si="59"/>
        <v>7.21</v>
      </c>
      <c r="L533" s="48">
        <f t="shared" si="60"/>
        <v>7.42</v>
      </c>
      <c r="M533" s="48">
        <f t="shared" si="61"/>
        <v>360.5</v>
      </c>
      <c r="N533" s="48">
        <f t="shared" si="62"/>
        <v>371</v>
      </c>
      <c r="O533" s="50">
        <f t="shared" si="63"/>
        <v>731.5</v>
      </c>
      <c r="P533" s="50">
        <v>0</v>
      </c>
      <c r="Q533" s="76"/>
      <c r="R533" s="140">
        <f>IF((5*S9+10*S10)&gt;50,50,(5*S9+10*S10))</f>
        <v>50</v>
      </c>
      <c r="S533" s="79">
        <v>5.89</v>
      </c>
      <c r="T533" s="80">
        <v>6.06</v>
      </c>
    </row>
    <row r="534" spans="2:20" ht="28">
      <c r="B534" s="5" t="s">
        <v>1270</v>
      </c>
      <c r="C534" s="45" t="s">
        <v>165</v>
      </c>
      <c r="D534" s="45" t="s">
        <v>1271</v>
      </c>
      <c r="E534" s="6" t="s">
        <v>1272</v>
      </c>
      <c r="F534" s="45" t="s">
        <v>559</v>
      </c>
      <c r="G534" s="46">
        <f t="shared" si="64"/>
        <v>50</v>
      </c>
      <c r="H534" s="46">
        <f>TRUNC(S534*(1-LOTE_01!$K$10),2)</f>
        <v>6.82</v>
      </c>
      <c r="I534" s="46">
        <f>TRUNC(T534*(1-LOTE_01!$K$10),2)</f>
        <v>6.38</v>
      </c>
      <c r="J534" s="100">
        <f t="shared" si="65"/>
        <v>0.22470000000000001</v>
      </c>
      <c r="K534" s="48">
        <f t="shared" si="59"/>
        <v>8.35</v>
      </c>
      <c r="L534" s="48">
        <f t="shared" si="60"/>
        <v>7.81</v>
      </c>
      <c r="M534" s="48">
        <f t="shared" si="61"/>
        <v>417.5</v>
      </c>
      <c r="N534" s="48">
        <f t="shared" si="62"/>
        <v>390.5</v>
      </c>
      <c r="O534" s="50">
        <f t="shared" si="63"/>
        <v>808</v>
      </c>
      <c r="P534" s="50">
        <v>0</v>
      </c>
      <c r="Q534" s="76"/>
      <c r="R534" s="140">
        <f>IF((5*S9+10*S10)&gt;50,50,(5*S9+10*S10))</f>
        <v>50</v>
      </c>
      <c r="S534" s="79">
        <v>6.82</v>
      </c>
      <c r="T534" s="80">
        <v>6.38</v>
      </c>
    </row>
    <row r="535" spans="2:20" ht="56">
      <c r="B535" s="5" t="s">
        <v>1273</v>
      </c>
      <c r="C535" s="45" t="s">
        <v>135</v>
      </c>
      <c r="D535" s="45">
        <v>89395</v>
      </c>
      <c r="E535" s="6" t="s">
        <v>1274</v>
      </c>
      <c r="F535" s="45" t="s">
        <v>210</v>
      </c>
      <c r="G535" s="46">
        <f t="shared" si="64"/>
        <v>50</v>
      </c>
      <c r="H535" s="46">
        <f>TRUNC(S535*(1-LOTE_01!$K$10),2)</f>
        <v>6.89</v>
      </c>
      <c r="I535" s="46">
        <f>TRUNC(T535*(1-LOTE_01!$K$10),2)</f>
        <v>7.96</v>
      </c>
      <c r="J535" s="100">
        <f t="shared" si="65"/>
        <v>0.22470000000000001</v>
      </c>
      <c r="K535" s="48">
        <f t="shared" si="59"/>
        <v>8.43</v>
      </c>
      <c r="L535" s="48">
        <f t="shared" si="60"/>
        <v>9.74</v>
      </c>
      <c r="M535" s="48">
        <f t="shared" si="61"/>
        <v>421.5</v>
      </c>
      <c r="N535" s="48">
        <f t="shared" si="62"/>
        <v>487</v>
      </c>
      <c r="O535" s="50">
        <f t="shared" si="63"/>
        <v>908.5</v>
      </c>
      <c r="P535" s="50">
        <v>0</v>
      </c>
      <c r="Q535" s="76"/>
      <c r="R535" s="140">
        <f>IF((5*S9+10*S10)&gt;50,50,(5*S9+10*S10))</f>
        <v>50</v>
      </c>
      <c r="S535" s="79">
        <v>6.89</v>
      </c>
      <c r="T535" s="80">
        <v>7.96</v>
      </c>
    </row>
    <row r="536" spans="2:20" ht="70">
      <c r="B536" s="5" t="s">
        <v>1275</v>
      </c>
      <c r="C536" s="45" t="s">
        <v>135</v>
      </c>
      <c r="D536" s="45">
        <v>89546</v>
      </c>
      <c r="E536" s="6" t="s">
        <v>1276</v>
      </c>
      <c r="F536" s="45" t="s">
        <v>210</v>
      </c>
      <c r="G536" s="46">
        <f t="shared" si="64"/>
        <v>50</v>
      </c>
      <c r="H536" s="46">
        <f>TRUNC(S536*(1-LOTE_01!$K$10),2)</f>
        <v>9.09</v>
      </c>
      <c r="I536" s="46">
        <f>TRUNC(T536*(1-LOTE_01!$K$10),2)</f>
        <v>1.19</v>
      </c>
      <c r="J536" s="100">
        <f t="shared" si="65"/>
        <v>0.22470000000000001</v>
      </c>
      <c r="K536" s="48">
        <f t="shared" si="59"/>
        <v>11.13</v>
      </c>
      <c r="L536" s="48">
        <f t="shared" si="60"/>
        <v>1.45</v>
      </c>
      <c r="M536" s="48">
        <f t="shared" si="61"/>
        <v>556.5</v>
      </c>
      <c r="N536" s="48">
        <f t="shared" si="62"/>
        <v>72.5</v>
      </c>
      <c r="O536" s="50">
        <f t="shared" si="63"/>
        <v>629</v>
      </c>
      <c r="P536" s="50">
        <v>0</v>
      </c>
      <c r="Q536" s="76"/>
      <c r="R536" s="140">
        <f>IF((5*S9+10*S10)&gt;50,50,(5*S9+10*S10))</f>
        <v>50</v>
      </c>
      <c r="S536" s="79">
        <v>9.09</v>
      </c>
      <c r="T536" s="80">
        <v>1.19</v>
      </c>
    </row>
    <row r="537" spans="2:20" ht="28">
      <c r="B537" s="5" t="s">
        <v>1277</v>
      </c>
      <c r="C537" s="45" t="s">
        <v>97</v>
      </c>
      <c r="D537" s="45" t="s">
        <v>1278</v>
      </c>
      <c r="E537" s="6" t="s">
        <v>1279</v>
      </c>
      <c r="F537" s="45" t="s">
        <v>104</v>
      </c>
      <c r="G537" s="46">
        <f t="shared" si="64"/>
        <v>28</v>
      </c>
      <c r="H537" s="46">
        <f>TRUNC(S537*(1-LOTE_01!$K$10),2)</f>
        <v>12.81</v>
      </c>
      <c r="I537" s="46">
        <f>TRUNC(T537*(1-LOTE_01!$K$10),2)</f>
        <v>4.43</v>
      </c>
      <c r="J537" s="100">
        <f t="shared" si="65"/>
        <v>0.22470000000000001</v>
      </c>
      <c r="K537" s="48">
        <f t="shared" si="59"/>
        <v>15.68</v>
      </c>
      <c r="L537" s="48">
        <f t="shared" si="60"/>
        <v>5.42</v>
      </c>
      <c r="M537" s="48">
        <f t="shared" si="61"/>
        <v>439.04</v>
      </c>
      <c r="N537" s="48">
        <f t="shared" si="62"/>
        <v>151.76</v>
      </c>
      <c r="O537" s="50">
        <f t="shared" si="63"/>
        <v>590.79999999999995</v>
      </c>
      <c r="P537" s="50">
        <v>0</v>
      </c>
      <c r="Q537" s="76"/>
      <c r="R537" s="140">
        <f>2*S9+2*S10</f>
        <v>28</v>
      </c>
      <c r="S537" s="79">
        <v>12.81</v>
      </c>
      <c r="T537" s="80">
        <v>4.43</v>
      </c>
    </row>
    <row r="538" spans="2:20" ht="70">
      <c r="B538" s="5" t="s">
        <v>1280</v>
      </c>
      <c r="C538" s="45" t="s">
        <v>135</v>
      </c>
      <c r="D538" s="45">
        <v>89707</v>
      </c>
      <c r="E538" s="6" t="s">
        <v>1281</v>
      </c>
      <c r="F538" s="45" t="s">
        <v>210</v>
      </c>
      <c r="G538" s="46">
        <f t="shared" si="64"/>
        <v>46</v>
      </c>
      <c r="H538" s="46">
        <f>TRUNC(S538*(1-LOTE_01!$K$10),2)</f>
        <v>36.24</v>
      </c>
      <c r="I538" s="46">
        <f>TRUNC(T538*(1-LOTE_01!$K$10),2)</f>
        <v>14.92</v>
      </c>
      <c r="J538" s="100">
        <f t="shared" si="65"/>
        <v>0.22470000000000001</v>
      </c>
      <c r="K538" s="48">
        <f t="shared" si="59"/>
        <v>44.38</v>
      </c>
      <c r="L538" s="48">
        <f t="shared" si="60"/>
        <v>18.27</v>
      </c>
      <c r="M538" s="48">
        <f t="shared" si="61"/>
        <v>2041.48</v>
      </c>
      <c r="N538" s="48">
        <f t="shared" si="62"/>
        <v>840.42</v>
      </c>
      <c r="O538" s="50">
        <f t="shared" si="63"/>
        <v>2881.9</v>
      </c>
      <c r="P538" s="50">
        <v>0</v>
      </c>
      <c r="Q538" s="76"/>
      <c r="R538" s="140">
        <f>IF((2*S9+5*S10)&gt;50,50,(2*S9+5*S10))</f>
        <v>46</v>
      </c>
      <c r="S538" s="79">
        <v>36.239999999999995</v>
      </c>
      <c r="T538" s="80">
        <v>14.92</v>
      </c>
    </row>
    <row r="539" spans="2:20" ht="28">
      <c r="B539" s="5" t="s">
        <v>1282</v>
      </c>
      <c r="C539" s="45" t="s">
        <v>97</v>
      </c>
      <c r="D539" s="45" t="s">
        <v>1283</v>
      </c>
      <c r="E539" s="6" t="s">
        <v>1284</v>
      </c>
      <c r="F539" s="45" t="s">
        <v>104</v>
      </c>
      <c r="G539" s="46">
        <f t="shared" si="64"/>
        <v>14</v>
      </c>
      <c r="H539" s="46">
        <f>TRUNC(S539*(1-LOTE_01!$K$10),2)</f>
        <v>350</v>
      </c>
      <c r="I539" s="46">
        <f>TRUNC(T539*(1-LOTE_01!$K$10),2)</f>
        <v>0</v>
      </c>
      <c r="J539" s="100">
        <f t="shared" si="65"/>
        <v>0.22470000000000001</v>
      </c>
      <c r="K539" s="48">
        <f t="shared" si="59"/>
        <v>428.64</v>
      </c>
      <c r="L539" s="48">
        <f t="shared" si="60"/>
        <v>0</v>
      </c>
      <c r="M539" s="48">
        <f t="shared" si="61"/>
        <v>6000.96</v>
      </c>
      <c r="N539" s="48">
        <f t="shared" si="62"/>
        <v>0</v>
      </c>
      <c r="O539" s="50">
        <f t="shared" si="63"/>
        <v>6000.96</v>
      </c>
      <c r="P539" s="50">
        <v>0</v>
      </c>
      <c r="Q539" s="76"/>
      <c r="R539" s="140">
        <f>1*S9+1*S10</f>
        <v>14</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104">
        <v>0</v>
      </c>
      <c r="Q540" s="76"/>
      <c r="R540" s="154"/>
      <c r="S540" s="79" t="s">
        <v>22</v>
      </c>
      <c r="T540" s="80" t="s">
        <v>22</v>
      </c>
    </row>
    <row r="541" spans="2:20" ht="42">
      <c r="B541" s="5" t="s">
        <v>1287</v>
      </c>
      <c r="C541" s="45" t="s">
        <v>97</v>
      </c>
      <c r="D541" s="45" t="s">
        <v>1288</v>
      </c>
      <c r="E541" s="6" t="s">
        <v>1289</v>
      </c>
      <c r="F541" s="45" t="s">
        <v>104</v>
      </c>
      <c r="G541" s="46">
        <f t="shared" si="64"/>
        <v>28</v>
      </c>
      <c r="H541" s="46">
        <f>TRUNC(S541*(1-LOTE_01!$K$10),2)</f>
        <v>10.19</v>
      </c>
      <c r="I541" s="46">
        <f>TRUNC(T541*(1-LOTE_01!$K$10),2)</f>
        <v>20.010000000000002</v>
      </c>
      <c r="J541" s="100">
        <f t="shared" si="65"/>
        <v>0.22470000000000001</v>
      </c>
      <c r="K541" s="48">
        <f t="shared" si="59"/>
        <v>12.47</v>
      </c>
      <c r="L541" s="48">
        <f t="shared" si="60"/>
        <v>24.5</v>
      </c>
      <c r="M541" s="48">
        <f t="shared" si="61"/>
        <v>349.16</v>
      </c>
      <c r="N541" s="48">
        <f t="shared" si="62"/>
        <v>686</v>
      </c>
      <c r="O541" s="50">
        <f t="shared" si="63"/>
        <v>1035.1600000000001</v>
      </c>
      <c r="P541" s="50">
        <v>0</v>
      </c>
      <c r="Q541" s="76"/>
      <c r="R541" s="140">
        <f>2*S9+2*S10</f>
        <v>28</v>
      </c>
      <c r="S541" s="79">
        <v>10.19</v>
      </c>
      <c r="T541" s="80">
        <v>20.010000000000002</v>
      </c>
    </row>
    <row r="542" spans="2:20" ht="28">
      <c r="B542" s="5" t="s">
        <v>1290</v>
      </c>
      <c r="C542" s="45" t="s">
        <v>97</v>
      </c>
      <c r="D542" s="45" t="s">
        <v>1291</v>
      </c>
      <c r="E542" s="6" t="s">
        <v>1292</v>
      </c>
      <c r="F542" s="45" t="s">
        <v>104</v>
      </c>
      <c r="G542" s="46">
        <f t="shared" si="64"/>
        <v>28</v>
      </c>
      <c r="H542" s="46">
        <f>TRUNC(S542*(1-LOTE_01!$K$10),2)</f>
        <v>3.9</v>
      </c>
      <c r="I542" s="46">
        <f>TRUNC(T542*(1-LOTE_01!$K$10),2)</f>
        <v>4.08</v>
      </c>
      <c r="J542" s="100">
        <f t="shared" si="65"/>
        <v>0.22470000000000001</v>
      </c>
      <c r="K542" s="48">
        <f t="shared" si="59"/>
        <v>4.7699999999999996</v>
      </c>
      <c r="L542" s="48">
        <f t="shared" si="60"/>
        <v>4.99</v>
      </c>
      <c r="M542" s="48">
        <f t="shared" si="61"/>
        <v>133.56</v>
      </c>
      <c r="N542" s="48">
        <f t="shared" si="62"/>
        <v>139.72</v>
      </c>
      <c r="O542" s="50">
        <f t="shared" si="63"/>
        <v>273.27999999999997</v>
      </c>
      <c r="P542" s="50">
        <v>0</v>
      </c>
      <c r="Q542" s="76"/>
      <c r="R542" s="140">
        <f>2*S9+2*S10</f>
        <v>28</v>
      </c>
      <c r="S542" s="79">
        <v>3.9</v>
      </c>
      <c r="T542" s="80">
        <v>4.08</v>
      </c>
    </row>
    <row r="543" spans="2:20" ht="28">
      <c r="B543" s="5" t="s">
        <v>1293</v>
      </c>
      <c r="C543" s="45" t="s">
        <v>97</v>
      </c>
      <c r="D543" s="45" t="s">
        <v>1294</v>
      </c>
      <c r="E543" s="6" t="s">
        <v>1295</v>
      </c>
      <c r="F543" s="45" t="s">
        <v>104</v>
      </c>
      <c r="G543" s="46">
        <f t="shared" si="64"/>
        <v>28</v>
      </c>
      <c r="H543" s="46">
        <f>TRUNC(S543*(1-LOTE_01!$K$10),2)</f>
        <v>3.9</v>
      </c>
      <c r="I543" s="46">
        <f>TRUNC(T543*(1-LOTE_01!$K$10),2)</f>
        <v>4.08</v>
      </c>
      <c r="J543" s="100">
        <f t="shared" si="65"/>
        <v>0.22470000000000001</v>
      </c>
      <c r="K543" s="48">
        <f t="shared" si="59"/>
        <v>4.7699999999999996</v>
      </c>
      <c r="L543" s="48">
        <f t="shared" si="60"/>
        <v>4.99</v>
      </c>
      <c r="M543" s="48">
        <f t="shared" si="61"/>
        <v>133.56</v>
      </c>
      <c r="N543" s="48">
        <f t="shared" si="62"/>
        <v>139.72</v>
      </c>
      <c r="O543" s="50">
        <f t="shared" si="63"/>
        <v>273.27999999999997</v>
      </c>
      <c r="P543" s="50">
        <v>0</v>
      </c>
      <c r="Q543" s="76"/>
      <c r="R543" s="140">
        <f>2*S9+2*S10</f>
        <v>28</v>
      </c>
      <c r="S543" s="79">
        <v>3.9</v>
      </c>
      <c r="T543" s="80">
        <v>4.08</v>
      </c>
    </row>
    <row r="544" spans="2:20" ht="70">
      <c r="B544" s="5" t="s">
        <v>1296</v>
      </c>
      <c r="C544" s="45" t="s">
        <v>97</v>
      </c>
      <c r="D544" s="45" t="s">
        <v>1297</v>
      </c>
      <c r="E544" s="6" t="s">
        <v>1298</v>
      </c>
      <c r="F544" s="45" t="s">
        <v>104</v>
      </c>
      <c r="G544" s="46">
        <f t="shared" si="64"/>
        <v>28</v>
      </c>
      <c r="H544" s="46">
        <f>TRUNC(S544*(1-LOTE_01!$K$10),2)</f>
        <v>425.25</v>
      </c>
      <c r="I544" s="46">
        <f>TRUNC(T544*(1-LOTE_01!$K$10),2)</f>
        <v>35</v>
      </c>
      <c r="J544" s="100">
        <f t="shared" si="65"/>
        <v>0.22470000000000001</v>
      </c>
      <c r="K544" s="48">
        <f t="shared" si="59"/>
        <v>520.79999999999995</v>
      </c>
      <c r="L544" s="48">
        <f t="shared" si="60"/>
        <v>42.86</v>
      </c>
      <c r="M544" s="48">
        <f t="shared" si="61"/>
        <v>14582.4</v>
      </c>
      <c r="N544" s="48">
        <f t="shared" si="62"/>
        <v>1200.08</v>
      </c>
      <c r="O544" s="50">
        <f t="shared" si="63"/>
        <v>15782.48</v>
      </c>
      <c r="P544" s="50">
        <v>0</v>
      </c>
      <c r="Q544" s="76"/>
      <c r="R544" s="140">
        <f>2*S9+2*S10</f>
        <v>28</v>
      </c>
      <c r="S544" s="79">
        <v>425.25</v>
      </c>
      <c r="T544" s="80">
        <v>35</v>
      </c>
    </row>
    <row r="545" spans="2:20" ht="28">
      <c r="B545" s="5" t="s">
        <v>1299</v>
      </c>
      <c r="C545" s="45" t="s">
        <v>97</v>
      </c>
      <c r="D545" s="45" t="s">
        <v>1300</v>
      </c>
      <c r="E545" s="6" t="s">
        <v>1301</v>
      </c>
      <c r="F545" s="45" t="s">
        <v>104</v>
      </c>
      <c r="G545" s="46">
        <f t="shared" si="64"/>
        <v>28</v>
      </c>
      <c r="H545" s="46">
        <f>TRUNC(S545*(1-LOTE_01!$K$10),2)</f>
        <v>87.48</v>
      </c>
      <c r="I545" s="46">
        <f>TRUNC(T545*(1-LOTE_01!$K$10),2)</f>
        <v>25.13</v>
      </c>
      <c r="J545" s="100">
        <f t="shared" si="65"/>
        <v>0.22470000000000001</v>
      </c>
      <c r="K545" s="48">
        <f t="shared" si="59"/>
        <v>107.13</v>
      </c>
      <c r="L545" s="48">
        <f t="shared" si="60"/>
        <v>30.77</v>
      </c>
      <c r="M545" s="48">
        <f t="shared" si="61"/>
        <v>2999.64</v>
      </c>
      <c r="N545" s="48">
        <f t="shared" si="62"/>
        <v>861.56</v>
      </c>
      <c r="O545" s="50">
        <f t="shared" si="63"/>
        <v>3861.2</v>
      </c>
      <c r="P545" s="50">
        <v>0</v>
      </c>
      <c r="Q545" s="76"/>
      <c r="R545" s="140">
        <f>2*S9+2*S10</f>
        <v>28</v>
      </c>
      <c r="S545" s="79">
        <v>87.48</v>
      </c>
      <c r="T545" s="80">
        <v>25.13</v>
      </c>
    </row>
    <row r="546" spans="2:20" ht="28">
      <c r="B546" s="5" t="s">
        <v>1302</v>
      </c>
      <c r="C546" s="45" t="s">
        <v>97</v>
      </c>
      <c r="D546" s="45" t="s">
        <v>1303</v>
      </c>
      <c r="E546" s="6" t="s">
        <v>1304</v>
      </c>
      <c r="F546" s="45" t="s">
        <v>104</v>
      </c>
      <c r="G546" s="46">
        <f t="shared" si="64"/>
        <v>28</v>
      </c>
      <c r="H546" s="46">
        <f>TRUNC(S546*(1-LOTE_01!$K$10),2)</f>
        <v>79.03</v>
      </c>
      <c r="I546" s="46">
        <f>TRUNC(T546*(1-LOTE_01!$K$10),2)</f>
        <v>16.71</v>
      </c>
      <c r="J546" s="100">
        <f t="shared" si="65"/>
        <v>0.22470000000000001</v>
      </c>
      <c r="K546" s="48">
        <f t="shared" si="59"/>
        <v>96.78</v>
      </c>
      <c r="L546" s="48">
        <f t="shared" si="60"/>
        <v>20.46</v>
      </c>
      <c r="M546" s="48">
        <f t="shared" si="61"/>
        <v>2709.84</v>
      </c>
      <c r="N546" s="48">
        <f t="shared" si="62"/>
        <v>572.88</v>
      </c>
      <c r="O546" s="50">
        <f t="shared" si="63"/>
        <v>3282.72</v>
      </c>
      <c r="P546" s="50">
        <v>0</v>
      </c>
      <c r="Q546" s="76"/>
      <c r="R546" s="140">
        <f>2*S9+2*S10</f>
        <v>28</v>
      </c>
      <c r="S546" s="79">
        <v>79.03</v>
      </c>
      <c r="T546" s="80">
        <v>16.71</v>
      </c>
    </row>
    <row r="547" spans="2:20" ht="70">
      <c r="B547" s="5" t="s">
        <v>1305</v>
      </c>
      <c r="C547" s="45" t="s">
        <v>135</v>
      </c>
      <c r="D547" s="45">
        <v>86932</v>
      </c>
      <c r="E547" s="6" t="s">
        <v>1817</v>
      </c>
      <c r="F547" s="45" t="s">
        <v>210</v>
      </c>
      <c r="G547" s="46">
        <f t="shared" si="64"/>
        <v>20</v>
      </c>
      <c r="H547" s="46">
        <f>TRUNC(S547*(1-LOTE_01!$K$10),2)</f>
        <v>497.29</v>
      </c>
      <c r="I547" s="46">
        <f>TRUNC(T547*(1-LOTE_01!$K$10),2)</f>
        <v>23.48</v>
      </c>
      <c r="J547" s="100">
        <f t="shared" si="65"/>
        <v>0.22470000000000001</v>
      </c>
      <c r="K547" s="48">
        <f t="shared" si="59"/>
        <v>609.03</v>
      </c>
      <c r="L547" s="48">
        <f t="shared" si="60"/>
        <v>28.75</v>
      </c>
      <c r="M547" s="48">
        <f t="shared" si="61"/>
        <v>12180.6</v>
      </c>
      <c r="N547" s="48">
        <f t="shared" si="62"/>
        <v>575</v>
      </c>
      <c r="O547" s="50">
        <f t="shared" si="63"/>
        <v>12755.6</v>
      </c>
      <c r="P547" s="50">
        <v>0</v>
      </c>
      <c r="Q547" s="76"/>
      <c r="R547" s="140">
        <f>1*S9+2*S10</f>
        <v>20</v>
      </c>
      <c r="S547" s="79">
        <v>497.28999999999996</v>
      </c>
      <c r="T547" s="80">
        <v>23.48</v>
      </c>
    </row>
    <row r="548" spans="2:20" ht="28">
      <c r="B548" s="5" t="s">
        <v>1306</v>
      </c>
      <c r="C548" s="45" t="s">
        <v>97</v>
      </c>
      <c r="D548" s="45" t="s">
        <v>1307</v>
      </c>
      <c r="E548" s="6" t="s">
        <v>1308</v>
      </c>
      <c r="F548" s="45" t="s">
        <v>104</v>
      </c>
      <c r="G548" s="46">
        <f t="shared" si="64"/>
        <v>28</v>
      </c>
      <c r="H548" s="46">
        <f>TRUNC(S548*(1-LOTE_01!$K$10),2)</f>
        <v>112.26</v>
      </c>
      <c r="I548" s="46">
        <f>TRUNC(T548*(1-LOTE_01!$K$10),2)</f>
        <v>4.1900000000000004</v>
      </c>
      <c r="J548" s="100">
        <f t="shared" si="65"/>
        <v>0.22470000000000001</v>
      </c>
      <c r="K548" s="48">
        <f t="shared" si="59"/>
        <v>137.47999999999999</v>
      </c>
      <c r="L548" s="48">
        <f t="shared" si="60"/>
        <v>5.13</v>
      </c>
      <c r="M548" s="48">
        <f t="shared" si="61"/>
        <v>3849.44</v>
      </c>
      <c r="N548" s="48">
        <f t="shared" si="62"/>
        <v>143.63999999999999</v>
      </c>
      <c r="O548" s="50">
        <f t="shared" si="63"/>
        <v>3993.08</v>
      </c>
      <c r="P548" s="50">
        <v>0</v>
      </c>
      <c r="Q548" s="76"/>
      <c r="R548" s="140">
        <f>2*S9+2*S10</f>
        <v>28</v>
      </c>
      <c r="S548" s="79">
        <v>112.26</v>
      </c>
      <c r="T548" s="80">
        <v>4.1900000000000004</v>
      </c>
    </row>
    <row r="549" spans="2:20" ht="28">
      <c r="B549" s="5" t="s">
        <v>1309</v>
      </c>
      <c r="C549" s="45" t="s">
        <v>97</v>
      </c>
      <c r="D549" s="45" t="s">
        <v>1310</v>
      </c>
      <c r="E549" s="6" t="s">
        <v>1311</v>
      </c>
      <c r="F549" s="45" t="s">
        <v>104</v>
      </c>
      <c r="G549" s="46">
        <f t="shared" si="64"/>
        <v>28</v>
      </c>
      <c r="H549" s="46">
        <f>TRUNC(S549*(1-LOTE_01!$K$10),2)</f>
        <v>371.97</v>
      </c>
      <c r="I549" s="46">
        <f>TRUNC(T549*(1-LOTE_01!$K$10),2)</f>
        <v>4.1900000000000004</v>
      </c>
      <c r="J549" s="100">
        <f t="shared" si="65"/>
        <v>0.22470000000000001</v>
      </c>
      <c r="K549" s="48">
        <f t="shared" si="59"/>
        <v>455.55</v>
      </c>
      <c r="L549" s="48">
        <f t="shared" si="60"/>
        <v>5.13</v>
      </c>
      <c r="M549" s="48">
        <f t="shared" si="61"/>
        <v>12755.4</v>
      </c>
      <c r="N549" s="48">
        <f t="shared" si="62"/>
        <v>143.63999999999999</v>
      </c>
      <c r="O549" s="50">
        <f t="shared" si="63"/>
        <v>12899.04</v>
      </c>
      <c r="P549" s="50">
        <v>0</v>
      </c>
      <c r="Q549" s="76"/>
      <c r="R549" s="140">
        <f>2*S9+2*S10</f>
        <v>28</v>
      </c>
      <c r="S549" s="79">
        <v>371.97</v>
      </c>
      <c r="T549" s="80">
        <v>4.1900000000000004</v>
      </c>
    </row>
    <row r="550" spans="2:20" ht="56">
      <c r="B550" s="5" t="s">
        <v>1312</v>
      </c>
      <c r="C550" s="45" t="s">
        <v>135</v>
      </c>
      <c r="D550" s="45">
        <v>86903</v>
      </c>
      <c r="E550" s="6" t="s">
        <v>1818</v>
      </c>
      <c r="F550" s="45" t="s">
        <v>210</v>
      </c>
      <c r="G550" s="46">
        <f t="shared" si="64"/>
        <v>20</v>
      </c>
      <c r="H550" s="46">
        <f>TRUNC(S550*(1-LOTE_01!$K$10),2)</f>
        <v>311.95</v>
      </c>
      <c r="I550" s="46">
        <f>TRUNC(T550*(1-LOTE_01!$K$10),2)</f>
        <v>35.89</v>
      </c>
      <c r="J550" s="100">
        <f t="shared" si="65"/>
        <v>0.22470000000000001</v>
      </c>
      <c r="K550" s="48">
        <f t="shared" si="59"/>
        <v>382.04</v>
      </c>
      <c r="L550" s="48">
        <f t="shared" si="60"/>
        <v>43.95</v>
      </c>
      <c r="M550" s="48">
        <f t="shared" si="61"/>
        <v>7640.8</v>
      </c>
      <c r="N550" s="48">
        <f t="shared" si="62"/>
        <v>879</v>
      </c>
      <c r="O550" s="50">
        <f t="shared" si="63"/>
        <v>8519.7999999999993</v>
      </c>
      <c r="P550" s="50">
        <v>0</v>
      </c>
      <c r="Q550" s="76"/>
      <c r="R550" s="140">
        <f>1*S9+2*S10</f>
        <v>20</v>
      </c>
      <c r="S550" s="79">
        <v>311.95</v>
      </c>
      <c r="T550" s="80">
        <v>35.89</v>
      </c>
    </row>
    <row r="551" spans="2:20" ht="98">
      <c r="B551" s="5" t="s">
        <v>1313</v>
      </c>
      <c r="C551" s="45" t="s">
        <v>97</v>
      </c>
      <c r="D551" s="45" t="s">
        <v>1314</v>
      </c>
      <c r="E551" s="6" t="s">
        <v>1315</v>
      </c>
      <c r="F551" s="45" t="s">
        <v>104</v>
      </c>
      <c r="G551" s="46">
        <f t="shared" si="64"/>
        <v>20</v>
      </c>
      <c r="H551" s="46">
        <f>TRUNC(S551*(1-LOTE_01!$K$10),2)</f>
        <v>762.56</v>
      </c>
      <c r="I551" s="46">
        <f>TRUNC(T551*(1-LOTE_01!$K$10),2)</f>
        <v>67.349999999999994</v>
      </c>
      <c r="J551" s="100">
        <f t="shared" si="65"/>
        <v>0.22470000000000001</v>
      </c>
      <c r="K551" s="48">
        <f t="shared" si="59"/>
        <v>933.9</v>
      </c>
      <c r="L551" s="48">
        <f t="shared" si="60"/>
        <v>82.48</v>
      </c>
      <c r="M551" s="48">
        <f t="shared" si="61"/>
        <v>18678</v>
      </c>
      <c r="N551" s="48">
        <f t="shared" si="62"/>
        <v>1649.6</v>
      </c>
      <c r="O551" s="50">
        <f t="shared" si="63"/>
        <v>20327.599999999999</v>
      </c>
      <c r="P551" s="50">
        <v>0</v>
      </c>
      <c r="Q551" s="76"/>
      <c r="R551" s="140">
        <f>1*S9+2*S10</f>
        <v>20</v>
      </c>
      <c r="S551" s="79">
        <v>762.56</v>
      </c>
      <c r="T551" s="80">
        <v>67.349999999999994</v>
      </c>
    </row>
    <row r="552" spans="2:20" ht="56">
      <c r="B552" s="5" t="s">
        <v>1316</v>
      </c>
      <c r="C552" s="45" t="s">
        <v>135</v>
      </c>
      <c r="D552" s="45">
        <v>86904</v>
      </c>
      <c r="E552" s="6" t="s">
        <v>1819</v>
      </c>
      <c r="F552" s="45" t="s">
        <v>210</v>
      </c>
      <c r="G552" s="46">
        <f t="shared" si="64"/>
        <v>20</v>
      </c>
      <c r="H552" s="46">
        <f>TRUNC(S552*(1-LOTE_01!$K$10),2)</f>
        <v>133.31</v>
      </c>
      <c r="I552" s="46">
        <f>TRUNC(T552*(1-LOTE_01!$K$10),2)</f>
        <v>9.58</v>
      </c>
      <c r="J552" s="100">
        <f t="shared" si="65"/>
        <v>0.22470000000000001</v>
      </c>
      <c r="K552" s="48">
        <f t="shared" si="59"/>
        <v>163.26</v>
      </c>
      <c r="L552" s="48">
        <f t="shared" si="60"/>
        <v>11.73</v>
      </c>
      <c r="M552" s="48">
        <f t="shared" si="61"/>
        <v>3265.2</v>
      </c>
      <c r="N552" s="48">
        <f t="shared" si="62"/>
        <v>234.6</v>
      </c>
      <c r="O552" s="50">
        <f t="shared" si="63"/>
        <v>3499.8</v>
      </c>
      <c r="P552" s="50">
        <v>0</v>
      </c>
      <c r="Q552" s="76"/>
      <c r="R552" s="140">
        <f>1*S9+2*S10</f>
        <v>20</v>
      </c>
      <c r="S552" s="79">
        <v>133.30999999999997</v>
      </c>
      <c r="T552" s="80">
        <v>9.58</v>
      </c>
    </row>
    <row r="553" spans="2:20" ht="56">
      <c r="B553" s="5" t="s">
        <v>1317</v>
      </c>
      <c r="C553" s="45" t="s">
        <v>135</v>
      </c>
      <c r="D553" s="45">
        <v>100858</v>
      </c>
      <c r="E553" s="6" t="s">
        <v>1820</v>
      </c>
      <c r="F553" s="45" t="s">
        <v>210</v>
      </c>
      <c r="G553" s="46">
        <f t="shared" si="64"/>
        <v>20</v>
      </c>
      <c r="H553" s="46">
        <f>TRUNC(S553*(1-LOTE_01!$K$10),2)</f>
        <v>705.07</v>
      </c>
      <c r="I553" s="46">
        <f>TRUNC(T553*(1-LOTE_01!$K$10),2)</f>
        <v>23</v>
      </c>
      <c r="J553" s="100">
        <f t="shared" si="65"/>
        <v>0.22470000000000001</v>
      </c>
      <c r="K553" s="48">
        <f t="shared" si="59"/>
        <v>863.49</v>
      </c>
      <c r="L553" s="48">
        <f t="shared" si="60"/>
        <v>28.16</v>
      </c>
      <c r="M553" s="48">
        <f t="shared" si="61"/>
        <v>17269.8</v>
      </c>
      <c r="N553" s="48">
        <f t="shared" si="62"/>
        <v>563.20000000000005</v>
      </c>
      <c r="O553" s="50">
        <f t="shared" si="63"/>
        <v>17833</v>
      </c>
      <c r="P553" s="50">
        <v>0</v>
      </c>
      <c r="Q553" s="76"/>
      <c r="R553" s="140">
        <f>1*S9+2*S10</f>
        <v>20</v>
      </c>
      <c r="S553" s="79">
        <v>705.07</v>
      </c>
      <c r="T553" s="80">
        <v>23</v>
      </c>
    </row>
    <row r="554" spans="2:20" ht="28">
      <c r="B554" s="5" t="s">
        <v>1318</v>
      </c>
      <c r="C554" s="45" t="s">
        <v>165</v>
      </c>
      <c r="D554" s="45" t="s">
        <v>1319</v>
      </c>
      <c r="E554" s="6" t="s">
        <v>1320</v>
      </c>
      <c r="F554" s="45" t="s">
        <v>168</v>
      </c>
      <c r="G554" s="46">
        <f t="shared" si="64"/>
        <v>10.56</v>
      </c>
      <c r="H554" s="46">
        <f>TRUNC(S554*(1-LOTE_01!$K$10),2)</f>
        <v>392.78</v>
      </c>
      <c r="I554" s="46">
        <f>TRUNC(T554*(1-LOTE_01!$K$10),2)</f>
        <v>78.489999999999995</v>
      </c>
      <c r="J554" s="100">
        <f t="shared" si="65"/>
        <v>0.22470000000000001</v>
      </c>
      <c r="K554" s="48">
        <f t="shared" si="59"/>
        <v>481.03</v>
      </c>
      <c r="L554" s="48">
        <f t="shared" si="60"/>
        <v>96.12</v>
      </c>
      <c r="M554" s="48">
        <f t="shared" si="61"/>
        <v>5079.67</v>
      </c>
      <c r="N554" s="48">
        <f t="shared" si="62"/>
        <v>1015.02</v>
      </c>
      <c r="O554" s="50">
        <f t="shared" si="63"/>
        <v>6094.69</v>
      </c>
      <c r="P554" s="50">
        <v>0</v>
      </c>
      <c r="Q554" s="76"/>
      <c r="R554" s="140">
        <f>0.4*0.6*4*S9+0.4*0.6*2*S10</f>
        <v>10.559999999999999</v>
      </c>
      <c r="S554" s="79">
        <v>392.78</v>
      </c>
      <c r="T554" s="80">
        <v>78.489999999999995</v>
      </c>
    </row>
    <row r="555" spans="2:20" ht="42">
      <c r="B555" s="5" t="s">
        <v>1321</v>
      </c>
      <c r="C555" s="45" t="s">
        <v>135</v>
      </c>
      <c r="D555" s="45">
        <v>95544</v>
      </c>
      <c r="E555" s="6" t="s">
        <v>1821</v>
      </c>
      <c r="F555" s="45" t="s">
        <v>210</v>
      </c>
      <c r="G555" s="46">
        <f t="shared" si="64"/>
        <v>28</v>
      </c>
      <c r="H555" s="46">
        <f>TRUNC(S555*(1-LOTE_01!$K$10),2)</f>
        <v>54.76</v>
      </c>
      <c r="I555" s="46">
        <f>TRUNC(T555*(1-LOTE_01!$K$10),2)</f>
        <v>8.5</v>
      </c>
      <c r="J555" s="100">
        <f t="shared" si="65"/>
        <v>0.22470000000000001</v>
      </c>
      <c r="K555" s="48">
        <f t="shared" si="59"/>
        <v>67.06</v>
      </c>
      <c r="L555" s="48">
        <f t="shared" si="60"/>
        <v>10.4</v>
      </c>
      <c r="M555" s="48">
        <f t="shared" si="61"/>
        <v>1877.68</v>
      </c>
      <c r="N555" s="48">
        <f t="shared" si="62"/>
        <v>291.2</v>
      </c>
      <c r="O555" s="50">
        <f t="shared" si="63"/>
        <v>2168.88</v>
      </c>
      <c r="P555" s="50">
        <v>0</v>
      </c>
      <c r="Q555" s="76"/>
      <c r="R555" s="140">
        <f>2*S9+2*S10</f>
        <v>28</v>
      </c>
      <c r="S555" s="79">
        <v>54.76</v>
      </c>
      <c r="T555" s="80">
        <v>8.5</v>
      </c>
    </row>
    <row r="556" spans="2:20" ht="28">
      <c r="B556" s="5" t="s">
        <v>1322</v>
      </c>
      <c r="C556" s="45" t="s">
        <v>97</v>
      </c>
      <c r="D556" s="45" t="s">
        <v>1323</v>
      </c>
      <c r="E556" s="6" t="s">
        <v>1324</v>
      </c>
      <c r="F556" s="45" t="s">
        <v>104</v>
      </c>
      <c r="G556" s="46">
        <f t="shared" si="64"/>
        <v>28</v>
      </c>
      <c r="H556" s="46">
        <f>TRUNC(S556*(1-LOTE_01!$K$10),2)</f>
        <v>45.12</v>
      </c>
      <c r="I556" s="46">
        <f>TRUNC(T556*(1-LOTE_01!$K$10),2)</f>
        <v>4.08</v>
      </c>
      <c r="J556" s="100">
        <f t="shared" si="65"/>
        <v>0.22470000000000001</v>
      </c>
      <c r="K556" s="48">
        <f t="shared" si="59"/>
        <v>55.25</v>
      </c>
      <c r="L556" s="48">
        <f t="shared" si="60"/>
        <v>4.99</v>
      </c>
      <c r="M556" s="48">
        <f t="shared" si="61"/>
        <v>1547</v>
      </c>
      <c r="N556" s="48">
        <f t="shared" si="62"/>
        <v>139.72</v>
      </c>
      <c r="O556" s="50">
        <f t="shared" si="63"/>
        <v>1686.72</v>
      </c>
      <c r="P556" s="50">
        <v>0</v>
      </c>
      <c r="Q556" s="76"/>
      <c r="R556" s="140">
        <f>2*S9+2*S10</f>
        <v>28</v>
      </c>
      <c r="S556" s="79">
        <v>45.12</v>
      </c>
      <c r="T556" s="80">
        <v>4.08</v>
      </c>
    </row>
    <row r="557" spans="2:20" ht="42">
      <c r="B557" s="5" t="s">
        <v>1325</v>
      </c>
      <c r="C557" s="45" t="s">
        <v>97</v>
      </c>
      <c r="D557" s="45" t="s">
        <v>1326</v>
      </c>
      <c r="E557" s="6" t="s">
        <v>1327</v>
      </c>
      <c r="F557" s="45" t="s">
        <v>104</v>
      </c>
      <c r="G557" s="46">
        <f t="shared" si="64"/>
        <v>28</v>
      </c>
      <c r="H557" s="46">
        <f>TRUNC(S557*(1-LOTE_01!$K$10),2)</f>
        <v>45.12</v>
      </c>
      <c r="I557" s="46">
        <f>TRUNC(T557*(1-LOTE_01!$K$10),2)</f>
        <v>4.08</v>
      </c>
      <c r="J557" s="100">
        <f t="shared" si="65"/>
        <v>0.22470000000000001</v>
      </c>
      <c r="K557" s="48">
        <f t="shared" si="59"/>
        <v>55.25</v>
      </c>
      <c r="L557" s="48">
        <f t="shared" si="60"/>
        <v>4.99</v>
      </c>
      <c r="M557" s="48">
        <f t="shared" si="61"/>
        <v>1547</v>
      </c>
      <c r="N557" s="48">
        <f t="shared" si="62"/>
        <v>139.72</v>
      </c>
      <c r="O557" s="50">
        <f t="shared" si="63"/>
        <v>1686.72</v>
      </c>
      <c r="P557" s="50">
        <v>0</v>
      </c>
      <c r="Q557" s="76"/>
      <c r="R557" s="140">
        <f>2*S9+2*S10</f>
        <v>28</v>
      </c>
      <c r="S557" s="79">
        <v>45.12</v>
      </c>
      <c r="T557" s="80">
        <v>4.08</v>
      </c>
    </row>
    <row r="558" spans="2:20" ht="56">
      <c r="B558" s="5" t="s">
        <v>1328</v>
      </c>
      <c r="C558" s="45" t="s">
        <v>135</v>
      </c>
      <c r="D558" s="45">
        <v>95547</v>
      </c>
      <c r="E558" s="6" t="s">
        <v>1822</v>
      </c>
      <c r="F558" s="45" t="s">
        <v>210</v>
      </c>
      <c r="G558" s="46">
        <f t="shared" si="64"/>
        <v>28</v>
      </c>
      <c r="H558" s="46">
        <f>TRUNC(S558*(1-LOTE_01!$K$10),2)</f>
        <v>46.47</v>
      </c>
      <c r="I558" s="46">
        <f>TRUNC(T558*(1-LOTE_01!$K$10),2)</f>
        <v>9.1999999999999993</v>
      </c>
      <c r="J558" s="100">
        <f t="shared" si="65"/>
        <v>0.22470000000000001</v>
      </c>
      <c r="K558" s="48">
        <f t="shared" si="59"/>
        <v>56.91</v>
      </c>
      <c r="L558" s="48">
        <f t="shared" si="60"/>
        <v>11.26</v>
      </c>
      <c r="M558" s="48">
        <f t="shared" si="61"/>
        <v>1593.48</v>
      </c>
      <c r="N558" s="48">
        <f t="shared" si="62"/>
        <v>315.27999999999997</v>
      </c>
      <c r="O558" s="50">
        <f t="shared" si="63"/>
        <v>1908.76</v>
      </c>
      <c r="P558" s="50">
        <v>0</v>
      </c>
      <c r="Q558" s="76"/>
      <c r="R558" s="140">
        <f>2*S9+2*S10</f>
        <v>28</v>
      </c>
      <c r="S558" s="79">
        <v>46.47</v>
      </c>
      <c r="T558" s="80">
        <v>9.1999999999999993</v>
      </c>
    </row>
    <row r="559" spans="2:20" ht="28">
      <c r="B559" s="5" t="s">
        <v>1329</v>
      </c>
      <c r="C559" s="45" t="s">
        <v>135</v>
      </c>
      <c r="D559" s="45">
        <v>95545</v>
      </c>
      <c r="E559" s="6" t="s">
        <v>1823</v>
      </c>
      <c r="F559" s="45" t="s">
        <v>210</v>
      </c>
      <c r="G559" s="46">
        <f t="shared" si="64"/>
        <v>28</v>
      </c>
      <c r="H559" s="46">
        <f>TRUNC(S559*(1-LOTE_01!$K$10),2)</f>
        <v>53.57</v>
      </c>
      <c r="I559" s="46">
        <f>TRUNC(T559*(1-LOTE_01!$K$10),2)</f>
        <v>8.5</v>
      </c>
      <c r="J559" s="100">
        <f t="shared" si="65"/>
        <v>0.22470000000000001</v>
      </c>
      <c r="K559" s="48">
        <f t="shared" si="59"/>
        <v>65.599999999999994</v>
      </c>
      <c r="L559" s="48">
        <f t="shared" si="60"/>
        <v>10.4</v>
      </c>
      <c r="M559" s="48">
        <f t="shared" si="61"/>
        <v>1836.8</v>
      </c>
      <c r="N559" s="48">
        <f t="shared" si="62"/>
        <v>291.2</v>
      </c>
      <c r="O559" s="50">
        <f t="shared" si="63"/>
        <v>2128</v>
      </c>
      <c r="P559" s="50">
        <v>0</v>
      </c>
      <c r="Q559" s="76"/>
      <c r="R559" s="140">
        <f>2*S9+2*S10</f>
        <v>28</v>
      </c>
      <c r="S559" s="79">
        <v>53.57</v>
      </c>
      <c r="T559" s="80">
        <v>8.5</v>
      </c>
    </row>
    <row r="560" spans="2:20" ht="28">
      <c r="B560" s="5" t="s">
        <v>1330</v>
      </c>
      <c r="C560" s="45" t="s">
        <v>165</v>
      </c>
      <c r="D560" s="45" t="s">
        <v>1331</v>
      </c>
      <c r="E560" s="6" t="s">
        <v>1332</v>
      </c>
      <c r="F560" s="45" t="s">
        <v>559</v>
      </c>
      <c r="G560" s="46">
        <f t="shared" si="64"/>
        <v>28</v>
      </c>
      <c r="H560" s="46">
        <f>TRUNC(S560*(1-LOTE_01!$K$10),2)</f>
        <v>456.03</v>
      </c>
      <c r="I560" s="46">
        <f>TRUNC(T560*(1-LOTE_01!$K$10),2)</f>
        <v>15.94</v>
      </c>
      <c r="J560" s="100">
        <f t="shared" si="65"/>
        <v>0.22470000000000001</v>
      </c>
      <c r="K560" s="48">
        <f t="shared" si="59"/>
        <v>558.49</v>
      </c>
      <c r="L560" s="48">
        <f t="shared" si="60"/>
        <v>19.52</v>
      </c>
      <c r="M560" s="48">
        <f t="shared" si="61"/>
        <v>15637.72</v>
      </c>
      <c r="N560" s="48">
        <f t="shared" si="62"/>
        <v>546.55999999999995</v>
      </c>
      <c r="O560" s="50">
        <f t="shared" si="63"/>
        <v>16184.28</v>
      </c>
      <c r="P560" s="50">
        <v>0</v>
      </c>
      <c r="Q560" s="76"/>
      <c r="R560" s="140">
        <f>2*S9+2*S10</f>
        <v>28</v>
      </c>
      <c r="S560" s="79">
        <v>456.03</v>
      </c>
      <c r="T560" s="80">
        <v>15.94</v>
      </c>
    </row>
    <row r="561" spans="2:20" ht="42">
      <c r="B561" s="5" t="s">
        <v>1333</v>
      </c>
      <c r="C561" s="45" t="s">
        <v>97</v>
      </c>
      <c r="D561" s="45" t="s">
        <v>1354</v>
      </c>
      <c r="E561" s="6" t="s">
        <v>1355</v>
      </c>
      <c r="F561" s="45" t="s">
        <v>104</v>
      </c>
      <c r="G561" s="46">
        <f t="shared" si="64"/>
        <v>28</v>
      </c>
      <c r="H561" s="46">
        <f>TRUNC(S561*(1-LOTE_01!$K$10),2)</f>
        <v>49.07</v>
      </c>
      <c r="I561" s="46">
        <f>TRUNC(T561*(1-LOTE_01!$K$10),2)</f>
        <v>11.54</v>
      </c>
      <c r="J561" s="100">
        <f t="shared" si="65"/>
        <v>0.22470000000000001</v>
      </c>
      <c r="K561" s="48">
        <f t="shared" si="59"/>
        <v>60.09</v>
      </c>
      <c r="L561" s="48">
        <f t="shared" si="60"/>
        <v>14.13</v>
      </c>
      <c r="M561" s="48">
        <f t="shared" si="61"/>
        <v>1682.52</v>
      </c>
      <c r="N561" s="48">
        <f t="shared" si="62"/>
        <v>395.64</v>
      </c>
      <c r="O561" s="50">
        <f t="shared" si="63"/>
        <v>2078.16</v>
      </c>
      <c r="P561" s="50">
        <v>0</v>
      </c>
      <c r="Q561" s="76"/>
      <c r="R561" s="140">
        <f>2*S9+2*S10</f>
        <v>28</v>
      </c>
      <c r="S561" s="79">
        <v>49.07</v>
      </c>
      <c r="T561" s="80">
        <v>11.54</v>
      </c>
    </row>
    <row r="562" spans="2:20" ht="42">
      <c r="B562" s="5" t="s">
        <v>1334</v>
      </c>
      <c r="C562" s="45" t="s">
        <v>135</v>
      </c>
      <c r="D562" s="45">
        <v>95546</v>
      </c>
      <c r="E562" s="6" t="s">
        <v>1824</v>
      </c>
      <c r="F562" s="45" t="s">
        <v>210</v>
      </c>
      <c r="G562" s="46">
        <f t="shared" si="64"/>
        <v>28</v>
      </c>
      <c r="H562" s="46">
        <f>TRUNC(S562*(1-LOTE_01!$K$10),2)</f>
        <v>163.83000000000001</v>
      </c>
      <c r="I562" s="46">
        <f>TRUNC(T562*(1-LOTE_01!$K$10),2)</f>
        <v>53.88</v>
      </c>
      <c r="J562" s="100">
        <f t="shared" si="65"/>
        <v>0.22470000000000001</v>
      </c>
      <c r="K562" s="48">
        <f t="shared" si="59"/>
        <v>200.64</v>
      </c>
      <c r="L562" s="48">
        <f t="shared" si="60"/>
        <v>65.98</v>
      </c>
      <c r="M562" s="48">
        <f t="shared" si="61"/>
        <v>5617.92</v>
      </c>
      <c r="N562" s="48">
        <f t="shared" si="62"/>
        <v>1847.44</v>
      </c>
      <c r="O562" s="50">
        <f t="shared" si="63"/>
        <v>7465.36</v>
      </c>
      <c r="P562" s="50">
        <v>0</v>
      </c>
      <c r="Q562" s="76"/>
      <c r="R562" s="140">
        <f>2*S9+2*S10</f>
        <v>28</v>
      </c>
      <c r="S562" s="79">
        <v>163.83000000000001</v>
      </c>
      <c r="T562" s="80">
        <v>53.88</v>
      </c>
    </row>
    <row r="563" spans="2:20" ht="42">
      <c r="B563" s="5" t="s">
        <v>1335</v>
      </c>
      <c r="C563" s="45" t="s">
        <v>97</v>
      </c>
      <c r="D563" s="45" t="s">
        <v>1336</v>
      </c>
      <c r="E563" s="6" t="s">
        <v>1337</v>
      </c>
      <c r="F563" s="45" t="s">
        <v>104</v>
      </c>
      <c r="G563" s="46">
        <f t="shared" si="64"/>
        <v>28</v>
      </c>
      <c r="H563" s="46">
        <f>TRUNC(S563*(1-LOTE_01!$K$10),2)</f>
        <v>69.8</v>
      </c>
      <c r="I563" s="46">
        <f>TRUNC(T563*(1-LOTE_01!$K$10),2)</f>
        <v>4.08</v>
      </c>
      <c r="J563" s="100">
        <f t="shared" si="65"/>
        <v>0.22470000000000001</v>
      </c>
      <c r="K563" s="48">
        <f t="shared" si="59"/>
        <v>85.48</v>
      </c>
      <c r="L563" s="48">
        <f t="shared" si="60"/>
        <v>4.99</v>
      </c>
      <c r="M563" s="48">
        <f t="shared" si="61"/>
        <v>2393.44</v>
      </c>
      <c r="N563" s="48">
        <f t="shared" si="62"/>
        <v>139.72</v>
      </c>
      <c r="O563" s="50">
        <f t="shared" si="63"/>
        <v>2533.16</v>
      </c>
      <c r="P563" s="50">
        <v>0</v>
      </c>
      <c r="Q563" s="76"/>
      <c r="R563" s="140">
        <f>2*S9+2*S10</f>
        <v>28</v>
      </c>
      <c r="S563" s="79">
        <v>69.8</v>
      </c>
      <c r="T563" s="80">
        <v>4.08</v>
      </c>
    </row>
    <row r="564" spans="2:20" ht="28">
      <c r="B564" s="5" t="s">
        <v>1338</v>
      </c>
      <c r="C564" s="45" t="s">
        <v>97</v>
      </c>
      <c r="D564" s="45" t="s">
        <v>1339</v>
      </c>
      <c r="E564" s="6" t="s">
        <v>1340</v>
      </c>
      <c r="F564" s="45" t="s">
        <v>104</v>
      </c>
      <c r="G564" s="46">
        <f t="shared" si="64"/>
        <v>28</v>
      </c>
      <c r="H564" s="46">
        <f>TRUNC(S564*(1-LOTE_01!$K$10),2)</f>
        <v>35.15</v>
      </c>
      <c r="I564" s="46">
        <f>TRUNC(T564*(1-LOTE_01!$K$10),2)</f>
        <v>4.08</v>
      </c>
      <c r="J564" s="100">
        <f t="shared" si="65"/>
        <v>0.22470000000000001</v>
      </c>
      <c r="K564" s="48">
        <f t="shared" si="59"/>
        <v>43.04</v>
      </c>
      <c r="L564" s="48">
        <f t="shared" si="60"/>
        <v>4.99</v>
      </c>
      <c r="M564" s="48">
        <f t="shared" si="61"/>
        <v>1205.1199999999999</v>
      </c>
      <c r="N564" s="48">
        <f t="shared" si="62"/>
        <v>139.72</v>
      </c>
      <c r="O564" s="50">
        <f t="shared" si="63"/>
        <v>1344.84</v>
      </c>
      <c r="P564" s="50">
        <v>0</v>
      </c>
      <c r="Q564" s="76"/>
      <c r="R564" s="140">
        <f>2*S9+2*S10</f>
        <v>28</v>
      </c>
      <c r="S564" s="79">
        <v>35.15</v>
      </c>
      <c r="T564" s="80">
        <v>4.08</v>
      </c>
    </row>
    <row r="565" spans="2:20" ht="28">
      <c r="B565" s="5" t="s">
        <v>1341</v>
      </c>
      <c r="C565" s="45" t="s">
        <v>97</v>
      </c>
      <c r="D565" s="45" t="s">
        <v>1342</v>
      </c>
      <c r="E565" s="6" t="s">
        <v>1343</v>
      </c>
      <c r="F565" s="45" t="s">
        <v>104</v>
      </c>
      <c r="G565" s="46">
        <f t="shared" si="64"/>
        <v>20</v>
      </c>
      <c r="H565" s="46">
        <f>TRUNC(S565*(1-LOTE_01!$K$10),2)</f>
        <v>92.34</v>
      </c>
      <c r="I565" s="46">
        <f>TRUNC(T565*(1-LOTE_01!$K$10),2)</f>
        <v>12.19</v>
      </c>
      <c r="J565" s="100">
        <f t="shared" si="65"/>
        <v>0.22470000000000001</v>
      </c>
      <c r="K565" s="48">
        <f t="shared" si="59"/>
        <v>113.08</v>
      </c>
      <c r="L565" s="48">
        <f t="shared" si="60"/>
        <v>14.92</v>
      </c>
      <c r="M565" s="48">
        <f t="shared" si="61"/>
        <v>2261.6</v>
      </c>
      <c r="N565" s="48">
        <f t="shared" si="62"/>
        <v>298.39999999999998</v>
      </c>
      <c r="O565" s="50">
        <f t="shared" si="63"/>
        <v>2560</v>
      </c>
      <c r="P565" s="50">
        <v>0</v>
      </c>
      <c r="Q565" s="76"/>
      <c r="R565" s="140">
        <f>1*S9+2*S10</f>
        <v>20</v>
      </c>
      <c r="S565" s="79">
        <v>92.34</v>
      </c>
      <c r="T565" s="80">
        <v>12.19</v>
      </c>
    </row>
    <row r="566" spans="2:20" ht="56">
      <c r="B566" s="5" t="s">
        <v>1344</v>
      </c>
      <c r="C566" s="45" t="s">
        <v>135</v>
      </c>
      <c r="D566" s="45">
        <v>86909</v>
      </c>
      <c r="E566" s="6" t="s">
        <v>1825</v>
      </c>
      <c r="F566" s="45" t="s">
        <v>210</v>
      </c>
      <c r="G566" s="46">
        <f t="shared" si="64"/>
        <v>14</v>
      </c>
      <c r="H566" s="46">
        <f>TRUNC(S566*(1-LOTE_01!$K$10),2)</f>
        <v>185.15</v>
      </c>
      <c r="I566" s="46">
        <f>TRUNC(T566*(1-LOTE_01!$K$10),2)</f>
        <v>3.85</v>
      </c>
      <c r="J566" s="100">
        <f t="shared" si="65"/>
        <v>0.22470000000000001</v>
      </c>
      <c r="K566" s="48">
        <f t="shared" si="59"/>
        <v>226.75</v>
      </c>
      <c r="L566" s="48">
        <f t="shared" si="60"/>
        <v>4.71</v>
      </c>
      <c r="M566" s="48">
        <f t="shared" si="61"/>
        <v>3174.5</v>
      </c>
      <c r="N566" s="48">
        <f t="shared" si="62"/>
        <v>65.94</v>
      </c>
      <c r="O566" s="50">
        <f t="shared" si="63"/>
        <v>3240.44</v>
      </c>
      <c r="P566" s="50">
        <v>0</v>
      </c>
      <c r="Q566" s="76"/>
      <c r="R566" s="140">
        <f>1*S9+1*S10</f>
        <v>14</v>
      </c>
      <c r="S566" s="79">
        <v>185.15</v>
      </c>
      <c r="T566" s="80">
        <v>3.85</v>
      </c>
    </row>
    <row r="567" spans="2:20" ht="70">
      <c r="B567" s="5" t="s">
        <v>1345</v>
      </c>
      <c r="C567" s="45" t="s">
        <v>135</v>
      </c>
      <c r="D567" s="45">
        <v>86910</v>
      </c>
      <c r="E567" s="6" t="s">
        <v>1826</v>
      </c>
      <c r="F567" s="45" t="s">
        <v>210</v>
      </c>
      <c r="G567" s="46">
        <f t="shared" si="64"/>
        <v>14</v>
      </c>
      <c r="H567" s="46">
        <f>TRUNC(S567*(1-LOTE_01!$K$10),2)</f>
        <v>183.55</v>
      </c>
      <c r="I567" s="46">
        <f>TRUNC(T567*(1-LOTE_01!$K$10),2)</f>
        <v>2.68</v>
      </c>
      <c r="J567" s="100">
        <f t="shared" si="65"/>
        <v>0.22470000000000001</v>
      </c>
      <c r="K567" s="48">
        <f t="shared" si="59"/>
        <v>224.79</v>
      </c>
      <c r="L567" s="48">
        <f t="shared" si="60"/>
        <v>3.28</v>
      </c>
      <c r="M567" s="48">
        <f t="shared" si="61"/>
        <v>3147.06</v>
      </c>
      <c r="N567" s="48">
        <f t="shared" si="62"/>
        <v>45.92</v>
      </c>
      <c r="O567" s="50">
        <f t="shared" si="63"/>
        <v>3192.98</v>
      </c>
      <c r="P567" s="50">
        <v>0</v>
      </c>
      <c r="Q567" s="76"/>
      <c r="R567" s="140">
        <f>1*S9+1*S10</f>
        <v>14</v>
      </c>
      <c r="S567" s="79">
        <v>183.54999999999998</v>
      </c>
      <c r="T567" s="80">
        <v>2.68</v>
      </c>
    </row>
    <row r="568" spans="2:20" ht="42">
      <c r="B568" s="5" t="s">
        <v>1346</v>
      </c>
      <c r="C568" s="45" t="s">
        <v>135</v>
      </c>
      <c r="D568" s="45">
        <v>100853</v>
      </c>
      <c r="E568" s="6" t="s">
        <v>1827</v>
      </c>
      <c r="F568" s="45" t="s">
        <v>210</v>
      </c>
      <c r="G568" s="46">
        <f t="shared" si="64"/>
        <v>14</v>
      </c>
      <c r="H568" s="46">
        <f>TRUNC(S568*(1-LOTE_01!$K$10),2)</f>
        <v>489.12</v>
      </c>
      <c r="I568" s="46">
        <f>TRUNC(T568*(1-LOTE_01!$K$10),2)</f>
        <v>10.74</v>
      </c>
      <c r="J568" s="100">
        <f t="shared" si="65"/>
        <v>0.22470000000000001</v>
      </c>
      <c r="K568" s="48">
        <f t="shared" si="59"/>
        <v>599.02</v>
      </c>
      <c r="L568" s="48">
        <f t="shared" si="60"/>
        <v>13.15</v>
      </c>
      <c r="M568" s="48">
        <f t="shared" si="61"/>
        <v>8386.2800000000007</v>
      </c>
      <c r="N568" s="48">
        <f t="shared" si="62"/>
        <v>184.1</v>
      </c>
      <c r="O568" s="50">
        <f t="shared" si="63"/>
        <v>8570.3799999999992</v>
      </c>
      <c r="P568" s="50">
        <v>0</v>
      </c>
      <c r="Q568" s="76"/>
      <c r="R568" s="140">
        <f>1*S9+1*S10</f>
        <v>14</v>
      </c>
      <c r="S568" s="79">
        <v>489.12</v>
      </c>
      <c r="T568" s="80">
        <v>10.74</v>
      </c>
    </row>
    <row r="569" spans="2:20" ht="70">
      <c r="B569" s="5" t="s">
        <v>1347</v>
      </c>
      <c r="C569" s="45" t="s">
        <v>97</v>
      </c>
      <c r="D569" s="45" t="s">
        <v>1348</v>
      </c>
      <c r="E569" s="6" t="s">
        <v>1349</v>
      </c>
      <c r="F569" s="45" t="s">
        <v>104</v>
      </c>
      <c r="G569" s="46">
        <f t="shared" si="64"/>
        <v>20</v>
      </c>
      <c r="H569" s="46">
        <f>TRUNC(S569*(1-LOTE_01!$K$10),2)</f>
        <v>209.32</v>
      </c>
      <c r="I569" s="46">
        <f>TRUNC(T569*(1-LOTE_01!$K$10),2)</f>
        <v>2.75</v>
      </c>
      <c r="J569" s="100">
        <f t="shared" si="65"/>
        <v>0.22470000000000001</v>
      </c>
      <c r="K569" s="48">
        <f t="shared" si="59"/>
        <v>256.35000000000002</v>
      </c>
      <c r="L569" s="48">
        <f t="shared" si="60"/>
        <v>3.36</v>
      </c>
      <c r="M569" s="48">
        <f t="shared" si="61"/>
        <v>5127</v>
      </c>
      <c r="N569" s="48">
        <f t="shared" si="62"/>
        <v>67.2</v>
      </c>
      <c r="O569" s="50">
        <f t="shared" si="63"/>
        <v>5194.2</v>
      </c>
      <c r="P569" s="50">
        <v>0</v>
      </c>
      <c r="Q569" s="76"/>
      <c r="R569" s="140">
        <f>1*S9+2*S10</f>
        <v>20</v>
      </c>
      <c r="S569" s="79">
        <v>209.32</v>
      </c>
      <c r="T569" s="80">
        <v>2.75</v>
      </c>
    </row>
    <row r="570" spans="2:20" ht="42">
      <c r="B570" s="5" t="s">
        <v>1350</v>
      </c>
      <c r="C570" s="45" t="s">
        <v>165</v>
      </c>
      <c r="D570" s="45" t="s">
        <v>1351</v>
      </c>
      <c r="E570" s="6" t="s">
        <v>1352</v>
      </c>
      <c r="F570" s="45" t="s">
        <v>559</v>
      </c>
      <c r="G570" s="46">
        <f t="shared" si="64"/>
        <v>28</v>
      </c>
      <c r="H570" s="46">
        <f>TRUNC(S570*(1-LOTE_01!$K$10),2)</f>
        <v>410.67</v>
      </c>
      <c r="I570" s="46">
        <f>TRUNC(T570*(1-LOTE_01!$K$10),2)</f>
        <v>63.77</v>
      </c>
      <c r="J570" s="100">
        <f t="shared" si="65"/>
        <v>0.22470000000000001</v>
      </c>
      <c r="K570" s="48">
        <f t="shared" si="59"/>
        <v>502.94</v>
      </c>
      <c r="L570" s="48">
        <f t="shared" si="60"/>
        <v>78.09</v>
      </c>
      <c r="M570" s="48">
        <f t="shared" si="61"/>
        <v>14082.32</v>
      </c>
      <c r="N570" s="48">
        <f t="shared" si="62"/>
        <v>2186.52</v>
      </c>
      <c r="O570" s="50">
        <f t="shared" si="63"/>
        <v>16268.84</v>
      </c>
      <c r="P570" s="50">
        <v>0</v>
      </c>
      <c r="Q570" s="76"/>
      <c r="R570" s="140">
        <f>2*S9+2*S10</f>
        <v>28</v>
      </c>
      <c r="S570" s="79">
        <v>410.67</v>
      </c>
      <c r="T570" s="80">
        <v>63.77</v>
      </c>
    </row>
    <row r="571" spans="2:20" ht="42">
      <c r="B571" s="5" t="s">
        <v>1353</v>
      </c>
      <c r="C571" s="45" t="s">
        <v>97</v>
      </c>
      <c r="D571" s="45" t="s">
        <v>1354</v>
      </c>
      <c r="E571" s="6" t="s">
        <v>1355</v>
      </c>
      <c r="F571" s="45" t="s">
        <v>104</v>
      </c>
      <c r="G571" s="46">
        <f t="shared" si="64"/>
        <v>20</v>
      </c>
      <c r="H571" s="46">
        <f>TRUNC(S571*(1-LOTE_01!$K$10),2)</f>
        <v>49.07</v>
      </c>
      <c r="I571" s="46">
        <f>TRUNC(T571*(1-LOTE_01!$K$10),2)</f>
        <v>11.54</v>
      </c>
      <c r="J571" s="100">
        <f t="shared" si="65"/>
        <v>0.22470000000000001</v>
      </c>
      <c r="K571" s="48">
        <f t="shared" si="59"/>
        <v>60.09</v>
      </c>
      <c r="L571" s="48">
        <f t="shared" si="60"/>
        <v>14.13</v>
      </c>
      <c r="M571" s="48">
        <f t="shared" si="61"/>
        <v>1201.8</v>
      </c>
      <c r="N571" s="48">
        <f t="shared" si="62"/>
        <v>282.60000000000002</v>
      </c>
      <c r="O571" s="50">
        <f t="shared" si="63"/>
        <v>1484.4</v>
      </c>
      <c r="P571" s="50">
        <v>0</v>
      </c>
      <c r="Q571" s="76"/>
      <c r="R571" s="140">
        <f>1*S9+2*S10</f>
        <v>20</v>
      </c>
      <c r="S571" s="79">
        <v>49.07</v>
      </c>
      <c r="T571" s="80">
        <v>11.54</v>
      </c>
    </row>
    <row r="572" spans="2:20" ht="56">
      <c r="B572" s="5" t="s">
        <v>1356</v>
      </c>
      <c r="C572" s="45" t="s">
        <v>135</v>
      </c>
      <c r="D572" s="45">
        <v>86877</v>
      </c>
      <c r="E572" s="6" t="s">
        <v>1828</v>
      </c>
      <c r="F572" s="45" t="s">
        <v>210</v>
      </c>
      <c r="G572" s="46">
        <f t="shared" si="64"/>
        <v>10</v>
      </c>
      <c r="H572" s="46">
        <f>TRUNC(S572*(1-LOTE_01!$K$10),2)</f>
        <v>57.07</v>
      </c>
      <c r="I572" s="46">
        <f>TRUNC(T572*(1-LOTE_01!$K$10),2)</f>
        <v>4.03</v>
      </c>
      <c r="J572" s="100">
        <f t="shared" si="65"/>
        <v>0.22470000000000001</v>
      </c>
      <c r="K572" s="48">
        <f t="shared" si="59"/>
        <v>69.89</v>
      </c>
      <c r="L572" s="48">
        <f t="shared" si="60"/>
        <v>4.93</v>
      </c>
      <c r="M572" s="48">
        <f t="shared" si="61"/>
        <v>698.9</v>
      </c>
      <c r="N572" s="48">
        <f t="shared" si="62"/>
        <v>49.3</v>
      </c>
      <c r="O572" s="50">
        <f t="shared" si="63"/>
        <v>748.2</v>
      </c>
      <c r="P572" s="50">
        <v>0</v>
      </c>
      <c r="Q572" s="76"/>
      <c r="R572" s="140">
        <f>IF((1*S9+1*S10)&gt;10,10,(1*S9+1*S10))</f>
        <v>10</v>
      </c>
      <c r="S572" s="79">
        <v>57.07</v>
      </c>
      <c r="T572" s="80">
        <v>4.03</v>
      </c>
    </row>
    <row r="573" spans="2:20" ht="56">
      <c r="B573" s="5" t="s">
        <v>1357</v>
      </c>
      <c r="C573" s="45" t="s">
        <v>135</v>
      </c>
      <c r="D573" s="45">
        <v>86878</v>
      </c>
      <c r="E573" s="6" t="s">
        <v>1829</v>
      </c>
      <c r="F573" s="45" t="s">
        <v>210</v>
      </c>
      <c r="G573" s="46">
        <f t="shared" si="64"/>
        <v>10</v>
      </c>
      <c r="H573" s="46">
        <f>TRUNC(S573*(1-LOTE_01!$K$10),2)</f>
        <v>61.66</v>
      </c>
      <c r="I573" s="46">
        <f>TRUNC(T573*(1-LOTE_01!$K$10),2)</f>
        <v>4.0199999999999996</v>
      </c>
      <c r="J573" s="100">
        <f t="shared" si="65"/>
        <v>0.22470000000000001</v>
      </c>
      <c r="K573" s="48">
        <f t="shared" si="59"/>
        <v>75.510000000000005</v>
      </c>
      <c r="L573" s="48">
        <f t="shared" si="60"/>
        <v>4.92</v>
      </c>
      <c r="M573" s="48">
        <f t="shared" si="61"/>
        <v>755.1</v>
      </c>
      <c r="N573" s="48">
        <f t="shared" si="62"/>
        <v>49.2</v>
      </c>
      <c r="O573" s="50">
        <f t="shared" si="63"/>
        <v>804.3</v>
      </c>
      <c r="P573" s="50">
        <v>0</v>
      </c>
      <c r="Q573" s="76"/>
      <c r="R573" s="140">
        <f>IF((1*S9+1*S10)&gt;10,10,(1*S9+1*S10))</f>
        <v>10</v>
      </c>
      <c r="S573" s="79">
        <v>61.660000000000011</v>
      </c>
      <c r="T573" s="80">
        <v>4.0199999999999996</v>
      </c>
    </row>
    <row r="574" spans="2:20" ht="42">
      <c r="B574" s="5" t="s">
        <v>1358</v>
      </c>
      <c r="C574" s="45" t="s">
        <v>135</v>
      </c>
      <c r="D574" s="45">
        <v>86886</v>
      </c>
      <c r="E574" s="6" t="s">
        <v>1816</v>
      </c>
      <c r="F574" s="45" t="s">
        <v>210</v>
      </c>
      <c r="G574" s="46">
        <f t="shared" si="64"/>
        <v>28</v>
      </c>
      <c r="H574" s="46">
        <f>TRUNC(S574*(1-LOTE_01!$K$10),2)</f>
        <v>41.91</v>
      </c>
      <c r="I574" s="46">
        <f>TRUNC(T574*(1-LOTE_01!$K$10),2)</f>
        <v>3.54</v>
      </c>
      <c r="J574" s="100">
        <f t="shared" si="65"/>
        <v>0.22470000000000001</v>
      </c>
      <c r="K574" s="48">
        <f t="shared" si="59"/>
        <v>51.32</v>
      </c>
      <c r="L574" s="48">
        <f t="shared" si="60"/>
        <v>4.33</v>
      </c>
      <c r="M574" s="48">
        <f t="shared" si="61"/>
        <v>1436.96</v>
      </c>
      <c r="N574" s="48">
        <f t="shared" si="62"/>
        <v>121.24</v>
      </c>
      <c r="O574" s="50">
        <f t="shared" si="63"/>
        <v>1558.2</v>
      </c>
      <c r="P574" s="50">
        <v>0</v>
      </c>
      <c r="Q574" s="76"/>
      <c r="R574" s="140">
        <f>2*S9+2*S10</f>
        <v>28</v>
      </c>
      <c r="S574" s="79">
        <v>41.910000000000004</v>
      </c>
      <c r="T574" s="80">
        <v>3.54</v>
      </c>
    </row>
    <row r="575" spans="2:20" ht="42">
      <c r="B575" s="5" t="s">
        <v>1359</v>
      </c>
      <c r="C575" s="45" t="s">
        <v>135</v>
      </c>
      <c r="D575" s="45">
        <v>86887</v>
      </c>
      <c r="E575" s="6" t="s">
        <v>1830</v>
      </c>
      <c r="F575" s="45" t="s">
        <v>210</v>
      </c>
      <c r="G575" s="46">
        <f t="shared" si="64"/>
        <v>28</v>
      </c>
      <c r="H575" s="46">
        <f>TRUNC(S575*(1-LOTE_01!$K$10),2)</f>
        <v>45.61</v>
      </c>
      <c r="I575" s="46">
        <f>TRUNC(T575*(1-LOTE_01!$K$10),2)</f>
        <v>3.53</v>
      </c>
      <c r="J575" s="100">
        <f t="shared" si="65"/>
        <v>0.22470000000000001</v>
      </c>
      <c r="K575" s="48">
        <f t="shared" si="59"/>
        <v>55.85</v>
      </c>
      <c r="L575" s="48">
        <f t="shared" si="60"/>
        <v>4.32</v>
      </c>
      <c r="M575" s="48">
        <f t="shared" si="61"/>
        <v>1563.8</v>
      </c>
      <c r="N575" s="48">
        <f t="shared" si="62"/>
        <v>120.96</v>
      </c>
      <c r="O575" s="50">
        <f t="shared" si="63"/>
        <v>1684.76</v>
      </c>
      <c r="P575" s="50">
        <v>0</v>
      </c>
      <c r="Q575" s="76"/>
      <c r="R575" s="140">
        <f>2*S9+2*S10</f>
        <v>28</v>
      </c>
      <c r="S575" s="79">
        <v>45.61</v>
      </c>
      <c r="T575" s="80">
        <v>3.53</v>
      </c>
    </row>
    <row r="576" spans="2:20" ht="42">
      <c r="B576" s="5" t="s">
        <v>1360</v>
      </c>
      <c r="C576" s="45" t="s">
        <v>135</v>
      </c>
      <c r="D576" s="45">
        <v>86881</v>
      </c>
      <c r="E576" s="6" t="s">
        <v>1831</v>
      </c>
      <c r="F576" s="45" t="s">
        <v>210</v>
      </c>
      <c r="G576" s="46">
        <f t="shared" si="64"/>
        <v>34</v>
      </c>
      <c r="H576" s="46">
        <f>TRUNC(S576*(1-LOTE_01!$K$10),2)</f>
        <v>176.6</v>
      </c>
      <c r="I576" s="46">
        <f>TRUNC(T576*(1-LOTE_01!$K$10),2)</f>
        <v>6.31</v>
      </c>
      <c r="J576" s="100">
        <f t="shared" si="65"/>
        <v>0.22470000000000001</v>
      </c>
      <c r="K576" s="48">
        <f t="shared" si="59"/>
        <v>216.28</v>
      </c>
      <c r="L576" s="48">
        <f t="shared" si="60"/>
        <v>7.72</v>
      </c>
      <c r="M576" s="48">
        <f t="shared" si="61"/>
        <v>7353.52</v>
      </c>
      <c r="N576" s="48">
        <f t="shared" si="62"/>
        <v>262.48</v>
      </c>
      <c r="O576" s="50">
        <f t="shared" si="63"/>
        <v>7616</v>
      </c>
      <c r="P576" s="50">
        <v>0</v>
      </c>
      <c r="Q576" s="76"/>
      <c r="R576" s="140">
        <f>2*S9+3*S10</f>
        <v>34</v>
      </c>
      <c r="S576" s="79">
        <v>176.6</v>
      </c>
      <c r="T576" s="80">
        <v>6.31</v>
      </c>
    </row>
    <row r="577" spans="2:20" ht="42">
      <c r="B577" s="5" t="s">
        <v>1361</v>
      </c>
      <c r="C577" s="45" t="s">
        <v>135</v>
      </c>
      <c r="D577" s="45">
        <v>86883</v>
      </c>
      <c r="E577" s="6" t="s">
        <v>1832</v>
      </c>
      <c r="F577" s="45" t="s">
        <v>210</v>
      </c>
      <c r="G577" s="46">
        <f t="shared" si="64"/>
        <v>34</v>
      </c>
      <c r="H577" s="46">
        <f>TRUNC(S577*(1-LOTE_01!$K$10),2)</f>
        <v>11.01</v>
      </c>
      <c r="I577" s="46">
        <f>TRUNC(T577*(1-LOTE_01!$K$10),2)</f>
        <v>2.17</v>
      </c>
      <c r="J577" s="100">
        <f t="shared" si="65"/>
        <v>0.22470000000000001</v>
      </c>
      <c r="K577" s="48">
        <f t="shared" si="59"/>
        <v>13.48</v>
      </c>
      <c r="L577" s="48">
        <f t="shared" si="60"/>
        <v>2.65</v>
      </c>
      <c r="M577" s="48">
        <f t="shared" si="61"/>
        <v>458.32</v>
      </c>
      <c r="N577" s="48">
        <f t="shared" si="62"/>
        <v>90.1</v>
      </c>
      <c r="O577" s="50">
        <f t="shared" si="63"/>
        <v>548.41999999999996</v>
      </c>
      <c r="P577" s="50">
        <v>0</v>
      </c>
      <c r="Q577" s="76"/>
      <c r="R577" s="140">
        <f>2*S9+3*S10</f>
        <v>34</v>
      </c>
      <c r="S577" s="79">
        <v>11.01</v>
      </c>
      <c r="T577" s="80">
        <v>2.17</v>
      </c>
    </row>
    <row r="578" spans="2:20" ht="56">
      <c r="B578" s="5" t="s">
        <v>1362</v>
      </c>
      <c r="C578" s="45" t="s">
        <v>135</v>
      </c>
      <c r="D578" s="45">
        <v>86889</v>
      </c>
      <c r="E578" s="6" t="s">
        <v>1833</v>
      </c>
      <c r="F578" s="45" t="s">
        <v>210</v>
      </c>
      <c r="G578" s="46">
        <f t="shared" si="64"/>
        <v>5</v>
      </c>
      <c r="H578" s="46">
        <f>TRUNC(S578*(1-LOTE_01!$K$10),2)</f>
        <v>898.73</v>
      </c>
      <c r="I578" s="46">
        <f>TRUNC(T578*(1-LOTE_01!$K$10),2)</f>
        <v>47.99</v>
      </c>
      <c r="J578" s="100">
        <f t="shared" si="65"/>
        <v>0.22470000000000001</v>
      </c>
      <c r="K578" s="48">
        <f t="shared" si="59"/>
        <v>1100.67</v>
      </c>
      <c r="L578" s="48">
        <f t="shared" si="60"/>
        <v>58.77</v>
      </c>
      <c r="M578" s="48">
        <f t="shared" si="61"/>
        <v>5503.35</v>
      </c>
      <c r="N578" s="48">
        <f t="shared" si="62"/>
        <v>293.85000000000002</v>
      </c>
      <c r="O578" s="50">
        <f t="shared" si="63"/>
        <v>5797.2</v>
      </c>
      <c r="P578" s="50">
        <v>0</v>
      </c>
      <c r="Q578" s="76"/>
      <c r="R578" s="140">
        <f>IF((1*S9+1*S10)&gt;5,5,(1*S9+1*S10))</f>
        <v>5</v>
      </c>
      <c r="S578" s="79">
        <v>898.73</v>
      </c>
      <c r="T578" s="80">
        <v>47.99</v>
      </c>
    </row>
    <row r="579" spans="2:20" ht="28">
      <c r="B579" s="5" t="s">
        <v>1363</v>
      </c>
      <c r="C579" s="45" t="s">
        <v>165</v>
      </c>
      <c r="D579" s="45" t="s">
        <v>1364</v>
      </c>
      <c r="E579" s="6" t="s">
        <v>1365</v>
      </c>
      <c r="F579" s="45" t="s">
        <v>559</v>
      </c>
      <c r="G579" s="46">
        <f t="shared" si="64"/>
        <v>10</v>
      </c>
      <c r="H579" s="46">
        <f>TRUNC(S579*(1-LOTE_01!$K$10),2)</f>
        <v>872.57</v>
      </c>
      <c r="I579" s="46">
        <f>TRUNC(T579*(1-LOTE_01!$K$10),2)</f>
        <v>95.66</v>
      </c>
      <c r="J579" s="100">
        <f t="shared" si="65"/>
        <v>0.22470000000000001</v>
      </c>
      <c r="K579" s="48">
        <f t="shared" si="59"/>
        <v>1068.6300000000001</v>
      </c>
      <c r="L579" s="48">
        <f t="shared" si="60"/>
        <v>117.15</v>
      </c>
      <c r="M579" s="48">
        <f t="shared" si="61"/>
        <v>10686.3</v>
      </c>
      <c r="N579" s="48">
        <f t="shared" si="62"/>
        <v>1171.5</v>
      </c>
      <c r="O579" s="50">
        <f t="shared" si="63"/>
        <v>11857.8</v>
      </c>
      <c r="P579" s="50">
        <v>0</v>
      </c>
      <c r="Q579" s="76"/>
      <c r="R579" s="140">
        <f>IF((1*S9+1*S10)&gt;10,10,(1*S9+1*S10))</f>
        <v>10</v>
      </c>
      <c r="S579" s="79">
        <v>872.57</v>
      </c>
      <c r="T579" s="80">
        <v>95.66</v>
      </c>
    </row>
    <row r="580" spans="2:20" ht="28">
      <c r="B580" s="5" t="s">
        <v>1366</v>
      </c>
      <c r="C580" s="45" t="s">
        <v>165</v>
      </c>
      <c r="D580" s="45" t="s">
        <v>1367</v>
      </c>
      <c r="E580" s="6" t="s">
        <v>1368</v>
      </c>
      <c r="F580" s="45" t="s">
        <v>559</v>
      </c>
      <c r="G580" s="46">
        <f t="shared" si="64"/>
        <v>10</v>
      </c>
      <c r="H580" s="46">
        <f>TRUNC(S580*(1-LOTE_01!$K$10),2)</f>
        <v>651.35</v>
      </c>
      <c r="I580" s="46">
        <f>TRUNC(T580*(1-LOTE_01!$K$10),2)</f>
        <v>111.6</v>
      </c>
      <c r="J580" s="100">
        <f t="shared" si="65"/>
        <v>0.22470000000000001</v>
      </c>
      <c r="K580" s="48">
        <f t="shared" si="59"/>
        <v>797.7</v>
      </c>
      <c r="L580" s="48">
        <f t="shared" si="60"/>
        <v>136.66999999999999</v>
      </c>
      <c r="M580" s="48">
        <f t="shared" si="61"/>
        <v>7977</v>
      </c>
      <c r="N580" s="48">
        <f t="shared" si="62"/>
        <v>1366.7</v>
      </c>
      <c r="O580" s="50">
        <f t="shared" si="63"/>
        <v>9343.7000000000007</v>
      </c>
      <c r="P580" s="50">
        <v>0</v>
      </c>
      <c r="Q580" s="76"/>
      <c r="R580" s="140">
        <f>IF((1*S9+1*S10)&gt;10,10,(1*S9+1*S10))</f>
        <v>10</v>
      </c>
      <c r="S580" s="79">
        <v>651.35</v>
      </c>
      <c r="T580" s="80">
        <v>111.6</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143526.43</v>
      </c>
      <c r="Q581" s="76"/>
      <c r="R581" s="154"/>
      <c r="S581" s="79" t="s">
        <v>22</v>
      </c>
      <c r="T581" s="80" t="s">
        <v>22</v>
      </c>
    </row>
    <row r="582" spans="2:20">
      <c r="B582" s="5" t="s">
        <v>1369</v>
      </c>
      <c r="C582" s="45" t="s">
        <v>97</v>
      </c>
      <c r="D582" s="45" t="s">
        <v>1370</v>
      </c>
      <c r="E582" s="6" t="s">
        <v>1371</v>
      </c>
      <c r="F582" s="45" t="s">
        <v>104</v>
      </c>
      <c r="G582" s="46">
        <f t="shared" si="64"/>
        <v>70</v>
      </c>
      <c r="H582" s="46">
        <f>TRUNC(S582*(1-LOTE_01!$K$10),2)</f>
        <v>2.15</v>
      </c>
      <c r="I582" s="46">
        <f>TRUNC(T582*(1-LOTE_01!$K$10),2)</f>
        <v>3.83</v>
      </c>
      <c r="J582" s="100">
        <f t="shared" si="65"/>
        <v>0.22470000000000001</v>
      </c>
      <c r="K582" s="48">
        <f t="shared" si="59"/>
        <v>2.63</v>
      </c>
      <c r="L582" s="48">
        <f t="shared" si="60"/>
        <v>4.6900000000000004</v>
      </c>
      <c r="M582" s="48">
        <f t="shared" si="61"/>
        <v>184.1</v>
      </c>
      <c r="N582" s="48">
        <f t="shared" si="62"/>
        <v>328.3</v>
      </c>
      <c r="O582" s="50">
        <f t="shared" si="63"/>
        <v>512.4</v>
      </c>
      <c r="P582" s="50">
        <v>0</v>
      </c>
      <c r="Q582" s="76"/>
      <c r="R582" s="140">
        <f>5*S9+5*S10</f>
        <v>70</v>
      </c>
      <c r="S582" s="79">
        <v>2.15</v>
      </c>
      <c r="T582" s="80">
        <v>3.83</v>
      </c>
    </row>
    <row r="583" spans="2:20" ht="28">
      <c r="B583" s="5" t="s">
        <v>1372</v>
      </c>
      <c r="C583" s="45" t="s">
        <v>97</v>
      </c>
      <c r="D583" s="45" t="s">
        <v>1373</v>
      </c>
      <c r="E583" s="6" t="s">
        <v>1374</v>
      </c>
      <c r="F583" s="45" t="s">
        <v>104</v>
      </c>
      <c r="G583" s="46">
        <f t="shared" si="64"/>
        <v>70</v>
      </c>
      <c r="H583" s="46">
        <f>TRUNC(S583*(1-LOTE_01!$K$10),2)</f>
        <v>10.5</v>
      </c>
      <c r="I583" s="46">
        <f>TRUNC(T583*(1-LOTE_01!$K$10),2)</f>
        <v>18.3</v>
      </c>
      <c r="J583" s="100">
        <f t="shared" si="65"/>
        <v>0.22470000000000001</v>
      </c>
      <c r="K583" s="48">
        <f t="shared" si="59"/>
        <v>12.85</v>
      </c>
      <c r="L583" s="48">
        <f t="shared" si="60"/>
        <v>22.41</v>
      </c>
      <c r="M583" s="48">
        <f t="shared" si="61"/>
        <v>899.5</v>
      </c>
      <c r="N583" s="48">
        <f t="shared" si="62"/>
        <v>1568.7</v>
      </c>
      <c r="O583" s="50">
        <f t="shared" si="63"/>
        <v>2468.1999999999998</v>
      </c>
      <c r="P583" s="50">
        <v>0</v>
      </c>
      <c r="Q583" s="76"/>
      <c r="R583" s="140">
        <f>5*S9+5*S10</f>
        <v>70</v>
      </c>
      <c r="S583" s="79">
        <v>10.5</v>
      </c>
      <c r="T583" s="80">
        <v>18.3</v>
      </c>
    </row>
    <row r="584" spans="2:20" ht="56">
      <c r="B584" s="5" t="s">
        <v>1375</v>
      </c>
      <c r="C584" s="45" t="s">
        <v>97</v>
      </c>
      <c r="D584" s="45" t="s">
        <v>1376</v>
      </c>
      <c r="E584" s="6" t="s">
        <v>1377</v>
      </c>
      <c r="F584" s="45" t="s">
        <v>104</v>
      </c>
      <c r="G584" s="46">
        <f t="shared" si="64"/>
        <v>70</v>
      </c>
      <c r="H584" s="46">
        <f>TRUNC(S584*(1-LOTE_01!$K$10),2)</f>
        <v>18.47</v>
      </c>
      <c r="I584" s="46">
        <f>TRUNC(T584*(1-LOTE_01!$K$10),2)</f>
        <v>11</v>
      </c>
      <c r="J584" s="100">
        <f t="shared" si="65"/>
        <v>0.22470000000000001</v>
      </c>
      <c r="K584" s="48">
        <f t="shared" si="59"/>
        <v>22.62</v>
      </c>
      <c r="L584" s="48">
        <f t="shared" si="60"/>
        <v>13.47</v>
      </c>
      <c r="M584" s="48">
        <f t="shared" si="61"/>
        <v>1583.4</v>
      </c>
      <c r="N584" s="48">
        <f t="shared" si="62"/>
        <v>942.9</v>
      </c>
      <c r="O584" s="50">
        <f t="shared" si="63"/>
        <v>2526.3000000000002</v>
      </c>
      <c r="P584" s="50">
        <v>0</v>
      </c>
      <c r="Q584" s="76"/>
      <c r="R584" s="140">
        <f>5*S9+5*S10</f>
        <v>70</v>
      </c>
      <c r="S584" s="79">
        <v>18.47</v>
      </c>
      <c r="T584" s="80">
        <v>11</v>
      </c>
    </row>
    <row r="585" spans="2:20" ht="56">
      <c r="B585" s="5" t="s">
        <v>1378</v>
      </c>
      <c r="C585" s="45" t="s">
        <v>135</v>
      </c>
      <c r="D585" s="45">
        <v>101905</v>
      </c>
      <c r="E585" s="6" t="s">
        <v>1834</v>
      </c>
      <c r="F585" s="45" t="s">
        <v>210</v>
      </c>
      <c r="G585" s="46">
        <f t="shared" si="64"/>
        <v>28</v>
      </c>
      <c r="H585" s="46">
        <f>TRUNC(S585*(1-LOTE_01!$K$10),2)</f>
        <v>220.35</v>
      </c>
      <c r="I585" s="46">
        <f>TRUNC(T585*(1-LOTE_01!$K$10),2)</f>
        <v>16.86</v>
      </c>
      <c r="J585" s="100">
        <f t="shared" si="65"/>
        <v>0.22470000000000001</v>
      </c>
      <c r="K585" s="48">
        <f t="shared" si="59"/>
        <v>269.86</v>
      </c>
      <c r="L585" s="48">
        <f t="shared" si="60"/>
        <v>20.64</v>
      </c>
      <c r="M585" s="48">
        <f t="shared" si="61"/>
        <v>7556.08</v>
      </c>
      <c r="N585" s="48">
        <f t="shared" si="62"/>
        <v>577.91999999999996</v>
      </c>
      <c r="O585" s="50">
        <f t="shared" si="63"/>
        <v>8134</v>
      </c>
      <c r="P585" s="50">
        <v>0</v>
      </c>
      <c r="Q585" s="76"/>
      <c r="R585" s="140">
        <f>2*S9+2*S10</f>
        <v>28</v>
      </c>
      <c r="S585" s="79">
        <v>220.35000000000002</v>
      </c>
      <c r="T585" s="80">
        <v>16.86</v>
      </c>
    </row>
    <row r="586" spans="2:20" ht="56">
      <c r="B586" s="5" t="s">
        <v>1379</v>
      </c>
      <c r="C586" s="45" t="s">
        <v>135</v>
      </c>
      <c r="D586" s="45">
        <v>101907</v>
      </c>
      <c r="E586" s="6" t="s">
        <v>1835</v>
      </c>
      <c r="F586" s="45" t="s">
        <v>210</v>
      </c>
      <c r="G586" s="46">
        <f t="shared" si="64"/>
        <v>28</v>
      </c>
      <c r="H586" s="46">
        <f>TRUNC(S586*(1-LOTE_01!$K$10),2)</f>
        <v>730.4</v>
      </c>
      <c r="I586" s="46">
        <f>TRUNC(T586*(1-LOTE_01!$K$10),2)</f>
        <v>16.809999999999999</v>
      </c>
      <c r="J586" s="100">
        <f t="shared" si="65"/>
        <v>0.22470000000000001</v>
      </c>
      <c r="K586" s="48">
        <f t="shared" si="59"/>
        <v>894.52</v>
      </c>
      <c r="L586" s="48">
        <f t="shared" si="60"/>
        <v>20.58</v>
      </c>
      <c r="M586" s="48">
        <f t="shared" si="61"/>
        <v>25046.560000000001</v>
      </c>
      <c r="N586" s="48">
        <f t="shared" si="62"/>
        <v>576.24</v>
      </c>
      <c r="O586" s="50">
        <f t="shared" si="63"/>
        <v>25622.799999999999</v>
      </c>
      <c r="P586" s="50">
        <v>0</v>
      </c>
      <c r="Q586" s="76"/>
      <c r="R586" s="140">
        <f>2*S9+2*S10</f>
        <v>28</v>
      </c>
      <c r="S586" s="79">
        <v>730.40000000000009</v>
      </c>
      <c r="T586" s="80">
        <v>16.809999999999999</v>
      </c>
    </row>
    <row r="587" spans="2:20" ht="56">
      <c r="B587" s="5" t="s">
        <v>1380</v>
      </c>
      <c r="C587" s="45" t="s">
        <v>135</v>
      </c>
      <c r="D587" s="45">
        <v>101909</v>
      </c>
      <c r="E587" s="6" t="s">
        <v>1836</v>
      </c>
      <c r="F587" s="45" t="s">
        <v>210</v>
      </c>
      <c r="G587" s="46">
        <f t="shared" si="64"/>
        <v>28</v>
      </c>
      <c r="H587" s="46">
        <f>TRUNC(S587*(1-LOTE_01!$K$10),2)</f>
        <v>250.35</v>
      </c>
      <c r="I587" s="46">
        <f>TRUNC(T587*(1-LOTE_01!$K$10),2)</f>
        <v>16.86</v>
      </c>
      <c r="J587" s="100">
        <f t="shared" si="65"/>
        <v>0.22470000000000001</v>
      </c>
      <c r="K587" s="48">
        <f t="shared" si="59"/>
        <v>306.60000000000002</v>
      </c>
      <c r="L587" s="48">
        <f t="shared" si="60"/>
        <v>20.64</v>
      </c>
      <c r="M587" s="48">
        <f t="shared" si="61"/>
        <v>8584.7999999999993</v>
      </c>
      <c r="N587" s="48">
        <f t="shared" si="62"/>
        <v>577.91999999999996</v>
      </c>
      <c r="O587" s="50">
        <f t="shared" si="63"/>
        <v>9162.7199999999993</v>
      </c>
      <c r="P587" s="50">
        <v>0</v>
      </c>
      <c r="Q587" s="76"/>
      <c r="R587" s="140">
        <f>2*S9+2*S10</f>
        <v>28</v>
      </c>
      <c r="S587" s="79">
        <v>250.34999999999997</v>
      </c>
      <c r="T587" s="80">
        <v>16.86</v>
      </c>
    </row>
    <row r="588" spans="2:20" ht="42">
      <c r="B588" s="5" t="s">
        <v>1381</v>
      </c>
      <c r="C588" s="45" t="s">
        <v>135</v>
      </c>
      <c r="D588" s="45">
        <v>101914</v>
      </c>
      <c r="E588" s="6" t="s">
        <v>1837</v>
      </c>
      <c r="F588" s="45" t="s">
        <v>210</v>
      </c>
      <c r="G588" s="46">
        <f t="shared" si="64"/>
        <v>14</v>
      </c>
      <c r="H588" s="46">
        <f>TRUNC(S588*(1-LOTE_01!$K$10),2)</f>
        <v>634.11</v>
      </c>
      <c r="I588" s="46">
        <f>TRUNC(T588*(1-LOTE_01!$K$10),2)</f>
        <v>53.57</v>
      </c>
      <c r="J588" s="100">
        <f t="shared" si="65"/>
        <v>0.22470000000000001</v>
      </c>
      <c r="K588" s="48">
        <f t="shared" si="59"/>
        <v>776.59</v>
      </c>
      <c r="L588" s="48">
        <f t="shared" si="60"/>
        <v>65.599999999999994</v>
      </c>
      <c r="M588" s="48">
        <f t="shared" si="61"/>
        <v>10872.26</v>
      </c>
      <c r="N588" s="48">
        <f t="shared" si="62"/>
        <v>918.4</v>
      </c>
      <c r="O588" s="50">
        <f t="shared" si="63"/>
        <v>11790.66</v>
      </c>
      <c r="P588" s="50">
        <v>0</v>
      </c>
      <c r="Q588" s="76"/>
      <c r="R588" s="140">
        <f>1*S9+1*S10</f>
        <v>14</v>
      </c>
      <c r="S588" s="79">
        <v>634.1099999999999</v>
      </c>
      <c r="T588" s="80">
        <v>53.57</v>
      </c>
    </row>
    <row r="589" spans="2:20" ht="84">
      <c r="B589" s="5" t="s">
        <v>1382</v>
      </c>
      <c r="C589" s="45" t="s">
        <v>135</v>
      </c>
      <c r="D589" s="45">
        <v>101915</v>
      </c>
      <c r="E589" s="6" t="s">
        <v>1838</v>
      </c>
      <c r="F589" s="45" t="s">
        <v>210</v>
      </c>
      <c r="G589" s="46">
        <f t="shared" si="64"/>
        <v>14</v>
      </c>
      <c r="H589" s="46">
        <f>TRUNC(S589*(1-LOTE_01!$K$10),2)</f>
        <v>454.83</v>
      </c>
      <c r="I589" s="46">
        <f>TRUNC(T589*(1-LOTE_01!$K$10),2)</f>
        <v>4.87</v>
      </c>
      <c r="J589" s="100">
        <f t="shared" si="65"/>
        <v>0.22470000000000001</v>
      </c>
      <c r="K589" s="48">
        <f t="shared" si="59"/>
        <v>557.03</v>
      </c>
      <c r="L589" s="48">
        <f t="shared" si="60"/>
        <v>5.96</v>
      </c>
      <c r="M589" s="48">
        <f t="shared" si="61"/>
        <v>7798.42</v>
      </c>
      <c r="N589" s="48">
        <f t="shared" si="62"/>
        <v>83.44</v>
      </c>
      <c r="O589" s="50">
        <f t="shared" si="63"/>
        <v>7881.86</v>
      </c>
      <c r="P589" s="50">
        <v>0</v>
      </c>
      <c r="Q589" s="76"/>
      <c r="R589" s="140">
        <f>1*S9+1*S10</f>
        <v>14</v>
      </c>
      <c r="S589" s="79">
        <v>454.83</v>
      </c>
      <c r="T589" s="80">
        <v>4.87</v>
      </c>
    </row>
    <row r="590" spans="2:20" ht="56">
      <c r="B590" s="5" t="s">
        <v>1383</v>
      </c>
      <c r="C590" s="45" t="s">
        <v>97</v>
      </c>
      <c r="D590" s="45" t="s">
        <v>1384</v>
      </c>
      <c r="E590" s="6" t="s">
        <v>1385</v>
      </c>
      <c r="F590" s="45" t="s">
        <v>104</v>
      </c>
      <c r="G590" s="46">
        <f t="shared" si="64"/>
        <v>28</v>
      </c>
      <c r="H590" s="46">
        <f>TRUNC(S590*(1-LOTE_01!$K$10),2)</f>
        <v>24.05</v>
      </c>
      <c r="I590" s="46">
        <f>TRUNC(T590*(1-LOTE_01!$K$10),2)</f>
        <v>3.26</v>
      </c>
      <c r="J590" s="100">
        <f t="shared" si="65"/>
        <v>0.22470000000000001</v>
      </c>
      <c r="K590" s="48">
        <f t="shared" si="59"/>
        <v>29.45</v>
      </c>
      <c r="L590" s="48">
        <f t="shared" si="60"/>
        <v>3.99</v>
      </c>
      <c r="M590" s="48">
        <f t="shared" si="61"/>
        <v>824.6</v>
      </c>
      <c r="N590" s="48">
        <f t="shared" si="62"/>
        <v>111.72</v>
      </c>
      <c r="O590" s="50">
        <f t="shared" si="63"/>
        <v>936.32</v>
      </c>
      <c r="P590" s="50">
        <v>0</v>
      </c>
      <c r="Q590" s="76"/>
      <c r="R590" s="140">
        <f>2*S9+2*S10</f>
        <v>28</v>
      </c>
      <c r="S590" s="79">
        <v>24.05</v>
      </c>
      <c r="T590" s="80">
        <v>3.26</v>
      </c>
    </row>
    <row r="591" spans="2:20" ht="70">
      <c r="B591" s="5" t="s">
        <v>1386</v>
      </c>
      <c r="C591" s="45" t="s">
        <v>97</v>
      </c>
      <c r="D591" s="45" t="s">
        <v>1387</v>
      </c>
      <c r="E591" s="6" t="s">
        <v>1388</v>
      </c>
      <c r="F591" s="45" t="s">
        <v>104</v>
      </c>
      <c r="G591" s="46">
        <f t="shared" si="64"/>
        <v>70</v>
      </c>
      <c r="H591" s="46">
        <f>TRUNC(S591*(1-LOTE_01!$K$10),2)</f>
        <v>45.26</v>
      </c>
      <c r="I591" s="46">
        <f>TRUNC(T591*(1-LOTE_01!$K$10),2)</f>
        <v>4.4000000000000004</v>
      </c>
      <c r="J591" s="100">
        <f t="shared" si="65"/>
        <v>0.22470000000000001</v>
      </c>
      <c r="K591" s="48">
        <f t="shared" si="59"/>
        <v>55.42</v>
      </c>
      <c r="L591" s="48">
        <f t="shared" si="60"/>
        <v>5.38</v>
      </c>
      <c r="M591" s="48">
        <f t="shared" si="61"/>
        <v>3879.4</v>
      </c>
      <c r="N591" s="48">
        <f t="shared" si="62"/>
        <v>376.6</v>
      </c>
      <c r="O591" s="50">
        <f t="shared" si="63"/>
        <v>4256</v>
      </c>
      <c r="P591" s="50">
        <v>0</v>
      </c>
      <c r="Q591" s="76"/>
      <c r="R591" s="140">
        <f>5*S9+5*S10</f>
        <v>70</v>
      </c>
      <c r="S591" s="79">
        <v>45.26</v>
      </c>
      <c r="T591" s="80">
        <v>4.4000000000000004</v>
      </c>
    </row>
    <row r="592" spans="2:20" ht="84">
      <c r="B592" s="5" t="s">
        <v>1389</v>
      </c>
      <c r="C592" s="45" t="s">
        <v>97</v>
      </c>
      <c r="D592" s="45" t="s">
        <v>1390</v>
      </c>
      <c r="E592" s="6" t="s">
        <v>1391</v>
      </c>
      <c r="F592" s="45" t="s">
        <v>104</v>
      </c>
      <c r="G592" s="46">
        <f t="shared" si="64"/>
        <v>70</v>
      </c>
      <c r="H592" s="46">
        <f>TRUNC(S592*(1-LOTE_01!$K$10),2)</f>
        <v>15.24</v>
      </c>
      <c r="I592" s="46">
        <f>TRUNC(T592*(1-LOTE_01!$K$10),2)</f>
        <v>4.4000000000000004</v>
      </c>
      <c r="J592" s="100">
        <f t="shared" si="65"/>
        <v>0.22470000000000001</v>
      </c>
      <c r="K592" s="48">
        <f t="shared" ref="K592:K655" si="66">TRUNC(H592*(1+J592),2)</f>
        <v>18.66</v>
      </c>
      <c r="L592" s="48">
        <f t="shared" ref="L592:L655" si="67">TRUNC(I592*(1+J592),2)</f>
        <v>5.38</v>
      </c>
      <c r="M592" s="48">
        <f t="shared" ref="M592:M655" si="68">TRUNC(K592*G592,2)</f>
        <v>1306.2</v>
      </c>
      <c r="N592" s="48">
        <f t="shared" ref="N592:N655" si="69">TRUNC(L592*G592,2)</f>
        <v>376.6</v>
      </c>
      <c r="O592" s="50">
        <f t="shared" ref="O592:O655" si="70">TRUNC(M592+N592,2)</f>
        <v>1682.8</v>
      </c>
      <c r="P592" s="50">
        <v>0</v>
      </c>
      <c r="Q592" s="76"/>
      <c r="R592" s="140">
        <f>5*S9+5*S10</f>
        <v>70</v>
      </c>
      <c r="S592" s="79">
        <v>15.24</v>
      </c>
      <c r="T592" s="80">
        <v>4.4000000000000004</v>
      </c>
    </row>
    <row r="593" spans="2:20" ht="84">
      <c r="B593" s="5" t="s">
        <v>1392</v>
      </c>
      <c r="C593" s="45" t="s">
        <v>97</v>
      </c>
      <c r="D593" s="45" t="s">
        <v>1393</v>
      </c>
      <c r="E593" s="6" t="s">
        <v>1394</v>
      </c>
      <c r="F593" s="45" t="s">
        <v>104</v>
      </c>
      <c r="G593" s="46">
        <f t="shared" si="64"/>
        <v>70</v>
      </c>
      <c r="H593" s="46">
        <f>TRUNC(S593*(1-LOTE_01!$K$10),2)</f>
        <v>27.48</v>
      </c>
      <c r="I593" s="46">
        <f>TRUNC(T593*(1-LOTE_01!$K$10),2)</f>
        <v>4.4000000000000004</v>
      </c>
      <c r="J593" s="100">
        <f t="shared" si="65"/>
        <v>0.22470000000000001</v>
      </c>
      <c r="K593" s="48">
        <f t="shared" si="66"/>
        <v>33.65</v>
      </c>
      <c r="L593" s="48">
        <f t="shared" si="67"/>
        <v>5.38</v>
      </c>
      <c r="M593" s="48">
        <f t="shared" si="68"/>
        <v>2355.5</v>
      </c>
      <c r="N593" s="48">
        <f t="shared" si="69"/>
        <v>376.6</v>
      </c>
      <c r="O593" s="50">
        <f t="shared" si="70"/>
        <v>2732.1</v>
      </c>
      <c r="P593" s="50">
        <v>0</v>
      </c>
      <c r="Q593" s="76"/>
      <c r="R593" s="140">
        <f>5*S9+5*S10</f>
        <v>70</v>
      </c>
      <c r="S593" s="79">
        <v>27.48</v>
      </c>
      <c r="T593" s="80">
        <v>4.4000000000000004</v>
      </c>
    </row>
    <row r="594" spans="2:20" ht="84">
      <c r="B594" s="5" t="s">
        <v>1395</v>
      </c>
      <c r="C594" s="45" t="s">
        <v>97</v>
      </c>
      <c r="D594" s="45" t="s">
        <v>1396</v>
      </c>
      <c r="E594" s="6" t="s">
        <v>1397</v>
      </c>
      <c r="F594" s="45" t="s">
        <v>104</v>
      </c>
      <c r="G594" s="46">
        <f t="shared" ref="G594:G657" si="71">TRUNC(R594,2)</f>
        <v>70</v>
      </c>
      <c r="H594" s="46">
        <f>TRUNC(S594*(1-LOTE_01!$K$10),2)</f>
        <v>33.22</v>
      </c>
      <c r="I594" s="46">
        <f>TRUNC(T594*(1-LOTE_01!$K$10),2)</f>
        <v>4.4000000000000004</v>
      </c>
      <c r="J594" s="100">
        <f t="shared" ref="J594:J657" si="72">$J$4</f>
        <v>0.22470000000000001</v>
      </c>
      <c r="K594" s="48">
        <f t="shared" si="66"/>
        <v>40.68</v>
      </c>
      <c r="L594" s="48">
        <f t="shared" si="67"/>
        <v>5.38</v>
      </c>
      <c r="M594" s="48">
        <f t="shared" si="68"/>
        <v>2847.6</v>
      </c>
      <c r="N594" s="48">
        <f t="shared" si="69"/>
        <v>376.6</v>
      </c>
      <c r="O594" s="50">
        <f t="shared" si="70"/>
        <v>3224.2</v>
      </c>
      <c r="P594" s="50">
        <v>0</v>
      </c>
      <c r="Q594" s="76"/>
      <c r="R594" s="140">
        <f>5*S9+5*S10</f>
        <v>70</v>
      </c>
      <c r="S594" s="79">
        <v>33.22</v>
      </c>
      <c r="T594" s="80">
        <v>4.4000000000000004</v>
      </c>
    </row>
    <row r="595" spans="2:20" ht="84">
      <c r="B595" s="5" t="s">
        <v>1398</v>
      </c>
      <c r="C595" s="45" t="s">
        <v>97</v>
      </c>
      <c r="D595" s="45" t="s">
        <v>1399</v>
      </c>
      <c r="E595" s="6" t="s">
        <v>1400</v>
      </c>
      <c r="F595" s="45" t="s">
        <v>104</v>
      </c>
      <c r="G595" s="46">
        <f t="shared" si="71"/>
        <v>70</v>
      </c>
      <c r="H595" s="46">
        <f>TRUNC(S595*(1-LOTE_01!$K$10),2)</f>
        <v>24.05</v>
      </c>
      <c r="I595" s="46">
        <f>TRUNC(T595*(1-LOTE_01!$K$10),2)</f>
        <v>4.4000000000000004</v>
      </c>
      <c r="J595" s="100">
        <f t="shared" si="72"/>
        <v>0.22470000000000001</v>
      </c>
      <c r="K595" s="48">
        <f t="shared" si="66"/>
        <v>29.45</v>
      </c>
      <c r="L595" s="48">
        <f t="shared" si="67"/>
        <v>5.38</v>
      </c>
      <c r="M595" s="48">
        <f t="shared" si="68"/>
        <v>2061.5</v>
      </c>
      <c r="N595" s="48">
        <f t="shared" si="69"/>
        <v>376.6</v>
      </c>
      <c r="O595" s="50">
        <f t="shared" si="70"/>
        <v>2438.1</v>
      </c>
      <c r="P595" s="50">
        <v>0</v>
      </c>
      <c r="Q595" s="76"/>
      <c r="R595" s="140">
        <f>5*S9+5*S10</f>
        <v>70</v>
      </c>
      <c r="S595" s="79">
        <v>24.05</v>
      </c>
      <c r="T595" s="80">
        <v>4.4000000000000004</v>
      </c>
    </row>
    <row r="596" spans="2:20" ht="84">
      <c r="B596" s="5" t="s">
        <v>1401</v>
      </c>
      <c r="C596" s="45" t="s">
        <v>97</v>
      </c>
      <c r="D596" s="45" t="s">
        <v>1402</v>
      </c>
      <c r="E596" s="6" t="s">
        <v>1403</v>
      </c>
      <c r="F596" s="45" t="s">
        <v>104</v>
      </c>
      <c r="G596" s="46">
        <f t="shared" si="71"/>
        <v>70</v>
      </c>
      <c r="H596" s="46">
        <f>TRUNC(S596*(1-LOTE_01!$K$10),2)</f>
        <v>42.98</v>
      </c>
      <c r="I596" s="46">
        <f>TRUNC(T596*(1-LOTE_01!$K$10),2)</f>
        <v>4.4000000000000004</v>
      </c>
      <c r="J596" s="100">
        <f t="shared" si="72"/>
        <v>0.22470000000000001</v>
      </c>
      <c r="K596" s="48">
        <f t="shared" si="66"/>
        <v>52.63</v>
      </c>
      <c r="L596" s="48">
        <f t="shared" si="67"/>
        <v>5.38</v>
      </c>
      <c r="M596" s="48">
        <f t="shared" si="68"/>
        <v>3684.1</v>
      </c>
      <c r="N596" s="48">
        <f t="shared" si="69"/>
        <v>376.6</v>
      </c>
      <c r="O596" s="50">
        <f t="shared" si="70"/>
        <v>4060.7</v>
      </c>
      <c r="P596" s="50">
        <v>0</v>
      </c>
      <c r="Q596" s="76"/>
      <c r="R596" s="140">
        <f>5*S9+5*S10</f>
        <v>70</v>
      </c>
      <c r="S596" s="79">
        <v>42.98</v>
      </c>
      <c r="T596" s="80">
        <v>4.4000000000000004</v>
      </c>
    </row>
    <row r="597" spans="2:20" ht="56">
      <c r="B597" s="5" t="s">
        <v>1404</v>
      </c>
      <c r="C597" s="45" t="s">
        <v>97</v>
      </c>
      <c r="D597" s="45" t="s">
        <v>1405</v>
      </c>
      <c r="E597" s="6" t="s">
        <v>1406</v>
      </c>
      <c r="F597" s="45" t="s">
        <v>104</v>
      </c>
      <c r="G597" s="46">
        <f t="shared" si="71"/>
        <v>28</v>
      </c>
      <c r="H597" s="46">
        <f>TRUNC(S597*(1-LOTE_01!$K$10),2)</f>
        <v>27.48</v>
      </c>
      <c r="I597" s="46">
        <f>TRUNC(T597*(1-LOTE_01!$K$10),2)</f>
        <v>3.26</v>
      </c>
      <c r="J597" s="100">
        <f t="shared" si="72"/>
        <v>0.22470000000000001</v>
      </c>
      <c r="K597" s="48">
        <f t="shared" si="66"/>
        <v>33.65</v>
      </c>
      <c r="L597" s="48">
        <f t="shared" si="67"/>
        <v>3.99</v>
      </c>
      <c r="M597" s="48">
        <f t="shared" si="68"/>
        <v>942.2</v>
      </c>
      <c r="N597" s="48">
        <f t="shared" si="69"/>
        <v>111.72</v>
      </c>
      <c r="O597" s="50">
        <f t="shared" si="70"/>
        <v>1053.92</v>
      </c>
      <c r="P597" s="50">
        <v>0</v>
      </c>
      <c r="Q597" s="76"/>
      <c r="R597" s="140">
        <f>2*S9+2*S10</f>
        <v>28</v>
      </c>
      <c r="S597" s="79">
        <v>27.48</v>
      </c>
      <c r="T597" s="80">
        <v>3.26</v>
      </c>
    </row>
    <row r="598" spans="2:20" ht="28">
      <c r="B598" s="5" t="s">
        <v>1407</v>
      </c>
      <c r="C598" s="45" t="s">
        <v>165</v>
      </c>
      <c r="D598" s="45" t="s">
        <v>1408</v>
      </c>
      <c r="E598" s="6" t="s">
        <v>1409</v>
      </c>
      <c r="F598" s="45" t="s">
        <v>559</v>
      </c>
      <c r="G598" s="46">
        <f t="shared" si="71"/>
        <v>5</v>
      </c>
      <c r="H598" s="46">
        <f>TRUNC(S598*(1-LOTE_01!$K$10),2)</f>
        <v>1046.97</v>
      </c>
      <c r="I598" s="46">
        <f>TRUNC(T598*(1-LOTE_01!$K$10),2)</f>
        <v>63.77</v>
      </c>
      <c r="J598" s="100">
        <f t="shared" si="72"/>
        <v>0.22470000000000001</v>
      </c>
      <c r="K598" s="48">
        <f t="shared" si="66"/>
        <v>1282.22</v>
      </c>
      <c r="L598" s="48">
        <f t="shared" si="67"/>
        <v>78.09</v>
      </c>
      <c r="M598" s="48">
        <f t="shared" si="68"/>
        <v>6411.1</v>
      </c>
      <c r="N598" s="48">
        <f t="shared" si="69"/>
        <v>390.45</v>
      </c>
      <c r="O598" s="50">
        <f t="shared" si="70"/>
        <v>6801.55</v>
      </c>
      <c r="P598" s="50">
        <v>0</v>
      </c>
      <c r="Q598" s="76"/>
      <c r="R598" s="140">
        <f>IF((1*S9+1*S10)&gt;5,5,(1*S9+1*S10))</f>
        <v>5</v>
      </c>
      <c r="S598" s="79">
        <v>1046.97</v>
      </c>
      <c r="T598" s="80">
        <v>63.77</v>
      </c>
    </row>
    <row r="599" spans="2:20" ht="28">
      <c r="B599" s="5" t="s">
        <v>1410</v>
      </c>
      <c r="C599" s="45" t="s">
        <v>165</v>
      </c>
      <c r="D599" s="45" t="s">
        <v>1411</v>
      </c>
      <c r="E599" s="6" t="s">
        <v>1412</v>
      </c>
      <c r="F599" s="45" t="s">
        <v>559</v>
      </c>
      <c r="G599" s="46">
        <f t="shared" si="71"/>
        <v>5</v>
      </c>
      <c r="H599" s="46">
        <f>TRUNC(S599*(1-LOTE_01!$K$10),2)</f>
        <v>107.88</v>
      </c>
      <c r="I599" s="46">
        <f>TRUNC(T599*(1-LOTE_01!$K$10),2)</f>
        <v>9.25</v>
      </c>
      <c r="J599" s="100">
        <f t="shared" si="72"/>
        <v>0.22470000000000001</v>
      </c>
      <c r="K599" s="48">
        <f t="shared" si="66"/>
        <v>132.12</v>
      </c>
      <c r="L599" s="48">
        <f t="shared" si="67"/>
        <v>11.32</v>
      </c>
      <c r="M599" s="48">
        <f t="shared" si="68"/>
        <v>660.6</v>
      </c>
      <c r="N599" s="48">
        <f t="shared" si="69"/>
        <v>56.6</v>
      </c>
      <c r="O599" s="50">
        <f t="shared" si="70"/>
        <v>717.2</v>
      </c>
      <c r="P599" s="50">
        <v>0</v>
      </c>
      <c r="Q599" s="76"/>
      <c r="R599" s="140">
        <f>IF((1*S9+1*S10)&gt;5,5,(1*S9+1*S10))</f>
        <v>5</v>
      </c>
      <c r="S599" s="79">
        <v>107.88</v>
      </c>
      <c r="T599" s="80">
        <v>9.25</v>
      </c>
    </row>
    <row r="600" spans="2:20" ht="28">
      <c r="B600" s="5" t="s">
        <v>1413</v>
      </c>
      <c r="C600" s="45" t="s">
        <v>97</v>
      </c>
      <c r="D600" s="45" t="s">
        <v>1414</v>
      </c>
      <c r="E600" s="6" t="s">
        <v>1415</v>
      </c>
      <c r="F600" s="45" t="s">
        <v>1416</v>
      </c>
      <c r="G600" s="46">
        <f t="shared" si="71"/>
        <v>500</v>
      </c>
      <c r="H600" s="46">
        <f>TRUNC(S600*(1-LOTE_01!$K$10),2)</f>
        <v>23.37</v>
      </c>
      <c r="I600" s="46">
        <f>TRUNC(T600*(1-LOTE_01!$K$10),2)</f>
        <v>7.8</v>
      </c>
      <c r="J600" s="100">
        <f t="shared" si="72"/>
        <v>0.22470000000000001</v>
      </c>
      <c r="K600" s="48">
        <f t="shared" si="66"/>
        <v>28.62</v>
      </c>
      <c r="L600" s="48">
        <f t="shared" si="67"/>
        <v>9.5500000000000007</v>
      </c>
      <c r="M600" s="48">
        <f t="shared" si="68"/>
        <v>14310</v>
      </c>
      <c r="N600" s="48">
        <f t="shared" si="69"/>
        <v>4775</v>
      </c>
      <c r="O600" s="50">
        <f t="shared" si="70"/>
        <v>19085</v>
      </c>
      <c r="P600" s="50">
        <v>0</v>
      </c>
      <c r="Q600" s="76"/>
      <c r="R600" s="141">
        <f>IF(100*(S9+S10)&gt;500,500,100*(S9+S10))</f>
        <v>500</v>
      </c>
      <c r="S600" s="79">
        <v>23.37</v>
      </c>
      <c r="T600" s="80">
        <v>7.8</v>
      </c>
    </row>
    <row r="601" spans="2:20" ht="28">
      <c r="B601" s="5" t="s">
        <v>1417</v>
      </c>
      <c r="C601" s="45" t="s">
        <v>97</v>
      </c>
      <c r="D601" s="45" t="s">
        <v>1418</v>
      </c>
      <c r="E601" s="6" t="s">
        <v>1419</v>
      </c>
      <c r="F601" s="45" t="s">
        <v>187</v>
      </c>
      <c r="G601" s="46">
        <f t="shared" si="71"/>
        <v>500</v>
      </c>
      <c r="H601" s="46">
        <f>TRUNC(S601*(1-LOTE_01!$K$10),2)</f>
        <v>28.3</v>
      </c>
      <c r="I601" s="46">
        <f>TRUNC(T601*(1-LOTE_01!$K$10),2)</f>
        <v>7.8</v>
      </c>
      <c r="J601" s="100">
        <f t="shared" si="72"/>
        <v>0.22470000000000001</v>
      </c>
      <c r="K601" s="48">
        <f t="shared" si="66"/>
        <v>34.65</v>
      </c>
      <c r="L601" s="48">
        <f t="shared" si="67"/>
        <v>9.5500000000000007</v>
      </c>
      <c r="M601" s="48">
        <f t="shared" si="68"/>
        <v>17325</v>
      </c>
      <c r="N601" s="48">
        <f t="shared" si="69"/>
        <v>4775</v>
      </c>
      <c r="O601" s="50">
        <f t="shared" si="70"/>
        <v>22100</v>
      </c>
      <c r="P601" s="50">
        <v>0</v>
      </c>
      <c r="Q601" s="76"/>
      <c r="R601" s="141">
        <f>IF(100*(S9+S10)&gt;500,500,100*(S9+S10))</f>
        <v>500</v>
      </c>
      <c r="S601" s="79">
        <v>28.3</v>
      </c>
      <c r="T601" s="80">
        <v>7.8</v>
      </c>
    </row>
    <row r="602" spans="2:20" ht="28">
      <c r="B602" s="5" t="s">
        <v>1420</v>
      </c>
      <c r="C602" s="45" t="s">
        <v>97</v>
      </c>
      <c r="D602" s="45" t="s">
        <v>1421</v>
      </c>
      <c r="E602" s="6" t="s">
        <v>1422</v>
      </c>
      <c r="F602" s="45" t="s">
        <v>104</v>
      </c>
      <c r="G602" s="46">
        <f t="shared" si="71"/>
        <v>10</v>
      </c>
      <c r="H602" s="46">
        <f>TRUNC(S602*(1-LOTE_01!$K$10),2)</f>
        <v>222.43</v>
      </c>
      <c r="I602" s="46">
        <f>TRUNC(T602*(1-LOTE_01!$K$10),2)</f>
        <v>36.4</v>
      </c>
      <c r="J602" s="100">
        <f t="shared" si="72"/>
        <v>0.22470000000000001</v>
      </c>
      <c r="K602" s="48">
        <f t="shared" si="66"/>
        <v>272.41000000000003</v>
      </c>
      <c r="L602" s="48">
        <f t="shared" si="67"/>
        <v>44.57</v>
      </c>
      <c r="M602" s="48">
        <f t="shared" si="68"/>
        <v>2724.1</v>
      </c>
      <c r="N602" s="48">
        <f t="shared" si="69"/>
        <v>445.7</v>
      </c>
      <c r="O602" s="50">
        <f t="shared" si="70"/>
        <v>3169.8</v>
      </c>
      <c r="P602" s="50">
        <v>0</v>
      </c>
      <c r="Q602" s="76"/>
      <c r="R602" s="141">
        <f>IF(2*(S9+S10)&gt;10,10,2*(S9+S10))</f>
        <v>10</v>
      </c>
      <c r="S602" s="79">
        <v>222.43</v>
      </c>
      <c r="T602" s="80">
        <v>36.4</v>
      </c>
    </row>
    <row r="603" spans="2:20" ht="28">
      <c r="B603" s="5" t="s">
        <v>1423</v>
      </c>
      <c r="C603" s="45" t="s">
        <v>97</v>
      </c>
      <c r="D603" s="45" t="s">
        <v>1421</v>
      </c>
      <c r="E603" s="6" t="s">
        <v>1422</v>
      </c>
      <c r="F603" s="45" t="s">
        <v>104</v>
      </c>
      <c r="G603" s="46">
        <f t="shared" si="71"/>
        <v>5</v>
      </c>
      <c r="H603" s="46">
        <f>TRUNC(S603*(1-LOTE_01!$K$10),2)</f>
        <v>222.43</v>
      </c>
      <c r="I603" s="46">
        <f>TRUNC(T603*(1-LOTE_01!$K$10),2)</f>
        <v>36.4</v>
      </c>
      <c r="J603" s="100">
        <f t="shared" si="72"/>
        <v>0.22470000000000001</v>
      </c>
      <c r="K603" s="48">
        <f t="shared" si="66"/>
        <v>272.41000000000003</v>
      </c>
      <c r="L603" s="48">
        <f t="shared" si="67"/>
        <v>44.57</v>
      </c>
      <c r="M603" s="48">
        <f t="shared" si="68"/>
        <v>1362.05</v>
      </c>
      <c r="N603" s="48">
        <f t="shared" si="69"/>
        <v>222.85</v>
      </c>
      <c r="O603" s="50">
        <f t="shared" si="70"/>
        <v>1584.9</v>
      </c>
      <c r="P603" s="50">
        <v>0</v>
      </c>
      <c r="Q603" s="76"/>
      <c r="R603" s="141">
        <f>IF(1*(S9+S10)&gt;5,5,1*(S9+S10))</f>
        <v>5</v>
      </c>
      <c r="S603" s="79">
        <v>222.43</v>
      </c>
      <c r="T603" s="80">
        <v>36.4</v>
      </c>
    </row>
    <row r="604" spans="2:20" ht="28">
      <c r="B604" s="5" t="s">
        <v>1424</v>
      </c>
      <c r="C604" s="45" t="s">
        <v>97</v>
      </c>
      <c r="D604" s="45" t="s">
        <v>1421</v>
      </c>
      <c r="E604" s="6" t="s">
        <v>1422</v>
      </c>
      <c r="F604" s="45" t="s">
        <v>104</v>
      </c>
      <c r="G604" s="46">
        <f t="shared" si="71"/>
        <v>5</v>
      </c>
      <c r="H604" s="46">
        <f>TRUNC(S604*(1-LOTE_01!$K$10),2)</f>
        <v>222.43</v>
      </c>
      <c r="I604" s="46">
        <f>TRUNC(T604*(1-LOTE_01!$K$10),2)</f>
        <v>36.4</v>
      </c>
      <c r="J604" s="100">
        <f t="shared" si="72"/>
        <v>0.22470000000000001</v>
      </c>
      <c r="K604" s="48">
        <f t="shared" si="66"/>
        <v>272.41000000000003</v>
      </c>
      <c r="L604" s="48">
        <f t="shared" si="67"/>
        <v>44.57</v>
      </c>
      <c r="M604" s="48">
        <f t="shared" si="68"/>
        <v>1362.05</v>
      </c>
      <c r="N604" s="48">
        <f t="shared" si="69"/>
        <v>222.85</v>
      </c>
      <c r="O604" s="50">
        <f t="shared" si="70"/>
        <v>1584.9</v>
      </c>
      <c r="P604" s="50">
        <v>0</v>
      </c>
      <c r="Q604" s="76"/>
      <c r="R604" s="141">
        <f>IF(1*(S10+1*S9)&gt;5,5,(2*S10+1*S9))</f>
        <v>5</v>
      </c>
      <c r="S604" s="79">
        <v>222.43</v>
      </c>
      <c r="T604" s="80">
        <v>36.4</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671958.84</v>
      </c>
      <c r="Q605" s="76"/>
      <c r="R605" s="154"/>
      <c r="S605" s="79" t="s">
        <v>22</v>
      </c>
      <c r="T605" s="80" t="s">
        <v>22</v>
      </c>
    </row>
    <row r="606" spans="2:20" ht="56">
      <c r="B606" s="5" t="s">
        <v>1425</v>
      </c>
      <c r="C606" s="45" t="s">
        <v>97</v>
      </c>
      <c r="D606" s="45" t="s">
        <v>1426</v>
      </c>
      <c r="E606" s="6" t="s">
        <v>1427</v>
      </c>
      <c r="F606" s="45" t="s">
        <v>104</v>
      </c>
      <c r="G606" s="46">
        <f t="shared" si="71"/>
        <v>42</v>
      </c>
      <c r="H606" s="46">
        <f>TRUNC(S606*(1-LOTE_01!$K$10),2)</f>
        <v>10.77</v>
      </c>
      <c r="I606" s="46">
        <f>TRUNC(T606*(1-LOTE_01!$K$10),2)</f>
        <v>25.39</v>
      </c>
      <c r="J606" s="100">
        <f t="shared" si="72"/>
        <v>0.22470000000000001</v>
      </c>
      <c r="K606" s="48">
        <f t="shared" si="66"/>
        <v>13.19</v>
      </c>
      <c r="L606" s="48">
        <f t="shared" si="67"/>
        <v>31.09</v>
      </c>
      <c r="M606" s="48">
        <f t="shared" si="68"/>
        <v>553.98</v>
      </c>
      <c r="N606" s="48">
        <f t="shared" si="69"/>
        <v>1305.78</v>
      </c>
      <c r="O606" s="50">
        <f t="shared" si="70"/>
        <v>1859.76</v>
      </c>
      <c r="P606" s="50">
        <v>0</v>
      </c>
      <c r="Q606" s="76"/>
      <c r="R606" s="139">
        <f>3*S9+3*S10</f>
        <v>42</v>
      </c>
      <c r="S606" s="79">
        <v>10.77</v>
      </c>
      <c r="T606" s="80">
        <v>25.39</v>
      </c>
    </row>
    <row r="607" spans="2:20" ht="42">
      <c r="B607" s="5" t="s">
        <v>1428</v>
      </c>
      <c r="C607" s="45" t="s">
        <v>135</v>
      </c>
      <c r="D607" s="45">
        <v>103288</v>
      </c>
      <c r="E607" s="6" t="s">
        <v>1429</v>
      </c>
      <c r="F607" s="45" t="s">
        <v>210</v>
      </c>
      <c r="G607" s="46">
        <f t="shared" si="71"/>
        <v>28</v>
      </c>
      <c r="H607" s="46">
        <f>TRUNC(S607*(1-LOTE_01!$K$10),2)</f>
        <v>7.3</v>
      </c>
      <c r="I607" s="46">
        <f>TRUNC(T607*(1-LOTE_01!$K$10),2)</f>
        <v>10.74</v>
      </c>
      <c r="J607" s="100">
        <f t="shared" si="72"/>
        <v>0.22470000000000001</v>
      </c>
      <c r="K607" s="48">
        <f t="shared" si="66"/>
        <v>8.94</v>
      </c>
      <c r="L607" s="48">
        <f t="shared" si="67"/>
        <v>13.15</v>
      </c>
      <c r="M607" s="48">
        <f t="shared" si="68"/>
        <v>250.32</v>
      </c>
      <c r="N607" s="48">
        <f t="shared" si="69"/>
        <v>368.2</v>
      </c>
      <c r="O607" s="50">
        <f t="shared" si="70"/>
        <v>618.52</v>
      </c>
      <c r="P607" s="50">
        <v>0</v>
      </c>
      <c r="Q607" s="76"/>
      <c r="R607" s="139">
        <f>2*S9+2*S10</f>
        <v>28</v>
      </c>
      <c r="S607" s="79">
        <v>7.2999999999999989</v>
      </c>
      <c r="T607" s="80">
        <v>10.74</v>
      </c>
    </row>
    <row r="608" spans="2:20" ht="28">
      <c r="B608" s="5" t="s">
        <v>1430</v>
      </c>
      <c r="C608" s="45" t="s">
        <v>165</v>
      </c>
      <c r="D608" s="45" t="s">
        <v>1431</v>
      </c>
      <c r="E608" s="6" t="s">
        <v>1432</v>
      </c>
      <c r="F608" s="45" t="s">
        <v>168</v>
      </c>
      <c r="G608" s="46">
        <f t="shared" si="71"/>
        <v>476</v>
      </c>
      <c r="H608" s="46">
        <f>TRUNC(S608*(1-LOTE_01!$K$10),2)</f>
        <v>146.9</v>
      </c>
      <c r="I608" s="46">
        <f>TRUNC(T608*(1-LOTE_01!$K$10),2)</f>
        <v>106.75</v>
      </c>
      <c r="J608" s="100">
        <f t="shared" si="72"/>
        <v>0.22470000000000001</v>
      </c>
      <c r="K608" s="48">
        <f t="shared" si="66"/>
        <v>179.9</v>
      </c>
      <c r="L608" s="48">
        <f t="shared" si="67"/>
        <v>130.72999999999999</v>
      </c>
      <c r="M608" s="48">
        <f t="shared" si="68"/>
        <v>85632.4</v>
      </c>
      <c r="N608" s="48">
        <f t="shared" si="69"/>
        <v>62227.48</v>
      </c>
      <c r="O608" s="50">
        <f t="shared" si="70"/>
        <v>147859.88</v>
      </c>
      <c r="P608" s="50">
        <v>0</v>
      </c>
      <c r="Q608" s="76"/>
      <c r="R608" s="139">
        <f>(21+10+3)*(S9+S10)</f>
        <v>476</v>
      </c>
      <c r="S608" s="79">
        <v>146.9</v>
      </c>
      <c r="T608" s="80">
        <v>106.75</v>
      </c>
    </row>
    <row r="609" spans="2:20" ht="28">
      <c r="B609" s="5" t="s">
        <v>1433</v>
      </c>
      <c r="C609" s="45" t="s">
        <v>165</v>
      </c>
      <c r="D609" s="45" t="s">
        <v>1434</v>
      </c>
      <c r="E609" s="6" t="s">
        <v>1435</v>
      </c>
      <c r="F609" s="45" t="s">
        <v>559</v>
      </c>
      <c r="G609" s="46">
        <f t="shared" si="71"/>
        <v>56</v>
      </c>
      <c r="H609" s="46">
        <f>TRUNC(S609*(1-LOTE_01!$K$10),2)</f>
        <v>109.45</v>
      </c>
      <c r="I609" s="46">
        <f>TRUNC(T609*(1-LOTE_01!$K$10),2)</f>
        <v>79.709999999999994</v>
      </c>
      <c r="J609" s="100">
        <f t="shared" si="72"/>
        <v>0.22470000000000001</v>
      </c>
      <c r="K609" s="48">
        <f t="shared" si="66"/>
        <v>134.04</v>
      </c>
      <c r="L609" s="48">
        <f t="shared" si="67"/>
        <v>97.62</v>
      </c>
      <c r="M609" s="48">
        <f t="shared" si="68"/>
        <v>7506.24</v>
      </c>
      <c r="N609" s="48">
        <f t="shared" si="69"/>
        <v>5466.72</v>
      </c>
      <c r="O609" s="50">
        <f t="shared" si="70"/>
        <v>12972.96</v>
      </c>
      <c r="P609" s="50">
        <v>0</v>
      </c>
      <c r="Q609" s="76"/>
      <c r="R609" s="139">
        <f>4*(S9+S10)</f>
        <v>56</v>
      </c>
      <c r="S609" s="79">
        <v>109.45</v>
      </c>
      <c r="T609" s="80">
        <v>79.709999999999994</v>
      </c>
    </row>
    <row r="610" spans="2:20" ht="42">
      <c r="B610" s="5" t="s">
        <v>1436</v>
      </c>
      <c r="C610" s="45" t="s">
        <v>165</v>
      </c>
      <c r="D610" s="45" t="s">
        <v>1437</v>
      </c>
      <c r="E610" s="6" t="s">
        <v>1438</v>
      </c>
      <c r="F610" s="45" t="s">
        <v>559</v>
      </c>
      <c r="G610" s="46">
        <f t="shared" si="71"/>
        <v>56</v>
      </c>
      <c r="H610" s="46">
        <f>TRUNC(S610*(1-LOTE_01!$K$10),2)</f>
        <v>110.86</v>
      </c>
      <c r="I610" s="46">
        <f>TRUNC(T610*(1-LOTE_01!$K$10),2)</f>
        <v>102.35</v>
      </c>
      <c r="J610" s="100">
        <f t="shared" si="72"/>
        <v>0.22470000000000001</v>
      </c>
      <c r="K610" s="48">
        <f t="shared" si="66"/>
        <v>135.77000000000001</v>
      </c>
      <c r="L610" s="48">
        <f t="shared" si="67"/>
        <v>125.34</v>
      </c>
      <c r="M610" s="48">
        <f t="shared" si="68"/>
        <v>7603.12</v>
      </c>
      <c r="N610" s="48">
        <f t="shared" si="69"/>
        <v>7019.04</v>
      </c>
      <c r="O610" s="50">
        <f t="shared" si="70"/>
        <v>14622.16</v>
      </c>
      <c r="P610" s="50">
        <v>0</v>
      </c>
      <c r="Q610" s="76"/>
      <c r="R610" s="139">
        <f>4*(S9+S10)</f>
        <v>56</v>
      </c>
      <c r="S610" s="79">
        <v>110.86</v>
      </c>
      <c r="T610" s="80">
        <v>102.35</v>
      </c>
    </row>
    <row r="611" spans="2:20" ht="28">
      <c r="B611" s="5" t="s">
        <v>1439</v>
      </c>
      <c r="C611" s="45" t="s">
        <v>165</v>
      </c>
      <c r="D611" s="45" t="s">
        <v>1440</v>
      </c>
      <c r="E611" s="6" t="s">
        <v>1441</v>
      </c>
      <c r="F611" s="45" t="s">
        <v>559</v>
      </c>
      <c r="G611" s="46">
        <f t="shared" si="71"/>
        <v>70</v>
      </c>
      <c r="H611" s="46">
        <f>TRUNC(S611*(1-LOTE_01!$K$10),2)</f>
        <v>137.68</v>
      </c>
      <c r="I611" s="46">
        <f>TRUNC(T611*(1-LOTE_01!$K$10),2)</f>
        <v>111.6</v>
      </c>
      <c r="J611" s="100">
        <f t="shared" si="72"/>
        <v>0.22470000000000001</v>
      </c>
      <c r="K611" s="48">
        <f t="shared" si="66"/>
        <v>168.61</v>
      </c>
      <c r="L611" s="48">
        <f t="shared" si="67"/>
        <v>136.66999999999999</v>
      </c>
      <c r="M611" s="48">
        <f t="shared" si="68"/>
        <v>11802.7</v>
      </c>
      <c r="N611" s="48">
        <f t="shared" si="69"/>
        <v>9566.9</v>
      </c>
      <c r="O611" s="50">
        <f t="shared" si="70"/>
        <v>21369.599999999999</v>
      </c>
      <c r="P611" s="50">
        <v>0</v>
      </c>
      <c r="Q611" s="76"/>
      <c r="R611" s="139">
        <f>5*(S9+S10)</f>
        <v>70</v>
      </c>
      <c r="S611" s="79">
        <v>137.68</v>
      </c>
      <c r="T611" s="80">
        <v>111.6</v>
      </c>
    </row>
    <row r="612" spans="2:20" ht="28">
      <c r="B612" s="5" t="s">
        <v>1442</v>
      </c>
      <c r="C612" s="45" t="s">
        <v>165</v>
      </c>
      <c r="D612" s="45" t="s">
        <v>1443</v>
      </c>
      <c r="E612" s="6" t="s">
        <v>1444</v>
      </c>
      <c r="F612" s="45" t="s">
        <v>559</v>
      </c>
      <c r="G612" s="46">
        <f t="shared" si="71"/>
        <v>70</v>
      </c>
      <c r="H612" s="46">
        <f>TRUNC(S612*(1-LOTE_01!$K$10),2)</f>
        <v>147.44</v>
      </c>
      <c r="I612" s="46">
        <f>TRUNC(T612*(1-LOTE_01!$K$10),2)</f>
        <v>111.6</v>
      </c>
      <c r="J612" s="100">
        <f t="shared" si="72"/>
        <v>0.22470000000000001</v>
      </c>
      <c r="K612" s="48">
        <f t="shared" si="66"/>
        <v>180.56</v>
      </c>
      <c r="L612" s="48">
        <f t="shared" si="67"/>
        <v>136.66999999999999</v>
      </c>
      <c r="M612" s="48">
        <f t="shared" si="68"/>
        <v>12639.2</v>
      </c>
      <c r="N612" s="48">
        <f t="shared" si="69"/>
        <v>9566.9</v>
      </c>
      <c r="O612" s="50">
        <f t="shared" si="70"/>
        <v>22206.1</v>
      </c>
      <c r="P612" s="50">
        <v>0</v>
      </c>
      <c r="Q612" s="76"/>
      <c r="R612" s="139">
        <f>5*(S9+S10)</f>
        <v>70</v>
      </c>
      <c r="S612" s="79">
        <v>147.44</v>
      </c>
      <c r="T612" s="80">
        <v>111.6</v>
      </c>
    </row>
    <row r="613" spans="2:20" ht="28">
      <c r="B613" s="5" t="s">
        <v>1445</v>
      </c>
      <c r="C613" s="45" t="s">
        <v>165</v>
      </c>
      <c r="D613" s="45" t="s">
        <v>1446</v>
      </c>
      <c r="E613" s="6" t="s">
        <v>1447</v>
      </c>
      <c r="F613" s="45" t="s">
        <v>559</v>
      </c>
      <c r="G613" s="46">
        <f t="shared" si="71"/>
        <v>70</v>
      </c>
      <c r="H613" s="46">
        <f>TRUNC(S613*(1-LOTE_01!$K$10),2)</f>
        <v>169.53</v>
      </c>
      <c r="I613" s="46">
        <f>TRUNC(T613*(1-LOTE_01!$K$10),2)</f>
        <v>111.6</v>
      </c>
      <c r="J613" s="100">
        <f t="shared" si="72"/>
        <v>0.22470000000000001</v>
      </c>
      <c r="K613" s="48">
        <f t="shared" si="66"/>
        <v>207.62</v>
      </c>
      <c r="L613" s="48">
        <f t="shared" si="67"/>
        <v>136.66999999999999</v>
      </c>
      <c r="M613" s="48">
        <f t="shared" si="68"/>
        <v>14533.4</v>
      </c>
      <c r="N613" s="48">
        <f t="shared" si="69"/>
        <v>9566.9</v>
      </c>
      <c r="O613" s="50">
        <f t="shared" si="70"/>
        <v>24100.3</v>
      </c>
      <c r="P613" s="50">
        <v>0</v>
      </c>
      <c r="Q613" s="76"/>
      <c r="R613" s="139">
        <f>5*(S9+S10)</f>
        <v>70</v>
      </c>
      <c r="S613" s="79">
        <v>169.53</v>
      </c>
      <c r="T613" s="80">
        <v>111.6</v>
      </c>
    </row>
    <row r="614" spans="2:20" ht="28">
      <c r="B614" s="5" t="s">
        <v>1448</v>
      </c>
      <c r="C614" s="45" t="s">
        <v>97</v>
      </c>
      <c r="D614" s="45" t="s">
        <v>1449</v>
      </c>
      <c r="E614" s="6" t="s">
        <v>1450</v>
      </c>
      <c r="F614" s="45" t="s">
        <v>104</v>
      </c>
      <c r="G614" s="46">
        <f t="shared" si="71"/>
        <v>42</v>
      </c>
      <c r="H614" s="46">
        <f>TRUNC(S614*(1-LOTE_01!$K$10),2)</f>
        <v>530.02</v>
      </c>
      <c r="I614" s="46">
        <f>TRUNC(T614*(1-LOTE_01!$K$10),2)</f>
        <v>502.72</v>
      </c>
      <c r="J614" s="100">
        <f t="shared" si="72"/>
        <v>0.22470000000000001</v>
      </c>
      <c r="K614" s="48">
        <f t="shared" si="66"/>
        <v>649.11</v>
      </c>
      <c r="L614" s="48">
        <f t="shared" si="67"/>
        <v>615.67999999999995</v>
      </c>
      <c r="M614" s="48">
        <f t="shared" si="68"/>
        <v>27262.62</v>
      </c>
      <c r="N614" s="48">
        <f t="shared" si="69"/>
        <v>25858.560000000001</v>
      </c>
      <c r="O614" s="50">
        <f t="shared" si="70"/>
        <v>53121.18</v>
      </c>
      <c r="P614" s="50">
        <v>0</v>
      </c>
      <c r="Q614" s="76"/>
      <c r="R614" s="139">
        <f>3*S9+3*S10</f>
        <v>42</v>
      </c>
      <c r="S614" s="79">
        <v>530.02</v>
      </c>
      <c r="T614" s="80">
        <v>502.72</v>
      </c>
    </row>
    <row r="615" spans="2:20" ht="42">
      <c r="B615" s="5" t="s">
        <v>1451</v>
      </c>
      <c r="C615" s="45" t="s">
        <v>97</v>
      </c>
      <c r="D615" s="45" t="s">
        <v>1452</v>
      </c>
      <c r="E615" s="6" t="s">
        <v>1453</v>
      </c>
      <c r="F615" s="45" t="s">
        <v>104</v>
      </c>
      <c r="G615" s="46">
        <f t="shared" si="71"/>
        <v>42</v>
      </c>
      <c r="H615" s="46">
        <f>TRUNC(S615*(1-LOTE_01!$K$10),2)</f>
        <v>185.39</v>
      </c>
      <c r="I615" s="46">
        <f>TRUNC(T615*(1-LOTE_01!$K$10),2)</f>
        <v>203</v>
      </c>
      <c r="J615" s="100">
        <f t="shared" si="72"/>
        <v>0.22470000000000001</v>
      </c>
      <c r="K615" s="48">
        <f t="shared" si="66"/>
        <v>227.04</v>
      </c>
      <c r="L615" s="48">
        <f t="shared" si="67"/>
        <v>248.61</v>
      </c>
      <c r="M615" s="48">
        <f t="shared" si="68"/>
        <v>9535.68</v>
      </c>
      <c r="N615" s="48">
        <f t="shared" si="69"/>
        <v>10441.620000000001</v>
      </c>
      <c r="O615" s="50">
        <f t="shared" si="70"/>
        <v>19977.3</v>
      </c>
      <c r="P615" s="50">
        <v>0</v>
      </c>
      <c r="Q615" s="76"/>
      <c r="R615" s="139">
        <f>3*S9+3*S10</f>
        <v>42</v>
      </c>
      <c r="S615" s="79">
        <v>185.39</v>
      </c>
      <c r="T615" s="80">
        <v>203</v>
      </c>
    </row>
    <row r="616" spans="2:20" ht="28">
      <c r="B616" s="5" t="s">
        <v>1454</v>
      </c>
      <c r="C616" s="45" t="s">
        <v>97</v>
      </c>
      <c r="D616" s="45" t="s">
        <v>1455</v>
      </c>
      <c r="E616" s="6" t="s">
        <v>1456</v>
      </c>
      <c r="F616" s="45" t="s">
        <v>104</v>
      </c>
      <c r="G616" s="46">
        <f t="shared" si="71"/>
        <v>42</v>
      </c>
      <c r="H616" s="46">
        <f>TRUNC(S616*(1-LOTE_01!$K$10),2)</f>
        <v>2292.7399999999998</v>
      </c>
      <c r="I616" s="46">
        <f>TRUNC(T616*(1-LOTE_01!$K$10),2)</f>
        <v>726.42</v>
      </c>
      <c r="J616" s="100">
        <f t="shared" si="72"/>
        <v>0.22470000000000001</v>
      </c>
      <c r="K616" s="48">
        <f t="shared" si="66"/>
        <v>2807.91</v>
      </c>
      <c r="L616" s="48">
        <f t="shared" si="67"/>
        <v>889.64</v>
      </c>
      <c r="M616" s="48">
        <f t="shared" si="68"/>
        <v>117932.22</v>
      </c>
      <c r="N616" s="48">
        <f t="shared" si="69"/>
        <v>37364.879999999997</v>
      </c>
      <c r="O616" s="50">
        <f t="shared" si="70"/>
        <v>155297.1</v>
      </c>
      <c r="P616" s="50">
        <v>0</v>
      </c>
      <c r="Q616" s="76"/>
      <c r="R616" s="139">
        <f>3*S9+3*S10</f>
        <v>42</v>
      </c>
      <c r="S616" s="79">
        <v>2292.7399999999998</v>
      </c>
      <c r="T616" s="80">
        <v>726.42</v>
      </c>
    </row>
    <row r="617" spans="2:20" ht="70">
      <c r="B617" s="5" t="s">
        <v>1457</v>
      </c>
      <c r="C617" s="45" t="s">
        <v>97</v>
      </c>
      <c r="D617" s="45" t="s">
        <v>1458</v>
      </c>
      <c r="E617" s="6" t="s">
        <v>1459</v>
      </c>
      <c r="F617" s="45" t="s">
        <v>104</v>
      </c>
      <c r="G617" s="46">
        <f t="shared" si="71"/>
        <v>28</v>
      </c>
      <c r="H617" s="46">
        <f>TRUNC(S617*(1-LOTE_01!$K$10),2)</f>
        <v>467.78</v>
      </c>
      <c r="I617" s="46">
        <f>TRUNC(T617*(1-LOTE_01!$K$10),2)</f>
        <v>56.68</v>
      </c>
      <c r="J617" s="100">
        <f t="shared" si="72"/>
        <v>0.22470000000000001</v>
      </c>
      <c r="K617" s="48">
        <f t="shared" si="66"/>
        <v>572.89</v>
      </c>
      <c r="L617" s="48">
        <f t="shared" si="67"/>
        <v>69.41</v>
      </c>
      <c r="M617" s="48">
        <f t="shared" si="68"/>
        <v>16040.92</v>
      </c>
      <c r="N617" s="48">
        <f t="shared" si="69"/>
        <v>1943.48</v>
      </c>
      <c r="O617" s="50">
        <f t="shared" si="70"/>
        <v>17984.400000000001</v>
      </c>
      <c r="P617" s="50">
        <v>0</v>
      </c>
      <c r="Q617" s="76"/>
      <c r="R617" s="139">
        <f>2*S9+2*S10</f>
        <v>28</v>
      </c>
      <c r="S617" s="79">
        <v>467.78</v>
      </c>
      <c r="T617" s="80">
        <v>56.68</v>
      </c>
    </row>
    <row r="618" spans="2:20" ht="70">
      <c r="B618" s="5" t="s">
        <v>1460</v>
      </c>
      <c r="C618" s="45" t="s">
        <v>97</v>
      </c>
      <c r="D618" s="45" t="s">
        <v>1461</v>
      </c>
      <c r="E618" s="6" t="s">
        <v>1462</v>
      </c>
      <c r="F618" s="45" t="s">
        <v>104</v>
      </c>
      <c r="G618" s="46">
        <f t="shared" si="71"/>
        <v>28</v>
      </c>
      <c r="H618" s="46">
        <f>TRUNC(S618*(1-LOTE_01!$K$10),2)</f>
        <v>1878.34</v>
      </c>
      <c r="I618" s="46">
        <f>TRUNC(T618*(1-LOTE_01!$K$10),2)</f>
        <v>337.77</v>
      </c>
      <c r="J618" s="100">
        <f t="shared" si="72"/>
        <v>0.22470000000000001</v>
      </c>
      <c r="K618" s="48">
        <f t="shared" si="66"/>
        <v>2300.4</v>
      </c>
      <c r="L618" s="48">
        <f t="shared" si="67"/>
        <v>413.66</v>
      </c>
      <c r="M618" s="48">
        <f t="shared" si="68"/>
        <v>64411.199999999997</v>
      </c>
      <c r="N618" s="48">
        <f t="shared" si="69"/>
        <v>11582.48</v>
      </c>
      <c r="O618" s="50">
        <f t="shared" si="70"/>
        <v>75993.679999999993</v>
      </c>
      <c r="P618" s="50">
        <v>0</v>
      </c>
      <c r="Q618" s="76"/>
      <c r="R618" s="139">
        <f>2*S9+2*S10</f>
        <v>28</v>
      </c>
      <c r="S618" s="79">
        <v>1878.34</v>
      </c>
      <c r="T618" s="80">
        <v>337.77</v>
      </c>
    </row>
    <row r="619" spans="2:20" ht="70">
      <c r="B619" s="5" t="s">
        <v>1463</v>
      </c>
      <c r="C619" s="45" t="s">
        <v>135</v>
      </c>
      <c r="D619" s="45">
        <v>103289</v>
      </c>
      <c r="E619" s="6" t="s">
        <v>1464</v>
      </c>
      <c r="F619" s="45" t="s">
        <v>187</v>
      </c>
      <c r="G619" s="46">
        <f t="shared" si="71"/>
        <v>140</v>
      </c>
      <c r="H619" s="46">
        <f>TRUNC(S619*(1-LOTE_01!$K$10),2)</f>
        <v>29.1</v>
      </c>
      <c r="I619" s="46">
        <f>TRUNC(T619*(1-LOTE_01!$K$10),2)</f>
        <v>3.18</v>
      </c>
      <c r="J619" s="100">
        <f t="shared" si="72"/>
        <v>0.22470000000000001</v>
      </c>
      <c r="K619" s="48">
        <f t="shared" si="66"/>
        <v>35.630000000000003</v>
      </c>
      <c r="L619" s="48">
        <f t="shared" si="67"/>
        <v>3.89</v>
      </c>
      <c r="M619" s="48">
        <f t="shared" si="68"/>
        <v>4988.2</v>
      </c>
      <c r="N619" s="48">
        <f t="shared" si="69"/>
        <v>544.6</v>
      </c>
      <c r="O619" s="50">
        <f t="shared" si="70"/>
        <v>5532.8</v>
      </c>
      <c r="P619" s="50">
        <v>0</v>
      </c>
      <c r="Q619" s="76"/>
      <c r="R619" s="139">
        <f>10*S9+10*S10</f>
        <v>140</v>
      </c>
      <c r="S619" s="79">
        <v>29.1</v>
      </c>
      <c r="T619" s="80">
        <v>3.18</v>
      </c>
    </row>
    <row r="620" spans="2:20" ht="70">
      <c r="B620" s="5" t="s">
        <v>1465</v>
      </c>
      <c r="C620" s="45" t="s">
        <v>135</v>
      </c>
      <c r="D620" s="45">
        <v>103290</v>
      </c>
      <c r="E620" s="6" t="s">
        <v>1466</v>
      </c>
      <c r="F620" s="45" t="s">
        <v>187</v>
      </c>
      <c r="G620" s="46">
        <f t="shared" si="71"/>
        <v>140</v>
      </c>
      <c r="H620" s="46">
        <f>TRUNC(S620*(1-LOTE_01!$K$10),2)</f>
        <v>46.4</v>
      </c>
      <c r="I620" s="46">
        <f>TRUNC(T620*(1-LOTE_01!$K$10),2)</f>
        <v>3.52</v>
      </c>
      <c r="J620" s="100">
        <f t="shared" si="72"/>
        <v>0.22470000000000001</v>
      </c>
      <c r="K620" s="48">
        <f t="shared" si="66"/>
        <v>56.82</v>
      </c>
      <c r="L620" s="48">
        <f t="shared" si="67"/>
        <v>4.3099999999999996</v>
      </c>
      <c r="M620" s="48">
        <f t="shared" si="68"/>
        <v>7954.8</v>
      </c>
      <c r="N620" s="48">
        <f t="shared" si="69"/>
        <v>603.4</v>
      </c>
      <c r="O620" s="50">
        <f t="shared" si="70"/>
        <v>8558.2000000000007</v>
      </c>
      <c r="P620" s="50">
        <v>0</v>
      </c>
      <c r="Q620" s="76"/>
      <c r="R620" s="139">
        <f>10*S9+10*S10</f>
        <v>140</v>
      </c>
      <c r="S620" s="79">
        <v>46.4</v>
      </c>
      <c r="T620" s="80">
        <v>3.52</v>
      </c>
    </row>
    <row r="621" spans="2:20" ht="70">
      <c r="B621" s="5" t="s">
        <v>1467</v>
      </c>
      <c r="C621" s="45" t="s">
        <v>135</v>
      </c>
      <c r="D621" s="45">
        <v>103291</v>
      </c>
      <c r="E621" s="6" t="s">
        <v>1468</v>
      </c>
      <c r="F621" s="45" t="s">
        <v>187</v>
      </c>
      <c r="G621" s="46">
        <f t="shared" si="71"/>
        <v>140</v>
      </c>
      <c r="H621" s="46">
        <f>TRUNC(S621*(1-LOTE_01!$K$10),2)</f>
        <v>59.13</v>
      </c>
      <c r="I621" s="46">
        <f>TRUNC(T621*(1-LOTE_01!$K$10),2)</f>
        <v>3.91</v>
      </c>
      <c r="J621" s="100">
        <f t="shared" si="72"/>
        <v>0.22470000000000001</v>
      </c>
      <c r="K621" s="48">
        <f t="shared" si="66"/>
        <v>72.41</v>
      </c>
      <c r="L621" s="48">
        <f t="shared" si="67"/>
        <v>4.78</v>
      </c>
      <c r="M621" s="48">
        <f t="shared" si="68"/>
        <v>10137.4</v>
      </c>
      <c r="N621" s="48">
        <f t="shared" si="69"/>
        <v>669.2</v>
      </c>
      <c r="O621" s="50">
        <f t="shared" si="70"/>
        <v>10806.6</v>
      </c>
      <c r="P621" s="50">
        <v>0</v>
      </c>
      <c r="Q621" s="76"/>
      <c r="R621" s="139">
        <f>10*S9+10*S10</f>
        <v>140</v>
      </c>
      <c r="S621" s="79">
        <v>59.129999999999995</v>
      </c>
      <c r="T621" s="80">
        <v>3.91</v>
      </c>
    </row>
    <row r="622" spans="2:20" ht="70">
      <c r="B622" s="5" t="s">
        <v>1469</v>
      </c>
      <c r="C622" s="45" t="s">
        <v>135</v>
      </c>
      <c r="D622" s="45">
        <v>103292</v>
      </c>
      <c r="E622" s="6" t="s">
        <v>1470</v>
      </c>
      <c r="F622" s="45" t="s">
        <v>187</v>
      </c>
      <c r="G622" s="46">
        <f t="shared" si="71"/>
        <v>140</v>
      </c>
      <c r="H622" s="46">
        <f>TRUNC(S622*(1-LOTE_01!$K$10),2)</f>
        <v>72.13</v>
      </c>
      <c r="I622" s="46">
        <f>TRUNC(T622*(1-LOTE_01!$K$10),2)</f>
        <v>4.2699999999999996</v>
      </c>
      <c r="J622" s="100">
        <f t="shared" si="72"/>
        <v>0.22470000000000001</v>
      </c>
      <c r="K622" s="48">
        <f t="shared" si="66"/>
        <v>88.33</v>
      </c>
      <c r="L622" s="48">
        <f t="shared" si="67"/>
        <v>5.22</v>
      </c>
      <c r="M622" s="48">
        <f t="shared" si="68"/>
        <v>12366.2</v>
      </c>
      <c r="N622" s="48">
        <f t="shared" si="69"/>
        <v>730.8</v>
      </c>
      <c r="O622" s="50">
        <f t="shared" si="70"/>
        <v>13097</v>
      </c>
      <c r="P622" s="50">
        <v>0</v>
      </c>
      <c r="Q622" s="76"/>
      <c r="R622" s="139">
        <f>10*S9+10*S10</f>
        <v>140</v>
      </c>
      <c r="S622" s="79">
        <v>72.13000000000001</v>
      </c>
      <c r="T622" s="80">
        <v>4.2699999999999996</v>
      </c>
    </row>
    <row r="623" spans="2:20" ht="28">
      <c r="B623" s="5" t="s">
        <v>1471</v>
      </c>
      <c r="C623" s="45" t="s">
        <v>97</v>
      </c>
      <c r="D623" s="45" t="s">
        <v>1472</v>
      </c>
      <c r="E623" s="6" t="s">
        <v>1473</v>
      </c>
      <c r="F623" s="45" t="s">
        <v>104</v>
      </c>
      <c r="G623" s="46">
        <f t="shared" si="71"/>
        <v>70</v>
      </c>
      <c r="H623" s="46">
        <f>TRUNC(S623*(1-LOTE_01!$K$10),2)</f>
        <v>301.66000000000003</v>
      </c>
      <c r="I623" s="46">
        <f>TRUNC(T623*(1-LOTE_01!$K$10),2)</f>
        <v>468</v>
      </c>
      <c r="J623" s="100">
        <f t="shared" si="72"/>
        <v>0.22470000000000001</v>
      </c>
      <c r="K623" s="48">
        <f t="shared" si="66"/>
        <v>369.44</v>
      </c>
      <c r="L623" s="48">
        <f t="shared" si="67"/>
        <v>573.15</v>
      </c>
      <c r="M623" s="48">
        <f t="shared" si="68"/>
        <v>25860.799999999999</v>
      </c>
      <c r="N623" s="48">
        <f t="shared" si="69"/>
        <v>40120.5</v>
      </c>
      <c r="O623" s="50">
        <f t="shared" si="70"/>
        <v>65981.3</v>
      </c>
      <c r="P623" s="50">
        <v>0</v>
      </c>
      <c r="Q623" s="76"/>
      <c r="R623" s="139">
        <f>5*S9+5*S10</f>
        <v>70</v>
      </c>
      <c r="S623" s="79">
        <v>301.66000000000003</v>
      </c>
      <c r="T623" s="80">
        <v>468</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9335506.2599999998</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104">
        <v>0</v>
      </c>
      <c r="Q625" s="76"/>
      <c r="R625" s="154"/>
      <c r="S625" s="79" t="s">
        <v>22</v>
      </c>
      <c r="T625" s="80" t="s">
        <v>22</v>
      </c>
    </row>
    <row r="626" spans="2:20" ht="84">
      <c r="B626" s="5" t="s">
        <v>1476</v>
      </c>
      <c r="C626" s="45" t="s">
        <v>97</v>
      </c>
      <c r="D626" s="45" t="s">
        <v>1477</v>
      </c>
      <c r="E626" s="6" t="s">
        <v>1478</v>
      </c>
      <c r="F626" s="45" t="s">
        <v>121</v>
      </c>
      <c r="G626" s="46">
        <f t="shared" si="71"/>
        <v>420</v>
      </c>
      <c r="H626" s="46">
        <f>TRUNC(S626*(1-LOTE_01!$K$10),2)</f>
        <v>335.52</v>
      </c>
      <c r="I626" s="46">
        <f>TRUNC(T626*(1-LOTE_01!$K$10),2)</f>
        <v>36.299999999999997</v>
      </c>
      <c r="J626" s="100">
        <f t="shared" si="72"/>
        <v>0.22470000000000001</v>
      </c>
      <c r="K626" s="48">
        <f t="shared" si="66"/>
        <v>410.91</v>
      </c>
      <c r="L626" s="48">
        <f t="shared" si="67"/>
        <v>44.45</v>
      </c>
      <c r="M626" s="48">
        <f t="shared" si="68"/>
        <v>172582.2</v>
      </c>
      <c r="N626" s="48">
        <f t="shared" si="69"/>
        <v>18669</v>
      </c>
      <c r="O626" s="50">
        <f t="shared" si="70"/>
        <v>191251.20000000001</v>
      </c>
      <c r="P626" s="50">
        <v>0</v>
      </c>
      <c r="Q626" s="76"/>
      <c r="R626" s="139">
        <f>30*(S9+S10)</f>
        <v>420</v>
      </c>
      <c r="S626" s="79">
        <v>335.52</v>
      </c>
      <c r="T626" s="80">
        <v>36.299999999999997</v>
      </c>
    </row>
    <row r="627" spans="2:20" ht="70">
      <c r="B627" s="5" t="s">
        <v>1479</v>
      </c>
      <c r="C627" s="45" t="s">
        <v>97</v>
      </c>
      <c r="D627" s="45" t="s">
        <v>1480</v>
      </c>
      <c r="E627" s="6" t="s">
        <v>1481</v>
      </c>
      <c r="F627" s="45" t="s">
        <v>104</v>
      </c>
      <c r="G627" s="46">
        <f t="shared" si="71"/>
        <v>10</v>
      </c>
      <c r="H627" s="46">
        <f>TRUNC(S627*(1-LOTE_01!$K$10),2)</f>
        <v>1685.73</v>
      </c>
      <c r="I627" s="46">
        <f>TRUNC(T627*(1-LOTE_01!$K$10),2)</f>
        <v>128.22999999999999</v>
      </c>
      <c r="J627" s="100">
        <f t="shared" si="72"/>
        <v>0.22470000000000001</v>
      </c>
      <c r="K627" s="48">
        <f t="shared" si="66"/>
        <v>2064.5100000000002</v>
      </c>
      <c r="L627" s="48">
        <f t="shared" si="67"/>
        <v>157.04</v>
      </c>
      <c r="M627" s="48">
        <f t="shared" si="68"/>
        <v>20645.099999999999</v>
      </c>
      <c r="N627" s="48">
        <f t="shared" si="69"/>
        <v>1570.4</v>
      </c>
      <c r="O627" s="50">
        <f t="shared" si="70"/>
        <v>22215.5</v>
      </c>
      <c r="P627" s="50">
        <v>0</v>
      </c>
      <c r="Q627" s="76"/>
      <c r="R627" s="140">
        <f>IF((S9+S10)&gt;10,10,(S9+S10))</f>
        <v>10</v>
      </c>
      <c r="S627" s="79">
        <v>1685.73</v>
      </c>
      <c r="T627" s="80">
        <v>128.22999999999999</v>
      </c>
    </row>
    <row r="628" spans="2:20" ht="56">
      <c r="B628" s="5" t="s">
        <v>1482</v>
      </c>
      <c r="C628" s="45" t="s">
        <v>97</v>
      </c>
      <c r="D628" s="45" t="s">
        <v>467</v>
      </c>
      <c r="E628" s="6" t="s">
        <v>468</v>
      </c>
      <c r="F628" s="45" t="s">
        <v>121</v>
      </c>
      <c r="G628" s="46">
        <f t="shared" si="71"/>
        <v>939.4</v>
      </c>
      <c r="H628" s="46">
        <f>TRUNC(S628*(1-LOTE_01!$K$10),2)</f>
        <v>408.2</v>
      </c>
      <c r="I628" s="46">
        <f>TRUNC(T628*(1-LOTE_01!$K$10),2)</f>
        <v>160.56</v>
      </c>
      <c r="J628" s="100">
        <f t="shared" si="72"/>
        <v>0.22470000000000001</v>
      </c>
      <c r="K628" s="48">
        <f t="shared" si="66"/>
        <v>499.92</v>
      </c>
      <c r="L628" s="48">
        <f t="shared" si="67"/>
        <v>196.63</v>
      </c>
      <c r="M628" s="48">
        <f t="shared" si="68"/>
        <v>469624.84</v>
      </c>
      <c r="N628" s="48">
        <f t="shared" si="69"/>
        <v>184714.22</v>
      </c>
      <c r="O628" s="50">
        <f t="shared" si="70"/>
        <v>654339.06000000006</v>
      </c>
      <c r="P628" s="50">
        <v>0</v>
      </c>
      <c r="Q628" s="76"/>
      <c r="R628" s="139">
        <f>(13.5+12.5+5.5+22.6+13)*(S9+S10)</f>
        <v>939.39999999999986</v>
      </c>
      <c r="S628" s="79">
        <v>408.2</v>
      </c>
      <c r="T628" s="80">
        <v>160.56</v>
      </c>
    </row>
    <row r="629" spans="2:20" ht="28">
      <c r="B629" s="5" t="s">
        <v>1483</v>
      </c>
      <c r="C629" s="45" t="s">
        <v>97</v>
      </c>
      <c r="D629" s="45" t="s">
        <v>1484</v>
      </c>
      <c r="E629" s="6" t="s">
        <v>1485</v>
      </c>
      <c r="F629" s="45" t="s">
        <v>121</v>
      </c>
      <c r="G629" s="46">
        <f t="shared" si="71"/>
        <v>112</v>
      </c>
      <c r="H629" s="46">
        <f>TRUNC(S629*(1-LOTE_01!$K$10),2)</f>
        <v>445.04</v>
      </c>
      <c r="I629" s="46">
        <f>TRUNC(T629*(1-LOTE_01!$K$10),2)</f>
        <v>4.4000000000000004</v>
      </c>
      <c r="J629" s="100">
        <f t="shared" si="72"/>
        <v>0.22470000000000001</v>
      </c>
      <c r="K629" s="48">
        <f t="shared" si="66"/>
        <v>545.04</v>
      </c>
      <c r="L629" s="48">
        <f t="shared" si="67"/>
        <v>5.38</v>
      </c>
      <c r="M629" s="48">
        <f t="shared" si="68"/>
        <v>61044.480000000003</v>
      </c>
      <c r="N629" s="48">
        <f t="shared" si="69"/>
        <v>602.55999999999995</v>
      </c>
      <c r="O629" s="50">
        <f t="shared" si="70"/>
        <v>61647.040000000001</v>
      </c>
      <c r="P629" s="50">
        <v>0</v>
      </c>
      <c r="Q629" s="76"/>
      <c r="R629" s="139">
        <f>8*(S9+S10)</f>
        <v>112</v>
      </c>
      <c r="S629" s="79">
        <v>445.04</v>
      </c>
      <c r="T629" s="80">
        <v>4.4000000000000004</v>
      </c>
    </row>
    <row r="630" spans="2:20" ht="126">
      <c r="B630" s="5" t="s">
        <v>1486</v>
      </c>
      <c r="C630" s="45" t="s">
        <v>97</v>
      </c>
      <c r="D630" s="45" t="s">
        <v>1487</v>
      </c>
      <c r="E630" s="6" t="s">
        <v>1488</v>
      </c>
      <c r="F630" s="45" t="s">
        <v>104</v>
      </c>
      <c r="G630" s="46">
        <f t="shared" si="71"/>
        <v>14</v>
      </c>
      <c r="H630" s="46">
        <f>TRUNC(S630*(1-LOTE_01!$K$10),2)</f>
        <v>11794.57</v>
      </c>
      <c r="I630" s="46">
        <f>TRUNC(T630*(1-LOTE_01!$K$10),2)</f>
        <v>1418.37</v>
      </c>
      <c r="J630" s="100">
        <f t="shared" si="72"/>
        <v>0.22470000000000001</v>
      </c>
      <c r="K630" s="48">
        <f t="shared" si="66"/>
        <v>14444.8</v>
      </c>
      <c r="L630" s="48">
        <f t="shared" si="67"/>
        <v>1737.07</v>
      </c>
      <c r="M630" s="48">
        <f t="shared" si="68"/>
        <v>202227.20000000001</v>
      </c>
      <c r="N630" s="48">
        <f t="shared" si="69"/>
        <v>24318.98</v>
      </c>
      <c r="O630" s="50">
        <f t="shared" si="70"/>
        <v>226546.18</v>
      </c>
      <c r="P630" s="50">
        <v>0</v>
      </c>
      <c r="Q630" s="76"/>
      <c r="R630" s="139">
        <f>1*(S9+S10)</f>
        <v>14</v>
      </c>
      <c r="S630" s="79">
        <v>11794.57</v>
      </c>
      <c r="T630" s="80">
        <v>1418.37</v>
      </c>
    </row>
    <row r="631" spans="2:20" ht="42">
      <c r="B631" s="5" t="s">
        <v>1489</v>
      </c>
      <c r="C631" s="45" t="s">
        <v>97</v>
      </c>
      <c r="D631" s="45" t="s">
        <v>1490</v>
      </c>
      <c r="E631" s="6" t="s">
        <v>1491</v>
      </c>
      <c r="F631" s="45" t="s">
        <v>104</v>
      </c>
      <c r="G631" s="46">
        <f t="shared" si="71"/>
        <v>14</v>
      </c>
      <c r="H631" s="46">
        <f>TRUNC(S631*(1-LOTE_01!$K$10),2)</f>
        <v>3048.54</v>
      </c>
      <c r="I631" s="46">
        <f>TRUNC(T631*(1-LOTE_01!$K$10),2)</f>
        <v>410.64</v>
      </c>
      <c r="J631" s="100">
        <f t="shared" si="72"/>
        <v>0.22470000000000001</v>
      </c>
      <c r="K631" s="48">
        <f t="shared" si="66"/>
        <v>3733.54</v>
      </c>
      <c r="L631" s="48">
        <f t="shared" si="67"/>
        <v>502.91</v>
      </c>
      <c r="M631" s="48">
        <f t="shared" si="68"/>
        <v>52269.56</v>
      </c>
      <c r="N631" s="48">
        <f t="shared" si="69"/>
        <v>7040.74</v>
      </c>
      <c r="O631" s="50">
        <f t="shared" si="70"/>
        <v>59310.3</v>
      </c>
      <c r="P631" s="50">
        <v>0</v>
      </c>
      <c r="Q631" s="76"/>
      <c r="R631" s="139">
        <f>1*(S9+S10)</f>
        <v>14</v>
      </c>
      <c r="S631" s="79">
        <v>3048.54</v>
      </c>
      <c r="T631" s="80">
        <v>410.64</v>
      </c>
    </row>
    <row r="632" spans="2:20" ht="84">
      <c r="B632" s="5" t="s">
        <v>1492</v>
      </c>
      <c r="C632" s="45" t="s">
        <v>97</v>
      </c>
      <c r="D632" s="45" t="s">
        <v>1493</v>
      </c>
      <c r="E632" s="6" t="s">
        <v>1494</v>
      </c>
      <c r="F632" s="45" t="s">
        <v>104</v>
      </c>
      <c r="G632" s="46">
        <f t="shared" si="71"/>
        <v>14</v>
      </c>
      <c r="H632" s="46">
        <f>TRUNC(S632*(1-LOTE_01!$K$10),2)</f>
        <v>9034.6200000000008</v>
      </c>
      <c r="I632" s="46">
        <f>TRUNC(T632*(1-LOTE_01!$K$10),2)</f>
        <v>115.05</v>
      </c>
      <c r="J632" s="100">
        <f t="shared" si="72"/>
        <v>0.22470000000000001</v>
      </c>
      <c r="K632" s="48">
        <f t="shared" si="66"/>
        <v>11064.69</v>
      </c>
      <c r="L632" s="48">
        <f t="shared" si="67"/>
        <v>140.9</v>
      </c>
      <c r="M632" s="48">
        <f t="shared" si="68"/>
        <v>154905.66</v>
      </c>
      <c r="N632" s="48">
        <f t="shared" si="69"/>
        <v>1972.6</v>
      </c>
      <c r="O632" s="50">
        <f t="shared" si="70"/>
        <v>156878.26</v>
      </c>
      <c r="P632" s="50">
        <v>0</v>
      </c>
      <c r="Q632" s="76"/>
      <c r="R632" s="139">
        <f>1*(S9+S10)</f>
        <v>14</v>
      </c>
      <c r="S632" s="79">
        <v>9034.6200000000008</v>
      </c>
      <c r="T632" s="80">
        <v>115.05</v>
      </c>
    </row>
    <row r="633" spans="2:20" ht="84">
      <c r="B633" s="5" t="s">
        <v>1495</v>
      </c>
      <c r="C633" s="45" t="s">
        <v>97</v>
      </c>
      <c r="D633" s="45" t="s">
        <v>1496</v>
      </c>
      <c r="E633" s="6" t="s">
        <v>1497</v>
      </c>
      <c r="F633" s="45" t="s">
        <v>104</v>
      </c>
      <c r="G633" s="46">
        <f t="shared" si="71"/>
        <v>14</v>
      </c>
      <c r="H633" s="46">
        <f>TRUNC(S633*(1-LOTE_01!$K$10),2)</f>
        <v>6822.37</v>
      </c>
      <c r="I633" s="46">
        <f>TRUNC(T633*(1-LOTE_01!$K$10),2)</f>
        <v>115.05</v>
      </c>
      <c r="J633" s="100">
        <f t="shared" si="72"/>
        <v>0.22470000000000001</v>
      </c>
      <c r="K633" s="48">
        <f t="shared" si="66"/>
        <v>8355.35</v>
      </c>
      <c r="L633" s="48">
        <f t="shared" si="67"/>
        <v>140.9</v>
      </c>
      <c r="M633" s="48">
        <f t="shared" si="68"/>
        <v>116974.9</v>
      </c>
      <c r="N633" s="48">
        <f t="shared" si="69"/>
        <v>1972.6</v>
      </c>
      <c r="O633" s="50">
        <f t="shared" si="70"/>
        <v>118947.5</v>
      </c>
      <c r="P633" s="50">
        <v>0</v>
      </c>
      <c r="Q633" s="76"/>
      <c r="R633" s="139">
        <f>1*(S9+S10)</f>
        <v>14</v>
      </c>
      <c r="S633" s="79">
        <v>6822.37</v>
      </c>
      <c r="T633" s="80">
        <v>115.05</v>
      </c>
    </row>
    <row r="634" spans="2:20" ht="56">
      <c r="B634" s="5" t="s">
        <v>1498</v>
      </c>
      <c r="C634" s="45" t="s">
        <v>97</v>
      </c>
      <c r="D634" s="45" t="s">
        <v>1499</v>
      </c>
      <c r="E634" s="6" t="s">
        <v>1500</v>
      </c>
      <c r="F634" s="45" t="s">
        <v>121</v>
      </c>
      <c r="G634" s="46">
        <f t="shared" si="71"/>
        <v>210</v>
      </c>
      <c r="H634" s="46">
        <f>TRUNC(S634*(1-LOTE_01!$K$10),2)</f>
        <v>447.19</v>
      </c>
      <c r="I634" s="46">
        <f>TRUNC(T634*(1-LOTE_01!$K$10),2)</f>
        <v>7.67</v>
      </c>
      <c r="J634" s="100">
        <f t="shared" si="72"/>
        <v>0.22470000000000001</v>
      </c>
      <c r="K634" s="48">
        <f t="shared" si="66"/>
        <v>547.66999999999996</v>
      </c>
      <c r="L634" s="48">
        <f t="shared" si="67"/>
        <v>9.39</v>
      </c>
      <c r="M634" s="48">
        <f t="shared" si="68"/>
        <v>115010.7</v>
      </c>
      <c r="N634" s="48">
        <f t="shared" si="69"/>
        <v>1971.9</v>
      </c>
      <c r="O634" s="50">
        <f t="shared" si="70"/>
        <v>116982.6</v>
      </c>
      <c r="P634" s="50">
        <v>0</v>
      </c>
      <c r="Q634" s="76"/>
      <c r="R634" s="139">
        <f>15*(S9+S10)</f>
        <v>210</v>
      </c>
      <c r="S634" s="79">
        <v>447.19</v>
      </c>
      <c r="T634" s="80">
        <v>7.67</v>
      </c>
    </row>
    <row r="635" spans="2:20" ht="28">
      <c r="B635" s="5" t="s">
        <v>1501</v>
      </c>
      <c r="C635" s="45" t="s">
        <v>97</v>
      </c>
      <c r="D635" s="45" t="s">
        <v>1502</v>
      </c>
      <c r="E635" s="6" t="s">
        <v>1503</v>
      </c>
      <c r="F635" s="45" t="s">
        <v>104</v>
      </c>
      <c r="G635" s="46">
        <f t="shared" si="71"/>
        <v>28</v>
      </c>
      <c r="H635" s="46">
        <f>TRUNC(S635*(1-LOTE_01!$K$10),2)</f>
        <v>315.97000000000003</v>
      </c>
      <c r="I635" s="46">
        <f>TRUNC(T635*(1-LOTE_01!$K$10),2)</f>
        <v>23.26</v>
      </c>
      <c r="J635" s="100">
        <f t="shared" si="72"/>
        <v>0.22470000000000001</v>
      </c>
      <c r="K635" s="48">
        <f t="shared" si="66"/>
        <v>386.96</v>
      </c>
      <c r="L635" s="48">
        <f t="shared" si="67"/>
        <v>28.48</v>
      </c>
      <c r="M635" s="48">
        <f t="shared" si="68"/>
        <v>10834.88</v>
      </c>
      <c r="N635" s="48">
        <f t="shared" si="69"/>
        <v>797.44</v>
      </c>
      <c r="O635" s="50">
        <f t="shared" si="70"/>
        <v>11632.32</v>
      </c>
      <c r="P635" s="50">
        <v>0</v>
      </c>
      <c r="Q635" s="76"/>
      <c r="R635" s="139">
        <f>2*(S9+S10)</f>
        <v>28</v>
      </c>
      <c r="S635" s="79">
        <v>315.97000000000003</v>
      </c>
      <c r="T635" s="80">
        <v>23.26</v>
      </c>
    </row>
    <row r="636" spans="2:20" ht="56">
      <c r="B636" s="5" t="s">
        <v>1504</v>
      </c>
      <c r="C636" s="45" t="s">
        <v>97</v>
      </c>
      <c r="D636" s="45" t="s">
        <v>1505</v>
      </c>
      <c r="E636" s="6" t="s">
        <v>1506</v>
      </c>
      <c r="F636" s="45" t="s">
        <v>104</v>
      </c>
      <c r="G636" s="46">
        <f t="shared" si="71"/>
        <v>14</v>
      </c>
      <c r="H636" s="46">
        <f>TRUNC(S636*(1-LOTE_01!$K$10),2)</f>
        <v>217.9</v>
      </c>
      <c r="I636" s="46">
        <f>TRUNC(T636*(1-LOTE_01!$K$10),2)</f>
        <v>3.26</v>
      </c>
      <c r="J636" s="100">
        <f t="shared" si="72"/>
        <v>0.22470000000000001</v>
      </c>
      <c r="K636" s="48">
        <f t="shared" si="66"/>
        <v>266.86</v>
      </c>
      <c r="L636" s="48">
        <f t="shared" si="67"/>
        <v>3.99</v>
      </c>
      <c r="M636" s="48">
        <f t="shared" si="68"/>
        <v>3736.04</v>
      </c>
      <c r="N636" s="48">
        <f t="shared" si="69"/>
        <v>55.86</v>
      </c>
      <c r="O636" s="50">
        <f t="shared" si="70"/>
        <v>3791.9</v>
      </c>
      <c r="P636" s="50">
        <v>0</v>
      </c>
      <c r="Q636" s="76"/>
      <c r="R636" s="139">
        <f>1*(S9+S10)</f>
        <v>14</v>
      </c>
      <c r="S636" s="79">
        <v>217.9</v>
      </c>
      <c r="T636" s="80">
        <v>3.26</v>
      </c>
    </row>
    <row r="637" spans="2:20" ht="42">
      <c r="B637" s="5" t="s">
        <v>1507</v>
      </c>
      <c r="C637" s="45" t="s">
        <v>97</v>
      </c>
      <c r="D637" s="45" t="s">
        <v>1508</v>
      </c>
      <c r="E637" s="6" t="s">
        <v>1509</v>
      </c>
      <c r="F637" s="45" t="s">
        <v>121</v>
      </c>
      <c r="G637" s="46">
        <f t="shared" si="71"/>
        <v>70</v>
      </c>
      <c r="H637" s="46">
        <f>TRUNC(S637*(1-LOTE_01!$K$10),2)</f>
        <v>3510.08</v>
      </c>
      <c r="I637" s="46">
        <f>TRUNC(T637*(1-LOTE_01!$K$10),2)</f>
        <v>38.35</v>
      </c>
      <c r="J637" s="100">
        <f t="shared" si="72"/>
        <v>0.22470000000000001</v>
      </c>
      <c r="K637" s="48">
        <f t="shared" si="66"/>
        <v>4298.79</v>
      </c>
      <c r="L637" s="48">
        <f t="shared" si="67"/>
        <v>46.96</v>
      </c>
      <c r="M637" s="48">
        <f t="shared" si="68"/>
        <v>300915.3</v>
      </c>
      <c r="N637" s="48">
        <f t="shared" si="69"/>
        <v>3287.2</v>
      </c>
      <c r="O637" s="50">
        <f t="shared" si="70"/>
        <v>304202.5</v>
      </c>
      <c r="P637" s="50">
        <v>0</v>
      </c>
      <c r="Q637" s="76"/>
      <c r="R637" s="139">
        <f>2.5*2*(S9+S10)</f>
        <v>70</v>
      </c>
      <c r="S637" s="79">
        <v>3510.08</v>
      </c>
      <c r="T637" s="80">
        <v>38.35</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104">
        <v>0</v>
      </c>
      <c r="Q638" s="76"/>
      <c r="R638" s="154"/>
      <c r="S638" s="79" t="s">
        <v>22</v>
      </c>
      <c r="T638" s="80" t="s">
        <v>22</v>
      </c>
    </row>
    <row r="639" spans="2:20" ht="84">
      <c r="B639" s="5" t="s">
        <v>1512</v>
      </c>
      <c r="C639" s="45" t="s">
        <v>135</v>
      </c>
      <c r="D639" s="45">
        <v>96369</v>
      </c>
      <c r="E639" s="6" t="s">
        <v>1513</v>
      </c>
      <c r="F639" s="45" t="s">
        <v>121</v>
      </c>
      <c r="G639" s="46">
        <f t="shared" si="71"/>
        <v>252</v>
      </c>
      <c r="H639" s="46">
        <f>TRUNC(S639*(1-LOTE_01!$K$10),2)</f>
        <v>182.73</v>
      </c>
      <c r="I639" s="46">
        <f>TRUNC(T639*(1-LOTE_01!$K$10),2)</f>
        <v>22.95</v>
      </c>
      <c r="J639" s="100">
        <f t="shared" si="72"/>
        <v>0.22470000000000001</v>
      </c>
      <c r="K639" s="48">
        <f t="shared" si="66"/>
        <v>223.78</v>
      </c>
      <c r="L639" s="48">
        <f t="shared" si="67"/>
        <v>28.1</v>
      </c>
      <c r="M639" s="48">
        <f t="shared" si="68"/>
        <v>56392.56</v>
      </c>
      <c r="N639" s="48">
        <f t="shared" si="69"/>
        <v>7081.2</v>
      </c>
      <c r="O639" s="50">
        <f t="shared" si="70"/>
        <v>63473.760000000002</v>
      </c>
      <c r="P639" s="50">
        <v>0</v>
      </c>
      <c r="Q639" s="76"/>
      <c r="R639" s="139">
        <f>4.5*4*(S9+S10)</f>
        <v>252</v>
      </c>
      <c r="S639" s="79">
        <v>182.73000000000002</v>
      </c>
      <c r="T639" s="80">
        <v>22.95</v>
      </c>
    </row>
    <row r="640" spans="2:20" ht="98">
      <c r="B640" s="5" t="s">
        <v>1514</v>
      </c>
      <c r="C640" s="45" t="s">
        <v>97</v>
      </c>
      <c r="D640" s="45" t="s">
        <v>1515</v>
      </c>
      <c r="E640" s="6" t="s">
        <v>1516</v>
      </c>
      <c r="F640" s="45" t="s">
        <v>121</v>
      </c>
      <c r="G640" s="46">
        <f t="shared" si="71"/>
        <v>126</v>
      </c>
      <c r="H640" s="46">
        <f>TRUNC(S640*(1-LOTE_01!$K$10),2)</f>
        <v>1303.5999999999999</v>
      </c>
      <c r="I640" s="46">
        <f>TRUNC(T640*(1-LOTE_01!$K$10),2)</f>
        <v>19.170000000000002</v>
      </c>
      <c r="J640" s="100">
        <f t="shared" si="72"/>
        <v>0.22470000000000001</v>
      </c>
      <c r="K640" s="48">
        <f t="shared" si="66"/>
        <v>1596.51</v>
      </c>
      <c r="L640" s="48">
        <f t="shared" si="67"/>
        <v>23.47</v>
      </c>
      <c r="M640" s="48">
        <f t="shared" si="68"/>
        <v>201160.26</v>
      </c>
      <c r="N640" s="48">
        <f t="shared" si="69"/>
        <v>2957.22</v>
      </c>
      <c r="O640" s="50">
        <f t="shared" si="70"/>
        <v>204117.48</v>
      </c>
      <c r="P640" s="50">
        <v>0</v>
      </c>
      <c r="Q640" s="76"/>
      <c r="R640" s="139">
        <f>1.2*3*2.5*(S9+S10)</f>
        <v>126</v>
      </c>
      <c r="S640" s="79">
        <v>1303.5999999999999</v>
      </c>
      <c r="T640" s="80">
        <v>19.170000000000002</v>
      </c>
    </row>
    <row r="641" spans="2:20" ht="42">
      <c r="B641" s="5" t="s">
        <v>1517</v>
      </c>
      <c r="C641" s="45" t="s">
        <v>97</v>
      </c>
      <c r="D641" s="45" t="s">
        <v>1518</v>
      </c>
      <c r="E641" s="6" t="s">
        <v>1519</v>
      </c>
      <c r="F641" s="45" t="s">
        <v>121</v>
      </c>
      <c r="G641" s="46">
        <f t="shared" si="71"/>
        <v>126</v>
      </c>
      <c r="H641" s="46">
        <f>TRUNC(S641*(1-LOTE_01!$K$10),2)</f>
        <v>617.12</v>
      </c>
      <c r="I641" s="46">
        <f>TRUNC(T641*(1-LOTE_01!$K$10),2)</f>
        <v>19.670000000000002</v>
      </c>
      <c r="J641" s="100">
        <f t="shared" si="72"/>
        <v>0.22470000000000001</v>
      </c>
      <c r="K641" s="48">
        <f t="shared" si="66"/>
        <v>755.78</v>
      </c>
      <c r="L641" s="48">
        <f t="shared" si="67"/>
        <v>24.08</v>
      </c>
      <c r="M641" s="48">
        <f t="shared" si="68"/>
        <v>95228.28</v>
      </c>
      <c r="N641" s="48">
        <f t="shared" si="69"/>
        <v>3034.08</v>
      </c>
      <c r="O641" s="50">
        <f t="shared" si="70"/>
        <v>98262.36</v>
      </c>
      <c r="P641" s="50">
        <v>0</v>
      </c>
      <c r="Q641" s="76"/>
      <c r="R641" s="139">
        <f>(R639-R640)</f>
        <v>126</v>
      </c>
      <c r="S641" s="79">
        <v>617.12</v>
      </c>
      <c r="T641" s="80">
        <v>19.670000000000002</v>
      </c>
    </row>
    <row r="642" spans="2:20" ht="70">
      <c r="B642" s="5" t="s">
        <v>1520</v>
      </c>
      <c r="C642" s="45" t="s">
        <v>97</v>
      </c>
      <c r="D642" s="45" t="s">
        <v>1521</v>
      </c>
      <c r="E642" s="6" t="s">
        <v>1522</v>
      </c>
      <c r="F642" s="45" t="s">
        <v>104</v>
      </c>
      <c r="G642" s="46">
        <f t="shared" si="71"/>
        <v>42</v>
      </c>
      <c r="H642" s="46">
        <f>TRUNC(S642*(1-LOTE_01!$K$10),2)</f>
        <v>1136.1099999999999</v>
      </c>
      <c r="I642" s="46">
        <f>TRUNC(T642*(1-LOTE_01!$K$10),2)</f>
        <v>7.67</v>
      </c>
      <c r="J642" s="100">
        <f t="shared" si="72"/>
        <v>0.22470000000000001</v>
      </c>
      <c r="K642" s="48">
        <f t="shared" si="66"/>
        <v>1391.39</v>
      </c>
      <c r="L642" s="48">
        <f t="shared" si="67"/>
        <v>9.39</v>
      </c>
      <c r="M642" s="48">
        <f t="shared" si="68"/>
        <v>58438.38</v>
      </c>
      <c r="N642" s="48">
        <f t="shared" si="69"/>
        <v>394.38</v>
      </c>
      <c r="O642" s="50">
        <f t="shared" si="70"/>
        <v>58832.76</v>
      </c>
      <c r="P642" s="50">
        <v>0</v>
      </c>
      <c r="Q642" s="76"/>
      <c r="R642" s="139">
        <f>3*(S9+S10)</f>
        <v>42</v>
      </c>
      <c r="S642" s="79">
        <v>1136.1099999999999</v>
      </c>
      <c r="T642" s="80">
        <v>7.67</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104">
        <v>0</v>
      </c>
      <c r="Q643" s="76"/>
      <c r="R643" s="154"/>
      <c r="S643" s="79" t="s">
        <v>22</v>
      </c>
      <c r="T643" s="80" t="s">
        <v>22</v>
      </c>
    </row>
    <row r="644" spans="2:20" ht="28">
      <c r="B644" s="5" t="s">
        <v>1525</v>
      </c>
      <c r="C644" s="45" t="s">
        <v>97</v>
      </c>
      <c r="D644" s="45" t="s">
        <v>1526</v>
      </c>
      <c r="E644" s="6" t="s">
        <v>1527</v>
      </c>
      <c r="F644" s="45" t="s">
        <v>121</v>
      </c>
      <c r="G644" s="46">
        <f t="shared" si="71"/>
        <v>2856</v>
      </c>
      <c r="H644" s="46">
        <f>TRUNC(S644*(1-LOTE_01!$K$10),2)</f>
        <v>600.36</v>
      </c>
      <c r="I644" s="46">
        <f>TRUNC(T644*(1-LOTE_01!$K$10),2)</f>
        <v>76.16</v>
      </c>
      <c r="J644" s="100">
        <f t="shared" si="72"/>
        <v>0.22470000000000001</v>
      </c>
      <c r="K644" s="48">
        <f t="shared" si="66"/>
        <v>735.26</v>
      </c>
      <c r="L644" s="48">
        <f t="shared" si="67"/>
        <v>93.27</v>
      </c>
      <c r="M644" s="48">
        <f t="shared" si="68"/>
        <v>2099902.56</v>
      </c>
      <c r="N644" s="48">
        <f t="shared" si="69"/>
        <v>266379.12</v>
      </c>
      <c r="O644" s="50">
        <f t="shared" si="70"/>
        <v>2366281.6800000002</v>
      </c>
      <c r="P644" s="50">
        <v>0</v>
      </c>
      <c r="Q644" s="76"/>
      <c r="R644" s="139">
        <f>(25*(4+2*2)+2*2)*(S9+S10)</f>
        <v>2856</v>
      </c>
      <c r="S644" s="79">
        <v>600.36</v>
      </c>
      <c r="T644" s="80">
        <v>76.16</v>
      </c>
    </row>
    <row r="645" spans="2:20" ht="42">
      <c r="B645" s="5" t="s">
        <v>1528</v>
      </c>
      <c r="C645" s="45" t="s">
        <v>165</v>
      </c>
      <c r="D645" s="45" t="s">
        <v>1529</v>
      </c>
      <c r="E645" s="6" t="s">
        <v>1530</v>
      </c>
      <c r="F645" s="45" t="s">
        <v>168</v>
      </c>
      <c r="G645" s="46">
        <f t="shared" si="71"/>
        <v>2954</v>
      </c>
      <c r="H645" s="46">
        <f>TRUNC(S645*(1-LOTE_01!$K$10),2)</f>
        <v>256.83</v>
      </c>
      <c r="I645" s="46">
        <f>TRUNC(T645*(1-LOTE_01!$K$10),2)</f>
        <v>15.94</v>
      </c>
      <c r="J645" s="100">
        <f t="shared" si="72"/>
        <v>0.22470000000000001</v>
      </c>
      <c r="K645" s="48">
        <f t="shared" si="66"/>
        <v>314.52999999999997</v>
      </c>
      <c r="L645" s="48">
        <f t="shared" si="67"/>
        <v>19.52</v>
      </c>
      <c r="M645" s="48">
        <f t="shared" si="68"/>
        <v>929121.62</v>
      </c>
      <c r="N645" s="48">
        <f t="shared" si="69"/>
        <v>57662.080000000002</v>
      </c>
      <c r="O645" s="50">
        <f t="shared" si="70"/>
        <v>986783.7</v>
      </c>
      <c r="P645" s="50">
        <v>0</v>
      </c>
      <c r="Q645" s="76"/>
      <c r="R645" s="139">
        <f>211*(S9+S10)</f>
        <v>2954</v>
      </c>
      <c r="S645" s="79">
        <v>256.83</v>
      </c>
      <c r="T645" s="80">
        <v>15.94</v>
      </c>
    </row>
    <row r="646" spans="2:20" ht="28">
      <c r="B646" s="5" t="s">
        <v>1531</v>
      </c>
      <c r="C646" s="45" t="s">
        <v>97</v>
      </c>
      <c r="D646" s="45" t="s">
        <v>1532</v>
      </c>
      <c r="E646" s="6" t="s">
        <v>1533</v>
      </c>
      <c r="F646" s="45" t="s">
        <v>121</v>
      </c>
      <c r="G646" s="46">
        <f t="shared" si="71"/>
        <v>147</v>
      </c>
      <c r="H646" s="46">
        <f>TRUNC(S646*(1-LOTE_01!$K$10),2)</f>
        <v>2129.9699999999998</v>
      </c>
      <c r="I646" s="46">
        <f>TRUNC(T646*(1-LOTE_01!$K$10),2)</f>
        <v>22.84</v>
      </c>
      <c r="J646" s="100">
        <f t="shared" si="72"/>
        <v>0.22470000000000001</v>
      </c>
      <c r="K646" s="48">
        <f t="shared" si="66"/>
        <v>2608.5700000000002</v>
      </c>
      <c r="L646" s="48">
        <f t="shared" si="67"/>
        <v>27.97</v>
      </c>
      <c r="M646" s="48">
        <f t="shared" si="68"/>
        <v>383459.79</v>
      </c>
      <c r="N646" s="48">
        <f t="shared" si="69"/>
        <v>4111.59</v>
      </c>
      <c r="O646" s="50">
        <f t="shared" si="70"/>
        <v>387571.38</v>
      </c>
      <c r="P646" s="50">
        <v>0</v>
      </c>
      <c r="Q646" s="76"/>
      <c r="R646" s="139">
        <f>3*3.5*(S9+S10)</f>
        <v>147</v>
      </c>
      <c r="S646" s="79">
        <v>2129.9699999999998</v>
      </c>
      <c r="T646" s="80">
        <v>22.84</v>
      </c>
    </row>
    <row r="647" spans="2:20" ht="56">
      <c r="B647" s="5" t="s">
        <v>1534</v>
      </c>
      <c r="C647" s="45" t="s">
        <v>97</v>
      </c>
      <c r="D647" s="45" t="s">
        <v>1535</v>
      </c>
      <c r="E647" s="6" t="s">
        <v>1536</v>
      </c>
      <c r="F647" s="45" t="s">
        <v>104</v>
      </c>
      <c r="G647" s="46">
        <f t="shared" si="71"/>
        <v>14</v>
      </c>
      <c r="H647" s="46">
        <f>TRUNC(S647*(1-LOTE_01!$K$10),2)</f>
        <v>3335.87</v>
      </c>
      <c r="I647" s="46">
        <f>TRUNC(T647*(1-LOTE_01!$K$10),2)</f>
        <v>38.35</v>
      </c>
      <c r="J647" s="100">
        <f t="shared" si="72"/>
        <v>0.22470000000000001</v>
      </c>
      <c r="K647" s="48">
        <f t="shared" si="66"/>
        <v>4085.43</v>
      </c>
      <c r="L647" s="48">
        <f t="shared" si="67"/>
        <v>46.96</v>
      </c>
      <c r="M647" s="48">
        <f t="shared" si="68"/>
        <v>57196.02</v>
      </c>
      <c r="N647" s="48">
        <f t="shared" si="69"/>
        <v>657.44</v>
      </c>
      <c r="O647" s="50">
        <f t="shared" si="70"/>
        <v>57853.46</v>
      </c>
      <c r="P647" s="50">
        <v>0</v>
      </c>
      <c r="Q647" s="76"/>
      <c r="R647" s="139">
        <f>1*(S9+S10)</f>
        <v>14</v>
      </c>
      <c r="S647" s="79">
        <v>3335.87</v>
      </c>
      <c r="T647" s="80">
        <v>38.35</v>
      </c>
    </row>
    <row r="648" spans="2:20" ht="84">
      <c r="B648" s="5" t="s">
        <v>1537</v>
      </c>
      <c r="C648" s="45" t="s">
        <v>97</v>
      </c>
      <c r="D648" s="45" t="s">
        <v>1477</v>
      </c>
      <c r="E648" s="6" t="s">
        <v>1478</v>
      </c>
      <c r="F648" s="45" t="s">
        <v>121</v>
      </c>
      <c r="G648" s="46">
        <f t="shared" si="71"/>
        <v>210</v>
      </c>
      <c r="H648" s="46">
        <f>TRUNC(S648*(1-LOTE_01!$K$10),2)</f>
        <v>335.52</v>
      </c>
      <c r="I648" s="46">
        <f>TRUNC(T648*(1-LOTE_01!$K$10),2)</f>
        <v>36.299999999999997</v>
      </c>
      <c r="J648" s="100">
        <f t="shared" si="72"/>
        <v>0.22470000000000001</v>
      </c>
      <c r="K648" s="48">
        <f t="shared" si="66"/>
        <v>410.91</v>
      </c>
      <c r="L648" s="48">
        <f t="shared" si="67"/>
        <v>44.45</v>
      </c>
      <c r="M648" s="48">
        <f t="shared" si="68"/>
        <v>86291.1</v>
      </c>
      <c r="N648" s="48">
        <f t="shared" si="69"/>
        <v>9334.5</v>
      </c>
      <c r="O648" s="50">
        <f t="shared" si="70"/>
        <v>95625.600000000006</v>
      </c>
      <c r="P648" s="50">
        <v>0</v>
      </c>
      <c r="Q648" s="76"/>
      <c r="R648" s="139">
        <f>5*3*(S9+S10)</f>
        <v>210</v>
      </c>
      <c r="S648" s="79">
        <v>335.52</v>
      </c>
      <c r="T648" s="80">
        <v>36.299999999999997</v>
      </c>
    </row>
    <row r="649" spans="2:20" ht="56">
      <c r="B649" s="5" t="s">
        <v>1538</v>
      </c>
      <c r="C649" s="45" t="s">
        <v>97</v>
      </c>
      <c r="D649" s="45" t="s">
        <v>1539</v>
      </c>
      <c r="E649" s="6" t="s">
        <v>1540</v>
      </c>
      <c r="F649" s="45" t="s">
        <v>104</v>
      </c>
      <c r="G649" s="46">
        <f t="shared" si="71"/>
        <v>14</v>
      </c>
      <c r="H649" s="46">
        <f>TRUNC(S649*(1-LOTE_01!$K$10),2)</f>
        <v>5072.5</v>
      </c>
      <c r="I649" s="46">
        <f>TRUNC(T649*(1-LOTE_01!$K$10),2)</f>
        <v>76.7</v>
      </c>
      <c r="J649" s="100">
        <f t="shared" si="72"/>
        <v>0.22470000000000001</v>
      </c>
      <c r="K649" s="48">
        <f t="shared" si="66"/>
        <v>6212.29</v>
      </c>
      <c r="L649" s="48">
        <f t="shared" si="67"/>
        <v>93.93</v>
      </c>
      <c r="M649" s="48">
        <f t="shared" si="68"/>
        <v>86972.06</v>
      </c>
      <c r="N649" s="48">
        <f t="shared" si="69"/>
        <v>1315.02</v>
      </c>
      <c r="O649" s="50">
        <f t="shared" si="70"/>
        <v>88287.08</v>
      </c>
      <c r="P649" s="50">
        <v>0</v>
      </c>
      <c r="Q649" s="76"/>
      <c r="R649" s="139">
        <f>1*(S9+S10)</f>
        <v>14</v>
      </c>
      <c r="S649" s="79">
        <v>5072.5</v>
      </c>
      <c r="T649" s="80">
        <v>76.7</v>
      </c>
    </row>
    <row r="650" spans="2:20" ht="42">
      <c r="B650" s="5" t="s">
        <v>1541</v>
      </c>
      <c r="C650" s="45" t="s">
        <v>97</v>
      </c>
      <c r="D650" s="45" t="s">
        <v>1542</v>
      </c>
      <c r="E650" s="6" t="s">
        <v>1543</v>
      </c>
      <c r="F650" s="45" t="s">
        <v>121</v>
      </c>
      <c r="G650" s="46">
        <f t="shared" si="71"/>
        <v>56</v>
      </c>
      <c r="H650" s="46">
        <f>TRUNC(S650*(1-LOTE_01!$K$10),2)</f>
        <v>1645.27</v>
      </c>
      <c r="I650" s="46">
        <f>TRUNC(T650*(1-LOTE_01!$K$10),2)</f>
        <v>11</v>
      </c>
      <c r="J650" s="100">
        <f t="shared" si="72"/>
        <v>0.22470000000000001</v>
      </c>
      <c r="K650" s="48">
        <f t="shared" si="66"/>
        <v>2014.96</v>
      </c>
      <c r="L650" s="48">
        <f t="shared" si="67"/>
        <v>13.47</v>
      </c>
      <c r="M650" s="48">
        <f t="shared" si="68"/>
        <v>112837.75999999999</v>
      </c>
      <c r="N650" s="48">
        <f t="shared" si="69"/>
        <v>754.32</v>
      </c>
      <c r="O650" s="50">
        <f t="shared" si="70"/>
        <v>113592.08</v>
      </c>
      <c r="P650" s="50">
        <v>0</v>
      </c>
      <c r="Q650" s="76"/>
      <c r="R650" s="139">
        <f>(2+2)*(S9+S10)</f>
        <v>56</v>
      </c>
      <c r="S650" s="79">
        <v>1645.27</v>
      </c>
      <c r="T650" s="80">
        <v>11</v>
      </c>
    </row>
    <row r="651" spans="2:20" ht="70">
      <c r="B651" s="5" t="s">
        <v>1544</v>
      </c>
      <c r="C651" s="45" t="s">
        <v>97</v>
      </c>
      <c r="D651" s="45" t="s">
        <v>1545</v>
      </c>
      <c r="E651" s="6" t="s">
        <v>1546</v>
      </c>
      <c r="F651" s="45" t="s">
        <v>104</v>
      </c>
      <c r="G651" s="46">
        <f t="shared" si="71"/>
        <v>98</v>
      </c>
      <c r="H651" s="46">
        <f>TRUNC(S651*(1-LOTE_01!$K$10),2)</f>
        <v>793.57</v>
      </c>
      <c r="I651" s="46">
        <f>TRUNC(T651*(1-LOTE_01!$K$10),2)</f>
        <v>4.4000000000000004</v>
      </c>
      <c r="J651" s="100">
        <f t="shared" si="72"/>
        <v>0.22470000000000001</v>
      </c>
      <c r="K651" s="48">
        <f t="shared" si="66"/>
        <v>971.88</v>
      </c>
      <c r="L651" s="48">
        <f t="shared" si="67"/>
        <v>5.38</v>
      </c>
      <c r="M651" s="48">
        <f t="shared" si="68"/>
        <v>95244.24</v>
      </c>
      <c r="N651" s="48">
        <f t="shared" si="69"/>
        <v>527.24</v>
      </c>
      <c r="O651" s="50">
        <f t="shared" si="70"/>
        <v>95771.48</v>
      </c>
      <c r="P651" s="50">
        <v>0</v>
      </c>
      <c r="Q651" s="76"/>
      <c r="R651" s="139">
        <f>7*(S9+S10)</f>
        <v>98</v>
      </c>
      <c r="S651" s="79">
        <v>793.57</v>
      </c>
      <c r="T651" s="80">
        <v>4.4000000000000004</v>
      </c>
    </row>
    <row r="652" spans="2:20" ht="70">
      <c r="B652" s="5" t="s">
        <v>1547</v>
      </c>
      <c r="C652" s="45" t="s">
        <v>97</v>
      </c>
      <c r="D652" s="45" t="s">
        <v>1548</v>
      </c>
      <c r="E652" s="6" t="s">
        <v>1549</v>
      </c>
      <c r="F652" s="45" t="s">
        <v>104</v>
      </c>
      <c r="G652" s="46">
        <f t="shared" si="71"/>
        <v>14</v>
      </c>
      <c r="H652" s="46">
        <f>TRUNC(S652*(1-LOTE_01!$K$10),2)</f>
        <v>1865.49</v>
      </c>
      <c r="I652" s="46">
        <f>TRUNC(T652*(1-LOTE_01!$K$10),2)</f>
        <v>4.4000000000000004</v>
      </c>
      <c r="J652" s="100">
        <f t="shared" si="72"/>
        <v>0.22470000000000001</v>
      </c>
      <c r="K652" s="48">
        <f t="shared" si="66"/>
        <v>2284.66</v>
      </c>
      <c r="L652" s="48">
        <f t="shared" si="67"/>
        <v>5.38</v>
      </c>
      <c r="M652" s="48">
        <f t="shared" si="68"/>
        <v>31985.24</v>
      </c>
      <c r="N652" s="48">
        <f t="shared" si="69"/>
        <v>75.319999999999993</v>
      </c>
      <c r="O652" s="50">
        <f t="shared" si="70"/>
        <v>32060.560000000001</v>
      </c>
      <c r="P652" s="50">
        <v>0</v>
      </c>
      <c r="Q652" s="76"/>
      <c r="R652" s="139">
        <f>1*(S9+S10)</f>
        <v>14</v>
      </c>
      <c r="S652" s="79">
        <v>1865.49</v>
      </c>
      <c r="T652" s="80">
        <v>4.4000000000000004</v>
      </c>
    </row>
    <row r="653" spans="2:20" ht="70">
      <c r="B653" s="5" t="s">
        <v>1550</v>
      </c>
      <c r="C653" s="45" t="s">
        <v>97</v>
      </c>
      <c r="D653" s="45" t="s">
        <v>1551</v>
      </c>
      <c r="E653" s="6" t="s">
        <v>1552</v>
      </c>
      <c r="F653" s="45" t="s">
        <v>104</v>
      </c>
      <c r="G653" s="46">
        <f t="shared" si="71"/>
        <v>56</v>
      </c>
      <c r="H653" s="46">
        <f>TRUNC(S653*(1-LOTE_01!$K$10),2)</f>
        <v>783.17</v>
      </c>
      <c r="I653" s="46">
        <f>TRUNC(T653*(1-LOTE_01!$K$10),2)</f>
        <v>4.0999999999999996</v>
      </c>
      <c r="J653" s="100">
        <f t="shared" si="72"/>
        <v>0.22470000000000001</v>
      </c>
      <c r="K653" s="48">
        <f t="shared" si="66"/>
        <v>959.14</v>
      </c>
      <c r="L653" s="48">
        <f t="shared" si="67"/>
        <v>5.0199999999999996</v>
      </c>
      <c r="M653" s="48">
        <f t="shared" si="68"/>
        <v>53711.839999999997</v>
      </c>
      <c r="N653" s="48">
        <f t="shared" si="69"/>
        <v>281.12</v>
      </c>
      <c r="O653" s="50">
        <f t="shared" si="70"/>
        <v>53992.959999999999</v>
      </c>
      <c r="P653" s="50">
        <v>0</v>
      </c>
      <c r="Q653" s="76"/>
      <c r="R653" s="139">
        <f>4*(S9+S10)</f>
        <v>56</v>
      </c>
      <c r="S653" s="79">
        <v>783.17</v>
      </c>
      <c r="T653" s="80">
        <v>4.0999999999999996</v>
      </c>
    </row>
    <row r="654" spans="2:20" ht="56">
      <c r="B654" s="5" t="s">
        <v>1553</v>
      </c>
      <c r="C654" s="45" t="s">
        <v>97</v>
      </c>
      <c r="D654" s="45" t="s">
        <v>1554</v>
      </c>
      <c r="E654" s="6" t="s">
        <v>1555</v>
      </c>
      <c r="F654" s="45" t="s">
        <v>104</v>
      </c>
      <c r="G654" s="46">
        <f t="shared" si="71"/>
        <v>70</v>
      </c>
      <c r="H654" s="46">
        <f>TRUNC(S654*(1-LOTE_01!$K$10),2)</f>
        <v>563.65</v>
      </c>
      <c r="I654" s="46">
        <f>TRUNC(T654*(1-LOTE_01!$K$10),2)</f>
        <v>4.4000000000000004</v>
      </c>
      <c r="J654" s="100">
        <f t="shared" si="72"/>
        <v>0.22470000000000001</v>
      </c>
      <c r="K654" s="48">
        <f t="shared" si="66"/>
        <v>690.3</v>
      </c>
      <c r="L654" s="48">
        <f t="shared" si="67"/>
        <v>5.38</v>
      </c>
      <c r="M654" s="48">
        <f t="shared" si="68"/>
        <v>48321</v>
      </c>
      <c r="N654" s="48">
        <f t="shared" si="69"/>
        <v>376.6</v>
      </c>
      <c r="O654" s="50">
        <f t="shared" si="70"/>
        <v>48697.599999999999</v>
      </c>
      <c r="P654" s="50">
        <v>0</v>
      </c>
      <c r="Q654" s="76"/>
      <c r="R654" s="139">
        <f>5*(S9+S10)</f>
        <v>70</v>
      </c>
      <c r="S654" s="79">
        <v>563.65</v>
      </c>
      <c r="T654" s="80">
        <v>4.4000000000000004</v>
      </c>
    </row>
    <row r="655" spans="2:20" ht="70">
      <c r="B655" s="5" t="s">
        <v>1556</v>
      </c>
      <c r="C655" s="45" t="s">
        <v>97</v>
      </c>
      <c r="D655" s="45" t="s">
        <v>1557</v>
      </c>
      <c r="E655" s="6" t="s">
        <v>1558</v>
      </c>
      <c r="F655" s="45" t="s">
        <v>104</v>
      </c>
      <c r="G655" s="46">
        <f t="shared" si="71"/>
        <v>14</v>
      </c>
      <c r="H655" s="46">
        <f>TRUNC(S655*(1-LOTE_01!$K$10),2)</f>
        <v>2927.15</v>
      </c>
      <c r="I655" s="46">
        <f>TRUNC(T655*(1-LOTE_01!$K$10),2)</f>
        <v>4.4000000000000004</v>
      </c>
      <c r="J655" s="100">
        <f t="shared" si="72"/>
        <v>0.22470000000000001</v>
      </c>
      <c r="K655" s="48">
        <f t="shared" si="66"/>
        <v>3584.88</v>
      </c>
      <c r="L655" s="48">
        <f t="shared" si="67"/>
        <v>5.38</v>
      </c>
      <c r="M655" s="48">
        <f t="shared" si="68"/>
        <v>50188.32</v>
      </c>
      <c r="N655" s="48">
        <f t="shared" si="69"/>
        <v>75.319999999999993</v>
      </c>
      <c r="O655" s="50">
        <f t="shared" si="70"/>
        <v>50263.64</v>
      </c>
      <c r="P655" s="50">
        <v>0</v>
      </c>
      <c r="Q655" s="76"/>
      <c r="R655" s="139">
        <f>1*(S9+S10)</f>
        <v>14</v>
      </c>
      <c r="S655" s="79">
        <v>2927.15</v>
      </c>
      <c r="T655" s="80">
        <v>4.4000000000000004</v>
      </c>
    </row>
    <row r="656" spans="2:20" ht="56">
      <c r="B656" s="5" t="s">
        <v>1559</v>
      </c>
      <c r="C656" s="45" t="s">
        <v>97</v>
      </c>
      <c r="D656" s="45" t="s">
        <v>1560</v>
      </c>
      <c r="E656" s="6" t="s">
        <v>1561</v>
      </c>
      <c r="F656" s="45" t="s">
        <v>104</v>
      </c>
      <c r="G656" s="46">
        <f t="shared" si="71"/>
        <v>14</v>
      </c>
      <c r="H656" s="46">
        <f>TRUNC(S656*(1-LOTE_01!$K$10),2)</f>
        <v>1033.4000000000001</v>
      </c>
      <c r="I656" s="46">
        <f>TRUNC(T656*(1-LOTE_01!$K$10),2)</f>
        <v>4.4000000000000004</v>
      </c>
      <c r="J656" s="100">
        <f t="shared" si="72"/>
        <v>0.22470000000000001</v>
      </c>
      <c r="K656" s="48">
        <f t="shared" ref="K656:K719" si="73">TRUNC(H656*(1+J656),2)</f>
        <v>1265.5999999999999</v>
      </c>
      <c r="L656" s="48">
        <f t="shared" ref="L656:L719" si="74">TRUNC(I656*(1+J656),2)</f>
        <v>5.38</v>
      </c>
      <c r="M656" s="48">
        <f t="shared" ref="M656:M719" si="75">TRUNC(K656*G656,2)</f>
        <v>17718.400000000001</v>
      </c>
      <c r="N656" s="48">
        <f t="shared" ref="N656:N719" si="76">TRUNC(L656*G656,2)</f>
        <v>75.319999999999993</v>
      </c>
      <c r="O656" s="50">
        <f t="shared" ref="O656:O719" si="77">TRUNC(M656+N656,2)</f>
        <v>17793.72</v>
      </c>
      <c r="P656" s="50">
        <v>0</v>
      </c>
      <c r="Q656" s="76"/>
      <c r="R656" s="139">
        <f>1*(S9+S10)</f>
        <v>14</v>
      </c>
      <c r="S656" s="79">
        <v>1033.4000000000001</v>
      </c>
      <c r="T656" s="80">
        <v>4.4000000000000004</v>
      </c>
    </row>
    <row r="657" spans="2:20" ht="56">
      <c r="B657" s="5" t="s">
        <v>1562</v>
      </c>
      <c r="C657" s="45" t="s">
        <v>97</v>
      </c>
      <c r="D657" s="45" t="s">
        <v>1563</v>
      </c>
      <c r="E657" s="6" t="s">
        <v>1564</v>
      </c>
      <c r="F657" s="45" t="s">
        <v>104</v>
      </c>
      <c r="G657" s="46">
        <f t="shared" si="71"/>
        <v>14</v>
      </c>
      <c r="H657" s="46">
        <f>TRUNC(S657*(1-LOTE_01!$K$10),2)</f>
        <v>691.78</v>
      </c>
      <c r="I657" s="46">
        <f>TRUNC(T657*(1-LOTE_01!$K$10),2)</f>
        <v>4.4000000000000004</v>
      </c>
      <c r="J657" s="100">
        <f t="shared" si="72"/>
        <v>0.22470000000000001</v>
      </c>
      <c r="K657" s="48">
        <f t="shared" si="73"/>
        <v>847.22</v>
      </c>
      <c r="L657" s="48">
        <f t="shared" si="74"/>
        <v>5.38</v>
      </c>
      <c r="M657" s="48">
        <f t="shared" si="75"/>
        <v>11861.08</v>
      </c>
      <c r="N657" s="48">
        <f t="shared" si="76"/>
        <v>75.319999999999993</v>
      </c>
      <c r="O657" s="50">
        <f t="shared" si="77"/>
        <v>11936.4</v>
      </c>
      <c r="P657" s="50">
        <v>0</v>
      </c>
      <c r="Q657" s="76"/>
      <c r="R657" s="139">
        <f>1*(S9+S10)</f>
        <v>14</v>
      </c>
      <c r="S657" s="79">
        <v>691.78</v>
      </c>
      <c r="T657" s="80">
        <v>4.4000000000000004</v>
      </c>
    </row>
    <row r="658" spans="2:20" ht="56">
      <c r="B658" s="5" t="s">
        <v>1565</v>
      </c>
      <c r="C658" s="45" t="s">
        <v>97</v>
      </c>
      <c r="D658" s="45" t="s">
        <v>1566</v>
      </c>
      <c r="E658" s="6" t="s">
        <v>1567</v>
      </c>
      <c r="F658" s="45" t="s">
        <v>104</v>
      </c>
      <c r="G658" s="46">
        <f t="shared" ref="G658:G721" si="78">TRUNC(R658,2)</f>
        <v>42</v>
      </c>
      <c r="H658" s="46">
        <f>TRUNC(S658*(1-LOTE_01!$K$10),2)</f>
        <v>976.59</v>
      </c>
      <c r="I658" s="46">
        <f>TRUNC(T658*(1-LOTE_01!$K$10),2)</f>
        <v>6.15</v>
      </c>
      <c r="J658" s="100">
        <f t="shared" ref="J658:J721" si="79">$J$4</f>
        <v>0.22470000000000001</v>
      </c>
      <c r="K658" s="48">
        <f t="shared" si="73"/>
        <v>1196.02</v>
      </c>
      <c r="L658" s="48">
        <f t="shared" si="74"/>
        <v>7.53</v>
      </c>
      <c r="M658" s="48">
        <f t="shared" si="75"/>
        <v>50232.84</v>
      </c>
      <c r="N658" s="48">
        <f t="shared" si="76"/>
        <v>316.26</v>
      </c>
      <c r="O658" s="50">
        <f t="shared" si="77"/>
        <v>50549.1</v>
      </c>
      <c r="P658" s="50">
        <v>0</v>
      </c>
      <c r="Q658" s="76"/>
      <c r="R658" s="139">
        <f>3*(S9+S10)</f>
        <v>42</v>
      </c>
      <c r="S658" s="79">
        <v>976.59</v>
      </c>
      <c r="T658" s="80">
        <v>6.15</v>
      </c>
    </row>
    <row r="659" spans="2:20" ht="56">
      <c r="B659" s="5" t="s">
        <v>1568</v>
      </c>
      <c r="C659" s="45" t="s">
        <v>97</v>
      </c>
      <c r="D659" s="45" t="s">
        <v>1569</v>
      </c>
      <c r="E659" s="6" t="s">
        <v>1570</v>
      </c>
      <c r="F659" s="45" t="s">
        <v>104</v>
      </c>
      <c r="G659" s="46">
        <f t="shared" si="78"/>
        <v>14</v>
      </c>
      <c r="H659" s="46">
        <f>TRUNC(S659*(1-LOTE_01!$K$10),2)</f>
        <v>154.5</v>
      </c>
      <c r="I659" s="46">
        <f>TRUNC(T659*(1-LOTE_01!$K$10),2)</f>
        <v>4.4000000000000004</v>
      </c>
      <c r="J659" s="100">
        <f t="shared" si="79"/>
        <v>0.22470000000000001</v>
      </c>
      <c r="K659" s="48">
        <f t="shared" si="73"/>
        <v>189.21</v>
      </c>
      <c r="L659" s="48">
        <f t="shared" si="74"/>
        <v>5.38</v>
      </c>
      <c r="M659" s="48">
        <f t="shared" si="75"/>
        <v>2648.94</v>
      </c>
      <c r="N659" s="48">
        <f t="shared" si="76"/>
        <v>75.319999999999993</v>
      </c>
      <c r="O659" s="50">
        <f t="shared" si="77"/>
        <v>2724.26</v>
      </c>
      <c r="P659" s="50">
        <v>0</v>
      </c>
      <c r="Q659" s="76"/>
      <c r="R659" s="139">
        <f>1*(S9+S10)</f>
        <v>14</v>
      </c>
      <c r="S659" s="79">
        <v>154.5</v>
      </c>
      <c r="T659" s="80">
        <v>4.4000000000000004</v>
      </c>
    </row>
    <row r="660" spans="2:20" ht="56">
      <c r="B660" s="5" t="s">
        <v>1571</v>
      </c>
      <c r="C660" s="45" t="s">
        <v>97</v>
      </c>
      <c r="D660" s="45" t="s">
        <v>1572</v>
      </c>
      <c r="E660" s="6" t="s">
        <v>1573</v>
      </c>
      <c r="F660" s="45" t="s">
        <v>104</v>
      </c>
      <c r="G660" s="46">
        <f t="shared" si="78"/>
        <v>56</v>
      </c>
      <c r="H660" s="46">
        <f>TRUNC(S660*(1-LOTE_01!$K$10),2)</f>
        <v>60.65</v>
      </c>
      <c r="I660" s="46">
        <f>TRUNC(T660*(1-LOTE_01!$K$10),2)</f>
        <v>4.4000000000000004</v>
      </c>
      <c r="J660" s="100">
        <f t="shared" si="79"/>
        <v>0.22470000000000001</v>
      </c>
      <c r="K660" s="48">
        <f t="shared" si="73"/>
        <v>74.27</v>
      </c>
      <c r="L660" s="48">
        <f t="shared" si="74"/>
        <v>5.38</v>
      </c>
      <c r="M660" s="48">
        <f t="shared" si="75"/>
        <v>4159.12</v>
      </c>
      <c r="N660" s="48">
        <f t="shared" si="76"/>
        <v>301.27999999999997</v>
      </c>
      <c r="O660" s="50">
        <f t="shared" si="77"/>
        <v>4460.3999999999996</v>
      </c>
      <c r="P660" s="50">
        <v>0</v>
      </c>
      <c r="Q660" s="76"/>
      <c r="R660" s="139">
        <f>4*(S9+S10)</f>
        <v>56</v>
      </c>
      <c r="S660" s="79">
        <v>60.65</v>
      </c>
      <c r="T660" s="80">
        <v>4.4000000000000004</v>
      </c>
    </row>
    <row r="661" spans="2:20" ht="42">
      <c r="B661" s="5" t="s">
        <v>1574</v>
      </c>
      <c r="C661" s="45" t="s">
        <v>97</v>
      </c>
      <c r="D661" s="45" t="s">
        <v>1575</v>
      </c>
      <c r="E661" s="6" t="s">
        <v>1576</v>
      </c>
      <c r="F661" s="45" t="s">
        <v>121</v>
      </c>
      <c r="G661" s="46">
        <f t="shared" si="78"/>
        <v>14</v>
      </c>
      <c r="H661" s="46">
        <f>TRUNC(S661*(1-LOTE_01!$K$10),2)</f>
        <v>2684.88</v>
      </c>
      <c r="I661" s="46">
        <f>TRUNC(T661*(1-LOTE_01!$K$10),2)</f>
        <v>19.170000000000002</v>
      </c>
      <c r="J661" s="100">
        <f t="shared" si="79"/>
        <v>0.22470000000000001</v>
      </c>
      <c r="K661" s="48">
        <f t="shared" si="73"/>
        <v>3288.17</v>
      </c>
      <c r="L661" s="48">
        <f t="shared" si="74"/>
        <v>23.47</v>
      </c>
      <c r="M661" s="48">
        <f t="shared" si="75"/>
        <v>46034.38</v>
      </c>
      <c r="N661" s="48">
        <f t="shared" si="76"/>
        <v>328.58</v>
      </c>
      <c r="O661" s="50">
        <f t="shared" si="77"/>
        <v>46362.96</v>
      </c>
      <c r="P661" s="50">
        <v>0</v>
      </c>
      <c r="Q661" s="76"/>
      <c r="R661" s="139">
        <f>1*(S9+S10)</f>
        <v>14</v>
      </c>
      <c r="S661" s="79">
        <v>2684.88</v>
      </c>
      <c r="T661" s="80">
        <v>19.170000000000002</v>
      </c>
    </row>
    <row r="662" spans="2:20" ht="56">
      <c r="B662" s="5" t="s">
        <v>1577</v>
      </c>
      <c r="C662" s="45" t="s">
        <v>97</v>
      </c>
      <c r="D662" s="45" t="s">
        <v>1578</v>
      </c>
      <c r="E662" s="6" t="s">
        <v>1579</v>
      </c>
      <c r="F662" s="45" t="s">
        <v>121</v>
      </c>
      <c r="G662" s="46">
        <f t="shared" si="78"/>
        <v>14</v>
      </c>
      <c r="H662" s="46">
        <f>TRUNC(S662*(1-LOTE_01!$K$10),2)</f>
        <v>1227.9000000000001</v>
      </c>
      <c r="I662" s="46">
        <f>TRUNC(T662*(1-LOTE_01!$K$10),2)</f>
        <v>38.35</v>
      </c>
      <c r="J662" s="100">
        <f t="shared" si="79"/>
        <v>0.22470000000000001</v>
      </c>
      <c r="K662" s="48">
        <f t="shared" si="73"/>
        <v>1503.8</v>
      </c>
      <c r="L662" s="48">
        <f t="shared" si="74"/>
        <v>46.96</v>
      </c>
      <c r="M662" s="48">
        <f t="shared" si="75"/>
        <v>21053.200000000001</v>
      </c>
      <c r="N662" s="48">
        <f t="shared" si="76"/>
        <v>657.44</v>
      </c>
      <c r="O662" s="50">
        <f t="shared" si="77"/>
        <v>21710.639999999999</v>
      </c>
      <c r="P662" s="50">
        <v>0</v>
      </c>
      <c r="Q662" s="76"/>
      <c r="R662" s="139">
        <f>1*(S9+S10)</f>
        <v>14</v>
      </c>
      <c r="S662" s="79">
        <v>1227.9000000000001</v>
      </c>
      <c r="T662" s="80">
        <v>38.35</v>
      </c>
    </row>
    <row r="663" spans="2:20" ht="56">
      <c r="B663" s="5" t="s">
        <v>1580</v>
      </c>
      <c r="C663" s="45" t="s">
        <v>97</v>
      </c>
      <c r="D663" s="45" t="s">
        <v>1581</v>
      </c>
      <c r="E663" s="6" t="s">
        <v>1582</v>
      </c>
      <c r="F663" s="45" t="s">
        <v>104</v>
      </c>
      <c r="G663" s="46">
        <f t="shared" si="78"/>
        <v>14</v>
      </c>
      <c r="H663" s="46">
        <f>TRUNC(S663*(1-LOTE_01!$K$10),2)</f>
        <v>3503.77</v>
      </c>
      <c r="I663" s="46">
        <f>TRUNC(T663*(1-LOTE_01!$K$10),2)</f>
        <v>19.170000000000002</v>
      </c>
      <c r="J663" s="100">
        <f t="shared" si="79"/>
        <v>0.22470000000000001</v>
      </c>
      <c r="K663" s="48">
        <f t="shared" si="73"/>
        <v>4291.0600000000004</v>
      </c>
      <c r="L663" s="48">
        <f t="shared" si="74"/>
        <v>23.47</v>
      </c>
      <c r="M663" s="48">
        <f t="shared" si="75"/>
        <v>60074.84</v>
      </c>
      <c r="N663" s="48">
        <f t="shared" si="76"/>
        <v>328.58</v>
      </c>
      <c r="O663" s="50">
        <f t="shared" si="77"/>
        <v>60403.42</v>
      </c>
      <c r="P663" s="50">
        <v>0</v>
      </c>
      <c r="Q663" s="76"/>
      <c r="R663" s="139">
        <f>S9+S10</f>
        <v>14</v>
      </c>
      <c r="S663" s="79">
        <v>3503.77</v>
      </c>
      <c r="T663" s="80">
        <v>19.170000000000002</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104">
        <v>0</v>
      </c>
      <c r="Q664" s="76"/>
      <c r="R664" s="154"/>
      <c r="S664" s="79" t="s">
        <v>22</v>
      </c>
      <c r="T664" s="80" t="s">
        <v>22</v>
      </c>
    </row>
    <row r="665" spans="2:20" ht="42">
      <c r="B665" s="5" t="s">
        <v>1585</v>
      </c>
      <c r="C665" s="45" t="s">
        <v>135</v>
      </c>
      <c r="D665" s="45">
        <v>102181</v>
      </c>
      <c r="E665" s="6" t="s">
        <v>1773</v>
      </c>
      <c r="F665" s="45" t="s">
        <v>121</v>
      </c>
      <c r="G665" s="46">
        <f t="shared" si="78"/>
        <v>210</v>
      </c>
      <c r="H665" s="46">
        <f>TRUNC(S665*(1-LOTE_01!$K$10),2)</f>
        <v>753.15</v>
      </c>
      <c r="I665" s="46">
        <f>TRUNC(T665*(1-LOTE_01!$K$10),2)</f>
        <v>50.46</v>
      </c>
      <c r="J665" s="100">
        <f t="shared" si="79"/>
        <v>0.22470000000000001</v>
      </c>
      <c r="K665" s="48">
        <f t="shared" si="73"/>
        <v>922.38</v>
      </c>
      <c r="L665" s="48">
        <f t="shared" si="74"/>
        <v>61.79</v>
      </c>
      <c r="M665" s="48">
        <f t="shared" si="75"/>
        <v>193699.8</v>
      </c>
      <c r="N665" s="48">
        <f t="shared" si="76"/>
        <v>12975.9</v>
      </c>
      <c r="O665" s="50">
        <f t="shared" si="77"/>
        <v>206675.7</v>
      </c>
      <c r="P665" s="50">
        <v>0</v>
      </c>
      <c r="Q665" s="76"/>
      <c r="R665" s="139">
        <f>5*3*(S9+S10)</f>
        <v>210</v>
      </c>
      <c r="S665" s="79">
        <v>753.15</v>
      </c>
      <c r="T665" s="80">
        <v>50.46</v>
      </c>
    </row>
    <row r="666" spans="2:20" ht="56">
      <c r="B666" s="5" t="s">
        <v>1586</v>
      </c>
      <c r="C666" s="45" t="s">
        <v>135</v>
      </c>
      <c r="D666" s="45">
        <v>102184</v>
      </c>
      <c r="E666" s="6" t="s">
        <v>1787</v>
      </c>
      <c r="F666" s="45" t="s">
        <v>210</v>
      </c>
      <c r="G666" s="46">
        <f t="shared" si="78"/>
        <v>14</v>
      </c>
      <c r="H666" s="46">
        <f>TRUNC(S666*(1-LOTE_01!$K$10),2)</f>
        <v>2551.44</v>
      </c>
      <c r="I666" s="46">
        <f>TRUNC(T666*(1-LOTE_01!$K$10),2)</f>
        <v>111.3</v>
      </c>
      <c r="J666" s="100">
        <f t="shared" si="79"/>
        <v>0.22470000000000001</v>
      </c>
      <c r="K666" s="48">
        <f t="shared" si="73"/>
        <v>3124.74</v>
      </c>
      <c r="L666" s="48">
        <f t="shared" si="74"/>
        <v>136.30000000000001</v>
      </c>
      <c r="M666" s="48">
        <f t="shared" si="75"/>
        <v>43746.36</v>
      </c>
      <c r="N666" s="48">
        <f t="shared" si="76"/>
        <v>1908.2</v>
      </c>
      <c r="O666" s="50">
        <f t="shared" si="77"/>
        <v>45654.559999999998</v>
      </c>
      <c r="P666" s="50">
        <v>0</v>
      </c>
      <c r="Q666" s="76"/>
      <c r="R666" s="139">
        <f>1*(S9+S10)</f>
        <v>14</v>
      </c>
      <c r="S666" s="79">
        <v>2551.4399999999996</v>
      </c>
      <c r="T666" s="80">
        <v>111.3</v>
      </c>
    </row>
    <row r="667" spans="2:20" ht="70">
      <c r="B667" s="5" t="s">
        <v>1587</v>
      </c>
      <c r="C667" s="45" t="s">
        <v>135</v>
      </c>
      <c r="D667" s="45">
        <v>96366</v>
      </c>
      <c r="E667" s="6" t="s">
        <v>1588</v>
      </c>
      <c r="F667" s="45" t="s">
        <v>121</v>
      </c>
      <c r="G667" s="46">
        <f t="shared" si="78"/>
        <v>210</v>
      </c>
      <c r="H667" s="46">
        <f>TRUNC(S667*(1-LOTE_01!$K$10),2)</f>
        <v>138.05000000000001</v>
      </c>
      <c r="I667" s="46">
        <f>TRUNC(T667*(1-LOTE_01!$K$10),2)</f>
        <v>17.21</v>
      </c>
      <c r="J667" s="100">
        <f t="shared" si="79"/>
        <v>0.22470000000000001</v>
      </c>
      <c r="K667" s="48">
        <f t="shared" si="73"/>
        <v>169.06</v>
      </c>
      <c r="L667" s="48">
        <f t="shared" si="74"/>
        <v>21.07</v>
      </c>
      <c r="M667" s="48">
        <f t="shared" si="75"/>
        <v>35502.6</v>
      </c>
      <c r="N667" s="48">
        <f t="shared" si="76"/>
        <v>4424.7</v>
      </c>
      <c r="O667" s="50">
        <f t="shared" si="77"/>
        <v>39927.300000000003</v>
      </c>
      <c r="P667" s="50">
        <v>0</v>
      </c>
      <c r="Q667" s="76"/>
      <c r="R667" s="139">
        <f>5*3*(S9+S10)</f>
        <v>210</v>
      </c>
      <c r="S667" s="79">
        <v>138.04999999999998</v>
      </c>
      <c r="T667" s="80">
        <v>17.21</v>
      </c>
    </row>
    <row r="668" spans="2:20" ht="84">
      <c r="B668" s="5" t="s">
        <v>1589</v>
      </c>
      <c r="C668" s="45" t="s">
        <v>97</v>
      </c>
      <c r="D668" s="45" t="s">
        <v>1477</v>
      </c>
      <c r="E668" s="6" t="s">
        <v>1478</v>
      </c>
      <c r="F668" s="45" t="s">
        <v>121</v>
      </c>
      <c r="G668" s="46">
        <f t="shared" si="78"/>
        <v>245</v>
      </c>
      <c r="H668" s="46">
        <f>TRUNC(S668*(1-LOTE_01!$K$10),2)</f>
        <v>335.52</v>
      </c>
      <c r="I668" s="46">
        <f>TRUNC(T668*(1-LOTE_01!$K$10),2)</f>
        <v>36.299999999999997</v>
      </c>
      <c r="J668" s="100">
        <f t="shared" si="79"/>
        <v>0.22470000000000001</v>
      </c>
      <c r="K668" s="48">
        <f t="shared" si="73"/>
        <v>410.91</v>
      </c>
      <c r="L668" s="48">
        <f t="shared" si="74"/>
        <v>44.45</v>
      </c>
      <c r="M668" s="48">
        <f t="shared" si="75"/>
        <v>100672.95</v>
      </c>
      <c r="N668" s="48">
        <f t="shared" si="76"/>
        <v>10890.25</v>
      </c>
      <c r="O668" s="50">
        <f t="shared" si="77"/>
        <v>111563.2</v>
      </c>
      <c r="P668" s="50">
        <v>0</v>
      </c>
      <c r="Q668" s="76"/>
      <c r="R668" s="139">
        <f>5*3.5*(S9+S10)</f>
        <v>245</v>
      </c>
      <c r="S668" s="79">
        <v>335.52</v>
      </c>
      <c r="T668" s="80">
        <v>36.299999999999997</v>
      </c>
    </row>
    <row r="669" spans="2:20" ht="84">
      <c r="B669" s="5" t="s">
        <v>1590</v>
      </c>
      <c r="C669" s="45" t="s">
        <v>97</v>
      </c>
      <c r="D669" s="45" t="s">
        <v>1591</v>
      </c>
      <c r="E669" s="6" t="s">
        <v>1592</v>
      </c>
      <c r="F669" s="45" t="s">
        <v>104</v>
      </c>
      <c r="G669" s="46">
        <f t="shared" si="78"/>
        <v>14</v>
      </c>
      <c r="H669" s="46">
        <f>TRUNC(S669*(1-LOTE_01!$K$10),2)</f>
        <v>462.93</v>
      </c>
      <c r="I669" s="46">
        <f>TRUNC(T669*(1-LOTE_01!$K$10),2)</f>
        <v>4.0999999999999996</v>
      </c>
      <c r="J669" s="100">
        <f t="shared" si="79"/>
        <v>0.22470000000000001</v>
      </c>
      <c r="K669" s="48">
        <f t="shared" si="73"/>
        <v>566.95000000000005</v>
      </c>
      <c r="L669" s="48">
        <f t="shared" si="74"/>
        <v>5.0199999999999996</v>
      </c>
      <c r="M669" s="48">
        <f t="shared" si="75"/>
        <v>7937.3</v>
      </c>
      <c r="N669" s="48">
        <f t="shared" si="76"/>
        <v>70.28</v>
      </c>
      <c r="O669" s="50">
        <f t="shared" si="77"/>
        <v>8007.58</v>
      </c>
      <c r="P669" s="50">
        <v>0</v>
      </c>
      <c r="Q669" s="76"/>
      <c r="R669" s="139">
        <f>1*(S9+S10)</f>
        <v>14</v>
      </c>
      <c r="S669" s="79">
        <v>462.93</v>
      </c>
      <c r="T669" s="80">
        <v>4.0999999999999996</v>
      </c>
    </row>
    <row r="670" spans="2:20" ht="56">
      <c r="B670" s="5" t="s">
        <v>1593</v>
      </c>
      <c r="C670" s="45" t="s">
        <v>97</v>
      </c>
      <c r="D670" s="45" t="s">
        <v>1594</v>
      </c>
      <c r="E670" s="6" t="s">
        <v>1595</v>
      </c>
      <c r="F670" s="45" t="s">
        <v>104</v>
      </c>
      <c r="G670" s="46">
        <f t="shared" si="78"/>
        <v>14</v>
      </c>
      <c r="H670" s="46">
        <f>TRUNC(S670*(1-LOTE_01!$K$10),2)</f>
        <v>4502.8500000000004</v>
      </c>
      <c r="I670" s="46">
        <f>TRUNC(T670*(1-LOTE_01!$K$10),2)</f>
        <v>19.170000000000002</v>
      </c>
      <c r="J670" s="100">
        <f t="shared" si="79"/>
        <v>0.22470000000000001</v>
      </c>
      <c r="K670" s="48">
        <f t="shared" si="73"/>
        <v>5514.64</v>
      </c>
      <c r="L670" s="48">
        <f t="shared" si="74"/>
        <v>23.47</v>
      </c>
      <c r="M670" s="48">
        <f t="shared" si="75"/>
        <v>77204.960000000006</v>
      </c>
      <c r="N670" s="48">
        <f t="shared" si="76"/>
        <v>328.58</v>
      </c>
      <c r="O670" s="50">
        <f t="shared" si="77"/>
        <v>77533.539999999994</v>
      </c>
      <c r="P670" s="50">
        <v>0</v>
      </c>
      <c r="Q670" s="76"/>
      <c r="R670" s="139">
        <f>1*(S9+S10)</f>
        <v>14</v>
      </c>
      <c r="S670" s="79">
        <v>4502.8500000000004</v>
      </c>
      <c r="T670" s="80">
        <v>19.170000000000002</v>
      </c>
    </row>
    <row r="671" spans="2:20">
      <c r="B671" s="5" t="s">
        <v>1596</v>
      </c>
      <c r="C671" s="45" t="s">
        <v>97</v>
      </c>
      <c r="D671" s="45" t="s">
        <v>1597</v>
      </c>
      <c r="E671" s="6" t="s">
        <v>1598</v>
      </c>
      <c r="F671" s="45" t="s">
        <v>121</v>
      </c>
      <c r="G671" s="46">
        <f t="shared" si="78"/>
        <v>210</v>
      </c>
      <c r="H671" s="46">
        <f>TRUNC(S671*(1-LOTE_01!$K$10),2)</f>
        <v>2095.2600000000002</v>
      </c>
      <c r="I671" s="46">
        <f>TRUNC(T671*(1-LOTE_01!$K$10),2)</f>
        <v>7.67</v>
      </c>
      <c r="J671" s="100">
        <f t="shared" si="79"/>
        <v>0.22470000000000001</v>
      </c>
      <c r="K671" s="48">
        <f t="shared" si="73"/>
        <v>2566.06</v>
      </c>
      <c r="L671" s="48">
        <f t="shared" si="74"/>
        <v>9.39</v>
      </c>
      <c r="M671" s="48">
        <f t="shared" si="75"/>
        <v>538872.6</v>
      </c>
      <c r="N671" s="48">
        <f t="shared" si="76"/>
        <v>1971.9</v>
      </c>
      <c r="O671" s="50">
        <f t="shared" si="77"/>
        <v>540844.5</v>
      </c>
      <c r="P671" s="50">
        <v>0</v>
      </c>
      <c r="Q671" s="76"/>
      <c r="R671" s="139">
        <f>5*3*(S9+S10)</f>
        <v>210</v>
      </c>
      <c r="S671" s="79">
        <v>2095.2600000000002</v>
      </c>
      <c r="T671" s="80">
        <v>7.67</v>
      </c>
    </row>
    <row r="672" spans="2:20" ht="42">
      <c r="B672" s="5" t="s">
        <v>1599</v>
      </c>
      <c r="C672" s="45" t="s">
        <v>97</v>
      </c>
      <c r="D672" s="45" t="s">
        <v>1600</v>
      </c>
      <c r="E672" s="6" t="s">
        <v>1601</v>
      </c>
      <c r="F672" s="45" t="s">
        <v>121</v>
      </c>
      <c r="G672" s="46">
        <f t="shared" si="78"/>
        <v>210</v>
      </c>
      <c r="H672" s="46">
        <f>TRUNC(S672*(1-LOTE_01!$K$10),2)</f>
        <v>291.38</v>
      </c>
      <c r="I672" s="46">
        <f>TRUNC(T672*(1-LOTE_01!$K$10),2)</f>
        <v>11.05</v>
      </c>
      <c r="J672" s="100">
        <f t="shared" si="79"/>
        <v>0.22470000000000001</v>
      </c>
      <c r="K672" s="48">
        <f t="shared" si="73"/>
        <v>356.85</v>
      </c>
      <c r="L672" s="48">
        <f t="shared" si="74"/>
        <v>13.53</v>
      </c>
      <c r="M672" s="48">
        <f t="shared" si="75"/>
        <v>74938.5</v>
      </c>
      <c r="N672" s="48">
        <f t="shared" si="76"/>
        <v>2841.3</v>
      </c>
      <c r="O672" s="50">
        <f t="shared" si="77"/>
        <v>77779.8</v>
      </c>
      <c r="P672" s="50">
        <v>0</v>
      </c>
      <c r="Q672" s="76"/>
      <c r="R672" s="139">
        <f>5*3*(S9+S10)</f>
        <v>210</v>
      </c>
      <c r="S672" s="79">
        <v>291.38</v>
      </c>
      <c r="T672" s="80">
        <v>11.05</v>
      </c>
    </row>
    <row r="673" spans="2:20" ht="28">
      <c r="B673" s="5" t="s">
        <v>1602</v>
      </c>
      <c r="C673" s="45" t="s">
        <v>97</v>
      </c>
      <c r="D673" s="45" t="s">
        <v>1484</v>
      </c>
      <c r="E673" s="6" t="s">
        <v>1485</v>
      </c>
      <c r="F673" s="45" t="s">
        <v>121</v>
      </c>
      <c r="G673" s="46">
        <f t="shared" si="78"/>
        <v>70</v>
      </c>
      <c r="H673" s="46">
        <f>TRUNC(S673*(1-LOTE_01!$K$10),2)</f>
        <v>445.04</v>
      </c>
      <c r="I673" s="46">
        <f>TRUNC(T673*(1-LOTE_01!$K$10),2)</f>
        <v>4.4000000000000004</v>
      </c>
      <c r="J673" s="100">
        <f t="shared" si="79"/>
        <v>0.22470000000000001</v>
      </c>
      <c r="K673" s="48">
        <f t="shared" si="73"/>
        <v>545.04</v>
      </c>
      <c r="L673" s="48">
        <f t="shared" si="74"/>
        <v>5.38</v>
      </c>
      <c r="M673" s="48">
        <f t="shared" si="75"/>
        <v>38152.800000000003</v>
      </c>
      <c r="N673" s="48">
        <f t="shared" si="76"/>
        <v>376.6</v>
      </c>
      <c r="O673" s="50">
        <f t="shared" si="77"/>
        <v>38529.4</v>
      </c>
      <c r="P673" s="50">
        <v>0</v>
      </c>
      <c r="Q673" s="76"/>
      <c r="R673" s="139">
        <f>1*5*(S9+S10)</f>
        <v>70</v>
      </c>
      <c r="S673" s="79">
        <v>445.04</v>
      </c>
      <c r="T673" s="80">
        <v>4.4000000000000004</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104">
        <v>0</v>
      </c>
      <c r="Q674" s="76"/>
      <c r="R674" s="154"/>
      <c r="S674" s="79" t="s">
        <v>22</v>
      </c>
      <c r="T674" s="80" t="s">
        <v>22</v>
      </c>
    </row>
    <row r="675" spans="2:20" ht="42">
      <c r="B675" s="5" t="s">
        <v>1605</v>
      </c>
      <c r="C675" s="45" t="s">
        <v>135</v>
      </c>
      <c r="D675" s="45">
        <v>102181</v>
      </c>
      <c r="E675" s="6" t="s">
        <v>1773</v>
      </c>
      <c r="F675" s="45" t="s">
        <v>121</v>
      </c>
      <c r="G675" s="46">
        <f t="shared" si="78"/>
        <v>252</v>
      </c>
      <c r="H675" s="46">
        <f>TRUNC(S675*(1-LOTE_01!$K$10),2)</f>
        <v>753.15</v>
      </c>
      <c r="I675" s="46">
        <f>TRUNC(T675*(1-LOTE_01!$K$10),2)</f>
        <v>50.46</v>
      </c>
      <c r="J675" s="100">
        <f t="shared" si="79"/>
        <v>0.22470000000000001</v>
      </c>
      <c r="K675" s="48">
        <f t="shared" si="73"/>
        <v>922.38</v>
      </c>
      <c r="L675" s="48">
        <f t="shared" si="74"/>
        <v>61.79</v>
      </c>
      <c r="M675" s="48">
        <f t="shared" si="75"/>
        <v>232439.76</v>
      </c>
      <c r="N675" s="48">
        <f t="shared" si="76"/>
        <v>15571.08</v>
      </c>
      <c r="O675" s="50">
        <f t="shared" si="77"/>
        <v>248010.84</v>
      </c>
      <c r="P675" s="50">
        <v>0</v>
      </c>
      <c r="Q675" s="76"/>
      <c r="R675" s="139">
        <f>6*3*(S9+S10)</f>
        <v>252</v>
      </c>
      <c r="S675" s="79">
        <v>753.15</v>
      </c>
      <c r="T675" s="80">
        <v>50.46</v>
      </c>
    </row>
    <row r="676" spans="2:20" ht="56">
      <c r="B676" s="5" t="s">
        <v>1606</v>
      </c>
      <c r="C676" s="45" t="s">
        <v>135</v>
      </c>
      <c r="D676" s="45">
        <v>102184</v>
      </c>
      <c r="E676" s="6" t="s">
        <v>1787</v>
      </c>
      <c r="F676" s="45" t="s">
        <v>210</v>
      </c>
      <c r="G676" s="46">
        <f t="shared" si="78"/>
        <v>14</v>
      </c>
      <c r="H676" s="46">
        <f>TRUNC(S676*(1-LOTE_01!$K$10),2)</f>
        <v>2551.44</v>
      </c>
      <c r="I676" s="46">
        <f>TRUNC(T676*(1-LOTE_01!$K$10),2)</f>
        <v>111.3</v>
      </c>
      <c r="J676" s="100">
        <f t="shared" si="79"/>
        <v>0.22470000000000001</v>
      </c>
      <c r="K676" s="48">
        <f t="shared" si="73"/>
        <v>3124.74</v>
      </c>
      <c r="L676" s="48">
        <f t="shared" si="74"/>
        <v>136.30000000000001</v>
      </c>
      <c r="M676" s="48">
        <f t="shared" si="75"/>
        <v>43746.36</v>
      </c>
      <c r="N676" s="48">
        <f t="shared" si="76"/>
        <v>1908.2</v>
      </c>
      <c r="O676" s="50">
        <f t="shared" si="77"/>
        <v>45654.559999999998</v>
      </c>
      <c r="P676" s="50">
        <v>0</v>
      </c>
      <c r="Q676" s="76"/>
      <c r="R676" s="139">
        <f>1*(S9+S10)</f>
        <v>14</v>
      </c>
      <c r="S676" s="79">
        <v>2551.4399999999996</v>
      </c>
      <c r="T676" s="80">
        <v>111.3</v>
      </c>
    </row>
    <row r="677" spans="2:20" ht="84">
      <c r="B677" s="5" t="s">
        <v>1607</v>
      </c>
      <c r="C677" s="45" t="s">
        <v>97</v>
      </c>
      <c r="D677" s="45" t="s">
        <v>1477</v>
      </c>
      <c r="E677" s="6" t="s">
        <v>1478</v>
      </c>
      <c r="F677" s="45" t="s">
        <v>121</v>
      </c>
      <c r="G677" s="46">
        <f t="shared" si="78"/>
        <v>252</v>
      </c>
      <c r="H677" s="46">
        <f>TRUNC(S677*(1-LOTE_01!$K$10),2)</f>
        <v>335.52</v>
      </c>
      <c r="I677" s="46">
        <f>TRUNC(T677*(1-LOTE_01!$K$10),2)</f>
        <v>36.299999999999997</v>
      </c>
      <c r="J677" s="100">
        <f t="shared" si="79"/>
        <v>0.22470000000000001</v>
      </c>
      <c r="K677" s="48">
        <f t="shared" si="73"/>
        <v>410.91</v>
      </c>
      <c r="L677" s="48">
        <f t="shared" si="74"/>
        <v>44.45</v>
      </c>
      <c r="M677" s="48">
        <f t="shared" si="75"/>
        <v>103549.32</v>
      </c>
      <c r="N677" s="48">
        <f t="shared" si="76"/>
        <v>11201.4</v>
      </c>
      <c r="O677" s="50">
        <f t="shared" si="77"/>
        <v>114750.72</v>
      </c>
      <c r="P677" s="50">
        <v>0</v>
      </c>
      <c r="Q677" s="76"/>
      <c r="R677" s="139">
        <f>6*3*(S9+S10)</f>
        <v>252</v>
      </c>
      <c r="S677" s="79">
        <v>335.52</v>
      </c>
      <c r="T677" s="80">
        <v>36.299999999999997</v>
      </c>
    </row>
    <row r="678" spans="2:20" ht="84">
      <c r="B678" s="5" t="s">
        <v>1608</v>
      </c>
      <c r="C678" s="45" t="s">
        <v>97</v>
      </c>
      <c r="D678" s="45" t="s">
        <v>1591</v>
      </c>
      <c r="E678" s="6" t="s">
        <v>1592</v>
      </c>
      <c r="F678" s="45" t="s">
        <v>104</v>
      </c>
      <c r="G678" s="46">
        <f t="shared" si="78"/>
        <v>14</v>
      </c>
      <c r="H678" s="46">
        <f>TRUNC(S678*(1-LOTE_01!$K$10),2)</f>
        <v>462.93</v>
      </c>
      <c r="I678" s="46">
        <f>TRUNC(T678*(1-LOTE_01!$K$10),2)</f>
        <v>4.0999999999999996</v>
      </c>
      <c r="J678" s="100">
        <f t="shared" si="79"/>
        <v>0.22470000000000001</v>
      </c>
      <c r="K678" s="48">
        <f t="shared" si="73"/>
        <v>566.95000000000005</v>
      </c>
      <c r="L678" s="48">
        <f t="shared" si="74"/>
        <v>5.0199999999999996</v>
      </c>
      <c r="M678" s="48">
        <f t="shared" si="75"/>
        <v>7937.3</v>
      </c>
      <c r="N678" s="48">
        <f t="shared" si="76"/>
        <v>70.28</v>
      </c>
      <c r="O678" s="50">
        <f t="shared" si="77"/>
        <v>8007.58</v>
      </c>
      <c r="P678" s="50">
        <v>0</v>
      </c>
      <c r="Q678" s="76"/>
      <c r="R678" s="139">
        <f>1*(S9+S10)</f>
        <v>14</v>
      </c>
      <c r="S678" s="79">
        <v>462.93</v>
      </c>
      <c r="T678" s="80">
        <v>4.0999999999999996</v>
      </c>
    </row>
    <row r="679" spans="2:20" ht="42">
      <c r="B679" s="5" t="s">
        <v>1609</v>
      </c>
      <c r="C679" s="45" t="s">
        <v>97</v>
      </c>
      <c r="D679" s="45" t="s">
        <v>1610</v>
      </c>
      <c r="E679" s="6" t="s">
        <v>1611</v>
      </c>
      <c r="F679" s="45" t="s">
        <v>104</v>
      </c>
      <c r="G679" s="46">
        <f t="shared" si="78"/>
        <v>14</v>
      </c>
      <c r="H679" s="46">
        <f>TRUNC(S679*(1-LOTE_01!$K$10),2)</f>
        <v>64.39</v>
      </c>
      <c r="I679" s="46">
        <f>TRUNC(T679*(1-LOTE_01!$K$10),2)</f>
        <v>0</v>
      </c>
      <c r="J679" s="100">
        <f t="shared" si="79"/>
        <v>0.22470000000000001</v>
      </c>
      <c r="K679" s="48">
        <f t="shared" si="73"/>
        <v>78.849999999999994</v>
      </c>
      <c r="L679" s="48">
        <f t="shared" si="74"/>
        <v>0</v>
      </c>
      <c r="M679" s="48">
        <f t="shared" si="75"/>
        <v>1103.9000000000001</v>
      </c>
      <c r="N679" s="48">
        <f t="shared" si="76"/>
        <v>0</v>
      </c>
      <c r="O679" s="50">
        <f t="shared" si="77"/>
        <v>1103.9000000000001</v>
      </c>
      <c r="P679" s="50">
        <v>0</v>
      </c>
      <c r="Q679" s="76"/>
      <c r="R679" s="140">
        <f>1*(S10+S9)</f>
        <v>14</v>
      </c>
      <c r="S679" s="79">
        <v>64.39</v>
      </c>
      <c r="T679" s="80">
        <v>0</v>
      </c>
    </row>
    <row r="680" spans="2:20">
      <c r="B680" s="5" t="s">
        <v>1612</v>
      </c>
      <c r="C680" s="45" t="s">
        <v>97</v>
      </c>
      <c r="D680" s="45" t="s">
        <v>1597</v>
      </c>
      <c r="E680" s="6" t="s">
        <v>1598</v>
      </c>
      <c r="F680" s="45" t="s">
        <v>121</v>
      </c>
      <c r="G680" s="46">
        <f t="shared" si="78"/>
        <v>252</v>
      </c>
      <c r="H680" s="46">
        <f>TRUNC(S680*(1-LOTE_01!$K$10),2)</f>
        <v>2095.2600000000002</v>
      </c>
      <c r="I680" s="46">
        <f>TRUNC(T680*(1-LOTE_01!$K$10),2)</f>
        <v>7.67</v>
      </c>
      <c r="J680" s="100">
        <f t="shared" si="79"/>
        <v>0.22470000000000001</v>
      </c>
      <c r="K680" s="48">
        <f t="shared" si="73"/>
        <v>2566.06</v>
      </c>
      <c r="L680" s="48">
        <f t="shared" si="74"/>
        <v>9.39</v>
      </c>
      <c r="M680" s="48">
        <f t="shared" si="75"/>
        <v>646647.12</v>
      </c>
      <c r="N680" s="48">
        <f t="shared" si="76"/>
        <v>2366.2800000000002</v>
      </c>
      <c r="O680" s="50">
        <f t="shared" si="77"/>
        <v>649013.4</v>
      </c>
      <c r="P680" s="50">
        <v>0</v>
      </c>
      <c r="Q680" s="76"/>
      <c r="R680" s="139">
        <f>6*3*(S9+S10)</f>
        <v>252</v>
      </c>
      <c r="S680" s="79">
        <v>2095.2600000000002</v>
      </c>
      <c r="T680" s="80">
        <v>7.67</v>
      </c>
    </row>
    <row r="681" spans="2:20" ht="42">
      <c r="B681" s="5" t="s">
        <v>1613</v>
      </c>
      <c r="C681" s="45" t="s">
        <v>97</v>
      </c>
      <c r="D681" s="45" t="s">
        <v>1600</v>
      </c>
      <c r="E681" s="6" t="s">
        <v>1601</v>
      </c>
      <c r="F681" s="45" t="s">
        <v>121</v>
      </c>
      <c r="G681" s="46">
        <f t="shared" si="78"/>
        <v>210</v>
      </c>
      <c r="H681" s="46">
        <f>TRUNC(S681*(1-LOTE_01!$K$10),2)</f>
        <v>291.38</v>
      </c>
      <c r="I681" s="46">
        <f>TRUNC(T681*(1-LOTE_01!$K$10),2)</f>
        <v>11.05</v>
      </c>
      <c r="J681" s="100">
        <f t="shared" si="79"/>
        <v>0.22470000000000001</v>
      </c>
      <c r="K681" s="48">
        <f t="shared" si="73"/>
        <v>356.85</v>
      </c>
      <c r="L681" s="48">
        <f t="shared" si="74"/>
        <v>13.53</v>
      </c>
      <c r="M681" s="48">
        <f t="shared" si="75"/>
        <v>74938.5</v>
      </c>
      <c r="N681" s="48">
        <f t="shared" si="76"/>
        <v>2841.3</v>
      </c>
      <c r="O681" s="50">
        <f t="shared" si="77"/>
        <v>77779.8</v>
      </c>
      <c r="P681" s="50">
        <v>0</v>
      </c>
      <c r="Q681" s="76"/>
      <c r="R681" s="139">
        <f>5*3*(S9+S10)</f>
        <v>210</v>
      </c>
      <c r="S681" s="79">
        <v>291.38</v>
      </c>
      <c r="T681" s="80">
        <v>11.05</v>
      </c>
    </row>
    <row r="682" spans="2:20" ht="56">
      <c r="B682" s="5" t="s">
        <v>1614</v>
      </c>
      <c r="C682" s="45" t="s">
        <v>97</v>
      </c>
      <c r="D682" s="45" t="s">
        <v>1615</v>
      </c>
      <c r="E682" s="6" t="s">
        <v>1616</v>
      </c>
      <c r="F682" s="45" t="s">
        <v>104</v>
      </c>
      <c r="G682" s="46">
        <f t="shared" si="78"/>
        <v>14</v>
      </c>
      <c r="H682" s="46">
        <f>TRUNC(S682*(1-LOTE_01!$K$10),2)</f>
        <v>3320.79</v>
      </c>
      <c r="I682" s="46">
        <f>TRUNC(T682*(1-LOTE_01!$K$10),2)</f>
        <v>11.5</v>
      </c>
      <c r="J682" s="100">
        <f t="shared" si="79"/>
        <v>0.22470000000000001</v>
      </c>
      <c r="K682" s="48">
        <f t="shared" si="73"/>
        <v>4066.97</v>
      </c>
      <c r="L682" s="48">
        <f t="shared" si="74"/>
        <v>14.08</v>
      </c>
      <c r="M682" s="48">
        <f t="shared" si="75"/>
        <v>56937.58</v>
      </c>
      <c r="N682" s="48">
        <f t="shared" si="76"/>
        <v>197.12</v>
      </c>
      <c r="O682" s="50">
        <f t="shared" si="77"/>
        <v>57134.7</v>
      </c>
      <c r="P682" s="50">
        <v>0</v>
      </c>
      <c r="Q682" s="76"/>
      <c r="R682" s="139">
        <f>1*(S9+S10)</f>
        <v>14</v>
      </c>
      <c r="S682" s="79">
        <v>3320.79</v>
      </c>
      <c r="T682" s="80">
        <v>11.5</v>
      </c>
    </row>
    <row r="683" spans="2:20" ht="28">
      <c r="B683" s="5" t="s">
        <v>1617</v>
      </c>
      <c r="C683" s="45" t="s">
        <v>97</v>
      </c>
      <c r="D683" s="45" t="s">
        <v>1484</v>
      </c>
      <c r="E683" s="6" t="s">
        <v>1485</v>
      </c>
      <c r="F683" s="45" t="s">
        <v>121</v>
      </c>
      <c r="G683" s="46">
        <f t="shared" si="78"/>
        <v>77</v>
      </c>
      <c r="H683" s="46">
        <f>TRUNC(S683*(1-LOTE_01!$K$10),2)</f>
        <v>445.04</v>
      </c>
      <c r="I683" s="46">
        <f>TRUNC(T683*(1-LOTE_01!$K$10),2)</f>
        <v>4.4000000000000004</v>
      </c>
      <c r="J683" s="100">
        <f t="shared" si="79"/>
        <v>0.22470000000000001</v>
      </c>
      <c r="K683" s="48">
        <f t="shared" si="73"/>
        <v>545.04</v>
      </c>
      <c r="L683" s="48">
        <f t="shared" si="74"/>
        <v>5.38</v>
      </c>
      <c r="M683" s="48">
        <f t="shared" si="75"/>
        <v>41968.08</v>
      </c>
      <c r="N683" s="48">
        <f t="shared" si="76"/>
        <v>414.26</v>
      </c>
      <c r="O683" s="50">
        <f t="shared" si="77"/>
        <v>42382.34</v>
      </c>
      <c r="P683" s="50">
        <v>0</v>
      </c>
      <c r="Q683" s="76"/>
      <c r="R683" s="139">
        <f>1*5.5*(S9+S10)</f>
        <v>77</v>
      </c>
      <c r="S683" s="79">
        <v>445.04</v>
      </c>
      <c r="T683" s="80">
        <v>4.4000000000000004</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1691528.8199999998</v>
      </c>
      <c r="Q684" s="76"/>
      <c r="R684" s="155"/>
      <c r="S684" s="79" t="s">
        <v>22</v>
      </c>
      <c r="T684" s="80" t="s">
        <v>22</v>
      </c>
    </row>
    <row r="685" spans="2:20" ht="56">
      <c r="B685" s="5" t="s">
        <v>1619</v>
      </c>
      <c r="C685" s="45" t="s">
        <v>135</v>
      </c>
      <c r="D685" s="45">
        <v>103247</v>
      </c>
      <c r="E685" s="6" t="s">
        <v>1620</v>
      </c>
      <c r="F685" s="45" t="s">
        <v>210</v>
      </c>
      <c r="G685" s="46">
        <f t="shared" si="78"/>
        <v>28</v>
      </c>
      <c r="H685" s="46">
        <f>TRUNC(S685*(1-LOTE_01!$K$10),2)</f>
        <v>3136.28</v>
      </c>
      <c r="I685" s="46">
        <f>TRUNC(T685*(1-LOTE_01!$K$10),2)</f>
        <v>95.99</v>
      </c>
      <c r="J685" s="100">
        <f>$J$5</f>
        <v>0.16500000000000001</v>
      </c>
      <c r="K685" s="48">
        <f t="shared" si="73"/>
        <v>3653.76</v>
      </c>
      <c r="L685" s="48">
        <f t="shared" si="74"/>
        <v>111.82</v>
      </c>
      <c r="M685" s="48">
        <f t="shared" si="75"/>
        <v>102305.28</v>
      </c>
      <c r="N685" s="48">
        <f t="shared" si="76"/>
        <v>3130.96</v>
      </c>
      <c r="O685" s="50">
        <f t="shared" si="77"/>
        <v>105436.24</v>
      </c>
      <c r="P685" s="50">
        <v>0</v>
      </c>
      <c r="Q685" s="76"/>
      <c r="R685" s="139">
        <f>2*(S9+S10)</f>
        <v>28</v>
      </c>
      <c r="S685" s="79">
        <v>3136.28</v>
      </c>
      <c r="T685" s="80">
        <v>95.99</v>
      </c>
    </row>
    <row r="686" spans="2:20" ht="56">
      <c r="B686" s="5" t="s">
        <v>1621</v>
      </c>
      <c r="C686" s="45" t="s">
        <v>135</v>
      </c>
      <c r="D686" s="45">
        <v>103250</v>
      </c>
      <c r="E686" s="6" t="s">
        <v>1622</v>
      </c>
      <c r="F686" s="45" t="s">
        <v>210</v>
      </c>
      <c r="G686" s="46">
        <f t="shared" si="78"/>
        <v>28</v>
      </c>
      <c r="H686" s="46">
        <f>TRUNC(S686*(1-LOTE_01!$K$10),2)</f>
        <v>4603.01</v>
      </c>
      <c r="I686" s="46">
        <f>TRUNC(T686*(1-LOTE_01!$K$10),2)</f>
        <v>103.54</v>
      </c>
      <c r="J686" s="100">
        <f t="shared" ref="J686:J691" si="80">$J$5</f>
        <v>0.16500000000000001</v>
      </c>
      <c r="K686" s="48">
        <f t="shared" si="73"/>
        <v>5362.5</v>
      </c>
      <c r="L686" s="48">
        <f t="shared" si="74"/>
        <v>120.62</v>
      </c>
      <c r="M686" s="48">
        <f t="shared" si="75"/>
        <v>150150</v>
      </c>
      <c r="N686" s="48">
        <f t="shared" si="76"/>
        <v>3377.36</v>
      </c>
      <c r="O686" s="50">
        <f t="shared" si="77"/>
        <v>153527.35999999999</v>
      </c>
      <c r="P686" s="50">
        <v>0</v>
      </c>
      <c r="Q686" s="76"/>
      <c r="R686" s="139">
        <f>2*(S10+S9)</f>
        <v>28</v>
      </c>
      <c r="S686" s="79">
        <v>4603.01</v>
      </c>
      <c r="T686" s="80">
        <v>103.54</v>
      </c>
    </row>
    <row r="687" spans="2:20" ht="56">
      <c r="B687" s="5" t="s">
        <v>1623</v>
      </c>
      <c r="C687" s="45" t="s">
        <v>135</v>
      </c>
      <c r="D687" s="45">
        <v>103253</v>
      </c>
      <c r="E687" s="6" t="s">
        <v>1624</v>
      </c>
      <c r="F687" s="45" t="s">
        <v>210</v>
      </c>
      <c r="G687" s="46">
        <f t="shared" si="78"/>
        <v>28</v>
      </c>
      <c r="H687" s="46">
        <f>TRUNC(S687*(1-LOTE_01!$K$10),2)</f>
        <v>6317.23</v>
      </c>
      <c r="I687" s="46">
        <f>TRUNC(T687*(1-LOTE_01!$K$10),2)</f>
        <v>107.94</v>
      </c>
      <c r="J687" s="100">
        <f t="shared" si="80"/>
        <v>0.16500000000000001</v>
      </c>
      <c r="K687" s="48">
        <f t="shared" si="73"/>
        <v>7359.57</v>
      </c>
      <c r="L687" s="48">
        <f t="shared" si="74"/>
        <v>125.75</v>
      </c>
      <c r="M687" s="48">
        <f t="shared" si="75"/>
        <v>206067.96</v>
      </c>
      <c r="N687" s="48">
        <f t="shared" si="76"/>
        <v>3521</v>
      </c>
      <c r="O687" s="50">
        <f t="shared" si="77"/>
        <v>209588.96</v>
      </c>
      <c r="P687" s="50">
        <v>0</v>
      </c>
      <c r="Q687" s="76"/>
      <c r="R687" s="139">
        <f>2*(S10+S9)</f>
        <v>28</v>
      </c>
      <c r="S687" s="79">
        <v>6317.2300000000005</v>
      </c>
      <c r="T687" s="80">
        <v>107.94</v>
      </c>
    </row>
    <row r="688" spans="2:20" ht="56">
      <c r="B688" s="5" t="s">
        <v>1625</v>
      </c>
      <c r="C688" s="45" t="s">
        <v>135</v>
      </c>
      <c r="D688" s="45">
        <v>103244</v>
      </c>
      <c r="E688" s="6" t="s">
        <v>1626</v>
      </c>
      <c r="F688" s="45" t="s">
        <v>210</v>
      </c>
      <c r="G688" s="46">
        <f t="shared" si="78"/>
        <v>28</v>
      </c>
      <c r="H688" s="46">
        <f>TRUNC(S688*(1-LOTE_01!$K$10),2)</f>
        <v>2813.68</v>
      </c>
      <c r="I688" s="46">
        <f>TRUNC(T688*(1-LOTE_01!$K$10),2)</f>
        <v>96.02</v>
      </c>
      <c r="J688" s="100">
        <f t="shared" si="80"/>
        <v>0.16500000000000001</v>
      </c>
      <c r="K688" s="48">
        <f t="shared" si="73"/>
        <v>3277.93</v>
      </c>
      <c r="L688" s="48">
        <f t="shared" si="74"/>
        <v>111.86</v>
      </c>
      <c r="M688" s="48">
        <f t="shared" si="75"/>
        <v>91782.04</v>
      </c>
      <c r="N688" s="48">
        <f t="shared" si="76"/>
        <v>3132.08</v>
      </c>
      <c r="O688" s="50">
        <f t="shared" si="77"/>
        <v>94914.12</v>
      </c>
      <c r="P688" s="50">
        <v>0</v>
      </c>
      <c r="Q688" s="76"/>
      <c r="R688" s="139">
        <f>2*(S9+S10)</f>
        <v>28</v>
      </c>
      <c r="S688" s="79">
        <v>2813.68</v>
      </c>
      <c r="T688" s="80">
        <v>96.02</v>
      </c>
    </row>
    <row r="689" spans="2:20" ht="56">
      <c r="B689" s="5" t="s">
        <v>1627</v>
      </c>
      <c r="C689" s="45" t="s">
        <v>135</v>
      </c>
      <c r="D689" s="45">
        <v>103261</v>
      </c>
      <c r="E689" s="6" t="s">
        <v>1628</v>
      </c>
      <c r="F689" s="45" t="s">
        <v>210</v>
      </c>
      <c r="G689" s="46">
        <f t="shared" si="78"/>
        <v>14</v>
      </c>
      <c r="H689" s="46">
        <f>TRUNC(S689*(1-LOTE_01!$K$10),2)</f>
        <v>14897.15</v>
      </c>
      <c r="I689" s="46">
        <f>TRUNC(T689*(1-LOTE_01!$K$10),2)</f>
        <v>179.41</v>
      </c>
      <c r="J689" s="100">
        <f t="shared" si="80"/>
        <v>0.16500000000000001</v>
      </c>
      <c r="K689" s="48">
        <f t="shared" si="73"/>
        <v>17355.169999999998</v>
      </c>
      <c r="L689" s="48">
        <f t="shared" si="74"/>
        <v>209.01</v>
      </c>
      <c r="M689" s="48">
        <f t="shared" si="75"/>
        <v>242972.38</v>
      </c>
      <c r="N689" s="48">
        <f t="shared" si="76"/>
        <v>2926.14</v>
      </c>
      <c r="O689" s="50">
        <f t="shared" si="77"/>
        <v>245898.52</v>
      </c>
      <c r="P689" s="50">
        <v>0</v>
      </c>
      <c r="Q689" s="76"/>
      <c r="R689" s="139">
        <f>1*(S9+S10)</f>
        <v>14</v>
      </c>
      <c r="S689" s="79">
        <v>14897.15</v>
      </c>
      <c r="T689" s="80">
        <v>179.41</v>
      </c>
    </row>
    <row r="690" spans="2:20" ht="42">
      <c r="B690" s="5" t="s">
        <v>1629</v>
      </c>
      <c r="C690" s="45" t="s">
        <v>135</v>
      </c>
      <c r="D690" s="45">
        <v>103277</v>
      </c>
      <c r="E690" s="6" t="s">
        <v>1630</v>
      </c>
      <c r="F690" s="45" t="s">
        <v>210</v>
      </c>
      <c r="G690" s="46">
        <f>IF($S$11=0,0,TRUNC(R690,2))</f>
        <v>6</v>
      </c>
      <c r="H690" s="46">
        <f>TRUNC(S690*(1-LOTE_01!$K$10),2)</f>
        <v>31305.09</v>
      </c>
      <c r="I690" s="46">
        <f>TRUNC(T690*(1-LOTE_01!$K$10),2)</f>
        <v>335.38</v>
      </c>
      <c r="J690" s="100">
        <f t="shared" si="80"/>
        <v>0.16500000000000001</v>
      </c>
      <c r="K690" s="48">
        <f t="shared" si="73"/>
        <v>36470.42</v>
      </c>
      <c r="L690" s="48">
        <f t="shared" si="74"/>
        <v>390.71</v>
      </c>
      <c r="M690" s="48">
        <f t="shared" si="75"/>
        <v>218822.52</v>
      </c>
      <c r="N690" s="48">
        <f t="shared" si="76"/>
        <v>2344.2600000000002</v>
      </c>
      <c r="O690" s="50">
        <f t="shared" si="77"/>
        <v>221166.78</v>
      </c>
      <c r="P690" s="50">
        <v>0</v>
      </c>
      <c r="Q690" s="76"/>
      <c r="R690" s="139">
        <f>IF(40%*R691&lt;1,1,ROUND(40%*R691,0))</f>
        <v>6</v>
      </c>
      <c r="S690" s="79">
        <v>31305.09</v>
      </c>
      <c r="T690" s="80">
        <v>335.38</v>
      </c>
    </row>
    <row r="691" spans="2:20" ht="42">
      <c r="B691" s="5" t="s">
        <v>1631</v>
      </c>
      <c r="C691" s="45" t="s">
        <v>135</v>
      </c>
      <c r="D691" s="45">
        <v>103278</v>
      </c>
      <c r="E691" s="6" t="s">
        <v>1632</v>
      </c>
      <c r="F691" s="45" t="s">
        <v>210</v>
      </c>
      <c r="G691" s="46">
        <f t="shared" si="78"/>
        <v>14</v>
      </c>
      <c r="H691" s="46">
        <f>TRUNC(S691*(1-LOTE_01!$K$10),2)</f>
        <v>40182.620000000003</v>
      </c>
      <c r="I691" s="46">
        <f>TRUNC(T691*(1-LOTE_01!$K$10),2)</f>
        <v>344.48</v>
      </c>
      <c r="J691" s="100">
        <f t="shared" si="80"/>
        <v>0.16500000000000001</v>
      </c>
      <c r="K691" s="48">
        <f t="shared" si="73"/>
        <v>46812.75</v>
      </c>
      <c r="L691" s="48">
        <f t="shared" si="74"/>
        <v>401.31</v>
      </c>
      <c r="M691" s="48">
        <f t="shared" si="75"/>
        <v>655378.5</v>
      </c>
      <c r="N691" s="48">
        <f t="shared" si="76"/>
        <v>5618.34</v>
      </c>
      <c r="O691" s="50">
        <f t="shared" si="77"/>
        <v>660996.84</v>
      </c>
      <c r="P691" s="50">
        <v>0</v>
      </c>
      <c r="Q691" s="76"/>
      <c r="R691" s="139">
        <f>S10+S9</f>
        <v>14</v>
      </c>
      <c r="S691" s="79">
        <v>40182.619999999995</v>
      </c>
      <c r="T691" s="80">
        <v>344.48</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604884.43999999994</v>
      </c>
      <c r="Q692" s="76"/>
      <c r="R692" s="154"/>
      <c r="S692" s="79" t="s">
        <v>22</v>
      </c>
      <c r="T692" s="80" t="s">
        <v>22</v>
      </c>
    </row>
    <row r="693" spans="2:20" ht="28">
      <c r="B693" s="5" t="s">
        <v>1633</v>
      </c>
      <c r="C693" s="45" t="s">
        <v>97</v>
      </c>
      <c r="D693" s="45" t="s">
        <v>1634</v>
      </c>
      <c r="E693" s="6" t="s">
        <v>1635</v>
      </c>
      <c r="F693" s="45" t="s">
        <v>104</v>
      </c>
      <c r="G693" s="46">
        <f t="shared" si="78"/>
        <v>10</v>
      </c>
      <c r="H693" s="46">
        <f>TRUNC(S693*(1-LOTE_01!$K$10),2)</f>
        <v>216.03</v>
      </c>
      <c r="I693" s="46">
        <f>TRUNC(T693*(1-LOTE_01!$K$10),2)</f>
        <v>145.91999999999999</v>
      </c>
      <c r="J693" s="100">
        <f t="shared" si="79"/>
        <v>0.22470000000000001</v>
      </c>
      <c r="K693" s="48">
        <f t="shared" si="73"/>
        <v>264.57</v>
      </c>
      <c r="L693" s="48">
        <f t="shared" si="74"/>
        <v>178.7</v>
      </c>
      <c r="M693" s="48">
        <f t="shared" si="75"/>
        <v>2645.7</v>
      </c>
      <c r="N693" s="48">
        <f t="shared" si="76"/>
        <v>1787</v>
      </c>
      <c r="O693" s="50">
        <f t="shared" si="77"/>
        <v>4432.7</v>
      </c>
      <c r="P693" s="50">
        <v>0</v>
      </c>
      <c r="Q693" s="76"/>
      <c r="R693" s="140">
        <f>IF((1*S9+1*S10)&gt;10,10,(1*S9+1*S10))</f>
        <v>10</v>
      </c>
      <c r="S693" s="79">
        <v>216.03</v>
      </c>
      <c r="T693" s="80">
        <v>145.91999999999999</v>
      </c>
    </row>
    <row r="694" spans="2:20" ht="42">
      <c r="B694" s="5" t="s">
        <v>1636</v>
      </c>
      <c r="C694" s="45" t="s">
        <v>97</v>
      </c>
      <c r="D694" s="45" t="s">
        <v>1637</v>
      </c>
      <c r="E694" s="6" t="s">
        <v>1638</v>
      </c>
      <c r="F694" s="45" t="s">
        <v>121</v>
      </c>
      <c r="G694" s="46">
        <f t="shared" si="78"/>
        <v>420</v>
      </c>
      <c r="H694" s="46">
        <f>TRUNC(S694*(1-LOTE_01!$K$10),2)</f>
        <v>225.02</v>
      </c>
      <c r="I694" s="46">
        <f>TRUNC(T694*(1-LOTE_01!$K$10),2)</f>
        <v>62.79</v>
      </c>
      <c r="J694" s="100">
        <f t="shared" si="79"/>
        <v>0.22470000000000001</v>
      </c>
      <c r="K694" s="48">
        <f t="shared" si="73"/>
        <v>275.58</v>
      </c>
      <c r="L694" s="48">
        <f t="shared" si="74"/>
        <v>76.89</v>
      </c>
      <c r="M694" s="48">
        <f t="shared" si="75"/>
        <v>115743.6</v>
      </c>
      <c r="N694" s="48">
        <f t="shared" si="76"/>
        <v>32293.8</v>
      </c>
      <c r="O694" s="50">
        <f t="shared" si="77"/>
        <v>148037.4</v>
      </c>
      <c r="P694" s="50">
        <v>0</v>
      </c>
      <c r="Q694" s="76"/>
      <c r="R694" s="139">
        <f>30*(S9+S10)</f>
        <v>420</v>
      </c>
      <c r="S694" s="79">
        <v>225.02</v>
      </c>
      <c r="T694" s="80">
        <v>62.79</v>
      </c>
    </row>
    <row r="695" spans="2:20" ht="28">
      <c r="B695" s="5" t="s">
        <v>1639</v>
      </c>
      <c r="C695" s="45" t="s">
        <v>97</v>
      </c>
      <c r="D695" s="45" t="s">
        <v>1640</v>
      </c>
      <c r="E695" s="6" t="s">
        <v>1641</v>
      </c>
      <c r="F695" s="45" t="s">
        <v>104</v>
      </c>
      <c r="G695" s="46">
        <f t="shared" si="78"/>
        <v>700</v>
      </c>
      <c r="H695" s="46">
        <f>TRUNC(S695*(1-LOTE_01!$K$10),2)</f>
        <v>5.37</v>
      </c>
      <c r="I695" s="46">
        <f>TRUNC(T695*(1-LOTE_01!$K$10),2)</f>
        <v>8.17</v>
      </c>
      <c r="J695" s="100">
        <f t="shared" si="79"/>
        <v>0.22470000000000001</v>
      </c>
      <c r="K695" s="48">
        <f t="shared" si="73"/>
        <v>6.57</v>
      </c>
      <c r="L695" s="48">
        <f t="shared" si="74"/>
        <v>10</v>
      </c>
      <c r="M695" s="48">
        <f t="shared" si="75"/>
        <v>4599</v>
      </c>
      <c r="N695" s="48">
        <f t="shared" si="76"/>
        <v>7000</v>
      </c>
      <c r="O695" s="50">
        <f t="shared" si="77"/>
        <v>11599</v>
      </c>
      <c r="P695" s="50">
        <v>0</v>
      </c>
      <c r="Q695" s="76"/>
      <c r="R695" s="139">
        <f>50*(S9+S10)</f>
        <v>700</v>
      </c>
      <c r="S695" s="79">
        <v>5.37</v>
      </c>
      <c r="T695" s="80">
        <v>8.17</v>
      </c>
    </row>
    <row r="696" spans="2:20" ht="28">
      <c r="B696" s="5" t="s">
        <v>1642</v>
      </c>
      <c r="C696" s="45" t="s">
        <v>97</v>
      </c>
      <c r="D696" s="45" t="s">
        <v>1643</v>
      </c>
      <c r="E696" s="6" t="s">
        <v>1644</v>
      </c>
      <c r="F696" s="45" t="s">
        <v>104</v>
      </c>
      <c r="G696" s="46">
        <f t="shared" si="78"/>
        <v>42</v>
      </c>
      <c r="H696" s="46">
        <f>TRUNC(S696*(1-LOTE_01!$K$10),2)</f>
        <v>43</v>
      </c>
      <c r="I696" s="46">
        <f>TRUNC(T696*(1-LOTE_01!$K$10),2)</f>
        <v>65.36</v>
      </c>
      <c r="J696" s="100">
        <f t="shared" si="79"/>
        <v>0.22470000000000001</v>
      </c>
      <c r="K696" s="48">
        <f t="shared" si="73"/>
        <v>52.66</v>
      </c>
      <c r="L696" s="48">
        <f t="shared" si="74"/>
        <v>80.040000000000006</v>
      </c>
      <c r="M696" s="48">
        <f t="shared" si="75"/>
        <v>2211.7199999999998</v>
      </c>
      <c r="N696" s="48">
        <f t="shared" si="76"/>
        <v>3361.68</v>
      </c>
      <c r="O696" s="50">
        <f t="shared" si="77"/>
        <v>5573.4</v>
      </c>
      <c r="P696" s="50">
        <v>0</v>
      </c>
      <c r="Q696" s="76"/>
      <c r="R696" s="139">
        <f>3*(S9+S10)</f>
        <v>42</v>
      </c>
      <c r="S696" s="79">
        <v>43</v>
      </c>
      <c r="T696" s="80">
        <v>65.36</v>
      </c>
    </row>
    <row r="697" spans="2:20" ht="28">
      <c r="B697" s="5" t="s">
        <v>1645</v>
      </c>
      <c r="C697" s="45" t="s">
        <v>97</v>
      </c>
      <c r="D697" s="45" t="s">
        <v>1646</v>
      </c>
      <c r="E697" s="6" t="s">
        <v>1647</v>
      </c>
      <c r="F697" s="45" t="s">
        <v>104</v>
      </c>
      <c r="G697" s="46">
        <f t="shared" si="78"/>
        <v>14</v>
      </c>
      <c r="H697" s="46">
        <f>TRUNC(S697*(1-LOTE_01!$K$10),2)</f>
        <v>8062.29</v>
      </c>
      <c r="I697" s="46">
        <f>TRUNC(T697*(1-LOTE_01!$K$10),2)</f>
        <v>1877.96</v>
      </c>
      <c r="J697" s="100">
        <f t="shared" si="79"/>
        <v>0.22470000000000001</v>
      </c>
      <c r="K697" s="48">
        <f t="shared" si="73"/>
        <v>9873.8799999999992</v>
      </c>
      <c r="L697" s="48">
        <f t="shared" si="74"/>
        <v>2299.9299999999998</v>
      </c>
      <c r="M697" s="48">
        <f t="shared" si="75"/>
        <v>138234.32</v>
      </c>
      <c r="N697" s="48">
        <f t="shared" si="76"/>
        <v>32199.02</v>
      </c>
      <c r="O697" s="50">
        <f t="shared" si="77"/>
        <v>170433.34</v>
      </c>
      <c r="P697" s="50">
        <v>0</v>
      </c>
      <c r="Q697" s="76"/>
      <c r="R697" s="139">
        <f>1*(S9+S10)</f>
        <v>14</v>
      </c>
      <c r="S697" s="79">
        <v>8062.29</v>
      </c>
      <c r="T697" s="80">
        <v>1877.96</v>
      </c>
    </row>
    <row r="698" spans="2:20" ht="28">
      <c r="B698" s="5" t="s">
        <v>1648</v>
      </c>
      <c r="C698" s="45" t="s">
        <v>97</v>
      </c>
      <c r="D698" s="45" t="s">
        <v>331</v>
      </c>
      <c r="E698" s="6" t="s">
        <v>332</v>
      </c>
      <c r="F698" s="45" t="s">
        <v>104</v>
      </c>
      <c r="G698" s="46">
        <f t="shared" si="78"/>
        <v>14</v>
      </c>
      <c r="H698" s="46">
        <f>TRUNC(S698*(1-LOTE_01!$K$10),2)</f>
        <v>7652.84</v>
      </c>
      <c r="I698" s="46">
        <f>TRUNC(T698*(1-LOTE_01!$K$10),2)</f>
        <v>687.8</v>
      </c>
      <c r="J698" s="100">
        <f t="shared" si="79"/>
        <v>0.22470000000000001</v>
      </c>
      <c r="K698" s="48">
        <f t="shared" si="73"/>
        <v>9372.43</v>
      </c>
      <c r="L698" s="48">
        <f t="shared" si="74"/>
        <v>842.34</v>
      </c>
      <c r="M698" s="48">
        <f t="shared" si="75"/>
        <v>131214.01999999999</v>
      </c>
      <c r="N698" s="48">
        <f t="shared" si="76"/>
        <v>11792.76</v>
      </c>
      <c r="O698" s="50">
        <f t="shared" si="77"/>
        <v>143006.78</v>
      </c>
      <c r="P698" s="50">
        <v>0</v>
      </c>
      <c r="Q698" s="76"/>
      <c r="R698" s="139">
        <f>1*(S9+S10)</f>
        <v>14</v>
      </c>
      <c r="S698" s="79">
        <v>7652.84</v>
      </c>
      <c r="T698" s="80">
        <v>687.8</v>
      </c>
    </row>
    <row r="699" spans="2:20" ht="42">
      <c r="B699" s="5" t="s">
        <v>1649</v>
      </c>
      <c r="C699" s="45" t="s">
        <v>97</v>
      </c>
      <c r="D699" s="45" t="s">
        <v>1650</v>
      </c>
      <c r="E699" s="6" t="s">
        <v>1651</v>
      </c>
      <c r="F699" s="45" t="s">
        <v>104</v>
      </c>
      <c r="G699" s="46">
        <f t="shared" si="78"/>
        <v>280</v>
      </c>
      <c r="H699" s="46">
        <f>TRUNC(S699*(1-LOTE_01!$K$10),2)</f>
        <v>26.43</v>
      </c>
      <c r="I699" s="46">
        <f>TRUNC(T699*(1-LOTE_01!$K$10),2)</f>
        <v>54.97</v>
      </c>
      <c r="J699" s="100">
        <f t="shared" si="79"/>
        <v>0.22470000000000001</v>
      </c>
      <c r="K699" s="48">
        <f t="shared" si="73"/>
        <v>32.36</v>
      </c>
      <c r="L699" s="48">
        <f t="shared" si="74"/>
        <v>67.319999999999993</v>
      </c>
      <c r="M699" s="48">
        <f t="shared" si="75"/>
        <v>9060.7999999999993</v>
      </c>
      <c r="N699" s="48">
        <f t="shared" si="76"/>
        <v>18849.599999999999</v>
      </c>
      <c r="O699" s="50">
        <f t="shared" si="77"/>
        <v>27910.400000000001</v>
      </c>
      <c r="P699" s="50">
        <v>0</v>
      </c>
      <c r="Q699" s="76"/>
      <c r="R699" s="139">
        <f>20*(S9+S10)</f>
        <v>280</v>
      </c>
      <c r="S699" s="79">
        <v>26.43</v>
      </c>
      <c r="T699" s="80">
        <v>54.97</v>
      </c>
    </row>
    <row r="700" spans="2:20" ht="28">
      <c r="B700" s="5" t="s">
        <v>1652</v>
      </c>
      <c r="C700" s="45" t="s">
        <v>97</v>
      </c>
      <c r="D700" s="45" t="s">
        <v>1653</v>
      </c>
      <c r="E700" s="6" t="s">
        <v>1654</v>
      </c>
      <c r="F700" s="45" t="s">
        <v>104</v>
      </c>
      <c r="G700" s="46">
        <f t="shared" si="78"/>
        <v>28</v>
      </c>
      <c r="H700" s="46">
        <f>TRUNC(S700*(1-LOTE_01!$K$10),2)</f>
        <v>6.4</v>
      </c>
      <c r="I700" s="46">
        <f>TRUNC(T700*(1-LOTE_01!$K$10),2)</f>
        <v>4.08</v>
      </c>
      <c r="J700" s="100">
        <f t="shared" si="79"/>
        <v>0.22470000000000001</v>
      </c>
      <c r="K700" s="48">
        <f t="shared" si="73"/>
        <v>7.83</v>
      </c>
      <c r="L700" s="48">
        <f t="shared" si="74"/>
        <v>4.99</v>
      </c>
      <c r="M700" s="48">
        <f t="shared" si="75"/>
        <v>219.24</v>
      </c>
      <c r="N700" s="48">
        <f t="shared" si="76"/>
        <v>139.72</v>
      </c>
      <c r="O700" s="50">
        <f t="shared" si="77"/>
        <v>358.96</v>
      </c>
      <c r="P700" s="50">
        <v>0</v>
      </c>
      <c r="Q700" s="76"/>
      <c r="R700" s="139">
        <f>2*(S9+S10)</f>
        <v>28</v>
      </c>
      <c r="S700" s="79">
        <v>6.4</v>
      </c>
      <c r="T700" s="80">
        <v>4.08</v>
      </c>
    </row>
    <row r="701" spans="2:20" ht="70">
      <c r="B701" s="5" t="s">
        <v>1655</v>
      </c>
      <c r="C701" s="45" t="s">
        <v>97</v>
      </c>
      <c r="D701" s="45" t="s">
        <v>1656</v>
      </c>
      <c r="E701" s="6" t="s">
        <v>1657</v>
      </c>
      <c r="F701" s="45" t="s">
        <v>104</v>
      </c>
      <c r="G701" s="46">
        <f t="shared" si="78"/>
        <v>14</v>
      </c>
      <c r="H701" s="46">
        <f>TRUNC(S701*(1-LOTE_01!$K$10),2)</f>
        <v>932.15</v>
      </c>
      <c r="I701" s="46">
        <f>TRUNC(T701*(1-LOTE_01!$K$10),2)</f>
        <v>3.26</v>
      </c>
      <c r="J701" s="100">
        <f t="shared" si="79"/>
        <v>0.22470000000000001</v>
      </c>
      <c r="K701" s="48">
        <f t="shared" si="73"/>
        <v>1141.5999999999999</v>
      </c>
      <c r="L701" s="48">
        <f t="shared" si="74"/>
        <v>3.99</v>
      </c>
      <c r="M701" s="48">
        <f t="shared" si="75"/>
        <v>15982.4</v>
      </c>
      <c r="N701" s="48">
        <f t="shared" si="76"/>
        <v>55.86</v>
      </c>
      <c r="O701" s="50">
        <f t="shared" si="77"/>
        <v>16038.26</v>
      </c>
      <c r="P701" s="50">
        <v>0</v>
      </c>
      <c r="Q701" s="76"/>
      <c r="R701" s="139">
        <f>1*(S9+S10)</f>
        <v>14</v>
      </c>
      <c r="S701" s="79">
        <v>932.15</v>
      </c>
      <c r="T701" s="80">
        <v>3.26</v>
      </c>
    </row>
    <row r="702" spans="2:20" ht="28">
      <c r="B702" s="5" t="s">
        <v>1658</v>
      </c>
      <c r="C702" s="45" t="s">
        <v>97</v>
      </c>
      <c r="D702" s="45" t="s">
        <v>1659</v>
      </c>
      <c r="E702" s="6" t="s">
        <v>1660</v>
      </c>
      <c r="F702" s="45" t="s">
        <v>104</v>
      </c>
      <c r="G702" s="46">
        <f t="shared" si="78"/>
        <v>140</v>
      </c>
      <c r="H702" s="46">
        <f>TRUNC(S702*(1-LOTE_01!$K$10),2)</f>
        <v>5.17</v>
      </c>
      <c r="I702" s="46">
        <f>TRUNC(T702*(1-LOTE_01!$K$10),2)</f>
        <v>10.4</v>
      </c>
      <c r="J702" s="100">
        <f t="shared" si="79"/>
        <v>0.22470000000000001</v>
      </c>
      <c r="K702" s="48">
        <f t="shared" si="73"/>
        <v>6.33</v>
      </c>
      <c r="L702" s="48">
        <f t="shared" si="74"/>
        <v>12.73</v>
      </c>
      <c r="M702" s="48">
        <f t="shared" si="75"/>
        <v>886.2</v>
      </c>
      <c r="N702" s="48">
        <f t="shared" si="76"/>
        <v>1782.2</v>
      </c>
      <c r="O702" s="50">
        <f t="shared" si="77"/>
        <v>2668.4</v>
      </c>
      <c r="P702" s="50">
        <v>0</v>
      </c>
      <c r="Q702" s="76"/>
      <c r="R702" s="139">
        <f>10*(S9+S10)</f>
        <v>140</v>
      </c>
      <c r="S702" s="79">
        <v>5.17</v>
      </c>
      <c r="T702" s="80">
        <v>10.4</v>
      </c>
    </row>
    <row r="703" spans="2:20" ht="42">
      <c r="B703" s="5" t="s">
        <v>1661</v>
      </c>
      <c r="C703" s="45" t="s">
        <v>97</v>
      </c>
      <c r="D703" s="45" t="s">
        <v>1662</v>
      </c>
      <c r="E703" s="6" t="s">
        <v>1663</v>
      </c>
      <c r="F703" s="45" t="s">
        <v>104</v>
      </c>
      <c r="G703" s="46">
        <f t="shared" si="78"/>
        <v>14</v>
      </c>
      <c r="H703" s="46">
        <f>TRUNC(S703*(1-LOTE_01!$K$10),2)</f>
        <v>0</v>
      </c>
      <c r="I703" s="46">
        <f>TRUNC(T703*(1-LOTE_01!$K$10),2)</f>
        <v>260</v>
      </c>
      <c r="J703" s="100">
        <f t="shared" si="79"/>
        <v>0.22470000000000001</v>
      </c>
      <c r="K703" s="48">
        <f t="shared" si="73"/>
        <v>0</v>
      </c>
      <c r="L703" s="48">
        <f t="shared" si="74"/>
        <v>318.42</v>
      </c>
      <c r="M703" s="48">
        <f t="shared" si="75"/>
        <v>0</v>
      </c>
      <c r="N703" s="48">
        <f t="shared" si="76"/>
        <v>4457.88</v>
      </c>
      <c r="O703" s="50">
        <f t="shared" si="77"/>
        <v>4457.88</v>
      </c>
      <c r="P703" s="50">
        <v>0</v>
      </c>
      <c r="Q703" s="76"/>
      <c r="R703" s="139">
        <f>1*(S9+S10)</f>
        <v>14</v>
      </c>
      <c r="S703" s="79">
        <v>0</v>
      </c>
      <c r="T703" s="80">
        <v>260</v>
      </c>
    </row>
    <row r="704" spans="2:20" ht="42">
      <c r="B704" s="5" t="s">
        <v>1664</v>
      </c>
      <c r="C704" s="45" t="s">
        <v>97</v>
      </c>
      <c r="D704" s="45" t="s">
        <v>1665</v>
      </c>
      <c r="E704" s="6" t="s">
        <v>1666</v>
      </c>
      <c r="F704" s="45" t="s">
        <v>104</v>
      </c>
      <c r="G704" s="46">
        <f t="shared" si="78"/>
        <v>14</v>
      </c>
      <c r="H704" s="46">
        <f>TRUNC(S704*(1-LOTE_01!$K$10),2)</f>
        <v>0</v>
      </c>
      <c r="I704" s="46">
        <f>TRUNC(T704*(1-LOTE_01!$K$10),2)</f>
        <v>516.83000000000004</v>
      </c>
      <c r="J704" s="100">
        <f t="shared" si="79"/>
        <v>0.22470000000000001</v>
      </c>
      <c r="K704" s="48">
        <f t="shared" si="73"/>
        <v>0</v>
      </c>
      <c r="L704" s="48">
        <f t="shared" si="74"/>
        <v>632.96</v>
      </c>
      <c r="M704" s="48">
        <f t="shared" si="75"/>
        <v>0</v>
      </c>
      <c r="N704" s="48">
        <f t="shared" si="76"/>
        <v>8861.44</v>
      </c>
      <c r="O704" s="50">
        <f t="shared" si="77"/>
        <v>8861.44</v>
      </c>
      <c r="P704" s="50">
        <v>0</v>
      </c>
      <c r="Q704" s="76"/>
      <c r="R704" s="139">
        <f>1*(S9+S10)</f>
        <v>14</v>
      </c>
      <c r="S704" s="79">
        <v>0</v>
      </c>
      <c r="T704" s="80">
        <v>516.83000000000004</v>
      </c>
    </row>
    <row r="705" spans="2:20" ht="42">
      <c r="B705" s="5" t="s">
        <v>1667</v>
      </c>
      <c r="C705" s="45" t="s">
        <v>97</v>
      </c>
      <c r="D705" s="45" t="s">
        <v>1668</v>
      </c>
      <c r="E705" s="6" t="s">
        <v>1669</v>
      </c>
      <c r="F705" s="45" t="s">
        <v>104</v>
      </c>
      <c r="G705" s="46">
        <f t="shared" si="78"/>
        <v>14</v>
      </c>
      <c r="H705" s="46">
        <f>TRUNC(S705*(1-LOTE_01!$K$10),2)</f>
        <v>0</v>
      </c>
      <c r="I705" s="46">
        <f>TRUNC(T705*(1-LOTE_01!$K$10),2)</f>
        <v>779.3</v>
      </c>
      <c r="J705" s="100">
        <f t="shared" si="79"/>
        <v>0.22470000000000001</v>
      </c>
      <c r="K705" s="48">
        <f t="shared" si="73"/>
        <v>0</v>
      </c>
      <c r="L705" s="48">
        <f t="shared" si="74"/>
        <v>954.4</v>
      </c>
      <c r="M705" s="48">
        <f t="shared" si="75"/>
        <v>0</v>
      </c>
      <c r="N705" s="48">
        <f t="shared" si="76"/>
        <v>13361.6</v>
      </c>
      <c r="O705" s="50">
        <f t="shared" si="77"/>
        <v>13361.6</v>
      </c>
      <c r="P705" s="50">
        <v>0</v>
      </c>
      <c r="Q705" s="76"/>
      <c r="R705" s="139">
        <f>1*(S9+S10)</f>
        <v>14</v>
      </c>
      <c r="S705" s="79">
        <v>0</v>
      </c>
      <c r="T705" s="80">
        <v>779.3</v>
      </c>
    </row>
    <row r="706" spans="2:20" ht="42">
      <c r="B706" s="5" t="s">
        <v>1670</v>
      </c>
      <c r="C706" s="45" t="s">
        <v>97</v>
      </c>
      <c r="D706" s="45" t="s">
        <v>1671</v>
      </c>
      <c r="E706" s="6" t="s">
        <v>1672</v>
      </c>
      <c r="F706" s="45" t="s">
        <v>104</v>
      </c>
      <c r="G706" s="46">
        <f t="shared" si="78"/>
        <v>14</v>
      </c>
      <c r="H706" s="46">
        <f>TRUNC(S706*(1-LOTE_01!$K$10),2)</f>
        <v>339.54</v>
      </c>
      <c r="I706" s="46">
        <f>TRUNC(T706*(1-LOTE_01!$K$10),2)</f>
        <v>0</v>
      </c>
      <c r="J706" s="100">
        <f t="shared" si="79"/>
        <v>0.22470000000000001</v>
      </c>
      <c r="K706" s="48">
        <f t="shared" si="73"/>
        <v>415.83</v>
      </c>
      <c r="L706" s="48">
        <f t="shared" si="74"/>
        <v>0</v>
      </c>
      <c r="M706" s="48">
        <f t="shared" si="75"/>
        <v>5821.62</v>
      </c>
      <c r="N706" s="48">
        <f t="shared" si="76"/>
        <v>0</v>
      </c>
      <c r="O706" s="50">
        <f t="shared" si="77"/>
        <v>5821.62</v>
      </c>
      <c r="P706" s="50">
        <v>0</v>
      </c>
      <c r="Q706" s="76"/>
      <c r="R706" s="139">
        <f>1*(S9+S10)</f>
        <v>14</v>
      </c>
      <c r="S706" s="79">
        <v>339.54</v>
      </c>
      <c r="T706" s="80">
        <v>0</v>
      </c>
    </row>
    <row r="707" spans="2:20" ht="42">
      <c r="B707" s="5" t="s">
        <v>1673</v>
      </c>
      <c r="C707" s="45" t="s">
        <v>97</v>
      </c>
      <c r="D707" s="45" t="s">
        <v>1674</v>
      </c>
      <c r="E707" s="6" t="s">
        <v>1675</v>
      </c>
      <c r="F707" s="45" t="s">
        <v>104</v>
      </c>
      <c r="G707" s="46">
        <f t="shared" si="78"/>
        <v>14</v>
      </c>
      <c r="H707" s="46">
        <f>TRUNC(S707*(1-LOTE_01!$K$10),2)</f>
        <v>0</v>
      </c>
      <c r="I707" s="46">
        <f>TRUNC(T707*(1-LOTE_01!$K$10),2)</f>
        <v>667.87</v>
      </c>
      <c r="J707" s="100">
        <f t="shared" si="79"/>
        <v>0.22470000000000001</v>
      </c>
      <c r="K707" s="48">
        <f t="shared" si="73"/>
        <v>0</v>
      </c>
      <c r="L707" s="48">
        <f t="shared" si="74"/>
        <v>817.94</v>
      </c>
      <c r="M707" s="48">
        <f t="shared" si="75"/>
        <v>0</v>
      </c>
      <c r="N707" s="48">
        <f t="shared" si="76"/>
        <v>11451.16</v>
      </c>
      <c r="O707" s="50">
        <f t="shared" si="77"/>
        <v>11451.16</v>
      </c>
      <c r="P707" s="50">
        <v>0</v>
      </c>
      <c r="Q707" s="76"/>
      <c r="R707" s="139">
        <f>1*(S9+S10)</f>
        <v>14</v>
      </c>
      <c r="S707" s="79">
        <v>0</v>
      </c>
      <c r="T707" s="80">
        <v>667.87</v>
      </c>
    </row>
    <row r="708" spans="2:20" ht="42">
      <c r="B708" s="5" t="s">
        <v>1676</v>
      </c>
      <c r="C708" s="45" t="s">
        <v>97</v>
      </c>
      <c r="D708" s="45" t="s">
        <v>1677</v>
      </c>
      <c r="E708" s="6" t="s">
        <v>1678</v>
      </c>
      <c r="F708" s="45" t="s">
        <v>104</v>
      </c>
      <c r="G708" s="46">
        <f t="shared" si="78"/>
        <v>28</v>
      </c>
      <c r="H708" s="46">
        <f>TRUNC(S708*(1-LOTE_01!$K$10),2)</f>
        <v>253.7</v>
      </c>
      <c r="I708" s="46">
        <f>TRUNC(T708*(1-LOTE_01!$K$10),2)</f>
        <v>21.75</v>
      </c>
      <c r="J708" s="100">
        <f t="shared" si="79"/>
        <v>0.22470000000000001</v>
      </c>
      <c r="K708" s="48">
        <f t="shared" si="73"/>
        <v>310.7</v>
      </c>
      <c r="L708" s="48">
        <f t="shared" si="74"/>
        <v>26.63</v>
      </c>
      <c r="M708" s="48">
        <f t="shared" si="75"/>
        <v>8699.6</v>
      </c>
      <c r="N708" s="48">
        <f t="shared" si="76"/>
        <v>745.64</v>
      </c>
      <c r="O708" s="50">
        <f t="shared" si="77"/>
        <v>9445.24</v>
      </c>
      <c r="P708" s="50">
        <v>0</v>
      </c>
      <c r="Q708" s="76"/>
      <c r="R708" s="139">
        <f>2*(S9+S10)</f>
        <v>28</v>
      </c>
      <c r="S708" s="79">
        <v>253.7</v>
      </c>
      <c r="T708" s="80">
        <v>21.75</v>
      </c>
    </row>
    <row r="709" spans="2:20" ht="28">
      <c r="B709" s="5" t="s">
        <v>1679</v>
      </c>
      <c r="C709" s="45" t="s">
        <v>97</v>
      </c>
      <c r="D709" s="45" t="s">
        <v>1680</v>
      </c>
      <c r="E709" s="6" t="s">
        <v>1681</v>
      </c>
      <c r="F709" s="45" t="s">
        <v>104</v>
      </c>
      <c r="G709" s="46">
        <f t="shared" si="78"/>
        <v>28</v>
      </c>
      <c r="H709" s="46">
        <f>TRUNC(S709*(1-LOTE_01!$K$10),2)</f>
        <v>10.64</v>
      </c>
      <c r="I709" s="46">
        <f>TRUNC(T709*(1-LOTE_01!$K$10),2)</f>
        <v>19.04</v>
      </c>
      <c r="J709" s="100">
        <f t="shared" si="79"/>
        <v>0.22470000000000001</v>
      </c>
      <c r="K709" s="48">
        <f t="shared" si="73"/>
        <v>13.03</v>
      </c>
      <c r="L709" s="48">
        <f t="shared" si="74"/>
        <v>23.31</v>
      </c>
      <c r="M709" s="48">
        <f t="shared" si="75"/>
        <v>364.84</v>
      </c>
      <c r="N709" s="48">
        <f t="shared" si="76"/>
        <v>652.67999999999995</v>
      </c>
      <c r="O709" s="50">
        <f t="shared" si="77"/>
        <v>1017.52</v>
      </c>
      <c r="P709" s="50">
        <v>0</v>
      </c>
      <c r="Q709" s="76"/>
      <c r="R709" s="139">
        <f>2*(S9+S10)</f>
        <v>28</v>
      </c>
      <c r="S709" s="79">
        <v>10.64</v>
      </c>
      <c r="T709" s="80">
        <v>19.04</v>
      </c>
    </row>
    <row r="710" spans="2:20" ht="28">
      <c r="B710" s="5" t="s">
        <v>1682</v>
      </c>
      <c r="C710" s="45" t="s">
        <v>165</v>
      </c>
      <c r="D710" s="45" t="s">
        <v>1683</v>
      </c>
      <c r="E710" s="6" t="s">
        <v>1684</v>
      </c>
      <c r="F710" s="45" t="s">
        <v>531</v>
      </c>
      <c r="G710" s="46">
        <f t="shared" si="78"/>
        <v>70</v>
      </c>
      <c r="H710" s="46">
        <f>TRUNC(S710*(1-LOTE_01!$K$10),2)</f>
        <v>24.35</v>
      </c>
      <c r="I710" s="46">
        <f>TRUNC(T710*(1-LOTE_01!$K$10),2)</f>
        <v>2.64</v>
      </c>
      <c r="J710" s="100">
        <f t="shared" si="79"/>
        <v>0.22470000000000001</v>
      </c>
      <c r="K710" s="48">
        <f t="shared" si="73"/>
        <v>29.82</v>
      </c>
      <c r="L710" s="48">
        <f t="shared" si="74"/>
        <v>3.23</v>
      </c>
      <c r="M710" s="48">
        <f t="shared" si="75"/>
        <v>2087.4</v>
      </c>
      <c r="N710" s="48">
        <f t="shared" si="76"/>
        <v>226.1</v>
      </c>
      <c r="O710" s="50">
        <f t="shared" si="77"/>
        <v>2313.5</v>
      </c>
      <c r="P710" s="50">
        <v>0</v>
      </c>
      <c r="Q710" s="76"/>
      <c r="R710" s="139">
        <f>5*(S9+S10)</f>
        <v>70</v>
      </c>
      <c r="S710" s="79">
        <v>24.35</v>
      </c>
      <c r="T710" s="80">
        <v>2.64</v>
      </c>
    </row>
    <row r="711" spans="2:20" ht="42">
      <c r="B711" s="5" t="s">
        <v>1685</v>
      </c>
      <c r="C711" s="45" t="s">
        <v>97</v>
      </c>
      <c r="D711" s="45" t="s">
        <v>1686</v>
      </c>
      <c r="E711" s="6" t="s">
        <v>1687</v>
      </c>
      <c r="F711" s="45" t="s">
        <v>187</v>
      </c>
      <c r="G711" s="46">
        <f t="shared" si="78"/>
        <v>70</v>
      </c>
      <c r="H711" s="46">
        <f>TRUNC(S711*(1-LOTE_01!$K$10),2)</f>
        <v>9.86</v>
      </c>
      <c r="I711" s="46">
        <f>TRUNC(T711*(1-LOTE_01!$K$10),2)</f>
        <v>1.3</v>
      </c>
      <c r="J711" s="100">
        <f t="shared" si="79"/>
        <v>0.22470000000000001</v>
      </c>
      <c r="K711" s="48">
        <f t="shared" si="73"/>
        <v>12.07</v>
      </c>
      <c r="L711" s="48">
        <f t="shared" si="74"/>
        <v>1.59</v>
      </c>
      <c r="M711" s="48">
        <f t="shared" si="75"/>
        <v>844.9</v>
      </c>
      <c r="N711" s="48">
        <f t="shared" si="76"/>
        <v>111.3</v>
      </c>
      <c r="O711" s="50">
        <f t="shared" si="77"/>
        <v>956.2</v>
      </c>
      <c r="P711" s="50">
        <v>0</v>
      </c>
      <c r="Q711" s="76"/>
      <c r="R711" s="139">
        <f>5*(S9+S10)</f>
        <v>70</v>
      </c>
      <c r="S711" s="79">
        <v>9.86</v>
      </c>
      <c r="T711" s="80">
        <v>1.3</v>
      </c>
    </row>
    <row r="712" spans="2:20" ht="28">
      <c r="B712" s="5" t="s">
        <v>1688</v>
      </c>
      <c r="C712" s="45" t="s">
        <v>97</v>
      </c>
      <c r="D712" s="45" t="s">
        <v>1689</v>
      </c>
      <c r="E712" s="6" t="s">
        <v>1690</v>
      </c>
      <c r="F712" s="45" t="s">
        <v>519</v>
      </c>
      <c r="G712" s="46">
        <f t="shared" si="78"/>
        <v>70</v>
      </c>
      <c r="H712" s="46">
        <f>TRUNC(S712*(1-LOTE_01!$K$10),2)</f>
        <v>30.32</v>
      </c>
      <c r="I712" s="46">
        <f>TRUNC(T712*(1-LOTE_01!$K$10),2)</f>
        <v>7.67</v>
      </c>
      <c r="J712" s="100">
        <f t="shared" si="79"/>
        <v>0.22470000000000001</v>
      </c>
      <c r="K712" s="48">
        <f t="shared" si="73"/>
        <v>37.130000000000003</v>
      </c>
      <c r="L712" s="48">
        <f t="shared" si="74"/>
        <v>9.39</v>
      </c>
      <c r="M712" s="48">
        <f t="shared" si="75"/>
        <v>2599.1</v>
      </c>
      <c r="N712" s="48">
        <f t="shared" si="76"/>
        <v>657.3</v>
      </c>
      <c r="O712" s="50">
        <f t="shared" si="77"/>
        <v>3256.4</v>
      </c>
      <c r="P712" s="50">
        <v>0</v>
      </c>
      <c r="Q712" s="76"/>
      <c r="R712" s="139">
        <f>5*(S9+S10)</f>
        <v>70</v>
      </c>
      <c r="S712" s="79">
        <v>30.32</v>
      </c>
      <c r="T712" s="80">
        <v>7.67</v>
      </c>
    </row>
    <row r="713" spans="2:20" ht="28">
      <c r="B713" s="5" t="s">
        <v>1691</v>
      </c>
      <c r="C713" s="45" t="s">
        <v>165</v>
      </c>
      <c r="D713" s="45" t="s">
        <v>1692</v>
      </c>
      <c r="E713" s="6" t="s">
        <v>1693</v>
      </c>
      <c r="F713" s="45" t="s">
        <v>182</v>
      </c>
      <c r="G713" s="46">
        <f t="shared" si="78"/>
        <v>28</v>
      </c>
      <c r="H713" s="46">
        <f>TRUNC(S713*(1-LOTE_01!$K$10),2)</f>
        <v>305.44</v>
      </c>
      <c r="I713" s="46">
        <f>TRUNC(T713*(1-LOTE_01!$K$10),2)</f>
        <v>21.09</v>
      </c>
      <c r="J713" s="100">
        <f t="shared" si="79"/>
        <v>0.22470000000000001</v>
      </c>
      <c r="K713" s="48">
        <f t="shared" si="73"/>
        <v>374.07</v>
      </c>
      <c r="L713" s="48">
        <f t="shared" si="74"/>
        <v>25.82</v>
      </c>
      <c r="M713" s="48">
        <f t="shared" si="75"/>
        <v>10473.959999999999</v>
      </c>
      <c r="N713" s="48">
        <f t="shared" si="76"/>
        <v>722.96</v>
      </c>
      <c r="O713" s="50">
        <f t="shared" si="77"/>
        <v>11196.92</v>
      </c>
      <c r="P713" s="50">
        <v>0</v>
      </c>
      <c r="Q713" s="76"/>
      <c r="R713" s="139">
        <f>2*(S9+S10)</f>
        <v>28</v>
      </c>
      <c r="S713" s="79">
        <v>305.44</v>
      </c>
      <c r="T713" s="80">
        <v>21.09</v>
      </c>
    </row>
    <row r="714" spans="2:20" ht="28">
      <c r="B714" s="5" t="s">
        <v>1694</v>
      </c>
      <c r="C714" s="45" t="s">
        <v>165</v>
      </c>
      <c r="D714" s="45" t="s">
        <v>1695</v>
      </c>
      <c r="E714" s="6" t="s">
        <v>1696</v>
      </c>
      <c r="F714" s="45" t="s">
        <v>559</v>
      </c>
      <c r="G714" s="46">
        <f t="shared" si="78"/>
        <v>42</v>
      </c>
      <c r="H714" s="46">
        <f>TRUNC(S714*(1-LOTE_01!$K$10),2)</f>
        <v>49.4</v>
      </c>
      <c r="I714" s="46">
        <f>TRUNC(T714*(1-LOTE_01!$K$10),2)</f>
        <v>2.83</v>
      </c>
      <c r="J714" s="100">
        <f t="shared" si="79"/>
        <v>0.22470000000000001</v>
      </c>
      <c r="K714" s="48">
        <f t="shared" si="73"/>
        <v>60.5</v>
      </c>
      <c r="L714" s="48">
        <f t="shared" si="74"/>
        <v>3.46</v>
      </c>
      <c r="M714" s="48">
        <f t="shared" si="75"/>
        <v>2541</v>
      </c>
      <c r="N714" s="48">
        <f t="shared" si="76"/>
        <v>145.32</v>
      </c>
      <c r="O714" s="50">
        <f t="shared" si="77"/>
        <v>2686.32</v>
      </c>
      <c r="P714" s="50">
        <v>0</v>
      </c>
      <c r="Q714" s="76"/>
      <c r="R714" s="139">
        <f>3*(S9+S10)</f>
        <v>42</v>
      </c>
      <c r="S714" s="79">
        <v>49.4</v>
      </c>
      <c r="T714" s="80">
        <v>2.83</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597474</v>
      </c>
      <c r="Q715" s="76"/>
      <c r="R715" s="139"/>
      <c r="S715" s="79" t="s">
        <v>22</v>
      </c>
      <c r="T715" s="80" t="s">
        <v>22</v>
      </c>
    </row>
    <row r="716" spans="2:20" ht="28">
      <c r="B716" s="5" t="s">
        <v>1698</v>
      </c>
      <c r="C716" s="45" t="s">
        <v>165</v>
      </c>
      <c r="D716" s="45" t="s">
        <v>1699</v>
      </c>
      <c r="E716" s="6" t="s">
        <v>1700</v>
      </c>
      <c r="F716" s="45" t="s">
        <v>168</v>
      </c>
      <c r="G716" s="46">
        <f t="shared" si="78"/>
        <v>5600</v>
      </c>
      <c r="H716" s="46">
        <f>TRUNC(S716*(1-LOTE_01!$K$10),2)</f>
        <v>0</v>
      </c>
      <c r="I716" s="46">
        <f>TRUNC(T716*(1-LOTE_01!$K$10),2)</f>
        <v>9.2200000000000006</v>
      </c>
      <c r="J716" s="100">
        <f t="shared" si="79"/>
        <v>0.22470000000000001</v>
      </c>
      <c r="K716" s="48">
        <f t="shared" si="73"/>
        <v>0</v>
      </c>
      <c r="L716" s="48">
        <f t="shared" si="74"/>
        <v>11.29</v>
      </c>
      <c r="M716" s="48">
        <f t="shared" si="75"/>
        <v>0</v>
      </c>
      <c r="N716" s="48">
        <f t="shared" si="76"/>
        <v>63224</v>
      </c>
      <c r="O716" s="50">
        <f t="shared" si="77"/>
        <v>63224</v>
      </c>
      <c r="P716" s="50">
        <v>0</v>
      </c>
      <c r="Q716" s="76"/>
      <c r="R716" s="139">
        <f>400*(S9+S10)</f>
        <v>5600</v>
      </c>
      <c r="S716" s="79">
        <v>0</v>
      </c>
      <c r="T716" s="80">
        <v>9.2200000000000006</v>
      </c>
    </row>
    <row r="717" spans="2:20" ht="28">
      <c r="B717" s="5" t="s">
        <v>1701</v>
      </c>
      <c r="C717" s="45" t="s">
        <v>97</v>
      </c>
      <c r="D717" s="45" t="s">
        <v>1702</v>
      </c>
      <c r="E717" s="6" t="s">
        <v>1703</v>
      </c>
      <c r="F717" s="45" t="s">
        <v>104</v>
      </c>
      <c r="G717" s="46">
        <f t="shared" si="78"/>
        <v>14</v>
      </c>
      <c r="H717" s="46">
        <f>TRUNC(S717*(1-LOTE_01!$K$10),2)</f>
        <v>266</v>
      </c>
      <c r="I717" s="46">
        <f>TRUNC(T717*(1-LOTE_01!$K$10),2)</f>
        <v>0</v>
      </c>
      <c r="J717" s="100">
        <f t="shared" si="79"/>
        <v>0.22470000000000001</v>
      </c>
      <c r="K717" s="48">
        <f t="shared" si="73"/>
        <v>325.77</v>
      </c>
      <c r="L717" s="48">
        <f t="shared" si="74"/>
        <v>0</v>
      </c>
      <c r="M717" s="48">
        <f t="shared" si="75"/>
        <v>4560.78</v>
      </c>
      <c r="N717" s="48">
        <f t="shared" si="76"/>
        <v>0</v>
      </c>
      <c r="O717" s="50">
        <f t="shared" si="77"/>
        <v>4560.78</v>
      </c>
      <c r="P717" s="50">
        <v>0</v>
      </c>
      <c r="Q717" s="76"/>
      <c r="R717" s="139">
        <f>1*(S9+S10)</f>
        <v>14</v>
      </c>
      <c r="S717" s="79">
        <v>266</v>
      </c>
      <c r="T717" s="80">
        <v>0</v>
      </c>
    </row>
    <row r="718" spans="2:20" ht="42">
      <c r="B718" s="5" t="s">
        <v>1704</v>
      </c>
      <c r="C718" s="45" t="s">
        <v>135</v>
      </c>
      <c r="D718" s="45">
        <v>99814</v>
      </c>
      <c r="E718" s="6" t="s">
        <v>1839</v>
      </c>
      <c r="F718" s="45" t="s">
        <v>121</v>
      </c>
      <c r="G718" s="46">
        <f t="shared" si="78"/>
        <v>14</v>
      </c>
      <c r="H718" s="46">
        <f>TRUNC(S718*(1-LOTE_01!$K$10),2)</f>
        <v>0.79</v>
      </c>
      <c r="I718" s="46">
        <f>TRUNC(T718*(1-LOTE_01!$K$10),2)</f>
        <v>1.1100000000000001</v>
      </c>
      <c r="J718" s="100">
        <f t="shared" si="79"/>
        <v>0.22470000000000001</v>
      </c>
      <c r="K718" s="48">
        <f t="shared" si="73"/>
        <v>0.96</v>
      </c>
      <c r="L718" s="48">
        <f t="shared" si="74"/>
        <v>1.35</v>
      </c>
      <c r="M718" s="48">
        <f t="shared" si="75"/>
        <v>13.44</v>
      </c>
      <c r="N718" s="48">
        <f t="shared" si="76"/>
        <v>18.899999999999999</v>
      </c>
      <c r="O718" s="50">
        <f t="shared" si="77"/>
        <v>32.340000000000003</v>
      </c>
      <c r="P718" s="50">
        <v>0</v>
      </c>
      <c r="Q718" s="76"/>
      <c r="R718" s="139">
        <f>1*(S9+S10)</f>
        <v>14</v>
      </c>
      <c r="S718" s="79">
        <v>0.78999999999999981</v>
      </c>
      <c r="T718" s="80">
        <v>1.1100000000000001</v>
      </c>
    </row>
    <row r="719" spans="2:20" ht="28">
      <c r="B719" s="5" t="s">
        <v>1705</v>
      </c>
      <c r="C719" s="45" t="s">
        <v>135</v>
      </c>
      <c r="D719" s="45">
        <v>98524</v>
      </c>
      <c r="E719" s="6" t="s">
        <v>1706</v>
      </c>
      <c r="F719" s="45" t="s">
        <v>121</v>
      </c>
      <c r="G719" s="46">
        <f t="shared" si="78"/>
        <v>14</v>
      </c>
      <c r="H719" s="46">
        <f>TRUNC(S719*(1-LOTE_01!$K$10),2)</f>
        <v>2.2999999999999998</v>
      </c>
      <c r="I719" s="46">
        <f>TRUNC(T719*(1-LOTE_01!$K$10),2)</f>
        <v>3.47</v>
      </c>
      <c r="J719" s="100">
        <f t="shared" si="79"/>
        <v>0.22470000000000001</v>
      </c>
      <c r="K719" s="48">
        <f t="shared" si="73"/>
        <v>2.81</v>
      </c>
      <c r="L719" s="48">
        <f t="shared" si="74"/>
        <v>4.24</v>
      </c>
      <c r="M719" s="48">
        <f t="shared" si="75"/>
        <v>39.340000000000003</v>
      </c>
      <c r="N719" s="48">
        <f t="shared" si="76"/>
        <v>59.36</v>
      </c>
      <c r="O719" s="50">
        <f t="shared" si="77"/>
        <v>98.7</v>
      </c>
      <c r="P719" s="50">
        <v>0</v>
      </c>
      <c r="Q719" s="76"/>
      <c r="R719" s="139">
        <f>1*(S9+S10)</f>
        <v>14</v>
      </c>
      <c r="S719" s="79">
        <v>2.2999999999999994</v>
      </c>
      <c r="T719" s="80">
        <v>3.47</v>
      </c>
    </row>
    <row r="720" spans="2:20" ht="42">
      <c r="B720" s="5" t="s">
        <v>1707</v>
      </c>
      <c r="C720" s="45" t="s">
        <v>135</v>
      </c>
      <c r="D720" s="45">
        <v>98531</v>
      </c>
      <c r="E720" s="6" t="s">
        <v>1708</v>
      </c>
      <c r="F720" s="45" t="s">
        <v>210</v>
      </c>
      <c r="G720" s="46">
        <f t="shared" si="78"/>
        <v>14</v>
      </c>
      <c r="H720" s="46">
        <f>TRUNC(S720*(1-LOTE_01!$K$10),2)</f>
        <v>251.11</v>
      </c>
      <c r="I720" s="46">
        <f>TRUNC(T720*(1-LOTE_01!$K$10),2)</f>
        <v>199.06</v>
      </c>
      <c r="J720" s="100">
        <f t="shared" si="79"/>
        <v>0.22470000000000001</v>
      </c>
      <c r="K720" s="48">
        <f t="shared" ref="K720:K737" si="81">TRUNC(H720*(1+J720),2)</f>
        <v>307.52999999999997</v>
      </c>
      <c r="L720" s="48">
        <f t="shared" ref="L720:L737" si="82">TRUNC(I720*(1+J720),2)</f>
        <v>243.78</v>
      </c>
      <c r="M720" s="48">
        <f t="shared" ref="M720:M737" si="83">TRUNC(K720*G720,2)</f>
        <v>4305.42</v>
      </c>
      <c r="N720" s="48">
        <f t="shared" ref="N720:N737" si="84">TRUNC(L720*G720,2)</f>
        <v>3412.92</v>
      </c>
      <c r="O720" s="50">
        <f t="shared" ref="O720:O737" si="85">TRUNC(M720+N720,2)</f>
        <v>7718.34</v>
      </c>
      <c r="P720" s="50">
        <v>0</v>
      </c>
      <c r="Q720" s="76"/>
      <c r="R720" s="139">
        <f>1*(S9+S10)</f>
        <v>14</v>
      </c>
      <c r="S720" s="79">
        <v>251.11</v>
      </c>
      <c r="T720" s="80">
        <v>199.06</v>
      </c>
    </row>
    <row r="721" spans="2:20" ht="42">
      <c r="B721" s="5" t="s">
        <v>1709</v>
      </c>
      <c r="C721" s="45" t="s">
        <v>135</v>
      </c>
      <c r="D721" s="45">
        <v>99805</v>
      </c>
      <c r="E721" s="6" t="s">
        <v>1840</v>
      </c>
      <c r="F721" s="45" t="s">
        <v>121</v>
      </c>
      <c r="G721" s="46">
        <f t="shared" si="78"/>
        <v>5600</v>
      </c>
      <c r="H721" s="46">
        <f>TRUNC(S721*(1-LOTE_01!$K$10),2)</f>
        <v>5.43</v>
      </c>
      <c r="I721" s="46">
        <f>TRUNC(T721*(1-LOTE_01!$K$10),2)</f>
        <v>7.27</v>
      </c>
      <c r="J721" s="100">
        <f t="shared" si="79"/>
        <v>0.22470000000000001</v>
      </c>
      <c r="K721" s="48">
        <f t="shared" si="81"/>
        <v>6.65</v>
      </c>
      <c r="L721" s="48">
        <f t="shared" si="82"/>
        <v>8.9</v>
      </c>
      <c r="M721" s="48">
        <f t="shared" si="83"/>
        <v>37240</v>
      </c>
      <c r="N721" s="48">
        <f t="shared" si="84"/>
        <v>49840</v>
      </c>
      <c r="O721" s="50">
        <f t="shared" si="85"/>
        <v>87080</v>
      </c>
      <c r="P721" s="50">
        <v>0</v>
      </c>
      <c r="Q721" s="76"/>
      <c r="R721" s="139">
        <f>400*(S9+S10)</f>
        <v>5600</v>
      </c>
      <c r="S721" s="79">
        <v>5.43</v>
      </c>
      <c r="T721" s="80">
        <v>7.27</v>
      </c>
    </row>
    <row r="722" spans="2:20" ht="42">
      <c r="B722" s="5" t="s">
        <v>1710</v>
      </c>
      <c r="C722" s="45" t="s">
        <v>135</v>
      </c>
      <c r="D722" s="45">
        <v>99802</v>
      </c>
      <c r="E722" s="6" t="s">
        <v>1841</v>
      </c>
      <c r="F722" s="45" t="s">
        <v>121</v>
      </c>
      <c r="G722" s="46">
        <f t="shared" ref="G722:G737" si="86">TRUNC(R722,2)</f>
        <v>5600</v>
      </c>
      <c r="H722" s="46">
        <f>TRUNC(S722*(1-LOTE_01!$K$10),2)</f>
        <v>0.25</v>
      </c>
      <c r="I722" s="46">
        <f>TRUNC(T722*(1-LOTE_01!$K$10),2)</f>
        <v>0.37</v>
      </c>
      <c r="J722" s="100">
        <f t="shared" ref="J722:J737" si="87">$J$4</f>
        <v>0.22470000000000001</v>
      </c>
      <c r="K722" s="48">
        <f t="shared" si="81"/>
        <v>0.3</v>
      </c>
      <c r="L722" s="48">
        <f t="shared" si="82"/>
        <v>0.45</v>
      </c>
      <c r="M722" s="48">
        <f t="shared" si="83"/>
        <v>1680</v>
      </c>
      <c r="N722" s="48">
        <f t="shared" si="84"/>
        <v>2520</v>
      </c>
      <c r="O722" s="50">
        <f t="shared" si="85"/>
        <v>4200</v>
      </c>
      <c r="P722" s="50">
        <v>0</v>
      </c>
      <c r="Q722" s="76"/>
      <c r="R722" s="139">
        <f>400*(S9+S10)</f>
        <v>5600</v>
      </c>
      <c r="S722" s="79">
        <v>0.25</v>
      </c>
      <c r="T722" s="80">
        <v>0.37</v>
      </c>
    </row>
    <row r="723" spans="2:20" ht="42">
      <c r="B723" s="5" t="s">
        <v>1711</v>
      </c>
      <c r="C723" s="45" t="s">
        <v>135</v>
      </c>
      <c r="D723" s="45">
        <v>99803</v>
      </c>
      <c r="E723" s="6" t="s">
        <v>1842</v>
      </c>
      <c r="F723" s="45" t="s">
        <v>121</v>
      </c>
      <c r="G723" s="46">
        <f t="shared" si="86"/>
        <v>700</v>
      </c>
      <c r="H723" s="46">
        <f>TRUNC(S723*(1-LOTE_01!$K$10),2)</f>
        <v>1.81</v>
      </c>
      <c r="I723" s="46">
        <f>TRUNC(T723*(1-LOTE_01!$K$10),2)</f>
        <v>2.75</v>
      </c>
      <c r="J723" s="100">
        <f t="shared" si="87"/>
        <v>0.22470000000000001</v>
      </c>
      <c r="K723" s="48">
        <f t="shared" si="81"/>
        <v>2.21</v>
      </c>
      <c r="L723" s="48">
        <f t="shared" si="82"/>
        <v>3.36</v>
      </c>
      <c r="M723" s="48">
        <f t="shared" si="83"/>
        <v>1547</v>
      </c>
      <c r="N723" s="48">
        <f t="shared" si="84"/>
        <v>2352</v>
      </c>
      <c r="O723" s="50">
        <f t="shared" si="85"/>
        <v>3899</v>
      </c>
      <c r="P723" s="50">
        <v>0</v>
      </c>
      <c r="Q723" s="76"/>
      <c r="R723" s="139">
        <f>50*(S9+S10)</f>
        <v>700</v>
      </c>
      <c r="S723" s="79">
        <v>1.8099999999999996</v>
      </c>
      <c r="T723" s="80">
        <v>2.75</v>
      </c>
    </row>
    <row r="724" spans="2:20" ht="56">
      <c r="B724" s="5" t="s">
        <v>1712</v>
      </c>
      <c r="C724" s="45" t="s">
        <v>135</v>
      </c>
      <c r="D724" s="45">
        <v>99810</v>
      </c>
      <c r="E724" s="6" t="s">
        <v>1843</v>
      </c>
      <c r="F724" s="45" t="s">
        <v>121</v>
      </c>
      <c r="G724" s="46">
        <f t="shared" si="86"/>
        <v>5600</v>
      </c>
      <c r="H724" s="46">
        <f>TRUNC(S724*(1-LOTE_01!$K$10),2)</f>
        <v>3.02</v>
      </c>
      <c r="I724" s="46">
        <f>TRUNC(T724*(1-LOTE_01!$K$10),2)</f>
        <v>4.4800000000000004</v>
      </c>
      <c r="J724" s="100">
        <f t="shared" si="87"/>
        <v>0.22470000000000001</v>
      </c>
      <c r="K724" s="48">
        <f t="shared" si="81"/>
        <v>3.69</v>
      </c>
      <c r="L724" s="48">
        <f t="shared" si="82"/>
        <v>5.48</v>
      </c>
      <c r="M724" s="48">
        <f t="shared" si="83"/>
        <v>20664</v>
      </c>
      <c r="N724" s="48">
        <f t="shared" si="84"/>
        <v>30688</v>
      </c>
      <c r="O724" s="50">
        <f t="shared" si="85"/>
        <v>51352</v>
      </c>
      <c r="P724" s="50">
        <v>0</v>
      </c>
      <c r="Q724" s="76"/>
      <c r="R724" s="139">
        <f>400*(S9+S10)</f>
        <v>5600</v>
      </c>
      <c r="S724" s="79">
        <v>3.0199999999999996</v>
      </c>
      <c r="T724" s="80">
        <v>4.4800000000000004</v>
      </c>
    </row>
    <row r="725" spans="2:20" ht="42">
      <c r="B725" s="5" t="s">
        <v>1713</v>
      </c>
      <c r="C725" s="45" t="s">
        <v>135</v>
      </c>
      <c r="D725" s="45">
        <v>99806</v>
      </c>
      <c r="E725" s="6" t="s">
        <v>1844</v>
      </c>
      <c r="F725" s="45" t="s">
        <v>121</v>
      </c>
      <c r="G725" s="46">
        <f t="shared" si="86"/>
        <v>5600</v>
      </c>
      <c r="H725" s="46">
        <f>TRUNC(S725*(1-LOTE_01!$K$10),2)</f>
        <v>1.3</v>
      </c>
      <c r="I725" s="46">
        <f>TRUNC(T725*(1-LOTE_01!$K$10),2)</f>
        <v>1.95</v>
      </c>
      <c r="J725" s="100">
        <f t="shared" si="87"/>
        <v>0.22470000000000001</v>
      </c>
      <c r="K725" s="48">
        <f t="shared" si="81"/>
        <v>1.59</v>
      </c>
      <c r="L725" s="48">
        <f t="shared" si="82"/>
        <v>2.38</v>
      </c>
      <c r="M725" s="48">
        <f t="shared" si="83"/>
        <v>8904</v>
      </c>
      <c r="N725" s="48">
        <f t="shared" si="84"/>
        <v>13328</v>
      </c>
      <c r="O725" s="50">
        <f t="shared" si="85"/>
        <v>22232</v>
      </c>
      <c r="P725" s="50">
        <v>0</v>
      </c>
      <c r="Q725" s="76"/>
      <c r="R725" s="139">
        <f>400*(S9+S10)</f>
        <v>5600</v>
      </c>
      <c r="S725" s="79">
        <v>1.3</v>
      </c>
      <c r="T725" s="80">
        <v>1.95</v>
      </c>
    </row>
    <row r="726" spans="2:20">
      <c r="B726" s="5" t="s">
        <v>1714</v>
      </c>
      <c r="C726" s="45" t="s">
        <v>97</v>
      </c>
      <c r="D726" s="45" t="s">
        <v>1717</v>
      </c>
      <c r="E726" s="6" t="s">
        <v>1718</v>
      </c>
      <c r="F726" s="45" t="s">
        <v>121</v>
      </c>
      <c r="G726" s="46">
        <f t="shared" si="86"/>
        <v>700</v>
      </c>
      <c r="H726" s="46">
        <f>TRUNC(S726*(1-LOTE_01!$K$10),2)</f>
        <v>7.09</v>
      </c>
      <c r="I726" s="46">
        <f>TRUNC(T726*(1-LOTE_01!$K$10),2)</f>
        <v>9.8000000000000007</v>
      </c>
      <c r="J726" s="100">
        <f t="shared" si="87"/>
        <v>0.22470000000000001</v>
      </c>
      <c r="K726" s="48">
        <f t="shared" si="81"/>
        <v>8.68</v>
      </c>
      <c r="L726" s="48">
        <f t="shared" si="82"/>
        <v>12</v>
      </c>
      <c r="M726" s="48">
        <f t="shared" si="83"/>
        <v>6076</v>
      </c>
      <c r="N726" s="48">
        <f t="shared" si="84"/>
        <v>8400</v>
      </c>
      <c r="O726" s="50">
        <f t="shared" si="85"/>
        <v>14476</v>
      </c>
      <c r="P726" s="50">
        <v>0</v>
      </c>
      <c r="Q726" s="76"/>
      <c r="R726" s="139">
        <f>50*(S9+S10)</f>
        <v>700</v>
      </c>
      <c r="S726" s="79">
        <v>7.09</v>
      </c>
      <c r="T726" s="80">
        <v>9.8000000000000007</v>
      </c>
    </row>
    <row r="727" spans="2:20" ht="28">
      <c r="B727" s="5" t="s">
        <v>1715</v>
      </c>
      <c r="C727" s="45" t="s">
        <v>135</v>
      </c>
      <c r="D727" s="45">
        <v>99823</v>
      </c>
      <c r="E727" s="6" t="s">
        <v>1845</v>
      </c>
      <c r="F727" s="45" t="s">
        <v>121</v>
      </c>
      <c r="G727" s="46">
        <f t="shared" si="86"/>
        <v>5600</v>
      </c>
      <c r="H727" s="46">
        <f>TRUNC(S727*(1-LOTE_01!$K$10),2)</f>
        <v>1.45</v>
      </c>
      <c r="I727" s="46">
        <f>TRUNC(T727*(1-LOTE_01!$K$10),2)</f>
        <v>1.23</v>
      </c>
      <c r="J727" s="100">
        <f t="shared" si="87"/>
        <v>0.22470000000000001</v>
      </c>
      <c r="K727" s="48">
        <f t="shared" si="81"/>
        <v>1.77</v>
      </c>
      <c r="L727" s="48">
        <f t="shared" si="82"/>
        <v>1.5</v>
      </c>
      <c r="M727" s="48">
        <f t="shared" si="83"/>
        <v>9912</v>
      </c>
      <c r="N727" s="48">
        <f t="shared" si="84"/>
        <v>8400</v>
      </c>
      <c r="O727" s="50">
        <f t="shared" si="85"/>
        <v>18312</v>
      </c>
      <c r="P727" s="50">
        <v>0</v>
      </c>
      <c r="Q727" s="76"/>
      <c r="R727" s="139">
        <f>400*(S9+S10)</f>
        <v>5600</v>
      </c>
      <c r="S727" s="79">
        <v>1.4500000000000002</v>
      </c>
      <c r="T727" s="80">
        <v>1.23</v>
      </c>
    </row>
    <row r="728" spans="2:20" ht="42">
      <c r="B728" s="5" t="s">
        <v>1716</v>
      </c>
      <c r="C728" s="45" t="s">
        <v>135</v>
      </c>
      <c r="D728" s="45">
        <v>99821</v>
      </c>
      <c r="E728" s="6" t="s">
        <v>1846</v>
      </c>
      <c r="F728" s="45" t="s">
        <v>121</v>
      </c>
      <c r="G728" s="46">
        <f t="shared" si="86"/>
        <v>700</v>
      </c>
      <c r="H728" s="46">
        <f>TRUNC(S728*(1-LOTE_01!$K$10),2)</f>
        <v>3.24</v>
      </c>
      <c r="I728" s="46">
        <f>TRUNC(T728*(1-LOTE_01!$K$10),2)</f>
        <v>2.2400000000000002</v>
      </c>
      <c r="J728" s="100">
        <f t="shared" si="87"/>
        <v>0.22470000000000001</v>
      </c>
      <c r="K728" s="48">
        <f t="shared" si="81"/>
        <v>3.96</v>
      </c>
      <c r="L728" s="48">
        <f t="shared" si="82"/>
        <v>2.74</v>
      </c>
      <c r="M728" s="48">
        <f t="shared" si="83"/>
        <v>2772</v>
      </c>
      <c r="N728" s="48">
        <f t="shared" si="84"/>
        <v>1918</v>
      </c>
      <c r="O728" s="50">
        <f t="shared" si="85"/>
        <v>4690</v>
      </c>
      <c r="P728" s="50">
        <v>0</v>
      </c>
      <c r="Q728" s="76"/>
      <c r="R728" s="139">
        <f>50*(S9+S10)</f>
        <v>700</v>
      </c>
      <c r="S728" s="79">
        <v>3.24</v>
      </c>
      <c r="T728" s="80">
        <v>2.2400000000000002</v>
      </c>
    </row>
    <row r="729" spans="2:20" ht="28">
      <c r="B729" s="5" t="s">
        <v>1719</v>
      </c>
      <c r="C729" s="45" t="s">
        <v>135</v>
      </c>
      <c r="D729" s="45">
        <v>99826</v>
      </c>
      <c r="E729" s="6" t="s">
        <v>1847</v>
      </c>
      <c r="F729" s="45" t="s">
        <v>121</v>
      </c>
      <c r="G729" s="46">
        <f t="shared" si="86"/>
        <v>700</v>
      </c>
      <c r="H729" s="46">
        <f>TRUNC(S729*(1-LOTE_01!$K$10),2)</f>
        <v>0.76</v>
      </c>
      <c r="I729" s="46">
        <f>TRUNC(T729*(1-LOTE_01!$K$10),2)</f>
        <v>1.1299999999999999</v>
      </c>
      <c r="J729" s="100">
        <f t="shared" si="87"/>
        <v>0.22470000000000001</v>
      </c>
      <c r="K729" s="48">
        <f t="shared" si="81"/>
        <v>0.93</v>
      </c>
      <c r="L729" s="48">
        <f t="shared" si="82"/>
        <v>1.38</v>
      </c>
      <c r="M729" s="48">
        <f t="shared" si="83"/>
        <v>651</v>
      </c>
      <c r="N729" s="48">
        <f t="shared" si="84"/>
        <v>966</v>
      </c>
      <c r="O729" s="50">
        <f t="shared" si="85"/>
        <v>1617</v>
      </c>
      <c r="P729" s="50">
        <v>0</v>
      </c>
      <c r="Q729" s="76"/>
      <c r="R729" s="139">
        <f>50*(S9+S10)</f>
        <v>700</v>
      </c>
      <c r="S729" s="79">
        <v>0.76</v>
      </c>
      <c r="T729" s="80">
        <v>1.1299999999999999</v>
      </c>
    </row>
    <row r="730" spans="2:20" ht="28">
      <c r="B730" s="5" t="s">
        <v>1720</v>
      </c>
      <c r="C730" s="45" t="s">
        <v>135</v>
      </c>
      <c r="D730" s="45">
        <v>99822</v>
      </c>
      <c r="E730" s="6" t="s">
        <v>1848</v>
      </c>
      <c r="F730" s="45" t="s">
        <v>121</v>
      </c>
      <c r="G730" s="46">
        <f t="shared" si="86"/>
        <v>92.4</v>
      </c>
      <c r="H730" s="46">
        <f>TRUNC(S730*(1-LOTE_01!$K$10),2)</f>
        <v>0.5</v>
      </c>
      <c r="I730" s="46">
        <f>TRUNC(T730*(1-LOTE_01!$K$10),2)</f>
        <v>0.72</v>
      </c>
      <c r="J730" s="100">
        <f t="shared" si="87"/>
        <v>0.22470000000000001</v>
      </c>
      <c r="K730" s="48">
        <f t="shared" si="81"/>
        <v>0.61</v>
      </c>
      <c r="L730" s="48">
        <f t="shared" si="82"/>
        <v>0.88</v>
      </c>
      <c r="M730" s="48">
        <f t="shared" si="83"/>
        <v>56.36</v>
      </c>
      <c r="N730" s="48">
        <f t="shared" si="84"/>
        <v>81.31</v>
      </c>
      <c r="O730" s="50">
        <f t="shared" si="85"/>
        <v>137.66999999999999</v>
      </c>
      <c r="P730" s="50">
        <v>0</v>
      </c>
      <c r="Q730" s="76"/>
      <c r="R730" s="139">
        <f>2.2*1*3*(S9+S10)</f>
        <v>92.4</v>
      </c>
      <c r="S730" s="79">
        <v>0.5</v>
      </c>
      <c r="T730" s="80">
        <v>0.72</v>
      </c>
    </row>
    <row r="731" spans="2:20" ht="42">
      <c r="B731" s="5" t="s">
        <v>1721</v>
      </c>
      <c r="C731" s="45" t="s">
        <v>135</v>
      </c>
      <c r="D731" s="45">
        <v>99825</v>
      </c>
      <c r="E731" s="6" t="s">
        <v>1849</v>
      </c>
      <c r="F731" s="45" t="s">
        <v>121</v>
      </c>
      <c r="G731" s="46">
        <f t="shared" si="86"/>
        <v>30.8</v>
      </c>
      <c r="H731" s="46">
        <f>TRUNC(S731*(1-LOTE_01!$K$10),2)</f>
        <v>2.94</v>
      </c>
      <c r="I731" s="46">
        <f>TRUNC(T731*(1-LOTE_01!$K$10),2)</f>
        <v>2.31</v>
      </c>
      <c r="J731" s="100">
        <f t="shared" si="87"/>
        <v>0.22470000000000001</v>
      </c>
      <c r="K731" s="48">
        <f t="shared" si="81"/>
        <v>3.6</v>
      </c>
      <c r="L731" s="48">
        <f t="shared" si="82"/>
        <v>2.82</v>
      </c>
      <c r="M731" s="48">
        <f t="shared" si="83"/>
        <v>110.88</v>
      </c>
      <c r="N731" s="48">
        <f t="shared" si="84"/>
        <v>86.85</v>
      </c>
      <c r="O731" s="50">
        <f t="shared" si="85"/>
        <v>197.73</v>
      </c>
      <c r="P731" s="50">
        <v>0</v>
      </c>
      <c r="Q731" s="76"/>
      <c r="R731" s="139">
        <f>2.2*1*(S9+S10)</f>
        <v>30.800000000000004</v>
      </c>
      <c r="S731" s="79">
        <v>2.94</v>
      </c>
      <c r="T731" s="80">
        <v>2.31</v>
      </c>
    </row>
    <row r="732" spans="2:20" ht="28">
      <c r="B732" s="5" t="s">
        <v>1722</v>
      </c>
      <c r="C732" s="45" t="s">
        <v>135</v>
      </c>
      <c r="D732" s="45">
        <v>99824</v>
      </c>
      <c r="E732" s="6" t="s">
        <v>1850</v>
      </c>
      <c r="F732" s="45" t="s">
        <v>121</v>
      </c>
      <c r="G732" s="46">
        <f t="shared" si="86"/>
        <v>92.4</v>
      </c>
      <c r="H732" s="46">
        <f>TRUNC(S732*(1-LOTE_01!$K$10),2)</f>
        <v>1.56</v>
      </c>
      <c r="I732" s="46">
        <f>TRUNC(T732*(1-LOTE_01!$K$10),2)</f>
        <v>1.49</v>
      </c>
      <c r="J732" s="100">
        <f t="shared" si="87"/>
        <v>0.22470000000000001</v>
      </c>
      <c r="K732" s="48">
        <f t="shared" si="81"/>
        <v>1.91</v>
      </c>
      <c r="L732" s="48">
        <f t="shared" si="82"/>
        <v>1.82</v>
      </c>
      <c r="M732" s="48">
        <f t="shared" si="83"/>
        <v>176.48</v>
      </c>
      <c r="N732" s="48">
        <f t="shared" si="84"/>
        <v>168.16</v>
      </c>
      <c r="O732" s="50">
        <f t="shared" si="85"/>
        <v>344.64</v>
      </c>
      <c r="P732" s="50">
        <v>0</v>
      </c>
      <c r="Q732" s="76"/>
      <c r="R732" s="139">
        <f>2.2*1*3*(S9+S10)</f>
        <v>92.4</v>
      </c>
      <c r="S732" s="79">
        <v>1.5599999999999998</v>
      </c>
      <c r="T732" s="80">
        <v>1.49</v>
      </c>
    </row>
    <row r="733" spans="2:20" ht="28">
      <c r="B733" s="5" t="s">
        <v>1723</v>
      </c>
      <c r="C733" s="45" t="s">
        <v>135</v>
      </c>
      <c r="D733" s="45">
        <v>99811</v>
      </c>
      <c r="E733" s="6" t="s">
        <v>1851</v>
      </c>
      <c r="F733" s="45" t="s">
        <v>121</v>
      </c>
      <c r="G733" s="46">
        <f t="shared" si="86"/>
        <v>700</v>
      </c>
      <c r="H733" s="46">
        <f>TRUNC(S733*(1-LOTE_01!$K$10),2)</f>
        <v>0.31</v>
      </c>
      <c r="I733" s="46">
        <f>TRUNC(T733*(1-LOTE_01!$K$10),2)</f>
        <v>0.46</v>
      </c>
      <c r="J733" s="100">
        <f t="shared" si="87"/>
        <v>0.22470000000000001</v>
      </c>
      <c r="K733" s="48">
        <f t="shared" si="81"/>
        <v>0.37</v>
      </c>
      <c r="L733" s="48">
        <f t="shared" si="82"/>
        <v>0.56000000000000005</v>
      </c>
      <c r="M733" s="48">
        <f t="shared" si="83"/>
        <v>259</v>
      </c>
      <c r="N733" s="48">
        <f t="shared" si="84"/>
        <v>392</v>
      </c>
      <c r="O733" s="50">
        <f t="shared" si="85"/>
        <v>651</v>
      </c>
      <c r="P733" s="50">
        <v>0</v>
      </c>
      <c r="Q733" s="76"/>
      <c r="R733" s="139">
        <f>50*(S9+S10)</f>
        <v>700</v>
      </c>
      <c r="S733" s="79">
        <v>0.31</v>
      </c>
      <c r="T733" s="80">
        <v>0.46</v>
      </c>
    </row>
    <row r="734" spans="2:20" ht="42">
      <c r="B734" s="5" t="s">
        <v>1724</v>
      </c>
      <c r="C734" s="45" t="s">
        <v>135</v>
      </c>
      <c r="D734" s="45">
        <v>99805</v>
      </c>
      <c r="E734" s="6" t="s">
        <v>1840</v>
      </c>
      <c r="F734" s="45" t="s">
        <v>121</v>
      </c>
      <c r="G734" s="46">
        <f t="shared" si="86"/>
        <v>5600</v>
      </c>
      <c r="H734" s="46">
        <f>TRUNC(S734*(1-LOTE_01!$K$10),2)</f>
        <v>5.43</v>
      </c>
      <c r="I734" s="46">
        <f>TRUNC(T734*(1-LOTE_01!$K$10),2)</f>
        <v>7.27</v>
      </c>
      <c r="J734" s="100">
        <f t="shared" si="87"/>
        <v>0.22470000000000001</v>
      </c>
      <c r="K734" s="48">
        <f t="shared" si="81"/>
        <v>6.65</v>
      </c>
      <c r="L734" s="48">
        <f t="shared" si="82"/>
        <v>8.9</v>
      </c>
      <c r="M734" s="48">
        <f t="shared" si="83"/>
        <v>37240</v>
      </c>
      <c r="N734" s="48">
        <f t="shared" si="84"/>
        <v>49840</v>
      </c>
      <c r="O734" s="50">
        <f t="shared" si="85"/>
        <v>87080</v>
      </c>
      <c r="P734" s="50">
        <v>0</v>
      </c>
      <c r="Q734" s="76"/>
      <c r="R734" s="139">
        <f>400*(S9+S10)</f>
        <v>5600</v>
      </c>
      <c r="S734" s="79">
        <v>5.43</v>
      </c>
      <c r="T734" s="80">
        <v>7.27</v>
      </c>
    </row>
    <row r="735" spans="2:20">
      <c r="B735" s="5" t="s">
        <v>1725</v>
      </c>
      <c r="C735" s="45" t="s">
        <v>97</v>
      </c>
      <c r="D735" s="45" t="s">
        <v>1728</v>
      </c>
      <c r="E735" s="6" t="s">
        <v>1729</v>
      </c>
      <c r="F735" s="45" t="s">
        <v>104</v>
      </c>
      <c r="G735" s="46">
        <f t="shared" si="86"/>
        <v>14</v>
      </c>
      <c r="H735" s="46">
        <f>TRUNC(S735*(1-LOTE_01!$K$10),2)</f>
        <v>877.06</v>
      </c>
      <c r="I735" s="46">
        <f>TRUNC(T735*(1-LOTE_01!$K$10),2)</f>
        <v>287.83</v>
      </c>
      <c r="J735" s="100">
        <f t="shared" si="87"/>
        <v>0.22470000000000001</v>
      </c>
      <c r="K735" s="48">
        <f>TRUNC(H735*(1+J735),2)</f>
        <v>1074.1300000000001</v>
      </c>
      <c r="L735" s="48">
        <f>TRUNC(I735*(1+J735),2)</f>
        <v>352.5</v>
      </c>
      <c r="M735" s="48">
        <f>TRUNC(K735*G735,2)</f>
        <v>15037.82</v>
      </c>
      <c r="N735" s="48">
        <f>TRUNC(L735*G735,2)</f>
        <v>4935</v>
      </c>
      <c r="O735" s="50">
        <f>TRUNC(M735+N735,2)</f>
        <v>19972.82</v>
      </c>
      <c r="P735" s="50">
        <v>0</v>
      </c>
      <c r="Q735" s="76"/>
      <c r="R735" s="139">
        <f>1*(S9+S10)</f>
        <v>14</v>
      </c>
      <c r="S735" s="79">
        <v>877.06</v>
      </c>
      <c r="T735" s="80">
        <v>287.83</v>
      </c>
    </row>
    <row r="736" spans="2:20">
      <c r="B736" s="5" t="s">
        <v>1726</v>
      </c>
      <c r="C736" s="45" t="s">
        <v>97</v>
      </c>
      <c r="D736" s="45" t="s">
        <v>1730</v>
      </c>
      <c r="E736" s="6" t="s">
        <v>1731</v>
      </c>
      <c r="F736" s="45" t="s">
        <v>104</v>
      </c>
      <c r="G736" s="46">
        <f t="shared" si="86"/>
        <v>14</v>
      </c>
      <c r="H736" s="46">
        <f>TRUNC(S736*(1-LOTE_01!$K$10),2)</f>
        <v>2175.11</v>
      </c>
      <c r="I736" s="46">
        <f>TRUNC(T736*(1-LOTE_01!$K$10),2)</f>
        <v>462.08</v>
      </c>
      <c r="J736" s="100">
        <f t="shared" si="87"/>
        <v>0.22470000000000001</v>
      </c>
      <c r="K736" s="48">
        <f>TRUNC(H736*(1+J736),2)</f>
        <v>2663.85</v>
      </c>
      <c r="L736" s="48">
        <f>TRUNC(I736*(1+J736),2)</f>
        <v>565.9</v>
      </c>
      <c r="M736" s="48">
        <f>TRUNC(K736*G736,2)</f>
        <v>37293.9</v>
      </c>
      <c r="N736" s="48">
        <f>TRUNC(L736*G736,2)</f>
        <v>7922.6</v>
      </c>
      <c r="O736" s="50">
        <f>TRUNC(M736+N736,2)</f>
        <v>45216.5</v>
      </c>
      <c r="P736" s="50">
        <v>0</v>
      </c>
      <c r="Q736" s="76"/>
      <c r="R736" s="139">
        <f>1*(S9+S10)</f>
        <v>14</v>
      </c>
      <c r="S736" s="79">
        <v>2175.11</v>
      </c>
      <c r="T736" s="80">
        <v>462.08</v>
      </c>
    </row>
    <row r="737" spans="2:20">
      <c r="B737" s="5" t="s">
        <v>1727</v>
      </c>
      <c r="C737" s="45" t="s">
        <v>97</v>
      </c>
      <c r="D737" s="45" t="s">
        <v>1732</v>
      </c>
      <c r="E737" s="6" t="s">
        <v>1733</v>
      </c>
      <c r="F737" s="45" t="s">
        <v>104</v>
      </c>
      <c r="G737" s="46">
        <f t="shared" si="86"/>
        <v>14</v>
      </c>
      <c r="H737" s="46">
        <f>TRUNC(S737*(1-LOTE_01!$K$10),2)</f>
        <v>7916.44</v>
      </c>
      <c r="I737" s="46">
        <f>TRUNC(T737*(1-LOTE_01!$K$10),2)</f>
        <v>1437.55</v>
      </c>
      <c r="J737" s="100">
        <f t="shared" si="87"/>
        <v>0.22470000000000001</v>
      </c>
      <c r="K737" s="48">
        <f t="shared" si="81"/>
        <v>9695.26</v>
      </c>
      <c r="L737" s="48">
        <f t="shared" si="82"/>
        <v>1760.56</v>
      </c>
      <c r="M737" s="48">
        <f t="shared" si="83"/>
        <v>135733.64000000001</v>
      </c>
      <c r="N737" s="48">
        <f t="shared" si="84"/>
        <v>24647.84</v>
      </c>
      <c r="O737" s="50">
        <f t="shared" si="85"/>
        <v>160381.48000000001</v>
      </c>
      <c r="P737" s="50">
        <v>0</v>
      </c>
      <c r="Q737" s="76"/>
      <c r="R737" s="139">
        <f>1*(S9+S10)</f>
        <v>14</v>
      </c>
      <c r="S737" s="79">
        <v>7916.44</v>
      </c>
      <c r="T737" s="80">
        <v>1437.55</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26462417.349999994</v>
      </c>
      <c r="N741" s="58">
        <f>SUM(N15:N740)</f>
        <v>7750498.1699999999</v>
      </c>
      <c r="O741" s="58">
        <f t="shared" ref="O741:P741" si="91">SUM(O15:O740)</f>
        <v>34212915.520000011</v>
      </c>
      <c r="P741" s="58">
        <f t="shared" si="91"/>
        <v>34212915.519999996</v>
      </c>
      <c r="Q741" s="78"/>
      <c r="R741" s="78"/>
      <c r="S741" s="78"/>
    </row>
  </sheetData>
  <sheetProtection selectLockedCells="1"/>
  <protectedRanges>
    <protectedRange sqref="H738:L738" name="Intervalo1_2_2"/>
    <protectedRange sqref="E472:F472" name="Intervalo1_4_2"/>
    <protectedRange sqref="E34:F34" name="Intervalo1_5_2"/>
    <protectedRange sqref="R738" name="Intervalo1"/>
    <protectedRange sqref="R739" name="Intervalo1_1"/>
    <protectedRange sqref="B177 S177:T177 E177:G177 P177:Q177 J177" name="Intervalo1_3"/>
    <protectedRange sqref="G115:G123 G125:G131 G133 G135:G149 G160 G430 G690" name="Intervalo1_7_1_1"/>
    <protectedRange sqref="B178 S178:T178 E178:G178 P178:Q178 J178" name="Intervalo1_5"/>
    <protectedRange sqref="K15:L737" name="Intervalo1_4"/>
    <protectedRange sqref="M16:O737" name="Intervalo1_7"/>
    <protectedRange sqref="H16:I737" name="Intervalo1_2"/>
    <protectedRange sqref="R663 R684 R192:R194 R306 R310" name="Intervalo1_3_1_1"/>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_1"/>
    <protectedRange sqref="R33 R40 R114 R124 R134 R150 R170 R179 R188 R197 R207 R692 R253 R286 R311 R333:R334 R375 R394 R406 R440 R477 R495 R540 R581 R605 R624:R625 R638:R662 R680:R683 R664:R678 R242 R694:R737" name="Intervalo1_3_1_2_1"/>
    <protectedRange sqref="R365:R372" name="Intervalo1_3_1_3_1_1"/>
    <protectedRange sqref="R177:R178" name="Intervalo1_3_2"/>
  </protectedRanges>
  <autoFilter ref="B14:P751" xr:uid="{00000000-0009-0000-0000-000002000000}"/>
  <mergeCells count="4">
    <mergeCell ref="H13:I13"/>
    <mergeCell ref="J13:J14"/>
    <mergeCell ref="M13:P13"/>
    <mergeCell ref="K13:L13"/>
  </mergeCells>
  <conditionalFormatting sqref="R15:R176 R179:R683">
    <cfRule type="expression" dxfId="55" priority="3" stopIfTrue="1">
      <formula>P15="-"</formula>
    </cfRule>
  </conditionalFormatting>
  <conditionalFormatting sqref="R15:R683">
    <cfRule type="cellIs" dxfId="54" priority="1" stopIfTrue="1" operator="equal">
      <formula>""</formula>
    </cfRule>
  </conditionalFormatting>
  <conditionalFormatting sqref="R177:R178">
    <cfRule type="expression" dxfId="53" priority="2" stopIfTrue="1">
      <formula>Q177="-"</formula>
    </cfRule>
  </conditionalFormatting>
  <conditionalFormatting sqref="R684">
    <cfRule type="cellIs" dxfId="52" priority="6" stopIfTrue="1" operator="equal">
      <formula>0</formula>
    </cfRule>
    <cfRule type="expression" dxfId="51" priority="7" stopIfTrue="1">
      <formula>I684="-"</formula>
    </cfRule>
  </conditionalFormatting>
  <conditionalFormatting sqref="R685:R737">
    <cfRule type="cellIs" dxfId="50" priority="4" stopIfTrue="1" operator="equal">
      <formula>""</formula>
    </cfRule>
    <cfRule type="expression" dxfId="49" priority="5" stopIfTrue="1">
      <formula>P685="-"</formula>
    </cfRule>
  </conditionalFormatting>
  <pageMargins left="0.51181102362204722" right="0.51181102362204722" top="0.59055118110236227" bottom="0.59055118110236227" header="0.31496062992125984" footer="0.31496062992125984"/>
  <pageSetup paperSize="9" scale="60" orientation="landscape" verticalDpi="599" r:id="rId1"/>
  <headerFooter>
    <oddHeader>&amp;R&amp;"Aptos"&amp;12&amp;K000000 #INTERNA&amp;1#_x000D_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T741"/>
  <sheetViews>
    <sheetView topLeftCell="H1" zoomScale="55" zoomScaleNormal="55" workbookViewId="0">
      <selection activeCell="O8" sqref="O8"/>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3.26953125" style="66" customWidth="1"/>
    <col min="12" max="12" width="12.36328125" style="66" customWidth="1"/>
    <col min="13" max="13" width="16.54296875" style="51" customWidth="1"/>
    <col min="14" max="14" width="14.90625" style="51" customWidth="1"/>
    <col min="15" max="15" width="16.1796875" style="51" customWidth="1"/>
    <col min="16" max="16" width="18.1796875" style="51" bestFit="1" customWidth="1"/>
    <col min="17" max="17" width="4.36328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74</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1.1571</v>
      </c>
    </row>
    <row r="6" spans="2:20" s="8" customFormat="1">
      <c r="D6" s="4"/>
      <c r="E6" s="16" t="s">
        <v>2</v>
      </c>
      <c r="F6" s="23" t="s">
        <v>1760</v>
      </c>
      <c r="G6" s="121"/>
      <c r="H6" s="18"/>
      <c r="N6" s="27" t="s">
        <v>4</v>
      </c>
      <c r="O6" s="28">
        <f>O741</f>
        <v>42424480.810000017</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1736</v>
      </c>
      <c r="F9" s="33"/>
      <c r="G9" s="34"/>
      <c r="H9" s="34"/>
      <c r="I9" s="35"/>
      <c r="J9" s="35"/>
      <c r="K9" s="35"/>
      <c r="L9" s="35"/>
      <c r="M9" s="31"/>
      <c r="N9" s="67"/>
      <c r="O9" s="68"/>
      <c r="R9" s="143" t="s">
        <v>1744</v>
      </c>
      <c r="S9" s="144">
        <v>17</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2</v>
      </c>
    </row>
    <row r="11" spans="2:20" s="8" customFormat="1">
      <c r="C11" s="135"/>
      <c r="E11" s="136" t="s">
        <v>165</v>
      </c>
      <c r="F11" s="137" t="s">
        <v>1853</v>
      </c>
      <c r="G11" s="134" t="s">
        <v>1749</v>
      </c>
      <c r="H11" s="134"/>
      <c r="I11" s="133">
        <v>46082</v>
      </c>
      <c r="J11" s="35"/>
      <c r="K11" s="35"/>
      <c r="L11" s="35"/>
      <c r="M11" s="31"/>
      <c r="N11" s="67"/>
      <c r="O11" s="68"/>
      <c r="R11" s="145" t="s">
        <v>77</v>
      </c>
      <c r="S11" s="146">
        <f>S9+S10</f>
        <v>19</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2391596.7200000002</v>
      </c>
      <c r="Q15" s="107"/>
      <c r="R15" s="139"/>
      <c r="S15" s="76" t="s">
        <v>22</v>
      </c>
      <c r="T15" s="51" t="s">
        <v>22</v>
      </c>
    </row>
    <row r="16" spans="2:20" ht="28">
      <c r="B16" s="5" t="s">
        <v>96</v>
      </c>
      <c r="C16" s="45" t="s">
        <v>97</v>
      </c>
      <c r="D16" s="45" t="s">
        <v>98</v>
      </c>
      <c r="E16" s="6" t="s">
        <v>99</v>
      </c>
      <c r="F16" s="45" t="s">
        <v>100</v>
      </c>
      <c r="G16" s="46">
        <f>TRUNC(R16,2)</f>
        <v>19</v>
      </c>
      <c r="H16" s="46">
        <f>TRUNC(S16*(1-LOTE_01!$K$10),2)</f>
        <v>1083.29</v>
      </c>
      <c r="I16" s="46">
        <f>TRUNC(T16*(1-LOTE_01!$K$10),2)</f>
        <v>0</v>
      </c>
      <c r="J16" s="100">
        <f>$J$4</f>
        <v>0.22470000000000001</v>
      </c>
      <c r="K16" s="48">
        <f>TRUNC(H16*(1+J16),2)</f>
        <v>1326.7</v>
      </c>
      <c r="L16" s="48">
        <f>TRUNC(I16*(1+J16),2)</f>
        <v>0</v>
      </c>
      <c r="M16" s="48">
        <f>TRUNC(K16*G16,2)</f>
        <v>25207.3</v>
      </c>
      <c r="N16" s="48">
        <f>TRUNC(L16*G16,2)</f>
        <v>0</v>
      </c>
      <c r="O16" s="50">
        <f>TRUNC(M16+N16,2)</f>
        <v>25207.3</v>
      </c>
      <c r="P16" s="50">
        <v>0</v>
      </c>
      <c r="Q16" s="76"/>
      <c r="R16" s="140">
        <f>S9+S10</f>
        <v>19</v>
      </c>
      <c r="S16" s="79">
        <v>1083.29</v>
      </c>
      <c r="T16" s="80">
        <v>0</v>
      </c>
    </row>
    <row r="17" spans="2:20" ht="28">
      <c r="B17" s="5" t="s">
        <v>101</v>
      </c>
      <c r="C17" s="45" t="s">
        <v>97</v>
      </c>
      <c r="D17" s="45" t="s">
        <v>102</v>
      </c>
      <c r="E17" s="6" t="s">
        <v>103</v>
      </c>
      <c r="F17" s="45" t="s">
        <v>104</v>
      </c>
      <c r="G17" s="46">
        <f t="shared" ref="G17:G80" si="0">TRUNC(R17,2)</f>
        <v>19</v>
      </c>
      <c r="H17" s="46">
        <f>TRUNC(S17*(1-LOTE_01!$K$10),2)</f>
        <v>881.17</v>
      </c>
      <c r="I17" s="46">
        <f>TRUNC(T17*(1-LOTE_01!$K$10),2)</f>
        <v>0</v>
      </c>
      <c r="J17" s="100">
        <f t="shared" ref="J17:J80" si="1">$J$4</f>
        <v>0.22470000000000001</v>
      </c>
      <c r="K17" s="48">
        <f t="shared" ref="K17:K80" si="2">TRUNC(H17*(1+J17),2)</f>
        <v>1079.1600000000001</v>
      </c>
      <c r="L17" s="48">
        <f t="shared" ref="L17:L80" si="3">TRUNC(I17*(1+J17),2)</f>
        <v>0</v>
      </c>
      <c r="M17" s="48">
        <f t="shared" ref="M17:M80" si="4">TRUNC(K17*G17,2)</f>
        <v>20504.04</v>
      </c>
      <c r="N17" s="48">
        <f t="shared" ref="N17:N80" si="5">TRUNC(L17*G17,2)</f>
        <v>0</v>
      </c>
      <c r="O17" s="50">
        <f t="shared" ref="O17:O80" si="6">TRUNC(M17+N17,2)</f>
        <v>20504.04</v>
      </c>
      <c r="P17" s="50">
        <v>0</v>
      </c>
      <c r="Q17" s="76"/>
      <c r="R17" s="140">
        <f>IF((S9+S10)&gt;50,50,(S9+S10))</f>
        <v>19</v>
      </c>
      <c r="S17" s="79">
        <v>881.17</v>
      </c>
      <c r="T17" s="80">
        <v>0</v>
      </c>
    </row>
    <row r="18" spans="2:20" ht="70">
      <c r="B18" s="5" t="s">
        <v>105</v>
      </c>
      <c r="C18" s="45" t="s">
        <v>97</v>
      </c>
      <c r="D18" s="45" t="s">
        <v>106</v>
      </c>
      <c r="E18" s="6" t="s">
        <v>107</v>
      </c>
      <c r="F18" s="45" t="s">
        <v>104</v>
      </c>
      <c r="G18" s="46">
        <f t="shared" si="0"/>
        <v>19</v>
      </c>
      <c r="H18" s="46">
        <f>TRUNC(S18*(1-LOTE_01!$K$10),2)</f>
        <v>325.76</v>
      </c>
      <c r="I18" s="46">
        <f>TRUNC(T18*(1-LOTE_01!$K$10),2)</f>
        <v>0</v>
      </c>
      <c r="J18" s="100">
        <f t="shared" si="1"/>
        <v>0.22470000000000001</v>
      </c>
      <c r="K18" s="48">
        <f t="shared" si="2"/>
        <v>398.95</v>
      </c>
      <c r="L18" s="48">
        <f t="shared" si="3"/>
        <v>0</v>
      </c>
      <c r="M18" s="48">
        <f t="shared" si="4"/>
        <v>7580.05</v>
      </c>
      <c r="N18" s="48">
        <f t="shared" si="5"/>
        <v>0</v>
      </c>
      <c r="O18" s="50">
        <f t="shared" si="6"/>
        <v>7580.05</v>
      </c>
      <c r="P18" s="50">
        <v>0</v>
      </c>
      <c r="Q18" s="76"/>
      <c r="R18" s="140">
        <f>1*(S9+S10)</f>
        <v>19</v>
      </c>
      <c r="S18" s="79">
        <v>325.76</v>
      </c>
      <c r="T18" s="80">
        <v>0</v>
      </c>
    </row>
    <row r="19" spans="2:20" ht="84">
      <c r="B19" s="5" t="s">
        <v>108</v>
      </c>
      <c r="C19" s="45" t="s">
        <v>97</v>
      </c>
      <c r="D19" s="45" t="s">
        <v>109</v>
      </c>
      <c r="E19" s="6" t="s">
        <v>110</v>
      </c>
      <c r="F19" s="45" t="s">
        <v>111</v>
      </c>
      <c r="G19" s="46">
        <f t="shared" si="0"/>
        <v>19</v>
      </c>
      <c r="H19" s="46">
        <f>TRUNC(S19*(1-LOTE_01!$K$10),2)</f>
        <v>438.24</v>
      </c>
      <c r="I19" s="46">
        <f>TRUNC(T19*(1-LOTE_01!$K$10),2)</f>
        <v>24793.119999999999</v>
      </c>
      <c r="J19" s="100">
        <f t="shared" si="1"/>
        <v>0.22470000000000001</v>
      </c>
      <c r="K19" s="48">
        <f t="shared" si="2"/>
        <v>536.71</v>
      </c>
      <c r="L19" s="48">
        <f t="shared" si="3"/>
        <v>30364.13</v>
      </c>
      <c r="M19" s="48">
        <f t="shared" si="4"/>
        <v>10197.49</v>
      </c>
      <c r="N19" s="48">
        <f t="shared" si="5"/>
        <v>576918.47</v>
      </c>
      <c r="O19" s="50">
        <f t="shared" si="6"/>
        <v>587115.96</v>
      </c>
      <c r="P19" s="50">
        <v>0</v>
      </c>
      <c r="Q19" s="76"/>
      <c r="R19" s="140">
        <f>S9+S10</f>
        <v>19</v>
      </c>
      <c r="S19" s="79">
        <v>438.24</v>
      </c>
      <c r="T19" s="80">
        <v>24793.119999999999</v>
      </c>
    </row>
    <row r="20" spans="2:20" ht="70">
      <c r="B20" s="5" t="s">
        <v>112</v>
      </c>
      <c r="C20" s="45" t="s">
        <v>97</v>
      </c>
      <c r="D20" s="45" t="s">
        <v>113</v>
      </c>
      <c r="E20" s="6" t="s">
        <v>114</v>
      </c>
      <c r="F20" s="45" t="s">
        <v>111</v>
      </c>
      <c r="G20" s="46">
        <f t="shared" si="0"/>
        <v>38</v>
      </c>
      <c r="H20" s="46">
        <f>TRUNC(S20*(1-LOTE_01!$K$10),2)</f>
        <v>552.64</v>
      </c>
      <c r="I20" s="46">
        <f>TRUNC(T20*(1-LOTE_01!$K$10),2)</f>
        <v>6469.76</v>
      </c>
      <c r="J20" s="100">
        <f t="shared" si="1"/>
        <v>0.22470000000000001</v>
      </c>
      <c r="K20" s="48">
        <f>TRUNC(H20*(1+J20),2)</f>
        <v>676.81</v>
      </c>
      <c r="L20" s="48">
        <f>TRUNC(I20*(1+J20),2)</f>
        <v>7923.51</v>
      </c>
      <c r="M20" s="48">
        <f>TRUNC(K20*G20,2)</f>
        <v>25718.78</v>
      </c>
      <c r="N20" s="48">
        <f>TRUNC(L20*G20,2)</f>
        <v>301093.38</v>
      </c>
      <c r="O20" s="50">
        <f>TRUNC(M20+N20,2)</f>
        <v>326812.15999999997</v>
      </c>
      <c r="P20" s="50">
        <v>0</v>
      </c>
      <c r="Q20" s="76"/>
      <c r="R20" s="140">
        <f>2*S9+2*S10</f>
        <v>38</v>
      </c>
      <c r="S20" s="79">
        <v>552.64</v>
      </c>
      <c r="T20" s="80">
        <v>6469.76</v>
      </c>
    </row>
    <row r="21" spans="2:20" ht="70">
      <c r="B21" s="5" t="s">
        <v>115</v>
      </c>
      <c r="C21" s="45" t="s">
        <v>97</v>
      </c>
      <c r="D21" s="45" t="s">
        <v>116</v>
      </c>
      <c r="E21" s="6" t="s">
        <v>117</v>
      </c>
      <c r="F21" s="45" t="s">
        <v>111</v>
      </c>
      <c r="G21" s="46">
        <f t="shared" si="0"/>
        <v>38</v>
      </c>
      <c r="H21" s="46">
        <f>TRUNC(S21*(1-LOTE_01!$K$10),2)</f>
        <v>608.71</v>
      </c>
      <c r="I21" s="46">
        <f>TRUNC(T21*(1-LOTE_01!$K$10),2)</f>
        <v>6199.59</v>
      </c>
      <c r="J21" s="100">
        <f t="shared" si="1"/>
        <v>0.22470000000000001</v>
      </c>
      <c r="K21" s="48">
        <f t="shared" si="2"/>
        <v>745.48</v>
      </c>
      <c r="L21" s="48">
        <f t="shared" si="3"/>
        <v>7592.63</v>
      </c>
      <c r="M21" s="48">
        <f t="shared" si="4"/>
        <v>28328.240000000002</v>
      </c>
      <c r="N21" s="48">
        <f t="shared" si="5"/>
        <v>288519.94</v>
      </c>
      <c r="O21" s="50">
        <f t="shared" si="6"/>
        <v>316848.18</v>
      </c>
      <c r="P21" s="50">
        <v>0</v>
      </c>
      <c r="Q21" s="76"/>
      <c r="R21" s="140">
        <f>2*S9+2*S10</f>
        <v>38</v>
      </c>
      <c r="S21" s="79">
        <v>608.71</v>
      </c>
      <c r="T21" s="80">
        <v>6199.59</v>
      </c>
    </row>
    <row r="22" spans="2:20">
      <c r="B22" s="5" t="s">
        <v>118</v>
      </c>
      <c r="C22" s="45" t="s">
        <v>97</v>
      </c>
      <c r="D22" s="45" t="s">
        <v>119</v>
      </c>
      <c r="E22" s="6" t="s">
        <v>120</v>
      </c>
      <c r="F22" s="45" t="s">
        <v>121</v>
      </c>
      <c r="G22" s="46">
        <f t="shared" si="0"/>
        <v>7600</v>
      </c>
      <c r="H22" s="46">
        <f>TRUNC(S22*(1-LOTE_01!$K$10),2)</f>
        <v>0</v>
      </c>
      <c r="I22" s="46">
        <f>TRUNC(T22*(1-LOTE_01!$K$10),2)</f>
        <v>27.5</v>
      </c>
      <c r="J22" s="100">
        <f t="shared" si="1"/>
        <v>0.22470000000000001</v>
      </c>
      <c r="K22" s="48">
        <f t="shared" si="2"/>
        <v>0</v>
      </c>
      <c r="L22" s="48">
        <f t="shared" si="3"/>
        <v>33.67</v>
      </c>
      <c r="M22" s="48">
        <f t="shared" si="4"/>
        <v>0</v>
      </c>
      <c r="N22" s="48">
        <f t="shared" si="5"/>
        <v>255892</v>
      </c>
      <c r="O22" s="50">
        <f t="shared" si="6"/>
        <v>255892</v>
      </c>
      <c r="P22" s="50">
        <v>0</v>
      </c>
      <c r="Q22" s="76"/>
      <c r="R22" s="140">
        <f>400*(S9+S10)</f>
        <v>7600</v>
      </c>
      <c r="S22" s="79">
        <v>0</v>
      </c>
      <c r="T22" s="80">
        <v>27.5</v>
      </c>
    </row>
    <row r="23" spans="2:20" ht="28">
      <c r="B23" s="5" t="s">
        <v>122</v>
      </c>
      <c r="C23" s="45" t="s">
        <v>97</v>
      </c>
      <c r="D23" s="45" t="s">
        <v>123</v>
      </c>
      <c r="E23" s="6" t="s">
        <v>124</v>
      </c>
      <c r="F23" s="45" t="s">
        <v>121</v>
      </c>
      <c r="G23" s="46">
        <f t="shared" si="0"/>
        <v>7600</v>
      </c>
      <c r="H23" s="46">
        <f>TRUNC(S23*(1-LOTE_01!$K$10),2)</f>
        <v>0</v>
      </c>
      <c r="I23" s="46">
        <f>TRUNC(T23*(1-LOTE_01!$K$10),2)</f>
        <v>3.6</v>
      </c>
      <c r="J23" s="100">
        <f t="shared" si="1"/>
        <v>0.22470000000000001</v>
      </c>
      <c r="K23" s="48">
        <f t="shared" si="2"/>
        <v>0</v>
      </c>
      <c r="L23" s="48">
        <f t="shared" si="3"/>
        <v>4.4000000000000004</v>
      </c>
      <c r="M23" s="48">
        <f t="shared" si="4"/>
        <v>0</v>
      </c>
      <c r="N23" s="48">
        <f t="shared" si="5"/>
        <v>33440</v>
      </c>
      <c r="O23" s="50">
        <f t="shared" si="6"/>
        <v>33440</v>
      </c>
      <c r="P23" s="50">
        <v>0</v>
      </c>
      <c r="Q23" s="76"/>
      <c r="R23" s="140">
        <f>400*(S9+S10)</f>
        <v>7600</v>
      </c>
      <c r="S23" s="79">
        <v>0</v>
      </c>
      <c r="T23" s="80">
        <v>3.6</v>
      </c>
    </row>
    <row r="24" spans="2:20" ht="28">
      <c r="B24" s="5" t="s">
        <v>125</v>
      </c>
      <c r="C24" s="45" t="s">
        <v>97</v>
      </c>
      <c r="D24" s="45" t="s">
        <v>126</v>
      </c>
      <c r="E24" s="6" t="s">
        <v>127</v>
      </c>
      <c r="F24" s="45" t="s">
        <v>121</v>
      </c>
      <c r="G24" s="46">
        <f t="shared" si="0"/>
        <v>7600</v>
      </c>
      <c r="H24" s="46">
        <f>TRUNC(S24*(1-LOTE_01!$K$10),2)</f>
        <v>0</v>
      </c>
      <c r="I24" s="46">
        <f>TRUNC(T24*(1-LOTE_01!$K$10),2)</f>
        <v>8.5</v>
      </c>
      <c r="J24" s="100">
        <f t="shared" si="1"/>
        <v>0.22470000000000001</v>
      </c>
      <c r="K24" s="48">
        <f t="shared" si="2"/>
        <v>0</v>
      </c>
      <c r="L24" s="48">
        <f t="shared" si="3"/>
        <v>10.4</v>
      </c>
      <c r="M24" s="48">
        <f t="shared" si="4"/>
        <v>0</v>
      </c>
      <c r="N24" s="48">
        <f t="shared" si="5"/>
        <v>79040</v>
      </c>
      <c r="O24" s="50">
        <f t="shared" si="6"/>
        <v>79040</v>
      </c>
      <c r="P24" s="50">
        <v>0</v>
      </c>
      <c r="Q24" s="76"/>
      <c r="R24" s="140">
        <f>400*(S9+S10)</f>
        <v>7600</v>
      </c>
      <c r="S24" s="79">
        <v>0</v>
      </c>
      <c r="T24" s="80">
        <v>8.5</v>
      </c>
    </row>
    <row r="25" spans="2:20" ht="28">
      <c r="B25" s="5" t="s">
        <v>128</v>
      </c>
      <c r="C25" s="45" t="s">
        <v>97</v>
      </c>
      <c r="D25" s="45" t="s">
        <v>129</v>
      </c>
      <c r="E25" s="6" t="s">
        <v>130</v>
      </c>
      <c r="F25" s="45" t="s">
        <v>121</v>
      </c>
      <c r="G25" s="46">
        <f t="shared" si="0"/>
        <v>7600</v>
      </c>
      <c r="H25" s="46">
        <f>TRUNC(S25*(1-LOTE_01!$K$10),2)</f>
        <v>0</v>
      </c>
      <c r="I25" s="46">
        <f>TRUNC(T25*(1-LOTE_01!$K$10),2)</f>
        <v>5</v>
      </c>
      <c r="J25" s="100">
        <f t="shared" si="1"/>
        <v>0.22470000000000001</v>
      </c>
      <c r="K25" s="48">
        <f t="shared" si="2"/>
        <v>0</v>
      </c>
      <c r="L25" s="48">
        <f t="shared" si="3"/>
        <v>6.12</v>
      </c>
      <c r="M25" s="48">
        <f t="shared" si="4"/>
        <v>0</v>
      </c>
      <c r="N25" s="48">
        <f t="shared" si="5"/>
        <v>46512</v>
      </c>
      <c r="O25" s="50">
        <f t="shared" si="6"/>
        <v>46512</v>
      </c>
      <c r="P25" s="50">
        <v>0</v>
      </c>
      <c r="Q25" s="76"/>
      <c r="R25" s="140">
        <f>400*(S9+S10)</f>
        <v>7600</v>
      </c>
      <c r="S25" s="79">
        <v>0</v>
      </c>
      <c r="T25" s="80">
        <v>5</v>
      </c>
    </row>
    <row r="26" spans="2:20" ht="28">
      <c r="B26" s="5" t="s">
        <v>131</v>
      </c>
      <c r="C26" s="45" t="s">
        <v>97</v>
      </c>
      <c r="D26" s="45" t="s">
        <v>132</v>
      </c>
      <c r="E26" s="6" t="s">
        <v>133</v>
      </c>
      <c r="F26" s="45" t="s">
        <v>121</v>
      </c>
      <c r="G26" s="46">
        <f t="shared" si="0"/>
        <v>7600</v>
      </c>
      <c r="H26" s="46">
        <f>TRUNC(S26*(1-LOTE_01!$K$10),2)</f>
        <v>0</v>
      </c>
      <c r="I26" s="46">
        <f>TRUNC(T26*(1-LOTE_01!$K$10),2)</f>
        <v>5.5</v>
      </c>
      <c r="J26" s="100">
        <f t="shared" si="1"/>
        <v>0.22470000000000001</v>
      </c>
      <c r="K26" s="48">
        <f t="shared" si="2"/>
        <v>0</v>
      </c>
      <c r="L26" s="48">
        <f t="shared" si="3"/>
        <v>6.73</v>
      </c>
      <c r="M26" s="48">
        <f t="shared" si="4"/>
        <v>0</v>
      </c>
      <c r="N26" s="48">
        <f t="shared" si="5"/>
        <v>51148</v>
      </c>
      <c r="O26" s="50">
        <f t="shared" si="6"/>
        <v>51148</v>
      </c>
      <c r="P26" s="50">
        <v>0</v>
      </c>
      <c r="Q26" s="76"/>
      <c r="R26" s="140">
        <f>400*(S9+S10)</f>
        <v>7600</v>
      </c>
      <c r="S26" s="79">
        <v>0</v>
      </c>
      <c r="T26" s="80">
        <v>5.5</v>
      </c>
    </row>
    <row r="27" spans="2:20" ht="28">
      <c r="B27" s="5" t="s">
        <v>134</v>
      </c>
      <c r="C27" s="45" t="s">
        <v>135</v>
      </c>
      <c r="D27" s="45">
        <v>90769</v>
      </c>
      <c r="E27" s="6" t="s">
        <v>136</v>
      </c>
      <c r="F27" s="45" t="s">
        <v>137</v>
      </c>
      <c r="G27" s="46">
        <f t="shared" si="0"/>
        <v>950</v>
      </c>
      <c r="H27" s="46">
        <f>TRUNC(S27*(1-LOTE_01!$K$10),2)</f>
        <v>2.4700000000000002</v>
      </c>
      <c r="I27" s="46">
        <f>TRUNC(T27*(1-LOTE_01!$K$10),2)</f>
        <v>145.43</v>
      </c>
      <c r="J27" s="100">
        <f t="shared" si="1"/>
        <v>0.22470000000000001</v>
      </c>
      <c r="K27" s="48">
        <f t="shared" si="2"/>
        <v>3.02</v>
      </c>
      <c r="L27" s="48">
        <f t="shared" si="3"/>
        <v>178.1</v>
      </c>
      <c r="M27" s="48">
        <f t="shared" si="4"/>
        <v>2869</v>
      </c>
      <c r="N27" s="48">
        <f t="shared" si="5"/>
        <v>169195</v>
      </c>
      <c r="O27" s="50">
        <f t="shared" si="6"/>
        <v>172064</v>
      </c>
      <c r="P27" s="50">
        <v>0</v>
      </c>
      <c r="Q27" s="76"/>
      <c r="R27" s="140">
        <f>IF((50*S10+50*S9),(50*S10+50*S9))</f>
        <v>950</v>
      </c>
      <c r="S27" s="79">
        <v>2.4799999999999898</v>
      </c>
      <c r="T27" s="80">
        <v>145.43</v>
      </c>
    </row>
    <row r="28" spans="2:20" ht="28">
      <c r="B28" s="5" t="s">
        <v>138</v>
      </c>
      <c r="C28" s="45" t="s">
        <v>135</v>
      </c>
      <c r="D28" s="45">
        <v>90778</v>
      </c>
      <c r="E28" s="6" t="s">
        <v>139</v>
      </c>
      <c r="F28" s="45" t="s">
        <v>137</v>
      </c>
      <c r="G28" s="46">
        <f t="shared" si="0"/>
        <v>950</v>
      </c>
      <c r="H28" s="46">
        <f>TRUNC(S28*(1-LOTE_01!$K$10),2)</f>
        <v>2.4700000000000002</v>
      </c>
      <c r="I28" s="46">
        <f>TRUNC(T28*(1-LOTE_01!$K$10),2)</f>
        <v>147.69</v>
      </c>
      <c r="J28" s="100">
        <f t="shared" si="1"/>
        <v>0.22470000000000001</v>
      </c>
      <c r="K28" s="48">
        <f t="shared" si="2"/>
        <v>3.02</v>
      </c>
      <c r="L28" s="48">
        <f t="shared" si="3"/>
        <v>180.87</v>
      </c>
      <c r="M28" s="48">
        <f t="shared" si="4"/>
        <v>2869</v>
      </c>
      <c r="N28" s="48">
        <f t="shared" si="5"/>
        <v>171826.5</v>
      </c>
      <c r="O28" s="50">
        <f t="shared" si="6"/>
        <v>174695.5</v>
      </c>
      <c r="P28" s="50">
        <v>0</v>
      </c>
      <c r="Q28" s="76"/>
      <c r="R28" s="140">
        <f>IF((50*S10+50*S9)&gt;1000,1000,(50*S10+50*S9))</f>
        <v>950</v>
      </c>
      <c r="S28" s="79">
        <v>2.4799999999999898</v>
      </c>
      <c r="T28" s="80">
        <v>147.69</v>
      </c>
    </row>
    <row r="29" spans="2:20" ht="42">
      <c r="B29" s="5" t="s">
        <v>140</v>
      </c>
      <c r="C29" s="45" t="s">
        <v>97</v>
      </c>
      <c r="D29" s="45" t="s">
        <v>141</v>
      </c>
      <c r="E29" s="6" t="s">
        <v>142</v>
      </c>
      <c r="F29" s="45" t="s">
        <v>111</v>
      </c>
      <c r="G29" s="46">
        <f t="shared" si="0"/>
        <v>10</v>
      </c>
      <c r="H29" s="46">
        <f>TRUNC(S29*(1-LOTE_01!$K$10),2)</f>
        <v>62.15</v>
      </c>
      <c r="I29" s="46">
        <f>TRUNC(T29*(1-LOTE_01!$K$10),2)</f>
        <v>941.04</v>
      </c>
      <c r="J29" s="100">
        <f t="shared" si="1"/>
        <v>0.22470000000000001</v>
      </c>
      <c r="K29" s="48">
        <f t="shared" si="2"/>
        <v>76.11</v>
      </c>
      <c r="L29" s="48">
        <f t="shared" si="3"/>
        <v>1152.49</v>
      </c>
      <c r="M29" s="48">
        <f t="shared" si="4"/>
        <v>761.1</v>
      </c>
      <c r="N29" s="48">
        <f t="shared" si="5"/>
        <v>11524.9</v>
      </c>
      <c r="O29" s="50">
        <f t="shared" si="6"/>
        <v>12286</v>
      </c>
      <c r="P29" s="50">
        <v>0</v>
      </c>
      <c r="Q29" s="76"/>
      <c r="R29" s="140">
        <f>IF((2*S9+2*S10)&gt;10,10,(2*S9+2*S10))</f>
        <v>10</v>
      </c>
      <c r="S29" s="79">
        <v>62.15</v>
      </c>
      <c r="T29" s="80">
        <v>941.04</v>
      </c>
    </row>
    <row r="30" spans="2:20">
      <c r="B30" s="5" t="s">
        <v>143</v>
      </c>
      <c r="C30" s="45" t="s">
        <v>97</v>
      </c>
      <c r="D30" s="45" t="s">
        <v>144</v>
      </c>
      <c r="E30" s="6" t="s">
        <v>145</v>
      </c>
      <c r="F30" s="45" t="s">
        <v>104</v>
      </c>
      <c r="G30" s="46">
        <f t="shared" si="0"/>
        <v>19</v>
      </c>
      <c r="H30" s="46">
        <f>TRUNC(S30*(1-LOTE_01!$K$10),2)</f>
        <v>865.4</v>
      </c>
      <c r="I30" s="46">
        <f>TRUNC(T30*(1-LOTE_01!$K$10),2)</f>
        <v>249.83</v>
      </c>
      <c r="J30" s="100">
        <f t="shared" si="1"/>
        <v>0.22470000000000001</v>
      </c>
      <c r="K30" s="48">
        <f t="shared" si="2"/>
        <v>1059.8499999999999</v>
      </c>
      <c r="L30" s="48">
        <f t="shared" si="3"/>
        <v>305.95999999999998</v>
      </c>
      <c r="M30" s="48">
        <f t="shared" si="4"/>
        <v>20137.150000000001</v>
      </c>
      <c r="N30" s="48">
        <f t="shared" si="5"/>
        <v>5813.24</v>
      </c>
      <c r="O30" s="50">
        <f t="shared" si="6"/>
        <v>25950.39</v>
      </c>
      <c r="P30" s="50">
        <v>0</v>
      </c>
      <c r="Q30" s="76"/>
      <c r="R30" s="140">
        <f>S9+S10</f>
        <v>19</v>
      </c>
      <c r="S30" s="79">
        <v>865.4</v>
      </c>
      <c r="T30" s="80">
        <v>249.83</v>
      </c>
    </row>
    <row r="31" spans="2:20" ht="28">
      <c r="B31" s="5" t="s">
        <v>146</v>
      </c>
      <c r="C31" s="45" t="s">
        <v>97</v>
      </c>
      <c r="D31" s="45" t="s">
        <v>147</v>
      </c>
      <c r="E31" s="6" t="s">
        <v>148</v>
      </c>
      <c r="F31" s="45" t="s">
        <v>104</v>
      </c>
      <c r="G31" s="46">
        <f t="shared" si="0"/>
        <v>19</v>
      </c>
      <c r="H31" s="46">
        <f>TRUNC(S31*(1-LOTE_01!$K$10),2)</f>
        <v>1630.57</v>
      </c>
      <c r="I31" s="46">
        <f>TRUNC(T31*(1-LOTE_01!$K$10),2)</f>
        <v>389.92</v>
      </c>
      <c r="J31" s="100">
        <f t="shared" si="1"/>
        <v>0.22470000000000001</v>
      </c>
      <c r="K31" s="48">
        <f t="shared" si="2"/>
        <v>1996.95</v>
      </c>
      <c r="L31" s="48">
        <f t="shared" si="3"/>
        <v>477.53</v>
      </c>
      <c r="M31" s="48">
        <f t="shared" si="4"/>
        <v>37942.050000000003</v>
      </c>
      <c r="N31" s="48">
        <f t="shared" si="5"/>
        <v>9073.07</v>
      </c>
      <c r="O31" s="50">
        <f t="shared" si="6"/>
        <v>47015.12</v>
      </c>
      <c r="P31" s="50">
        <v>0</v>
      </c>
      <c r="Q31" s="76"/>
      <c r="R31" s="140">
        <f>S9+S10</f>
        <v>19</v>
      </c>
      <c r="S31" s="79">
        <v>1630.57</v>
      </c>
      <c r="T31" s="80">
        <v>389.92</v>
      </c>
    </row>
    <row r="32" spans="2:20" ht="28">
      <c r="B32" s="5" t="s">
        <v>149</v>
      </c>
      <c r="C32" s="45" t="s">
        <v>97</v>
      </c>
      <c r="D32" s="45" t="s">
        <v>150</v>
      </c>
      <c r="E32" s="6" t="s">
        <v>151</v>
      </c>
      <c r="F32" s="45" t="s">
        <v>104</v>
      </c>
      <c r="G32" s="46">
        <f t="shared" si="0"/>
        <v>19</v>
      </c>
      <c r="H32" s="46">
        <f>TRUNC(S32*(1-LOTE_01!$K$10),2)</f>
        <v>7908.67</v>
      </c>
      <c r="I32" s="46">
        <f>TRUNC(T32*(1-LOTE_01!$K$10),2)</f>
        <v>1094.02</v>
      </c>
      <c r="J32" s="100">
        <f t="shared" si="1"/>
        <v>0.22470000000000001</v>
      </c>
      <c r="K32" s="48">
        <f>TRUNC(H32*(1+J32),2)</f>
        <v>9685.74</v>
      </c>
      <c r="L32" s="48">
        <f>TRUNC(I32*(1+J32),2)</f>
        <v>1339.84</v>
      </c>
      <c r="M32" s="48">
        <f>TRUNC(K32*G32,2)</f>
        <v>184029.06</v>
      </c>
      <c r="N32" s="48">
        <f>TRUNC(L32*G32,2)</f>
        <v>25456.959999999999</v>
      </c>
      <c r="O32" s="50">
        <f>TRUNC(M32+N32,2)</f>
        <v>209486.02</v>
      </c>
      <c r="P32" s="50">
        <v>0</v>
      </c>
      <c r="Q32" s="76"/>
      <c r="R32" s="140">
        <f>S9+S10</f>
        <v>19</v>
      </c>
      <c r="S32" s="79">
        <v>7908.67</v>
      </c>
      <c r="T32" s="80">
        <v>1094.02</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308280.77</v>
      </c>
      <c r="Q33" s="107"/>
      <c r="R33" s="154"/>
      <c r="S33" s="43" t="s">
        <v>22</v>
      </c>
      <c r="T33" s="44" t="s">
        <v>22</v>
      </c>
    </row>
    <row r="34" spans="2:20" ht="56">
      <c r="B34" s="5" t="s">
        <v>152</v>
      </c>
      <c r="C34" s="45" t="s">
        <v>135</v>
      </c>
      <c r="D34" s="45">
        <v>103689</v>
      </c>
      <c r="E34" s="6" t="s">
        <v>153</v>
      </c>
      <c r="F34" s="45" t="s">
        <v>121</v>
      </c>
      <c r="G34" s="46">
        <f t="shared" si="0"/>
        <v>28.5</v>
      </c>
      <c r="H34" s="46">
        <f>TRUNC(S34*(1-LOTE_01!$K$10),2)</f>
        <v>460.02</v>
      </c>
      <c r="I34" s="46">
        <f>TRUNC(T34*(1-LOTE_01!$K$10),2)</f>
        <v>38.26</v>
      </c>
      <c r="J34" s="100">
        <f t="shared" si="1"/>
        <v>0.22470000000000001</v>
      </c>
      <c r="K34" s="48">
        <f t="shared" si="2"/>
        <v>563.38</v>
      </c>
      <c r="L34" s="48">
        <f t="shared" si="3"/>
        <v>46.85</v>
      </c>
      <c r="M34" s="48">
        <f t="shared" si="4"/>
        <v>16056.33</v>
      </c>
      <c r="N34" s="48">
        <f t="shared" si="5"/>
        <v>1335.22</v>
      </c>
      <c r="O34" s="50">
        <f t="shared" si="6"/>
        <v>17391.55</v>
      </c>
      <c r="P34" s="50">
        <v>0</v>
      </c>
      <c r="Q34" s="76"/>
      <c r="R34" s="140">
        <f>1.5*1*(S9+S10)</f>
        <v>28.5</v>
      </c>
      <c r="S34" s="79">
        <v>460.02</v>
      </c>
      <c r="T34" s="80">
        <v>38.26</v>
      </c>
    </row>
    <row r="35" spans="2:20" ht="112">
      <c r="B35" s="5" t="s">
        <v>154</v>
      </c>
      <c r="C35" s="45" t="s">
        <v>97</v>
      </c>
      <c r="D35" s="45" t="s">
        <v>155</v>
      </c>
      <c r="E35" s="6" t="s">
        <v>156</v>
      </c>
      <c r="F35" s="45" t="s">
        <v>157</v>
      </c>
      <c r="G35" s="46">
        <f t="shared" si="0"/>
        <v>570</v>
      </c>
      <c r="H35" s="46">
        <f>TRUNC(S35*(1-LOTE_01!$K$10),2)</f>
        <v>35</v>
      </c>
      <c r="I35" s="46">
        <f>TRUNC(T35*(1-LOTE_01!$K$10),2)</f>
        <v>0</v>
      </c>
      <c r="J35" s="100">
        <f t="shared" si="1"/>
        <v>0.22470000000000001</v>
      </c>
      <c r="K35" s="48">
        <f t="shared" si="2"/>
        <v>42.86</v>
      </c>
      <c r="L35" s="48">
        <f t="shared" si="3"/>
        <v>0</v>
      </c>
      <c r="M35" s="48">
        <f t="shared" si="4"/>
        <v>24430.2</v>
      </c>
      <c r="N35" s="48">
        <f t="shared" si="5"/>
        <v>0</v>
      </c>
      <c r="O35" s="50">
        <f t="shared" si="6"/>
        <v>24430.2</v>
      </c>
      <c r="P35" s="50">
        <v>0</v>
      </c>
      <c r="Q35" s="76"/>
      <c r="R35" s="140">
        <f>10*3*(S9+S10)</f>
        <v>570</v>
      </c>
      <c r="S35" s="79">
        <v>35</v>
      </c>
      <c r="T35" s="80">
        <v>0</v>
      </c>
    </row>
    <row r="36" spans="2:20" ht="70">
      <c r="B36" s="5" t="s">
        <v>158</v>
      </c>
      <c r="C36" s="45" t="s">
        <v>135</v>
      </c>
      <c r="D36" s="45">
        <v>97063</v>
      </c>
      <c r="E36" s="6" t="s">
        <v>159</v>
      </c>
      <c r="F36" s="45" t="s">
        <v>121</v>
      </c>
      <c r="G36" s="46">
        <f t="shared" si="0"/>
        <v>1368</v>
      </c>
      <c r="H36" s="46">
        <f>TRUNC(S36*(1-LOTE_01!$K$10),2)</f>
        <v>5.08</v>
      </c>
      <c r="I36" s="46">
        <f>TRUNC(T36*(1-LOTE_01!$K$10),2)</f>
        <v>18.18</v>
      </c>
      <c r="J36" s="100">
        <f t="shared" si="1"/>
        <v>0.22470000000000001</v>
      </c>
      <c r="K36" s="48">
        <f t="shared" si="2"/>
        <v>6.22</v>
      </c>
      <c r="L36" s="48">
        <f t="shared" si="3"/>
        <v>22.26</v>
      </c>
      <c r="M36" s="48">
        <f t="shared" si="4"/>
        <v>8508.9599999999991</v>
      </c>
      <c r="N36" s="48">
        <f t="shared" si="5"/>
        <v>30451.68</v>
      </c>
      <c r="O36" s="50">
        <f t="shared" si="6"/>
        <v>38960.639999999999</v>
      </c>
      <c r="P36" s="50">
        <v>0</v>
      </c>
      <c r="Q36" s="76"/>
      <c r="R36" s="140">
        <f>6*12*(S9+S10)</f>
        <v>1368</v>
      </c>
      <c r="S36" s="79">
        <v>5.0800000000000018</v>
      </c>
      <c r="T36" s="80">
        <v>18.18</v>
      </c>
    </row>
    <row r="37" spans="2:20" ht="84">
      <c r="B37" s="5" t="s">
        <v>160</v>
      </c>
      <c r="C37" s="45" t="s">
        <v>135</v>
      </c>
      <c r="D37" s="45">
        <v>100981</v>
      </c>
      <c r="E37" s="6" t="s">
        <v>1768</v>
      </c>
      <c r="F37" s="45" t="s">
        <v>161</v>
      </c>
      <c r="G37" s="46">
        <f t="shared" si="0"/>
        <v>684</v>
      </c>
      <c r="H37" s="46">
        <f>TRUNC(S37*(1-LOTE_01!$K$10),2)</f>
        <v>8.34</v>
      </c>
      <c r="I37" s="46">
        <f>TRUNC(T37*(1-LOTE_01!$K$10),2)</f>
        <v>1.85</v>
      </c>
      <c r="J37" s="100">
        <f t="shared" si="1"/>
        <v>0.22470000000000001</v>
      </c>
      <c r="K37" s="48">
        <f t="shared" si="2"/>
        <v>10.210000000000001</v>
      </c>
      <c r="L37" s="48">
        <f t="shared" si="3"/>
        <v>2.2599999999999998</v>
      </c>
      <c r="M37" s="48">
        <f t="shared" si="4"/>
        <v>6983.64</v>
      </c>
      <c r="N37" s="48">
        <f t="shared" si="5"/>
        <v>1545.84</v>
      </c>
      <c r="O37" s="50">
        <f t="shared" si="6"/>
        <v>8529.48</v>
      </c>
      <c r="P37" s="50">
        <v>0</v>
      </c>
      <c r="Q37" s="76"/>
      <c r="R37" s="140">
        <f>6*6*(S9+S10)</f>
        <v>684</v>
      </c>
      <c r="S37" s="79">
        <v>8.34</v>
      </c>
      <c r="T37" s="80">
        <v>1.85</v>
      </c>
    </row>
    <row r="38" spans="2:20" ht="56">
      <c r="B38" s="5" t="s">
        <v>162</v>
      </c>
      <c r="C38" s="45" t="s">
        <v>135</v>
      </c>
      <c r="D38" s="45">
        <v>97914</v>
      </c>
      <c r="E38" s="6" t="s">
        <v>1769</v>
      </c>
      <c r="F38" s="45" t="s">
        <v>163</v>
      </c>
      <c r="G38" s="46">
        <f t="shared" si="0"/>
        <v>41040</v>
      </c>
      <c r="H38" s="46">
        <f>TRUNC(S38*(1-LOTE_01!$K$10),2)</f>
        <v>2.84</v>
      </c>
      <c r="I38" s="46">
        <f>TRUNC(T38*(1-LOTE_01!$K$10),2)</f>
        <v>0.53</v>
      </c>
      <c r="J38" s="100">
        <f t="shared" si="1"/>
        <v>0.22470000000000001</v>
      </c>
      <c r="K38" s="48">
        <f t="shared" si="2"/>
        <v>3.47</v>
      </c>
      <c r="L38" s="48">
        <f t="shared" si="3"/>
        <v>0.64</v>
      </c>
      <c r="M38" s="48">
        <f t="shared" si="4"/>
        <v>142408.79999999999</v>
      </c>
      <c r="N38" s="48">
        <f t="shared" si="5"/>
        <v>26265.599999999999</v>
      </c>
      <c r="O38" s="50">
        <f t="shared" si="6"/>
        <v>168674.4</v>
      </c>
      <c r="P38" s="50">
        <v>0</v>
      </c>
      <c r="Q38" s="76"/>
      <c r="R38" s="140">
        <f>R37*60</f>
        <v>41040</v>
      </c>
      <c r="S38" s="79">
        <v>2.84</v>
      </c>
      <c r="T38" s="80">
        <v>0.53</v>
      </c>
    </row>
    <row r="39" spans="2:20" ht="28">
      <c r="B39" s="5" t="s">
        <v>164</v>
      </c>
      <c r="C39" s="45" t="s">
        <v>165</v>
      </c>
      <c r="D39" s="45" t="s">
        <v>166</v>
      </c>
      <c r="E39" s="6" t="s">
        <v>167</v>
      </c>
      <c r="F39" s="45" t="s">
        <v>168</v>
      </c>
      <c r="G39" s="46">
        <f t="shared" si="0"/>
        <v>50</v>
      </c>
      <c r="H39" s="46">
        <f>TRUNC(S39*(1-LOTE_01!$K$10),2)</f>
        <v>543.80999999999995</v>
      </c>
      <c r="I39" s="46">
        <f>TRUNC(T39*(1-LOTE_01!$K$10),2)</f>
        <v>277.52999999999997</v>
      </c>
      <c r="J39" s="100">
        <f t="shared" si="1"/>
        <v>0.22470000000000001</v>
      </c>
      <c r="K39" s="48">
        <f t="shared" si="2"/>
        <v>666</v>
      </c>
      <c r="L39" s="48">
        <f t="shared" si="3"/>
        <v>339.89</v>
      </c>
      <c r="M39" s="48">
        <f t="shared" si="4"/>
        <v>33300</v>
      </c>
      <c r="N39" s="48">
        <f t="shared" si="5"/>
        <v>16994.5</v>
      </c>
      <c r="O39" s="50">
        <f t="shared" si="6"/>
        <v>50294.5</v>
      </c>
      <c r="P39" s="50">
        <v>0</v>
      </c>
      <c r="Q39" s="76"/>
      <c r="R39" s="140">
        <f>IF((3*S9+3*S10)&gt;50,50,(3*S9+3*S10))</f>
        <v>50</v>
      </c>
      <c r="S39" s="79">
        <v>543.80999999999995</v>
      </c>
      <c r="T39" s="80">
        <v>277.52999999999997</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759247.3899999999</v>
      </c>
      <c r="Q40" s="107"/>
      <c r="R40" s="154"/>
      <c r="S40" s="43" t="s">
        <v>22</v>
      </c>
      <c r="T40" s="44" t="s">
        <v>22</v>
      </c>
    </row>
    <row r="41" spans="2:20" ht="42">
      <c r="B41" s="5" t="s">
        <v>169</v>
      </c>
      <c r="C41" s="45" t="s">
        <v>135</v>
      </c>
      <c r="D41" s="45">
        <v>97622</v>
      </c>
      <c r="E41" s="6" t="s">
        <v>170</v>
      </c>
      <c r="F41" s="45" t="s">
        <v>161</v>
      </c>
      <c r="G41" s="46">
        <f t="shared" si="0"/>
        <v>380</v>
      </c>
      <c r="H41" s="46">
        <f>TRUNC(S41*(1-LOTE_01!$K$10),2)</f>
        <v>19.149999999999999</v>
      </c>
      <c r="I41" s="46">
        <f>TRUNC(T41*(1-LOTE_01!$K$10),2)</f>
        <v>50.58</v>
      </c>
      <c r="J41" s="100">
        <f t="shared" si="1"/>
        <v>0.22470000000000001</v>
      </c>
      <c r="K41" s="48">
        <f t="shared" si="2"/>
        <v>23.45</v>
      </c>
      <c r="L41" s="48">
        <f t="shared" si="3"/>
        <v>61.94</v>
      </c>
      <c r="M41" s="48">
        <f t="shared" si="4"/>
        <v>8911</v>
      </c>
      <c r="N41" s="48">
        <f t="shared" si="5"/>
        <v>23537.200000000001</v>
      </c>
      <c r="O41" s="50">
        <f t="shared" si="6"/>
        <v>32448.2</v>
      </c>
      <c r="P41" s="50">
        <v>0</v>
      </c>
      <c r="Q41" s="76"/>
      <c r="R41" s="140">
        <f>20*S9+20*S10</f>
        <v>380</v>
      </c>
      <c r="S41" s="79">
        <v>19.150000000000006</v>
      </c>
      <c r="T41" s="80">
        <v>50.58</v>
      </c>
    </row>
    <row r="42" spans="2:20" ht="42">
      <c r="B42" s="5" t="s">
        <v>171</v>
      </c>
      <c r="C42" s="45" t="s">
        <v>135</v>
      </c>
      <c r="D42" s="45">
        <v>97624</v>
      </c>
      <c r="E42" s="6" t="s">
        <v>172</v>
      </c>
      <c r="F42" s="45" t="s">
        <v>161</v>
      </c>
      <c r="G42" s="46">
        <f t="shared" si="0"/>
        <v>10</v>
      </c>
      <c r="H42" s="46">
        <f>TRUNC(S42*(1-LOTE_01!$K$10),2)</f>
        <v>35.99</v>
      </c>
      <c r="I42" s="46">
        <f>TRUNC(T42*(1-LOTE_01!$K$10),2)</f>
        <v>95.11</v>
      </c>
      <c r="J42" s="100">
        <f t="shared" si="1"/>
        <v>0.22470000000000001</v>
      </c>
      <c r="K42" s="48">
        <f t="shared" si="2"/>
        <v>44.07</v>
      </c>
      <c r="L42" s="48">
        <f t="shared" si="3"/>
        <v>116.48</v>
      </c>
      <c r="M42" s="48">
        <f t="shared" si="4"/>
        <v>440.7</v>
      </c>
      <c r="N42" s="48">
        <f t="shared" si="5"/>
        <v>1164.8</v>
      </c>
      <c r="O42" s="50">
        <f t="shared" si="6"/>
        <v>1605.5</v>
      </c>
      <c r="P42" s="50">
        <v>0</v>
      </c>
      <c r="Q42" s="76"/>
      <c r="R42" s="140">
        <f>IF((5*S9+5*S10)&gt;10,10,(5*S9+5*S10))</f>
        <v>10</v>
      </c>
      <c r="S42" s="79">
        <v>35.989999999999995</v>
      </c>
      <c r="T42" s="80">
        <v>95.11</v>
      </c>
    </row>
    <row r="43" spans="2:20" ht="56">
      <c r="B43" s="5" t="s">
        <v>173</v>
      </c>
      <c r="C43" s="45" t="s">
        <v>135</v>
      </c>
      <c r="D43" s="45">
        <v>97625</v>
      </c>
      <c r="E43" s="6" t="s">
        <v>174</v>
      </c>
      <c r="F43" s="45" t="s">
        <v>161</v>
      </c>
      <c r="G43" s="46">
        <f t="shared" si="0"/>
        <v>105</v>
      </c>
      <c r="H43" s="46">
        <f>TRUNC(S43*(1-LOTE_01!$K$10),2)</f>
        <v>51.41</v>
      </c>
      <c r="I43" s="46">
        <f>TRUNC(T43*(1-LOTE_01!$K$10),2)</f>
        <v>10.26</v>
      </c>
      <c r="J43" s="100">
        <f t="shared" si="1"/>
        <v>0.22470000000000001</v>
      </c>
      <c r="K43" s="48">
        <f t="shared" si="2"/>
        <v>62.96</v>
      </c>
      <c r="L43" s="48">
        <f t="shared" si="3"/>
        <v>12.56</v>
      </c>
      <c r="M43" s="48">
        <f t="shared" si="4"/>
        <v>6610.8</v>
      </c>
      <c r="N43" s="48">
        <f t="shared" si="5"/>
        <v>1318.8</v>
      </c>
      <c r="O43" s="50">
        <f t="shared" si="6"/>
        <v>7929.6</v>
      </c>
      <c r="P43" s="50">
        <v>0</v>
      </c>
      <c r="Q43" s="76"/>
      <c r="R43" s="140">
        <f>IF((5*S9+10*S10)&gt;200,200,(5*S9+10*S10))</f>
        <v>105</v>
      </c>
      <c r="S43" s="79">
        <v>51.410000000000004</v>
      </c>
      <c r="T43" s="80">
        <v>10.26</v>
      </c>
    </row>
    <row r="44" spans="2:20" ht="56">
      <c r="B44" s="5" t="s">
        <v>175</v>
      </c>
      <c r="C44" s="45" t="s">
        <v>135</v>
      </c>
      <c r="D44" s="45">
        <v>97626</v>
      </c>
      <c r="E44" s="6" t="s">
        <v>176</v>
      </c>
      <c r="F44" s="45" t="s">
        <v>161</v>
      </c>
      <c r="G44" s="46">
        <f t="shared" si="0"/>
        <v>10</v>
      </c>
      <c r="H44" s="46">
        <f>TRUNC(S44*(1-LOTE_01!$K$10),2)</f>
        <v>192.3</v>
      </c>
      <c r="I44" s="46">
        <f>TRUNC(T44*(1-LOTE_01!$K$10),2)</f>
        <v>508.49</v>
      </c>
      <c r="J44" s="100">
        <f t="shared" si="1"/>
        <v>0.22470000000000001</v>
      </c>
      <c r="K44" s="48">
        <f t="shared" si="2"/>
        <v>235.5</v>
      </c>
      <c r="L44" s="48">
        <f t="shared" si="3"/>
        <v>622.74</v>
      </c>
      <c r="M44" s="48">
        <f t="shared" si="4"/>
        <v>2355</v>
      </c>
      <c r="N44" s="48">
        <f t="shared" si="5"/>
        <v>6227.4</v>
      </c>
      <c r="O44" s="50">
        <f t="shared" si="6"/>
        <v>8582.4</v>
      </c>
      <c r="P44" s="50">
        <v>0</v>
      </c>
      <c r="Q44" s="76"/>
      <c r="R44" s="140">
        <f>IF((S9+S10)&gt;10,10,(S9+S10))</f>
        <v>10</v>
      </c>
      <c r="S44" s="79">
        <v>192.29999999999995</v>
      </c>
      <c r="T44" s="80">
        <v>508.49</v>
      </c>
    </row>
    <row r="45" spans="2:20" ht="42">
      <c r="B45" s="5" t="s">
        <v>177</v>
      </c>
      <c r="C45" s="45" t="s">
        <v>135</v>
      </c>
      <c r="D45" s="45">
        <v>97628</v>
      </c>
      <c r="E45" s="6" t="s">
        <v>178</v>
      </c>
      <c r="F45" s="45" t="s">
        <v>161</v>
      </c>
      <c r="G45" s="46">
        <f t="shared" si="0"/>
        <v>5</v>
      </c>
      <c r="H45" s="46">
        <f>TRUNC(S45*(1-LOTE_01!$K$10),2)</f>
        <v>89.56</v>
      </c>
      <c r="I45" s="46">
        <f>TRUNC(T45*(1-LOTE_01!$K$10),2)</f>
        <v>236.82</v>
      </c>
      <c r="J45" s="100">
        <f t="shared" si="1"/>
        <v>0.22470000000000001</v>
      </c>
      <c r="K45" s="48">
        <f t="shared" si="2"/>
        <v>109.68</v>
      </c>
      <c r="L45" s="48">
        <f t="shared" si="3"/>
        <v>290.02999999999997</v>
      </c>
      <c r="M45" s="48">
        <f t="shared" si="4"/>
        <v>548.4</v>
      </c>
      <c r="N45" s="48">
        <f t="shared" si="5"/>
        <v>1450.15</v>
      </c>
      <c r="O45" s="50">
        <f t="shared" si="6"/>
        <v>1998.55</v>
      </c>
      <c r="P45" s="50">
        <v>0</v>
      </c>
      <c r="Q45" s="76"/>
      <c r="R45" s="140">
        <f>IF((S10+S9)&gt;5,5,(S10+S9))</f>
        <v>5</v>
      </c>
      <c r="S45" s="79">
        <v>89.56</v>
      </c>
      <c r="T45" s="80">
        <v>236.82</v>
      </c>
    </row>
    <row r="46" spans="2:20" ht="28">
      <c r="B46" s="5" t="s">
        <v>179</v>
      </c>
      <c r="C46" s="45" t="s">
        <v>165</v>
      </c>
      <c r="D46" s="45" t="s">
        <v>180</v>
      </c>
      <c r="E46" s="6" t="s">
        <v>181</v>
      </c>
      <c r="F46" s="45" t="s">
        <v>182</v>
      </c>
      <c r="G46" s="46">
        <f t="shared" si="0"/>
        <v>5</v>
      </c>
      <c r="H46" s="46">
        <f>TRUNC(S46*(1-LOTE_01!$K$10),2)</f>
        <v>0</v>
      </c>
      <c r="I46" s="46">
        <f>TRUNC(T46*(1-LOTE_01!$K$10),2)</f>
        <v>241.36</v>
      </c>
      <c r="J46" s="100">
        <f t="shared" si="1"/>
        <v>0.22470000000000001</v>
      </c>
      <c r="K46" s="48">
        <f t="shared" si="2"/>
        <v>0</v>
      </c>
      <c r="L46" s="48">
        <f t="shared" si="3"/>
        <v>295.58999999999997</v>
      </c>
      <c r="M46" s="48">
        <f t="shared" si="4"/>
        <v>0</v>
      </c>
      <c r="N46" s="48">
        <f t="shared" si="5"/>
        <v>1477.95</v>
      </c>
      <c r="O46" s="50">
        <f t="shared" si="6"/>
        <v>1477.95</v>
      </c>
      <c r="P46" s="50">
        <v>0</v>
      </c>
      <c r="Q46" s="76"/>
      <c r="R46" s="140">
        <f>IF((S10+S9)&gt;5,5,(S10+S9))</f>
        <v>5</v>
      </c>
      <c r="S46" s="79">
        <v>0</v>
      </c>
      <c r="T46" s="80">
        <v>241.36</v>
      </c>
    </row>
    <row r="47" spans="2:20" ht="42">
      <c r="B47" s="5" t="s">
        <v>183</v>
      </c>
      <c r="C47" s="45" t="s">
        <v>135</v>
      </c>
      <c r="D47" s="45">
        <v>97631</v>
      </c>
      <c r="E47" s="6" t="s">
        <v>184</v>
      </c>
      <c r="F47" s="45" t="s">
        <v>121</v>
      </c>
      <c r="G47" s="46">
        <f t="shared" si="0"/>
        <v>1000</v>
      </c>
      <c r="H47" s="46">
        <f>TRUNC(S47*(1-LOTE_01!$K$10),2)</f>
        <v>3.78</v>
      </c>
      <c r="I47" s="46">
        <f>TRUNC(T47*(1-LOTE_01!$K$10),2)</f>
        <v>10.15</v>
      </c>
      <c r="J47" s="100">
        <f t="shared" si="1"/>
        <v>0.22470000000000001</v>
      </c>
      <c r="K47" s="48">
        <f t="shared" si="2"/>
        <v>4.62</v>
      </c>
      <c r="L47" s="48">
        <f t="shared" si="3"/>
        <v>12.43</v>
      </c>
      <c r="M47" s="48">
        <f t="shared" si="4"/>
        <v>4620</v>
      </c>
      <c r="N47" s="48">
        <f t="shared" si="5"/>
        <v>12430</v>
      </c>
      <c r="O47" s="50">
        <f t="shared" si="6"/>
        <v>17050</v>
      </c>
      <c r="P47" s="50">
        <v>0</v>
      </c>
      <c r="Q47" s="76"/>
      <c r="R47" s="140">
        <f>IF((50*S9+100*S10)&gt;1000,1000,(50*S9+100*S10))</f>
        <v>1000</v>
      </c>
      <c r="S47" s="79">
        <v>3.7799999999999994</v>
      </c>
      <c r="T47" s="80">
        <v>10.15</v>
      </c>
    </row>
    <row r="48" spans="2:20" ht="42">
      <c r="B48" s="5" t="s">
        <v>185</v>
      </c>
      <c r="C48" s="45" t="s">
        <v>135</v>
      </c>
      <c r="D48" s="45">
        <v>97632</v>
      </c>
      <c r="E48" s="6" t="s">
        <v>186</v>
      </c>
      <c r="F48" s="45" t="s">
        <v>187</v>
      </c>
      <c r="G48" s="46">
        <f t="shared" si="0"/>
        <v>1900</v>
      </c>
      <c r="H48" s="46">
        <f>TRUNC(S48*(1-LOTE_01!$K$10),2)</f>
        <v>0.87</v>
      </c>
      <c r="I48" s="46">
        <f>TRUNC(T48*(1-LOTE_01!$K$10),2)</f>
        <v>2.35</v>
      </c>
      <c r="J48" s="100">
        <f t="shared" si="1"/>
        <v>0.22470000000000001</v>
      </c>
      <c r="K48" s="48">
        <f t="shared" si="2"/>
        <v>1.06</v>
      </c>
      <c r="L48" s="48">
        <f t="shared" si="3"/>
        <v>2.87</v>
      </c>
      <c r="M48" s="48">
        <f t="shared" si="4"/>
        <v>2014</v>
      </c>
      <c r="N48" s="48">
        <f t="shared" si="5"/>
        <v>5453</v>
      </c>
      <c r="O48" s="50">
        <f t="shared" si="6"/>
        <v>7467</v>
      </c>
      <c r="P48" s="50">
        <v>0</v>
      </c>
      <c r="Q48" s="76"/>
      <c r="R48" s="140">
        <f>100*S9+100*S10</f>
        <v>1900</v>
      </c>
      <c r="S48" s="79">
        <v>0.87000000000000011</v>
      </c>
      <c r="T48" s="80">
        <v>2.35</v>
      </c>
    </row>
    <row r="49" spans="2:20" ht="42">
      <c r="B49" s="5" t="s">
        <v>188</v>
      </c>
      <c r="C49" s="45" t="s">
        <v>135</v>
      </c>
      <c r="D49" s="45">
        <v>97633</v>
      </c>
      <c r="E49" s="6" t="s">
        <v>189</v>
      </c>
      <c r="F49" s="45" t="s">
        <v>121</v>
      </c>
      <c r="G49" s="46">
        <f t="shared" si="0"/>
        <v>1650</v>
      </c>
      <c r="H49" s="46">
        <f>TRUNC(S49*(1-LOTE_01!$K$10),2)</f>
        <v>7.54</v>
      </c>
      <c r="I49" s="46">
        <f>TRUNC(T49*(1-LOTE_01!$K$10),2)</f>
        <v>20.56</v>
      </c>
      <c r="J49" s="100">
        <f t="shared" si="1"/>
        <v>0.22470000000000001</v>
      </c>
      <c r="K49" s="48">
        <f t="shared" si="2"/>
        <v>9.23</v>
      </c>
      <c r="L49" s="48">
        <f t="shared" si="3"/>
        <v>25.17</v>
      </c>
      <c r="M49" s="48">
        <f t="shared" si="4"/>
        <v>15229.5</v>
      </c>
      <c r="N49" s="48">
        <f t="shared" si="5"/>
        <v>41530.5</v>
      </c>
      <c r="O49" s="50">
        <f t="shared" si="6"/>
        <v>56760</v>
      </c>
      <c r="P49" s="50">
        <v>0</v>
      </c>
      <c r="Q49" s="76"/>
      <c r="R49" s="140">
        <f>400*S10+50*S9</f>
        <v>1650</v>
      </c>
      <c r="S49" s="79">
        <v>7.5400000000000027</v>
      </c>
      <c r="T49" s="80">
        <v>20.56</v>
      </c>
    </row>
    <row r="50" spans="2:20" ht="28">
      <c r="B50" s="5" t="s">
        <v>190</v>
      </c>
      <c r="C50" s="45" t="s">
        <v>165</v>
      </c>
      <c r="D50" s="45" t="s">
        <v>191</v>
      </c>
      <c r="E50" s="6" t="s">
        <v>192</v>
      </c>
      <c r="F50" s="45" t="s">
        <v>168</v>
      </c>
      <c r="G50" s="46">
        <f t="shared" si="0"/>
        <v>1140</v>
      </c>
      <c r="H50" s="46">
        <f>TRUNC(S50*(1-LOTE_01!$K$10),2)</f>
        <v>0</v>
      </c>
      <c r="I50" s="46">
        <f>TRUNC(T50*(1-LOTE_01!$K$10),2)</f>
        <v>4.6399999999999997</v>
      </c>
      <c r="J50" s="100">
        <f t="shared" si="1"/>
        <v>0.22470000000000001</v>
      </c>
      <c r="K50" s="48">
        <f t="shared" si="2"/>
        <v>0</v>
      </c>
      <c r="L50" s="48">
        <f t="shared" si="3"/>
        <v>5.68</v>
      </c>
      <c r="M50" s="48">
        <f t="shared" si="4"/>
        <v>0</v>
      </c>
      <c r="N50" s="48">
        <f t="shared" si="5"/>
        <v>6475.2</v>
      </c>
      <c r="O50" s="50">
        <f t="shared" si="6"/>
        <v>6475.2</v>
      </c>
      <c r="P50" s="50">
        <v>0</v>
      </c>
      <c r="Q50" s="76"/>
      <c r="R50" s="140">
        <f>400*S10+20*S9</f>
        <v>1140</v>
      </c>
      <c r="S50" s="79">
        <v>0</v>
      </c>
      <c r="T50" s="80">
        <v>4.6399999999999997</v>
      </c>
    </row>
    <row r="51" spans="2:20" ht="56">
      <c r="B51" s="5" t="s">
        <v>193</v>
      </c>
      <c r="C51" s="45" t="s">
        <v>135</v>
      </c>
      <c r="D51" s="45">
        <v>97627</v>
      </c>
      <c r="E51" s="6" t="s">
        <v>194</v>
      </c>
      <c r="F51" s="45" t="s">
        <v>161</v>
      </c>
      <c r="G51" s="46">
        <f t="shared" si="0"/>
        <v>10</v>
      </c>
      <c r="H51" s="46">
        <f>TRUNC(S51*(1-LOTE_01!$K$10),2)</f>
        <v>63.07</v>
      </c>
      <c r="I51" s="46">
        <f>TRUNC(T51*(1-LOTE_01!$K$10),2)</f>
        <v>146.25</v>
      </c>
      <c r="J51" s="100">
        <f t="shared" si="1"/>
        <v>0.22470000000000001</v>
      </c>
      <c r="K51" s="48">
        <f t="shared" si="2"/>
        <v>77.239999999999995</v>
      </c>
      <c r="L51" s="48">
        <f t="shared" si="3"/>
        <v>179.11</v>
      </c>
      <c r="M51" s="48">
        <f t="shared" si="4"/>
        <v>772.4</v>
      </c>
      <c r="N51" s="48">
        <f t="shared" si="5"/>
        <v>1791.1</v>
      </c>
      <c r="O51" s="50">
        <f t="shared" si="6"/>
        <v>2563.5</v>
      </c>
      <c r="P51" s="50">
        <v>0</v>
      </c>
      <c r="Q51" s="76"/>
      <c r="R51" s="140">
        <f>IF((S9+S10)&gt;10,10,(S9+S10))</f>
        <v>10</v>
      </c>
      <c r="S51" s="79">
        <v>63.069999999999993</v>
      </c>
      <c r="T51" s="80">
        <v>146.25</v>
      </c>
    </row>
    <row r="52" spans="2:20" ht="28">
      <c r="B52" s="5" t="s">
        <v>195</v>
      </c>
      <c r="C52" s="45" t="s">
        <v>165</v>
      </c>
      <c r="D52" s="45" t="s">
        <v>196</v>
      </c>
      <c r="E52" s="6" t="s">
        <v>197</v>
      </c>
      <c r="F52" s="45" t="s">
        <v>168</v>
      </c>
      <c r="G52" s="46">
        <f t="shared" si="0"/>
        <v>1000</v>
      </c>
      <c r="H52" s="46">
        <f>TRUNC(S52*(1-LOTE_01!$K$10),2)</f>
        <v>0</v>
      </c>
      <c r="I52" s="46">
        <f>TRUNC(T52*(1-LOTE_01!$K$10),2)</f>
        <v>24.14</v>
      </c>
      <c r="J52" s="100">
        <f t="shared" si="1"/>
        <v>0.22470000000000001</v>
      </c>
      <c r="K52" s="48">
        <f t="shared" si="2"/>
        <v>0</v>
      </c>
      <c r="L52" s="48">
        <f t="shared" si="3"/>
        <v>29.56</v>
      </c>
      <c r="M52" s="48">
        <f t="shared" si="4"/>
        <v>0</v>
      </c>
      <c r="N52" s="48">
        <f t="shared" si="5"/>
        <v>29560</v>
      </c>
      <c r="O52" s="50">
        <f t="shared" si="6"/>
        <v>29560</v>
      </c>
      <c r="P52" s="50">
        <v>0</v>
      </c>
      <c r="Q52" s="76"/>
      <c r="R52" s="140">
        <f>IF((50*S9+100*S10)&gt;1000,1000,(50*S9+100*S10))</f>
        <v>1000</v>
      </c>
      <c r="S52" s="79">
        <v>0</v>
      </c>
      <c r="T52" s="80">
        <v>24.14</v>
      </c>
    </row>
    <row r="53" spans="2:20" ht="28">
      <c r="B53" s="5" t="s">
        <v>198</v>
      </c>
      <c r="C53" s="45" t="s">
        <v>165</v>
      </c>
      <c r="D53" s="45" t="s">
        <v>199</v>
      </c>
      <c r="E53" s="6" t="s">
        <v>200</v>
      </c>
      <c r="F53" s="45" t="s">
        <v>168</v>
      </c>
      <c r="G53" s="46">
        <f t="shared" si="0"/>
        <v>200</v>
      </c>
      <c r="H53" s="46">
        <f>TRUNC(S53*(1-LOTE_01!$K$10),2)</f>
        <v>0</v>
      </c>
      <c r="I53" s="46">
        <f>TRUNC(T53*(1-LOTE_01!$K$10),2)</f>
        <v>13</v>
      </c>
      <c r="J53" s="100">
        <f t="shared" si="1"/>
        <v>0.22470000000000001</v>
      </c>
      <c r="K53" s="48">
        <f t="shared" si="2"/>
        <v>0</v>
      </c>
      <c r="L53" s="48">
        <f t="shared" si="3"/>
        <v>15.92</v>
      </c>
      <c r="M53" s="48">
        <f t="shared" si="4"/>
        <v>0</v>
      </c>
      <c r="N53" s="48">
        <f t="shared" si="5"/>
        <v>3184</v>
      </c>
      <c r="O53" s="50">
        <f t="shared" si="6"/>
        <v>3184</v>
      </c>
      <c r="P53" s="50">
        <v>0</v>
      </c>
      <c r="Q53" s="76"/>
      <c r="R53" s="140">
        <f>IF(50*(S10+S9)&gt;200,200,50*(S10+S9))</f>
        <v>200</v>
      </c>
      <c r="S53" s="79">
        <v>0</v>
      </c>
      <c r="T53" s="80">
        <v>13</v>
      </c>
    </row>
    <row r="54" spans="2:20" ht="28">
      <c r="B54" s="5" t="s">
        <v>201</v>
      </c>
      <c r="C54" s="45" t="s">
        <v>165</v>
      </c>
      <c r="D54" s="45" t="s">
        <v>202</v>
      </c>
      <c r="E54" s="6" t="s">
        <v>203</v>
      </c>
      <c r="F54" s="45" t="s">
        <v>168</v>
      </c>
      <c r="G54" s="46">
        <f t="shared" si="0"/>
        <v>200</v>
      </c>
      <c r="H54" s="46">
        <f>TRUNC(S54*(1-LOTE_01!$K$10),2)</f>
        <v>0</v>
      </c>
      <c r="I54" s="46">
        <f>TRUNC(T54*(1-LOTE_01!$K$10),2)</f>
        <v>24.21</v>
      </c>
      <c r="J54" s="100">
        <f t="shared" si="1"/>
        <v>0.22470000000000001</v>
      </c>
      <c r="K54" s="48">
        <f t="shared" si="2"/>
        <v>0</v>
      </c>
      <c r="L54" s="48">
        <f t="shared" si="3"/>
        <v>29.64</v>
      </c>
      <c r="M54" s="48">
        <f t="shared" si="4"/>
        <v>0</v>
      </c>
      <c r="N54" s="48">
        <f t="shared" si="5"/>
        <v>5928</v>
      </c>
      <c r="O54" s="50">
        <f t="shared" si="6"/>
        <v>5928</v>
      </c>
      <c r="P54" s="50">
        <v>0</v>
      </c>
      <c r="Q54" s="76"/>
      <c r="R54" s="140">
        <f>IF(20*(S10+S9)&gt;200,200,20*(S10+S9))</f>
        <v>200</v>
      </c>
      <c r="S54" s="79">
        <v>0</v>
      </c>
      <c r="T54" s="80">
        <v>24.21</v>
      </c>
    </row>
    <row r="55" spans="2:20" ht="42">
      <c r="B55" s="5" t="s">
        <v>204</v>
      </c>
      <c r="C55" s="45" t="s">
        <v>165</v>
      </c>
      <c r="D55" s="45" t="s">
        <v>205</v>
      </c>
      <c r="E55" s="6" t="s">
        <v>206</v>
      </c>
      <c r="F55" s="45" t="s">
        <v>168</v>
      </c>
      <c r="G55" s="46">
        <f t="shared" si="0"/>
        <v>7600</v>
      </c>
      <c r="H55" s="46">
        <f>TRUNC(S55*(1-LOTE_01!$K$10),2)</f>
        <v>0</v>
      </c>
      <c r="I55" s="46">
        <f>TRUNC(T55*(1-LOTE_01!$K$10),2)</f>
        <v>25.99</v>
      </c>
      <c r="J55" s="100">
        <f t="shared" si="1"/>
        <v>0.22470000000000001</v>
      </c>
      <c r="K55" s="48">
        <f t="shared" si="2"/>
        <v>0</v>
      </c>
      <c r="L55" s="48">
        <f t="shared" si="3"/>
        <v>31.82</v>
      </c>
      <c r="M55" s="48">
        <f t="shared" si="4"/>
        <v>0</v>
      </c>
      <c r="N55" s="48">
        <f t="shared" si="5"/>
        <v>241832</v>
      </c>
      <c r="O55" s="50">
        <f t="shared" si="6"/>
        <v>241832</v>
      </c>
      <c r="P55" s="50">
        <v>0</v>
      </c>
      <c r="Q55" s="76"/>
      <c r="R55" s="140">
        <f>400*(S10+S9)</f>
        <v>7600</v>
      </c>
      <c r="S55" s="79">
        <v>0</v>
      </c>
      <c r="T55" s="80">
        <v>25.99</v>
      </c>
    </row>
    <row r="56" spans="2:20" ht="28">
      <c r="B56" s="5" t="s">
        <v>207</v>
      </c>
      <c r="C56" s="45" t="s">
        <v>165</v>
      </c>
      <c r="D56" s="45" t="s">
        <v>196</v>
      </c>
      <c r="E56" s="6" t="s">
        <v>197</v>
      </c>
      <c r="F56" s="45" t="s">
        <v>168</v>
      </c>
      <c r="G56" s="46">
        <f t="shared" si="0"/>
        <v>1000</v>
      </c>
      <c r="H56" s="46">
        <f>TRUNC(S56*(1-LOTE_01!$K$10),2)</f>
        <v>0</v>
      </c>
      <c r="I56" s="46">
        <f>TRUNC(T56*(1-LOTE_01!$K$10),2)</f>
        <v>24.14</v>
      </c>
      <c r="J56" s="100">
        <f t="shared" si="1"/>
        <v>0.22470000000000001</v>
      </c>
      <c r="K56" s="48">
        <f t="shared" si="2"/>
        <v>0</v>
      </c>
      <c r="L56" s="48">
        <f t="shared" si="3"/>
        <v>29.56</v>
      </c>
      <c r="M56" s="48">
        <f t="shared" si="4"/>
        <v>0</v>
      </c>
      <c r="N56" s="48">
        <f t="shared" si="5"/>
        <v>29560</v>
      </c>
      <c r="O56" s="50">
        <f t="shared" si="6"/>
        <v>29560</v>
      </c>
      <c r="P56" s="50">
        <v>0</v>
      </c>
      <c r="Q56" s="76"/>
      <c r="R56" s="140">
        <f>IF((50*S9+100*S10)&gt;1000,1000,(50*S9+100*S10))</f>
        <v>1000</v>
      </c>
      <c r="S56" s="79">
        <v>0</v>
      </c>
      <c r="T56" s="80">
        <v>24.14</v>
      </c>
    </row>
    <row r="57" spans="2:20" ht="42">
      <c r="B57" s="5" t="s">
        <v>208</v>
      </c>
      <c r="C57" s="45" t="s">
        <v>135</v>
      </c>
      <c r="D57" s="45">
        <v>97666</v>
      </c>
      <c r="E57" s="6" t="s">
        <v>209</v>
      </c>
      <c r="F57" s="45" t="s">
        <v>210</v>
      </c>
      <c r="G57" s="46">
        <f t="shared" si="0"/>
        <v>30</v>
      </c>
      <c r="H57" s="46">
        <f>TRUNC(S57*(1-LOTE_01!$K$10),2)</f>
        <v>2.98</v>
      </c>
      <c r="I57" s="46">
        <f>TRUNC(T57*(1-LOTE_01!$K$10),2)</f>
        <v>8.2200000000000006</v>
      </c>
      <c r="J57" s="100">
        <f t="shared" si="1"/>
        <v>0.22470000000000001</v>
      </c>
      <c r="K57" s="48">
        <f t="shared" si="2"/>
        <v>3.64</v>
      </c>
      <c r="L57" s="48">
        <f t="shared" si="3"/>
        <v>10.06</v>
      </c>
      <c r="M57" s="48">
        <f t="shared" si="4"/>
        <v>109.2</v>
      </c>
      <c r="N57" s="48">
        <f t="shared" si="5"/>
        <v>301.8</v>
      </c>
      <c r="O57" s="50">
        <f t="shared" si="6"/>
        <v>411</v>
      </c>
      <c r="P57" s="50">
        <v>0</v>
      </c>
      <c r="Q57" s="76"/>
      <c r="R57" s="140">
        <f>IF((2*S9+8*S10)&gt;30,30,(2*S9+8*S10))</f>
        <v>30</v>
      </c>
      <c r="S57" s="79">
        <v>2.9799999999999986</v>
      </c>
      <c r="T57" s="80">
        <v>8.2200000000000006</v>
      </c>
    </row>
    <row r="58" spans="2:20" ht="56">
      <c r="B58" s="5" t="s">
        <v>211</v>
      </c>
      <c r="C58" s="45" t="s">
        <v>135</v>
      </c>
      <c r="D58" s="45">
        <v>97635</v>
      </c>
      <c r="E58" s="6" t="s">
        <v>212</v>
      </c>
      <c r="F58" s="45" t="s">
        <v>121</v>
      </c>
      <c r="G58" s="46">
        <f t="shared" si="0"/>
        <v>300</v>
      </c>
      <c r="H58" s="46">
        <f>TRUNC(S58*(1-LOTE_01!$K$10),2)</f>
        <v>5.24</v>
      </c>
      <c r="I58" s="46">
        <f>TRUNC(T58*(1-LOTE_01!$K$10),2)</f>
        <v>14.23</v>
      </c>
      <c r="J58" s="100">
        <f t="shared" si="1"/>
        <v>0.22470000000000001</v>
      </c>
      <c r="K58" s="48">
        <f t="shared" si="2"/>
        <v>6.41</v>
      </c>
      <c r="L58" s="48">
        <f t="shared" si="3"/>
        <v>17.420000000000002</v>
      </c>
      <c r="M58" s="48">
        <f t="shared" si="4"/>
        <v>1923</v>
      </c>
      <c r="N58" s="48">
        <f t="shared" si="5"/>
        <v>5226</v>
      </c>
      <c r="O58" s="50">
        <f t="shared" si="6"/>
        <v>7149</v>
      </c>
      <c r="P58" s="50">
        <v>0</v>
      </c>
      <c r="Q58" s="76"/>
      <c r="R58" s="140">
        <f>IF((50*S9+100*S10)&gt;300,300,(50*S9+100*S10))</f>
        <v>300</v>
      </c>
      <c r="S58" s="79">
        <v>5.2399999999999984</v>
      </c>
      <c r="T58" s="80">
        <v>14.23</v>
      </c>
    </row>
    <row r="59" spans="2:20" ht="56">
      <c r="B59" s="5" t="s">
        <v>213</v>
      </c>
      <c r="C59" s="45" t="s">
        <v>135</v>
      </c>
      <c r="D59" s="45">
        <v>97643</v>
      </c>
      <c r="E59" s="6" t="s">
        <v>214</v>
      </c>
      <c r="F59" s="45" t="s">
        <v>121</v>
      </c>
      <c r="G59" s="46">
        <f t="shared" si="0"/>
        <v>200</v>
      </c>
      <c r="H59" s="46">
        <f>TRUNC(S59*(1-LOTE_01!$K$10),2)</f>
        <v>8.23</v>
      </c>
      <c r="I59" s="46">
        <f>TRUNC(T59*(1-LOTE_01!$K$10),2)</f>
        <v>22.42</v>
      </c>
      <c r="J59" s="100">
        <f t="shared" si="1"/>
        <v>0.22470000000000001</v>
      </c>
      <c r="K59" s="48">
        <f t="shared" si="2"/>
        <v>10.07</v>
      </c>
      <c r="L59" s="48">
        <f t="shared" si="3"/>
        <v>27.45</v>
      </c>
      <c r="M59" s="48">
        <f t="shared" si="4"/>
        <v>2014</v>
      </c>
      <c r="N59" s="48">
        <f t="shared" si="5"/>
        <v>5490</v>
      </c>
      <c r="O59" s="50">
        <f t="shared" si="6"/>
        <v>7504</v>
      </c>
      <c r="P59" s="50">
        <v>0</v>
      </c>
      <c r="Q59" s="76"/>
      <c r="R59" s="140">
        <f>IF((50*S9+50*S10)&gt;200,200,(50*S9+50*S10))</f>
        <v>200</v>
      </c>
      <c r="S59" s="79">
        <v>8.2299999999999969</v>
      </c>
      <c r="T59" s="80">
        <v>22.42</v>
      </c>
    </row>
    <row r="60" spans="2:20" ht="28">
      <c r="B60" s="5" t="s">
        <v>215</v>
      </c>
      <c r="C60" s="45" t="s">
        <v>165</v>
      </c>
      <c r="D60" s="45" t="s">
        <v>216</v>
      </c>
      <c r="E60" s="6" t="s">
        <v>217</v>
      </c>
      <c r="F60" s="45" t="s">
        <v>168</v>
      </c>
      <c r="G60" s="46">
        <f t="shared" si="0"/>
        <v>50</v>
      </c>
      <c r="H60" s="46">
        <f>TRUNC(S60*(1-LOTE_01!$K$10),2)</f>
        <v>0</v>
      </c>
      <c r="I60" s="46">
        <f>TRUNC(T60*(1-LOTE_01!$K$10),2)</f>
        <v>1.86</v>
      </c>
      <c r="J60" s="100">
        <f t="shared" si="1"/>
        <v>0.22470000000000001</v>
      </c>
      <c r="K60" s="48">
        <f t="shared" si="2"/>
        <v>0</v>
      </c>
      <c r="L60" s="48">
        <f t="shared" si="3"/>
        <v>2.27</v>
      </c>
      <c r="M60" s="48">
        <f t="shared" si="4"/>
        <v>0</v>
      </c>
      <c r="N60" s="48">
        <f t="shared" si="5"/>
        <v>113.5</v>
      </c>
      <c r="O60" s="50">
        <f t="shared" si="6"/>
        <v>113.5</v>
      </c>
      <c r="P60" s="50">
        <v>0</v>
      </c>
      <c r="Q60" s="76"/>
      <c r="R60" s="140">
        <f>IF((50*S9+50*S10)&gt;50,50,(50*S9+50*S10))</f>
        <v>50</v>
      </c>
      <c r="S60" s="79">
        <v>0</v>
      </c>
      <c r="T60" s="80">
        <v>1.86</v>
      </c>
    </row>
    <row r="61" spans="2:20" ht="28">
      <c r="B61" s="5" t="s">
        <v>218</v>
      </c>
      <c r="C61" s="45" t="s">
        <v>165</v>
      </c>
      <c r="D61" s="45" t="s">
        <v>219</v>
      </c>
      <c r="E61" s="6" t="s">
        <v>220</v>
      </c>
      <c r="F61" s="45" t="s">
        <v>168</v>
      </c>
      <c r="G61" s="46">
        <f t="shared" si="0"/>
        <v>500</v>
      </c>
      <c r="H61" s="46">
        <f>TRUNC(S61*(1-LOTE_01!$K$10),2)</f>
        <v>0</v>
      </c>
      <c r="I61" s="46">
        <f>TRUNC(T61*(1-LOTE_01!$K$10),2)</f>
        <v>16.71</v>
      </c>
      <c r="J61" s="100">
        <f t="shared" si="1"/>
        <v>0.22470000000000001</v>
      </c>
      <c r="K61" s="48">
        <f t="shared" si="2"/>
        <v>0</v>
      </c>
      <c r="L61" s="48">
        <f t="shared" si="3"/>
        <v>20.46</v>
      </c>
      <c r="M61" s="48">
        <f t="shared" si="4"/>
        <v>0</v>
      </c>
      <c r="N61" s="48">
        <f t="shared" si="5"/>
        <v>10230</v>
      </c>
      <c r="O61" s="50">
        <f t="shared" si="6"/>
        <v>10230</v>
      </c>
      <c r="P61" s="50">
        <v>0</v>
      </c>
      <c r="Q61" s="76"/>
      <c r="R61" s="140">
        <f>IF((20*S9+200*S10)&gt;500,500,((20*S9+200*S10)))</f>
        <v>500</v>
      </c>
      <c r="S61" s="79">
        <v>0</v>
      </c>
      <c r="T61" s="80">
        <v>16.71</v>
      </c>
    </row>
    <row r="62" spans="2:20" ht="42">
      <c r="B62" s="5" t="s">
        <v>221</v>
      </c>
      <c r="C62" s="45" t="s">
        <v>135</v>
      </c>
      <c r="D62" s="45">
        <v>97641</v>
      </c>
      <c r="E62" s="6" t="s">
        <v>222</v>
      </c>
      <c r="F62" s="45" t="s">
        <v>121</v>
      </c>
      <c r="G62" s="46">
        <f t="shared" si="0"/>
        <v>125</v>
      </c>
      <c r="H62" s="46">
        <f>TRUNC(S62*(1-LOTE_01!$K$10),2)</f>
        <v>0.97</v>
      </c>
      <c r="I62" s="46">
        <f>TRUNC(T62*(1-LOTE_01!$K$10),2)</f>
        <v>2.58</v>
      </c>
      <c r="J62" s="100">
        <f t="shared" si="1"/>
        <v>0.22470000000000001</v>
      </c>
      <c r="K62" s="48">
        <f t="shared" si="2"/>
        <v>1.18</v>
      </c>
      <c r="L62" s="48">
        <f t="shared" si="3"/>
        <v>3.15</v>
      </c>
      <c r="M62" s="48">
        <f t="shared" si="4"/>
        <v>147.5</v>
      </c>
      <c r="N62" s="48">
        <f t="shared" si="5"/>
        <v>393.75</v>
      </c>
      <c r="O62" s="50">
        <f t="shared" si="6"/>
        <v>541.25</v>
      </c>
      <c r="P62" s="50">
        <v>0</v>
      </c>
      <c r="Q62" s="76"/>
      <c r="R62" s="140">
        <f>IF((5*S9+20*S10)&gt;500,500,(5*S9+20*S10))</f>
        <v>125</v>
      </c>
      <c r="S62" s="79">
        <v>0.96999999999999975</v>
      </c>
      <c r="T62" s="80">
        <v>2.58</v>
      </c>
    </row>
    <row r="63" spans="2:20" ht="56">
      <c r="B63" s="5" t="s">
        <v>223</v>
      </c>
      <c r="C63" s="45" t="s">
        <v>135</v>
      </c>
      <c r="D63" s="45">
        <v>97640</v>
      </c>
      <c r="E63" s="6" t="s">
        <v>224</v>
      </c>
      <c r="F63" s="45" t="s">
        <v>121</v>
      </c>
      <c r="G63" s="46">
        <f t="shared" si="0"/>
        <v>2000</v>
      </c>
      <c r="H63" s="46">
        <f>TRUNC(S63*(1-LOTE_01!$K$10),2)</f>
        <v>0.64</v>
      </c>
      <c r="I63" s="46">
        <f>TRUNC(T63*(1-LOTE_01!$K$10),2)</f>
        <v>1.82</v>
      </c>
      <c r="J63" s="100">
        <f t="shared" si="1"/>
        <v>0.22470000000000001</v>
      </c>
      <c r="K63" s="48">
        <f t="shared" si="2"/>
        <v>0.78</v>
      </c>
      <c r="L63" s="48">
        <f t="shared" si="3"/>
        <v>2.2200000000000002</v>
      </c>
      <c r="M63" s="48">
        <f t="shared" si="4"/>
        <v>1560</v>
      </c>
      <c r="N63" s="48">
        <f t="shared" si="5"/>
        <v>4440</v>
      </c>
      <c r="O63" s="50">
        <f t="shared" si="6"/>
        <v>6000</v>
      </c>
      <c r="P63" s="50">
        <v>0</v>
      </c>
      <c r="Q63" s="76"/>
      <c r="R63" s="140">
        <f>IF((200*S9+200*S10)&gt;2000,2000,((20*S9+200*S10)))</f>
        <v>2000</v>
      </c>
      <c r="S63" s="79">
        <v>0.6399999999999999</v>
      </c>
      <c r="T63" s="80">
        <v>1.82</v>
      </c>
    </row>
    <row r="64" spans="2:20" ht="42">
      <c r="B64" s="5" t="s">
        <v>225</v>
      </c>
      <c r="C64" s="45" t="s">
        <v>135</v>
      </c>
      <c r="D64" s="45">
        <v>97663</v>
      </c>
      <c r="E64" s="6" t="s">
        <v>226</v>
      </c>
      <c r="F64" s="45" t="s">
        <v>210</v>
      </c>
      <c r="G64" s="46">
        <f t="shared" si="0"/>
        <v>950</v>
      </c>
      <c r="H64" s="46">
        <f>TRUNC(S64*(1-LOTE_01!$K$10),2)</f>
        <v>4.09</v>
      </c>
      <c r="I64" s="46">
        <f>TRUNC(T64*(1-LOTE_01!$K$10),2)</f>
        <v>11.27</v>
      </c>
      <c r="J64" s="100">
        <f t="shared" si="1"/>
        <v>0.22470000000000001</v>
      </c>
      <c r="K64" s="48">
        <f t="shared" si="2"/>
        <v>5</v>
      </c>
      <c r="L64" s="48">
        <f t="shared" si="3"/>
        <v>13.8</v>
      </c>
      <c r="M64" s="48">
        <f t="shared" si="4"/>
        <v>4750</v>
      </c>
      <c r="N64" s="48">
        <f t="shared" si="5"/>
        <v>13110</v>
      </c>
      <c r="O64" s="50">
        <f t="shared" si="6"/>
        <v>17860</v>
      </c>
      <c r="P64" s="50">
        <v>0</v>
      </c>
      <c r="Q64" s="76"/>
      <c r="R64" s="140">
        <f>50*(S9+S10)</f>
        <v>950</v>
      </c>
      <c r="S64" s="79">
        <v>4.09</v>
      </c>
      <c r="T64" s="80">
        <v>11.27</v>
      </c>
    </row>
    <row r="65" spans="2:20" ht="42">
      <c r="B65" s="5" t="s">
        <v>227</v>
      </c>
      <c r="C65" s="45" t="s">
        <v>135</v>
      </c>
      <c r="D65" s="45">
        <v>97638</v>
      </c>
      <c r="E65" s="6" t="s">
        <v>228</v>
      </c>
      <c r="F65" s="45" t="s">
        <v>121</v>
      </c>
      <c r="G65" s="46">
        <f t="shared" si="0"/>
        <v>500</v>
      </c>
      <c r="H65" s="46">
        <f>TRUNC(S65*(1-LOTE_01!$K$10),2)</f>
        <v>2.7</v>
      </c>
      <c r="I65" s="46">
        <f>TRUNC(T65*(1-LOTE_01!$K$10),2)</f>
        <v>7.81</v>
      </c>
      <c r="J65" s="100">
        <f t="shared" si="1"/>
        <v>0.22470000000000001</v>
      </c>
      <c r="K65" s="48">
        <f t="shared" si="2"/>
        <v>3.3</v>
      </c>
      <c r="L65" s="48">
        <f t="shared" si="3"/>
        <v>9.56</v>
      </c>
      <c r="M65" s="48">
        <f t="shared" si="4"/>
        <v>1650</v>
      </c>
      <c r="N65" s="48">
        <f t="shared" si="5"/>
        <v>4780</v>
      </c>
      <c r="O65" s="50">
        <f t="shared" si="6"/>
        <v>6430</v>
      </c>
      <c r="P65" s="50">
        <v>0</v>
      </c>
      <c r="Q65" s="76"/>
      <c r="R65" s="140">
        <f>IF((20*S9+100*S10)&gt;500,500,(20*S9+100*S10))</f>
        <v>500</v>
      </c>
      <c r="S65" s="79">
        <v>2.7</v>
      </c>
      <c r="T65" s="80">
        <v>7.81</v>
      </c>
    </row>
    <row r="66" spans="2:20" ht="56">
      <c r="B66" s="5" t="s">
        <v>229</v>
      </c>
      <c r="C66" s="45" t="s">
        <v>135</v>
      </c>
      <c r="D66" s="45">
        <v>97642</v>
      </c>
      <c r="E66" s="6" t="s">
        <v>230</v>
      </c>
      <c r="F66" s="45" t="s">
        <v>121</v>
      </c>
      <c r="G66" s="46">
        <f t="shared" si="0"/>
        <v>570</v>
      </c>
      <c r="H66" s="46">
        <f>TRUNC(S66*(1-LOTE_01!$K$10),2)</f>
        <v>0.9</v>
      </c>
      <c r="I66" s="46">
        <f>TRUNC(T66*(1-LOTE_01!$K$10),2)</f>
        <v>2.61</v>
      </c>
      <c r="J66" s="100">
        <f t="shared" si="1"/>
        <v>0.22470000000000001</v>
      </c>
      <c r="K66" s="48">
        <f t="shared" si="2"/>
        <v>1.1000000000000001</v>
      </c>
      <c r="L66" s="48">
        <f t="shared" si="3"/>
        <v>3.19</v>
      </c>
      <c r="M66" s="48">
        <f t="shared" si="4"/>
        <v>627</v>
      </c>
      <c r="N66" s="48">
        <f t="shared" si="5"/>
        <v>1818.3</v>
      </c>
      <c r="O66" s="50">
        <f t="shared" si="6"/>
        <v>2445.3000000000002</v>
      </c>
      <c r="P66" s="50">
        <v>0</v>
      </c>
      <c r="Q66" s="76"/>
      <c r="R66" s="140">
        <f>IF((10*S9+200*S10)&gt;2000,2000,((10*S9+200*S10)))</f>
        <v>570</v>
      </c>
      <c r="S66" s="79">
        <v>0.89999999999999991</v>
      </c>
      <c r="T66" s="80">
        <v>2.61</v>
      </c>
    </row>
    <row r="67" spans="2:20" ht="42">
      <c r="B67" s="5" t="s">
        <v>231</v>
      </c>
      <c r="C67" s="45" t="s">
        <v>135</v>
      </c>
      <c r="D67" s="45">
        <v>97650</v>
      </c>
      <c r="E67" s="6" t="s">
        <v>232</v>
      </c>
      <c r="F67" s="45" t="s">
        <v>121</v>
      </c>
      <c r="G67" s="46">
        <f t="shared" si="0"/>
        <v>540</v>
      </c>
      <c r="H67" s="46">
        <f>TRUNC(S67*(1-LOTE_01!$K$10),2)</f>
        <v>2.5099999999999998</v>
      </c>
      <c r="I67" s="46">
        <f>TRUNC(T67*(1-LOTE_01!$K$10),2)</f>
        <v>6.79</v>
      </c>
      <c r="J67" s="100">
        <f t="shared" si="1"/>
        <v>0.22470000000000001</v>
      </c>
      <c r="K67" s="48">
        <f t="shared" si="2"/>
        <v>3.07</v>
      </c>
      <c r="L67" s="48">
        <f t="shared" si="3"/>
        <v>8.31</v>
      </c>
      <c r="M67" s="48">
        <f t="shared" si="4"/>
        <v>1657.8</v>
      </c>
      <c r="N67" s="48">
        <f t="shared" si="5"/>
        <v>4487.3999999999996</v>
      </c>
      <c r="O67" s="50">
        <f t="shared" si="6"/>
        <v>6145.2</v>
      </c>
      <c r="P67" s="50">
        <v>0</v>
      </c>
      <c r="Q67" s="76"/>
      <c r="R67" s="140">
        <f>IF((20*S9+300*S10)&gt;1000,1000,(20*S9+100*S10))</f>
        <v>540</v>
      </c>
      <c r="S67" s="79">
        <v>2.5100000000000007</v>
      </c>
      <c r="T67" s="80">
        <v>6.79</v>
      </c>
    </row>
    <row r="68" spans="2:20" ht="56">
      <c r="B68" s="5" t="s">
        <v>233</v>
      </c>
      <c r="C68" s="45" t="s">
        <v>135</v>
      </c>
      <c r="D68" s="45">
        <v>97637</v>
      </c>
      <c r="E68" s="6" t="s">
        <v>234</v>
      </c>
      <c r="F68" s="45" t="s">
        <v>121</v>
      </c>
      <c r="G68" s="46">
        <f t="shared" si="0"/>
        <v>100</v>
      </c>
      <c r="H68" s="46">
        <f>TRUNC(S68*(1-LOTE_01!$K$10),2)</f>
        <v>0.93</v>
      </c>
      <c r="I68" s="46">
        <f>TRUNC(T68*(1-LOTE_01!$K$10),2)</f>
        <v>2.68</v>
      </c>
      <c r="J68" s="100">
        <f t="shared" si="1"/>
        <v>0.22470000000000001</v>
      </c>
      <c r="K68" s="48">
        <f t="shared" si="2"/>
        <v>1.1299999999999999</v>
      </c>
      <c r="L68" s="48">
        <f t="shared" si="3"/>
        <v>3.28</v>
      </c>
      <c r="M68" s="48">
        <f t="shared" si="4"/>
        <v>113</v>
      </c>
      <c r="N68" s="48">
        <f t="shared" si="5"/>
        <v>328</v>
      </c>
      <c r="O68" s="50">
        <f t="shared" si="6"/>
        <v>441</v>
      </c>
      <c r="P68" s="50">
        <v>0</v>
      </c>
      <c r="Q68" s="76"/>
      <c r="R68" s="140">
        <f>IF((10*S9+30*3*S10)&gt;100,100,(10*S9+15*3*S10))</f>
        <v>100</v>
      </c>
      <c r="S68" s="79">
        <v>0.92999999999999972</v>
      </c>
      <c r="T68" s="80">
        <v>2.68</v>
      </c>
    </row>
    <row r="69" spans="2:20" ht="42">
      <c r="B69" s="5" t="s">
        <v>235</v>
      </c>
      <c r="C69" s="45" t="s">
        <v>135</v>
      </c>
      <c r="D69" s="45">
        <v>97644</v>
      </c>
      <c r="E69" s="6" t="s">
        <v>236</v>
      </c>
      <c r="F69" s="45" t="s">
        <v>121</v>
      </c>
      <c r="G69" s="46">
        <f t="shared" si="0"/>
        <v>100</v>
      </c>
      <c r="H69" s="46">
        <f>TRUNC(S69*(1-LOTE_01!$K$10),2)</f>
        <v>3.14</v>
      </c>
      <c r="I69" s="46">
        <f>TRUNC(T69*(1-LOTE_01!$K$10),2)</f>
        <v>8.4600000000000009</v>
      </c>
      <c r="J69" s="100">
        <f t="shared" si="1"/>
        <v>0.22470000000000001</v>
      </c>
      <c r="K69" s="48">
        <f t="shared" si="2"/>
        <v>3.84</v>
      </c>
      <c r="L69" s="48">
        <f t="shared" si="3"/>
        <v>10.36</v>
      </c>
      <c r="M69" s="48">
        <f t="shared" si="4"/>
        <v>384</v>
      </c>
      <c r="N69" s="48">
        <f t="shared" si="5"/>
        <v>1036</v>
      </c>
      <c r="O69" s="50">
        <f t="shared" si="6"/>
        <v>1420</v>
      </c>
      <c r="P69" s="50">
        <v>0</v>
      </c>
      <c r="Q69" s="76"/>
      <c r="R69" s="140">
        <f>IF((0.9*2.1*3*S9+0.9*2.1*3*S10)&gt;100,100,(0.9*2.1*3*S9+0.9*2.1*3*S10))</f>
        <v>100</v>
      </c>
      <c r="S69" s="79">
        <v>3.1399999999999988</v>
      </c>
      <c r="T69" s="80">
        <v>8.4600000000000009</v>
      </c>
    </row>
    <row r="70" spans="2:20" ht="42">
      <c r="B70" s="5" t="s">
        <v>237</v>
      </c>
      <c r="C70" s="45" t="s">
        <v>135</v>
      </c>
      <c r="D70" s="45">
        <v>97645</v>
      </c>
      <c r="E70" s="6" t="s">
        <v>238</v>
      </c>
      <c r="F70" s="45" t="s">
        <v>121</v>
      </c>
      <c r="G70" s="46">
        <f t="shared" si="0"/>
        <v>100</v>
      </c>
      <c r="H70" s="46">
        <f>TRUNC(S70*(1-LOTE_01!$K$10),2)</f>
        <v>8.08</v>
      </c>
      <c r="I70" s="46">
        <f>TRUNC(T70*(1-LOTE_01!$K$10),2)</f>
        <v>21.88</v>
      </c>
      <c r="J70" s="100">
        <f t="shared" si="1"/>
        <v>0.22470000000000001</v>
      </c>
      <c r="K70" s="48">
        <f t="shared" si="2"/>
        <v>9.89</v>
      </c>
      <c r="L70" s="48">
        <f t="shared" si="3"/>
        <v>26.79</v>
      </c>
      <c r="M70" s="48">
        <f t="shared" si="4"/>
        <v>989</v>
      </c>
      <c r="N70" s="48">
        <f t="shared" si="5"/>
        <v>2679</v>
      </c>
      <c r="O70" s="50">
        <f t="shared" si="6"/>
        <v>3668</v>
      </c>
      <c r="P70" s="50">
        <v>0</v>
      </c>
      <c r="Q70" s="76"/>
      <c r="R70" s="140">
        <f>IF((1.5*1*5*2*S9+1.5*1.5*3*(S10))&gt;100,100,(1.5*1*5*2*S9+1.5*1.5*3*(S10)))</f>
        <v>100</v>
      </c>
      <c r="S70" s="79">
        <v>8.0800000000000018</v>
      </c>
      <c r="T70" s="80">
        <v>21.88</v>
      </c>
    </row>
    <row r="71" spans="2:20" ht="56">
      <c r="B71" s="5" t="s">
        <v>239</v>
      </c>
      <c r="C71" s="45" t="s">
        <v>135</v>
      </c>
      <c r="D71" s="45">
        <v>97647</v>
      </c>
      <c r="E71" s="6" t="s">
        <v>240</v>
      </c>
      <c r="F71" s="45" t="s">
        <v>121</v>
      </c>
      <c r="G71" s="46">
        <f t="shared" si="0"/>
        <v>3000</v>
      </c>
      <c r="H71" s="46">
        <f>TRUNC(S71*(1-LOTE_01!$K$10),2)</f>
        <v>1.1599999999999999</v>
      </c>
      <c r="I71" s="46">
        <f>TRUNC(T71*(1-LOTE_01!$K$10),2)</f>
        <v>3.15</v>
      </c>
      <c r="J71" s="100">
        <f t="shared" si="1"/>
        <v>0.22470000000000001</v>
      </c>
      <c r="K71" s="48">
        <f t="shared" si="2"/>
        <v>1.42</v>
      </c>
      <c r="L71" s="48">
        <f t="shared" si="3"/>
        <v>3.85</v>
      </c>
      <c r="M71" s="48">
        <f t="shared" si="4"/>
        <v>4260</v>
      </c>
      <c r="N71" s="48">
        <f t="shared" si="5"/>
        <v>11550</v>
      </c>
      <c r="O71" s="50">
        <f t="shared" si="6"/>
        <v>15810</v>
      </c>
      <c r="P71" s="50">
        <v>0</v>
      </c>
      <c r="Q71" s="76"/>
      <c r="R71" s="140">
        <f>IF((200*S9+300*S10)&gt;3000,3000,(20*S9+200*S10))</f>
        <v>3000</v>
      </c>
      <c r="S71" s="79">
        <v>1.1599999999999997</v>
      </c>
      <c r="T71" s="80">
        <v>3.15</v>
      </c>
    </row>
    <row r="72" spans="2:20" ht="42">
      <c r="B72" s="5" t="s">
        <v>241</v>
      </c>
      <c r="C72" s="45" t="s">
        <v>97</v>
      </c>
      <c r="D72" s="45" t="s">
        <v>242</v>
      </c>
      <c r="E72" s="6" t="s">
        <v>243</v>
      </c>
      <c r="F72" s="45" t="s">
        <v>121</v>
      </c>
      <c r="G72" s="46">
        <f t="shared" si="0"/>
        <v>570</v>
      </c>
      <c r="H72" s="46">
        <f>TRUNC(S72*(1-LOTE_01!$K$10),2)</f>
        <v>5.26</v>
      </c>
      <c r="I72" s="46">
        <f>TRUNC(T72*(1-LOTE_01!$K$10),2)</f>
        <v>14.33</v>
      </c>
      <c r="J72" s="100">
        <f t="shared" si="1"/>
        <v>0.22470000000000001</v>
      </c>
      <c r="K72" s="48">
        <f t="shared" si="2"/>
        <v>6.44</v>
      </c>
      <c r="L72" s="48">
        <f t="shared" si="3"/>
        <v>17.54</v>
      </c>
      <c r="M72" s="48">
        <f t="shared" si="4"/>
        <v>3670.8</v>
      </c>
      <c r="N72" s="48">
        <f t="shared" si="5"/>
        <v>9997.7999999999993</v>
      </c>
      <c r="O72" s="50">
        <f t="shared" si="6"/>
        <v>13668.6</v>
      </c>
      <c r="P72" s="50">
        <v>0</v>
      </c>
      <c r="Q72" s="76"/>
      <c r="R72" s="140">
        <f>10*S9+200*S10</f>
        <v>570</v>
      </c>
      <c r="S72" s="79">
        <v>5.26</v>
      </c>
      <c r="T72" s="80">
        <v>14.33</v>
      </c>
    </row>
    <row r="73" spans="2:20" ht="42">
      <c r="B73" s="5" t="s">
        <v>244</v>
      </c>
      <c r="C73" s="45" t="s">
        <v>135</v>
      </c>
      <c r="D73" s="45">
        <v>97655</v>
      </c>
      <c r="E73" s="6" t="s">
        <v>245</v>
      </c>
      <c r="F73" s="45" t="s">
        <v>121</v>
      </c>
      <c r="G73" s="46">
        <f t="shared" si="0"/>
        <v>500</v>
      </c>
      <c r="H73" s="46">
        <f>TRUNC(S73*(1-LOTE_01!$K$10),2)</f>
        <v>26.62</v>
      </c>
      <c r="I73" s="46">
        <f>TRUNC(T73*(1-LOTE_01!$K$10),2)</f>
        <v>15.9</v>
      </c>
      <c r="J73" s="100">
        <f t="shared" si="1"/>
        <v>0.22470000000000001</v>
      </c>
      <c r="K73" s="48">
        <f t="shared" si="2"/>
        <v>32.6</v>
      </c>
      <c r="L73" s="48">
        <f t="shared" si="3"/>
        <v>19.47</v>
      </c>
      <c r="M73" s="48">
        <f t="shared" si="4"/>
        <v>16300</v>
      </c>
      <c r="N73" s="48">
        <f t="shared" si="5"/>
        <v>9735</v>
      </c>
      <c r="O73" s="50">
        <f t="shared" si="6"/>
        <v>26035</v>
      </c>
      <c r="P73" s="50">
        <v>0</v>
      </c>
      <c r="Q73" s="76"/>
      <c r="R73" s="140">
        <f>IF((20*S9+100*S10)&gt;500,500,(20*S9+100*S10))</f>
        <v>500</v>
      </c>
      <c r="S73" s="79">
        <v>26.620000000000005</v>
      </c>
      <c r="T73" s="80">
        <v>15.9</v>
      </c>
    </row>
    <row r="74" spans="2:20" ht="42">
      <c r="B74" s="5" t="s">
        <v>246</v>
      </c>
      <c r="C74" s="45" t="s">
        <v>97</v>
      </c>
      <c r="D74" s="45" t="s">
        <v>247</v>
      </c>
      <c r="E74" s="6" t="s">
        <v>248</v>
      </c>
      <c r="F74" s="45" t="s">
        <v>104</v>
      </c>
      <c r="G74" s="46">
        <f t="shared" si="0"/>
        <v>20</v>
      </c>
      <c r="H74" s="46">
        <f>TRUNC(S74*(1-LOTE_01!$K$10),2)</f>
        <v>0</v>
      </c>
      <c r="I74" s="46">
        <f>TRUNC(T74*(1-LOTE_01!$K$10),2)</f>
        <v>75.069999999999993</v>
      </c>
      <c r="J74" s="100">
        <f t="shared" si="1"/>
        <v>0.22470000000000001</v>
      </c>
      <c r="K74" s="48">
        <f t="shared" si="2"/>
        <v>0</v>
      </c>
      <c r="L74" s="48">
        <f t="shared" si="3"/>
        <v>91.93</v>
      </c>
      <c r="M74" s="48">
        <f t="shared" si="4"/>
        <v>0</v>
      </c>
      <c r="N74" s="48">
        <f t="shared" si="5"/>
        <v>1838.6</v>
      </c>
      <c r="O74" s="50">
        <f t="shared" si="6"/>
        <v>1838.6</v>
      </c>
      <c r="P74" s="50">
        <v>0</v>
      </c>
      <c r="Q74" s="76"/>
      <c r="R74" s="140">
        <f>IF((1*S9+2*S10)&gt;20,20,(1*S9+1*S10))</f>
        <v>20</v>
      </c>
      <c r="S74" s="79">
        <v>0</v>
      </c>
      <c r="T74" s="80">
        <v>75.069999999999993</v>
      </c>
    </row>
    <row r="75" spans="2:20" ht="42">
      <c r="B75" s="5" t="s">
        <v>249</v>
      </c>
      <c r="C75" s="45" t="s">
        <v>135</v>
      </c>
      <c r="D75" s="45">
        <v>102190</v>
      </c>
      <c r="E75" s="6" t="s">
        <v>1770</v>
      </c>
      <c r="F75" s="45" t="s">
        <v>121</v>
      </c>
      <c r="G75" s="46">
        <f t="shared" si="0"/>
        <v>95</v>
      </c>
      <c r="H75" s="46">
        <f>TRUNC(S75*(1-LOTE_01!$K$10),2)</f>
        <v>5.52</v>
      </c>
      <c r="I75" s="46">
        <f>TRUNC(T75*(1-LOTE_01!$K$10),2)</f>
        <v>14.59</v>
      </c>
      <c r="J75" s="100">
        <f t="shared" si="1"/>
        <v>0.22470000000000001</v>
      </c>
      <c r="K75" s="48">
        <f t="shared" si="2"/>
        <v>6.76</v>
      </c>
      <c r="L75" s="48">
        <f t="shared" si="3"/>
        <v>17.86</v>
      </c>
      <c r="M75" s="48">
        <f t="shared" si="4"/>
        <v>642.20000000000005</v>
      </c>
      <c r="N75" s="48">
        <f t="shared" si="5"/>
        <v>1696.7</v>
      </c>
      <c r="O75" s="50">
        <f t="shared" si="6"/>
        <v>2338.9</v>
      </c>
      <c r="P75" s="50">
        <v>0</v>
      </c>
      <c r="Q75" s="76"/>
      <c r="R75" s="140">
        <f>IF((5*S9+5*S10)&gt;100,100,(5*S9+5*S10))</f>
        <v>95</v>
      </c>
      <c r="S75" s="79">
        <v>5.52</v>
      </c>
      <c r="T75" s="80">
        <v>14.59</v>
      </c>
    </row>
    <row r="76" spans="2:20" ht="56">
      <c r="B76" s="5" t="s">
        <v>250</v>
      </c>
      <c r="C76" s="45" t="s">
        <v>135</v>
      </c>
      <c r="D76" s="45">
        <v>97662</v>
      </c>
      <c r="E76" s="6" t="s">
        <v>251</v>
      </c>
      <c r="F76" s="45" t="s">
        <v>187</v>
      </c>
      <c r="G76" s="46">
        <f t="shared" si="0"/>
        <v>285</v>
      </c>
      <c r="H76" s="46">
        <f>TRUNC(S76*(1-LOTE_01!$K$10),2)</f>
        <v>0.18</v>
      </c>
      <c r="I76" s="46">
        <f>TRUNC(T76*(1-LOTE_01!$K$10),2)</f>
        <v>0.44</v>
      </c>
      <c r="J76" s="100">
        <f t="shared" si="1"/>
        <v>0.22470000000000001</v>
      </c>
      <c r="K76" s="48">
        <f t="shared" si="2"/>
        <v>0.22</v>
      </c>
      <c r="L76" s="48">
        <f t="shared" si="3"/>
        <v>0.53</v>
      </c>
      <c r="M76" s="48">
        <f t="shared" si="4"/>
        <v>62.7</v>
      </c>
      <c r="N76" s="48">
        <f t="shared" si="5"/>
        <v>151.05000000000001</v>
      </c>
      <c r="O76" s="50">
        <f t="shared" si="6"/>
        <v>213.75</v>
      </c>
      <c r="P76" s="50">
        <v>0</v>
      </c>
      <c r="Q76" s="76"/>
      <c r="R76" s="140">
        <f>IF((5*S9+100*S10)&gt;500,500,(5*S9+100*S10))</f>
        <v>285</v>
      </c>
      <c r="S76" s="79">
        <v>0.18</v>
      </c>
      <c r="T76" s="80">
        <v>0.44</v>
      </c>
    </row>
    <row r="77" spans="2:20" ht="42">
      <c r="B77" s="5" t="s">
        <v>252</v>
      </c>
      <c r="C77" s="45" t="s">
        <v>135</v>
      </c>
      <c r="D77" s="45">
        <v>97664</v>
      </c>
      <c r="E77" s="6" t="s">
        <v>253</v>
      </c>
      <c r="F77" s="45" t="s">
        <v>210</v>
      </c>
      <c r="G77" s="46">
        <f t="shared" si="0"/>
        <v>30</v>
      </c>
      <c r="H77" s="46">
        <f>TRUNC(S77*(1-LOTE_01!$K$10),2)</f>
        <v>0.51</v>
      </c>
      <c r="I77" s="46">
        <f>TRUNC(T77*(1-LOTE_01!$K$10),2)</f>
        <v>1.4</v>
      </c>
      <c r="J77" s="100">
        <f t="shared" si="1"/>
        <v>0.22470000000000001</v>
      </c>
      <c r="K77" s="48">
        <f t="shared" si="2"/>
        <v>0.62</v>
      </c>
      <c r="L77" s="48">
        <f t="shared" si="3"/>
        <v>1.71</v>
      </c>
      <c r="M77" s="48">
        <f t="shared" si="4"/>
        <v>18.600000000000001</v>
      </c>
      <c r="N77" s="48">
        <f t="shared" si="5"/>
        <v>51.3</v>
      </c>
      <c r="O77" s="50">
        <f t="shared" si="6"/>
        <v>69.900000000000006</v>
      </c>
      <c r="P77" s="50">
        <v>0</v>
      </c>
      <c r="Q77" s="76"/>
      <c r="R77" s="140">
        <f>IF((2*S9+8*S10)&gt;30,30,(2*S9+8*S10))</f>
        <v>30</v>
      </c>
      <c r="S77" s="79">
        <v>0.51</v>
      </c>
      <c r="T77" s="80">
        <v>1.4</v>
      </c>
    </row>
    <row r="78" spans="2:20" ht="28">
      <c r="B78" s="5" t="s">
        <v>254</v>
      </c>
      <c r="C78" s="45" t="s">
        <v>97</v>
      </c>
      <c r="D78" s="45" t="s">
        <v>255</v>
      </c>
      <c r="E78" s="6" t="s">
        <v>256</v>
      </c>
      <c r="F78" s="45" t="s">
        <v>121</v>
      </c>
      <c r="G78" s="46">
        <f t="shared" si="0"/>
        <v>500</v>
      </c>
      <c r="H78" s="46">
        <f>TRUNC(S78*(1-LOTE_01!$K$10),2)</f>
        <v>2.25</v>
      </c>
      <c r="I78" s="46">
        <f>TRUNC(T78*(1-LOTE_01!$K$10),2)</f>
        <v>5.77</v>
      </c>
      <c r="J78" s="100">
        <f t="shared" si="1"/>
        <v>0.22470000000000001</v>
      </c>
      <c r="K78" s="48">
        <f t="shared" si="2"/>
        <v>2.75</v>
      </c>
      <c r="L78" s="48">
        <f t="shared" si="3"/>
        <v>7.06</v>
      </c>
      <c r="M78" s="48">
        <f t="shared" si="4"/>
        <v>1375</v>
      </c>
      <c r="N78" s="48">
        <f t="shared" si="5"/>
        <v>3530</v>
      </c>
      <c r="O78" s="50">
        <f t="shared" si="6"/>
        <v>4905</v>
      </c>
      <c r="P78" s="50">
        <v>0</v>
      </c>
      <c r="Q78" s="76"/>
      <c r="R78" s="140">
        <f>IF((30*S9+3*20*S10)&gt;500,500,(30*S9+3*20*S10))</f>
        <v>500</v>
      </c>
      <c r="S78" s="79">
        <v>2.25</v>
      </c>
      <c r="T78" s="80">
        <v>5.77</v>
      </c>
    </row>
    <row r="79" spans="2:20" ht="28">
      <c r="B79" s="5" t="s">
        <v>257</v>
      </c>
      <c r="C79" s="45" t="s">
        <v>97</v>
      </c>
      <c r="D79" s="45" t="s">
        <v>258</v>
      </c>
      <c r="E79" s="6" t="s">
        <v>259</v>
      </c>
      <c r="F79" s="45" t="s">
        <v>121</v>
      </c>
      <c r="G79" s="46">
        <f t="shared" si="0"/>
        <v>19</v>
      </c>
      <c r="H79" s="46">
        <f>TRUNC(S79*(1-LOTE_01!$K$10),2)</f>
        <v>8.6300000000000008</v>
      </c>
      <c r="I79" s="46">
        <f>TRUNC(T79*(1-LOTE_01!$K$10),2)</f>
        <v>22.77</v>
      </c>
      <c r="J79" s="100">
        <f t="shared" si="1"/>
        <v>0.22470000000000001</v>
      </c>
      <c r="K79" s="48">
        <f t="shared" si="2"/>
        <v>10.56</v>
      </c>
      <c r="L79" s="48">
        <f t="shared" si="3"/>
        <v>27.88</v>
      </c>
      <c r="M79" s="48">
        <f t="shared" si="4"/>
        <v>200.64</v>
      </c>
      <c r="N79" s="48">
        <f t="shared" si="5"/>
        <v>529.72</v>
      </c>
      <c r="O79" s="50">
        <f t="shared" si="6"/>
        <v>730.36</v>
      </c>
      <c r="P79" s="50">
        <v>0</v>
      </c>
      <c r="Q79" s="76"/>
      <c r="R79" s="140">
        <f>IF((S9+S10)&gt;20,20,(S9+S10))</f>
        <v>19</v>
      </c>
      <c r="S79" s="79">
        <v>8.6300000000000008</v>
      </c>
      <c r="T79" s="80">
        <v>22.77</v>
      </c>
    </row>
    <row r="80" spans="2:20" ht="28">
      <c r="B80" s="5" t="s">
        <v>260</v>
      </c>
      <c r="C80" s="45" t="s">
        <v>97</v>
      </c>
      <c r="D80" s="45" t="s">
        <v>261</v>
      </c>
      <c r="E80" s="6" t="s">
        <v>262</v>
      </c>
      <c r="F80" s="45" t="s">
        <v>121</v>
      </c>
      <c r="G80" s="46">
        <f t="shared" si="0"/>
        <v>44</v>
      </c>
      <c r="H80" s="46">
        <f>TRUNC(S80*(1-LOTE_01!$K$10),2)</f>
        <v>6.92</v>
      </c>
      <c r="I80" s="46">
        <f>TRUNC(T80*(1-LOTE_01!$K$10),2)</f>
        <v>19.079999999999998</v>
      </c>
      <c r="J80" s="100">
        <f t="shared" si="1"/>
        <v>0.22470000000000001</v>
      </c>
      <c r="K80" s="48">
        <f t="shared" si="2"/>
        <v>8.4700000000000006</v>
      </c>
      <c r="L80" s="48">
        <f t="shared" si="3"/>
        <v>23.36</v>
      </c>
      <c r="M80" s="48">
        <f t="shared" si="4"/>
        <v>372.68</v>
      </c>
      <c r="N80" s="48">
        <f t="shared" si="5"/>
        <v>1027.8399999999999</v>
      </c>
      <c r="O80" s="50">
        <f t="shared" si="6"/>
        <v>1400.52</v>
      </c>
      <c r="P80" s="50">
        <v>0</v>
      </c>
      <c r="Q80" s="76"/>
      <c r="R80" s="140">
        <f>IF((5*S10)&gt;50,50,(2*S9+5*S10))</f>
        <v>44</v>
      </c>
      <c r="S80" s="79">
        <v>6.92</v>
      </c>
      <c r="T80" s="80">
        <v>19.079999999999998</v>
      </c>
    </row>
    <row r="81" spans="2:20" ht="28">
      <c r="B81" s="5" t="s">
        <v>263</v>
      </c>
      <c r="C81" s="45" t="s">
        <v>97</v>
      </c>
      <c r="D81" s="45" t="s">
        <v>264</v>
      </c>
      <c r="E81" s="6" t="s">
        <v>265</v>
      </c>
      <c r="F81" s="45" t="s">
        <v>104</v>
      </c>
      <c r="G81" s="46">
        <f t="shared" ref="G81:G134" si="7">TRUNC(R81,2)</f>
        <v>19</v>
      </c>
      <c r="H81" s="46">
        <f>TRUNC(S81*(1-LOTE_01!$K$10),2)</f>
        <v>7.5</v>
      </c>
      <c r="I81" s="46">
        <f>TRUNC(T81*(1-LOTE_01!$K$10),2)</f>
        <v>19.239999999999998</v>
      </c>
      <c r="J81" s="100">
        <f t="shared" ref="J81:J144" si="8">$J$4</f>
        <v>0.22470000000000001</v>
      </c>
      <c r="K81" s="48">
        <f t="shared" ref="K81:K144" si="9">TRUNC(H81*(1+J81),2)</f>
        <v>9.18</v>
      </c>
      <c r="L81" s="48">
        <f t="shared" ref="L81:L144" si="10">TRUNC(I81*(1+J81),2)</f>
        <v>23.56</v>
      </c>
      <c r="M81" s="48">
        <f t="shared" ref="M81:M144" si="11">TRUNC(K81*G81,2)</f>
        <v>174.42</v>
      </c>
      <c r="N81" s="48">
        <f t="shared" ref="N81:N144" si="12">TRUNC(L81*G81,2)</f>
        <v>447.64</v>
      </c>
      <c r="O81" s="50">
        <f t="shared" ref="O81:O144" si="13">TRUNC(M81+N81,2)</f>
        <v>622.05999999999995</v>
      </c>
      <c r="P81" s="50">
        <v>0</v>
      </c>
      <c r="Q81" s="76"/>
      <c r="R81" s="140">
        <f>1*S9+1*S10</f>
        <v>19</v>
      </c>
      <c r="S81" s="79">
        <v>7.5</v>
      </c>
      <c r="T81" s="80">
        <v>19.239999999999998</v>
      </c>
    </row>
    <row r="82" spans="2:20" ht="28">
      <c r="B82" s="5" t="s">
        <v>266</v>
      </c>
      <c r="C82" s="45" t="s">
        <v>97</v>
      </c>
      <c r="D82" s="45" t="s">
        <v>267</v>
      </c>
      <c r="E82" s="6" t="s">
        <v>268</v>
      </c>
      <c r="F82" s="45" t="s">
        <v>104</v>
      </c>
      <c r="G82" s="46">
        <f t="shared" si="7"/>
        <v>38</v>
      </c>
      <c r="H82" s="46">
        <f>TRUNC(S82*(1-LOTE_01!$K$10),2)</f>
        <v>3</v>
      </c>
      <c r="I82" s="46">
        <f>TRUNC(T82*(1-LOTE_01!$K$10),2)</f>
        <v>7.69</v>
      </c>
      <c r="J82" s="100">
        <f t="shared" si="8"/>
        <v>0.22470000000000001</v>
      </c>
      <c r="K82" s="48">
        <f t="shared" si="9"/>
        <v>3.67</v>
      </c>
      <c r="L82" s="48">
        <f t="shared" si="10"/>
        <v>9.41</v>
      </c>
      <c r="M82" s="48">
        <f t="shared" si="11"/>
        <v>139.46</v>
      </c>
      <c r="N82" s="48">
        <f t="shared" si="12"/>
        <v>357.58</v>
      </c>
      <c r="O82" s="50">
        <f t="shared" si="13"/>
        <v>497.04</v>
      </c>
      <c r="P82" s="50">
        <v>0</v>
      </c>
      <c r="Q82" s="76"/>
      <c r="R82" s="140">
        <f>2*S9+2*(S10)</f>
        <v>38</v>
      </c>
      <c r="S82" s="79">
        <v>3</v>
      </c>
      <c r="T82" s="80">
        <v>7.69</v>
      </c>
    </row>
    <row r="83" spans="2:20" ht="28">
      <c r="B83" s="5" t="s">
        <v>269</v>
      </c>
      <c r="C83" s="45" t="s">
        <v>97</v>
      </c>
      <c r="D83" s="45" t="s">
        <v>270</v>
      </c>
      <c r="E83" s="6" t="s">
        <v>271</v>
      </c>
      <c r="F83" s="45" t="s">
        <v>104</v>
      </c>
      <c r="G83" s="46">
        <f t="shared" si="7"/>
        <v>38</v>
      </c>
      <c r="H83" s="46">
        <f>TRUNC(S83*(1-LOTE_01!$K$10),2)</f>
        <v>3.75</v>
      </c>
      <c r="I83" s="46">
        <f>TRUNC(T83*(1-LOTE_01!$K$10),2)</f>
        <v>9.6199999999999992</v>
      </c>
      <c r="J83" s="100">
        <f t="shared" si="8"/>
        <v>0.22470000000000001</v>
      </c>
      <c r="K83" s="48">
        <f t="shared" si="9"/>
        <v>4.59</v>
      </c>
      <c r="L83" s="48">
        <f t="shared" si="10"/>
        <v>11.78</v>
      </c>
      <c r="M83" s="48">
        <f t="shared" si="11"/>
        <v>174.42</v>
      </c>
      <c r="N83" s="48">
        <f t="shared" si="12"/>
        <v>447.64</v>
      </c>
      <c r="O83" s="50">
        <f t="shared" si="13"/>
        <v>622.05999999999995</v>
      </c>
      <c r="P83" s="50">
        <v>0</v>
      </c>
      <c r="Q83" s="76"/>
      <c r="R83" s="140">
        <f>2*S9+2*(S10)</f>
        <v>38</v>
      </c>
      <c r="S83" s="79">
        <v>3.75</v>
      </c>
      <c r="T83" s="80">
        <v>9.6199999999999992</v>
      </c>
    </row>
    <row r="84" spans="2:20">
      <c r="B84" s="5" t="s">
        <v>272</v>
      </c>
      <c r="C84" s="45" t="s">
        <v>97</v>
      </c>
      <c r="D84" s="45" t="s">
        <v>273</v>
      </c>
      <c r="E84" s="6" t="s">
        <v>274</v>
      </c>
      <c r="F84" s="45" t="s">
        <v>104</v>
      </c>
      <c r="G84" s="46">
        <f t="shared" si="7"/>
        <v>190</v>
      </c>
      <c r="H84" s="46">
        <f>TRUNC(S84*(1-LOTE_01!$K$10),2)</f>
        <v>1.5</v>
      </c>
      <c r="I84" s="46">
        <f>TRUNC(T84*(1-LOTE_01!$K$10),2)</f>
        <v>3.84</v>
      </c>
      <c r="J84" s="100">
        <f t="shared" si="8"/>
        <v>0.22470000000000001</v>
      </c>
      <c r="K84" s="48">
        <f t="shared" si="9"/>
        <v>1.83</v>
      </c>
      <c r="L84" s="48">
        <f t="shared" si="10"/>
        <v>4.7</v>
      </c>
      <c r="M84" s="48">
        <f t="shared" si="11"/>
        <v>347.7</v>
      </c>
      <c r="N84" s="48">
        <f t="shared" si="12"/>
        <v>893</v>
      </c>
      <c r="O84" s="50">
        <f t="shared" si="13"/>
        <v>1240.7</v>
      </c>
      <c r="P84" s="50">
        <v>0</v>
      </c>
      <c r="Q84" s="76"/>
      <c r="R84" s="140">
        <f>10*S9+10*S10</f>
        <v>190</v>
      </c>
      <c r="S84" s="79">
        <v>1.5</v>
      </c>
      <c r="T84" s="80">
        <v>3.84</v>
      </c>
    </row>
    <row r="85" spans="2:20" ht="28">
      <c r="B85" s="5" t="s">
        <v>275</v>
      </c>
      <c r="C85" s="45" t="s">
        <v>97</v>
      </c>
      <c r="D85" s="45" t="s">
        <v>276</v>
      </c>
      <c r="E85" s="6" t="s">
        <v>277</v>
      </c>
      <c r="F85" s="45" t="s">
        <v>104</v>
      </c>
      <c r="G85" s="46">
        <f t="shared" si="7"/>
        <v>95</v>
      </c>
      <c r="H85" s="46">
        <f>TRUNC(S85*(1-LOTE_01!$K$10),2)</f>
        <v>3</v>
      </c>
      <c r="I85" s="46">
        <f>TRUNC(T85*(1-LOTE_01!$K$10),2)</f>
        <v>7.69</v>
      </c>
      <c r="J85" s="100">
        <f t="shared" si="8"/>
        <v>0.22470000000000001</v>
      </c>
      <c r="K85" s="48">
        <f t="shared" si="9"/>
        <v>3.67</v>
      </c>
      <c r="L85" s="48">
        <f t="shared" si="10"/>
        <v>9.41</v>
      </c>
      <c r="M85" s="48">
        <f t="shared" si="11"/>
        <v>348.65</v>
      </c>
      <c r="N85" s="48">
        <f t="shared" si="12"/>
        <v>893.95</v>
      </c>
      <c r="O85" s="50">
        <f t="shared" si="13"/>
        <v>1242.5999999999999</v>
      </c>
      <c r="P85" s="50">
        <v>0</v>
      </c>
      <c r="Q85" s="76"/>
      <c r="R85" s="140">
        <f>5*S9+5*(S10)</f>
        <v>95</v>
      </c>
      <c r="S85" s="79">
        <v>3</v>
      </c>
      <c r="T85" s="80">
        <v>7.69</v>
      </c>
    </row>
    <row r="86" spans="2:20" ht="28">
      <c r="B86" s="5" t="s">
        <v>278</v>
      </c>
      <c r="C86" s="45" t="s">
        <v>97</v>
      </c>
      <c r="D86" s="45" t="s">
        <v>279</v>
      </c>
      <c r="E86" s="6" t="s">
        <v>280</v>
      </c>
      <c r="F86" s="45" t="s">
        <v>104</v>
      </c>
      <c r="G86" s="46">
        <f t="shared" si="7"/>
        <v>10</v>
      </c>
      <c r="H86" s="46">
        <f>TRUNC(S86*(1-LOTE_01!$K$10),2)</f>
        <v>637.36</v>
      </c>
      <c r="I86" s="46">
        <f>TRUNC(T86*(1-LOTE_01!$K$10),2)</f>
        <v>160.28</v>
      </c>
      <c r="J86" s="100">
        <f t="shared" si="8"/>
        <v>0.22470000000000001</v>
      </c>
      <c r="K86" s="48">
        <f t="shared" si="9"/>
        <v>780.57</v>
      </c>
      <c r="L86" s="48">
        <f t="shared" si="10"/>
        <v>196.29</v>
      </c>
      <c r="M86" s="48">
        <f t="shared" si="11"/>
        <v>7805.7</v>
      </c>
      <c r="N86" s="48">
        <f t="shared" si="12"/>
        <v>1962.9</v>
      </c>
      <c r="O86" s="50">
        <f t="shared" si="13"/>
        <v>9768.6</v>
      </c>
      <c r="P86" s="50">
        <v>0</v>
      </c>
      <c r="Q86" s="76"/>
      <c r="R86" s="140">
        <f>IF((1*S9+1*S10)&gt;10,10,(1*S9+1*S10))</f>
        <v>10</v>
      </c>
      <c r="S86" s="79">
        <v>637.36</v>
      </c>
      <c r="T86" s="80">
        <v>160.28</v>
      </c>
    </row>
    <row r="87" spans="2:20" ht="42">
      <c r="B87" s="5" t="s">
        <v>281</v>
      </c>
      <c r="C87" s="45" t="s">
        <v>97</v>
      </c>
      <c r="D87" s="45" t="s">
        <v>282</v>
      </c>
      <c r="E87" s="6" t="s">
        <v>283</v>
      </c>
      <c r="F87" s="45" t="s">
        <v>104</v>
      </c>
      <c r="G87" s="46">
        <f t="shared" si="7"/>
        <v>19</v>
      </c>
      <c r="H87" s="46">
        <f>TRUNC(S87*(1-LOTE_01!$K$10),2)</f>
        <v>323.04000000000002</v>
      </c>
      <c r="I87" s="46">
        <f>TRUNC(T87*(1-LOTE_01!$K$10),2)</f>
        <v>75.430000000000007</v>
      </c>
      <c r="J87" s="100">
        <f t="shared" si="8"/>
        <v>0.22470000000000001</v>
      </c>
      <c r="K87" s="48">
        <f t="shared" si="9"/>
        <v>395.62</v>
      </c>
      <c r="L87" s="48">
        <f t="shared" si="10"/>
        <v>92.37</v>
      </c>
      <c r="M87" s="48">
        <f t="shared" si="11"/>
        <v>7516.78</v>
      </c>
      <c r="N87" s="48">
        <f t="shared" si="12"/>
        <v>1755.03</v>
      </c>
      <c r="O87" s="50">
        <f t="shared" si="13"/>
        <v>9271.81</v>
      </c>
      <c r="P87" s="50">
        <v>0</v>
      </c>
      <c r="Q87" s="76"/>
      <c r="R87" s="140">
        <f>1*S9+1*S10</f>
        <v>19</v>
      </c>
      <c r="S87" s="79">
        <v>323.04000000000002</v>
      </c>
      <c r="T87" s="80">
        <v>75.430000000000007</v>
      </c>
    </row>
    <row r="88" spans="2:20" ht="42">
      <c r="B88" s="5" t="s">
        <v>284</v>
      </c>
      <c r="C88" s="45" t="s">
        <v>97</v>
      </c>
      <c r="D88" s="45" t="s">
        <v>285</v>
      </c>
      <c r="E88" s="6" t="s">
        <v>286</v>
      </c>
      <c r="F88" s="45" t="s">
        <v>104</v>
      </c>
      <c r="G88" s="46">
        <f t="shared" si="7"/>
        <v>27</v>
      </c>
      <c r="H88" s="46">
        <f>TRUNC(S88*(1-LOTE_01!$K$10),2)</f>
        <v>14.8</v>
      </c>
      <c r="I88" s="46">
        <f>TRUNC(T88*(1-LOTE_01!$K$10),2)</f>
        <v>42.41</v>
      </c>
      <c r="J88" s="100">
        <f t="shared" si="8"/>
        <v>0.22470000000000001</v>
      </c>
      <c r="K88" s="48">
        <f t="shared" si="9"/>
        <v>18.12</v>
      </c>
      <c r="L88" s="48">
        <f t="shared" si="10"/>
        <v>51.93</v>
      </c>
      <c r="M88" s="48">
        <f t="shared" si="11"/>
        <v>489.24</v>
      </c>
      <c r="N88" s="48">
        <f t="shared" si="12"/>
        <v>1402.11</v>
      </c>
      <c r="O88" s="50">
        <f t="shared" si="13"/>
        <v>1891.35</v>
      </c>
      <c r="P88" s="50">
        <v>0</v>
      </c>
      <c r="Q88" s="76"/>
      <c r="R88" s="140">
        <f>IF((1*S9+5*S10)&gt;30,30,(1*S9+5*S10))</f>
        <v>27</v>
      </c>
      <c r="S88" s="79">
        <v>14.8</v>
      </c>
      <c r="T88" s="80">
        <v>42.41</v>
      </c>
    </row>
    <row r="89" spans="2:20" ht="28">
      <c r="B89" s="5" t="s">
        <v>287</v>
      </c>
      <c r="C89" s="45" t="s">
        <v>97</v>
      </c>
      <c r="D89" s="45" t="s">
        <v>288</v>
      </c>
      <c r="E89" s="6" t="s">
        <v>289</v>
      </c>
      <c r="F89" s="45" t="s">
        <v>104</v>
      </c>
      <c r="G89" s="46">
        <f t="shared" si="7"/>
        <v>27</v>
      </c>
      <c r="H89" s="46">
        <f>TRUNC(S89*(1-LOTE_01!$K$10),2)</f>
        <v>7.53</v>
      </c>
      <c r="I89" s="46">
        <f>TRUNC(T89*(1-LOTE_01!$K$10),2)</f>
        <v>21.4</v>
      </c>
      <c r="J89" s="100">
        <f t="shared" si="8"/>
        <v>0.22470000000000001</v>
      </c>
      <c r="K89" s="48">
        <f t="shared" si="9"/>
        <v>9.2200000000000006</v>
      </c>
      <c r="L89" s="48">
        <f t="shared" si="10"/>
        <v>26.2</v>
      </c>
      <c r="M89" s="48">
        <f t="shared" si="11"/>
        <v>248.94</v>
      </c>
      <c r="N89" s="48">
        <f t="shared" si="12"/>
        <v>707.4</v>
      </c>
      <c r="O89" s="50">
        <f t="shared" si="13"/>
        <v>956.34</v>
      </c>
      <c r="P89" s="50">
        <v>0</v>
      </c>
      <c r="Q89" s="76"/>
      <c r="R89" s="140">
        <f>IF((1*S9+5*S10)&gt;30,30,(1*S9+5*S10))</f>
        <v>27</v>
      </c>
      <c r="S89" s="79">
        <v>7.53</v>
      </c>
      <c r="T89" s="80">
        <v>21.4</v>
      </c>
    </row>
    <row r="90" spans="2:20" ht="28">
      <c r="B90" s="5" t="s">
        <v>290</v>
      </c>
      <c r="C90" s="45" t="s">
        <v>135</v>
      </c>
      <c r="D90" s="45">
        <v>102192</v>
      </c>
      <c r="E90" s="6" t="s">
        <v>1771</v>
      </c>
      <c r="F90" s="45" t="s">
        <v>121</v>
      </c>
      <c r="G90" s="46">
        <f t="shared" si="7"/>
        <v>440</v>
      </c>
      <c r="H90" s="46">
        <f>TRUNC(S90*(1-LOTE_01!$K$10),2)</f>
        <v>5.27</v>
      </c>
      <c r="I90" s="46">
        <f>TRUNC(T90*(1-LOTE_01!$K$10),2)</f>
        <v>13.95</v>
      </c>
      <c r="J90" s="100">
        <f t="shared" si="8"/>
        <v>0.22470000000000001</v>
      </c>
      <c r="K90" s="48">
        <f t="shared" si="9"/>
        <v>6.45</v>
      </c>
      <c r="L90" s="48">
        <f t="shared" si="10"/>
        <v>17.079999999999998</v>
      </c>
      <c r="M90" s="48">
        <f t="shared" si="11"/>
        <v>2838</v>
      </c>
      <c r="N90" s="48">
        <f t="shared" si="12"/>
        <v>7515.2</v>
      </c>
      <c r="O90" s="50">
        <f t="shared" si="13"/>
        <v>10353.200000000001</v>
      </c>
      <c r="P90" s="50">
        <v>0</v>
      </c>
      <c r="Q90" s="76"/>
      <c r="R90" s="140">
        <f>IF((20*S9+50*S10)&gt;500,500,50*S10+20*S9)</f>
        <v>440</v>
      </c>
      <c r="S90" s="79">
        <v>5.27</v>
      </c>
      <c r="T90" s="80">
        <v>13.95</v>
      </c>
    </row>
    <row r="91" spans="2:20" ht="42">
      <c r="B91" s="5" t="s">
        <v>291</v>
      </c>
      <c r="C91" s="45" t="s">
        <v>97</v>
      </c>
      <c r="D91" s="45" t="s">
        <v>292</v>
      </c>
      <c r="E91" s="6" t="s">
        <v>293</v>
      </c>
      <c r="F91" s="45" t="s">
        <v>104</v>
      </c>
      <c r="G91" s="46">
        <f t="shared" si="7"/>
        <v>19</v>
      </c>
      <c r="H91" s="46">
        <f>TRUNC(S91*(1-LOTE_01!$K$10),2)</f>
        <v>323.04000000000002</v>
      </c>
      <c r="I91" s="46">
        <f>TRUNC(T91*(1-LOTE_01!$K$10),2)</f>
        <v>73.47</v>
      </c>
      <c r="J91" s="100">
        <f t="shared" si="8"/>
        <v>0.22470000000000001</v>
      </c>
      <c r="K91" s="48">
        <f t="shared" si="9"/>
        <v>395.62</v>
      </c>
      <c r="L91" s="48">
        <f t="shared" si="10"/>
        <v>89.97</v>
      </c>
      <c r="M91" s="48">
        <f t="shared" si="11"/>
        <v>7516.78</v>
      </c>
      <c r="N91" s="48">
        <f t="shared" si="12"/>
        <v>1709.43</v>
      </c>
      <c r="O91" s="50">
        <f t="shared" si="13"/>
        <v>9226.2099999999991</v>
      </c>
      <c r="P91" s="50">
        <v>0</v>
      </c>
      <c r="Q91" s="76"/>
      <c r="R91" s="140">
        <f>1*S9+1*S10</f>
        <v>19</v>
      </c>
      <c r="S91" s="79">
        <v>323.04000000000002</v>
      </c>
      <c r="T91" s="80">
        <v>73.47</v>
      </c>
    </row>
    <row r="92" spans="2:20" ht="28">
      <c r="B92" s="5" t="s">
        <v>294</v>
      </c>
      <c r="C92" s="45" t="s">
        <v>97</v>
      </c>
      <c r="D92" s="45" t="s">
        <v>295</v>
      </c>
      <c r="E92" s="6" t="s">
        <v>296</v>
      </c>
      <c r="F92" s="45" t="s">
        <v>121</v>
      </c>
      <c r="G92" s="46">
        <f t="shared" si="7"/>
        <v>10</v>
      </c>
      <c r="H92" s="46">
        <f>TRUNC(S92*(1-LOTE_01!$K$10),2)</f>
        <v>7.57</v>
      </c>
      <c r="I92" s="46">
        <f>TRUNC(T92*(1-LOTE_01!$K$10),2)</f>
        <v>23.35</v>
      </c>
      <c r="J92" s="100">
        <f t="shared" si="8"/>
        <v>0.22470000000000001</v>
      </c>
      <c r="K92" s="48">
        <f t="shared" si="9"/>
        <v>9.27</v>
      </c>
      <c r="L92" s="48">
        <f t="shared" si="10"/>
        <v>28.59</v>
      </c>
      <c r="M92" s="48">
        <f t="shared" si="11"/>
        <v>92.7</v>
      </c>
      <c r="N92" s="48">
        <f t="shared" si="12"/>
        <v>285.89999999999998</v>
      </c>
      <c r="O92" s="50">
        <f t="shared" si="13"/>
        <v>378.6</v>
      </c>
      <c r="P92" s="50">
        <v>0</v>
      </c>
      <c r="Q92" s="76"/>
      <c r="R92" s="140">
        <f>IF((1*S9+1*S10)&gt;10,10,(1*S9+1*S10))</f>
        <v>10</v>
      </c>
      <c r="S92" s="79">
        <v>7.57</v>
      </c>
      <c r="T92" s="80">
        <v>23.35</v>
      </c>
    </row>
    <row r="93" spans="2:20" ht="70">
      <c r="B93" s="5" t="s">
        <v>297</v>
      </c>
      <c r="C93" s="45" t="s">
        <v>97</v>
      </c>
      <c r="D93" s="45" t="s">
        <v>298</v>
      </c>
      <c r="E93" s="6" t="s">
        <v>299</v>
      </c>
      <c r="F93" s="45" t="s">
        <v>121</v>
      </c>
      <c r="G93" s="46">
        <f t="shared" si="7"/>
        <v>380</v>
      </c>
      <c r="H93" s="46">
        <f>TRUNC(S93*(1-LOTE_01!$K$10),2)</f>
        <v>0</v>
      </c>
      <c r="I93" s="46">
        <f>TRUNC(T93*(1-LOTE_01!$K$10),2)</f>
        <v>57.28</v>
      </c>
      <c r="J93" s="100">
        <f t="shared" si="8"/>
        <v>0.22470000000000001</v>
      </c>
      <c r="K93" s="48">
        <f t="shared" si="9"/>
        <v>0</v>
      </c>
      <c r="L93" s="48">
        <f t="shared" si="10"/>
        <v>70.150000000000006</v>
      </c>
      <c r="M93" s="48">
        <f t="shared" si="11"/>
        <v>0</v>
      </c>
      <c r="N93" s="48">
        <f t="shared" si="12"/>
        <v>26657</v>
      </c>
      <c r="O93" s="50">
        <f t="shared" si="13"/>
        <v>26657</v>
      </c>
      <c r="P93" s="50">
        <v>0</v>
      </c>
      <c r="Q93" s="76"/>
      <c r="R93" s="140">
        <f>20*S9+20*S10</f>
        <v>380</v>
      </c>
      <c r="S93" s="79">
        <v>0</v>
      </c>
      <c r="T93" s="80">
        <v>57.28</v>
      </c>
    </row>
    <row r="94" spans="2:20" ht="28">
      <c r="B94" s="5" t="s">
        <v>300</v>
      </c>
      <c r="C94" s="45" t="s">
        <v>97</v>
      </c>
      <c r="D94" s="45" t="s">
        <v>301</v>
      </c>
      <c r="E94" s="6" t="s">
        <v>302</v>
      </c>
      <c r="F94" s="45" t="s">
        <v>104</v>
      </c>
      <c r="G94" s="46">
        <f t="shared" si="7"/>
        <v>57</v>
      </c>
      <c r="H94" s="46">
        <f>TRUNC(S94*(1-LOTE_01!$K$10),2)</f>
        <v>1.5</v>
      </c>
      <c r="I94" s="46">
        <f>TRUNC(T94*(1-LOTE_01!$K$10),2)</f>
        <v>3.84</v>
      </c>
      <c r="J94" s="100">
        <f t="shared" si="8"/>
        <v>0.22470000000000001</v>
      </c>
      <c r="K94" s="48">
        <f t="shared" si="9"/>
        <v>1.83</v>
      </c>
      <c r="L94" s="48">
        <f t="shared" si="10"/>
        <v>4.7</v>
      </c>
      <c r="M94" s="48">
        <f t="shared" si="11"/>
        <v>104.31</v>
      </c>
      <c r="N94" s="48">
        <f t="shared" si="12"/>
        <v>267.89999999999998</v>
      </c>
      <c r="O94" s="50">
        <f t="shared" si="13"/>
        <v>372.21</v>
      </c>
      <c r="P94" s="50">
        <v>0</v>
      </c>
      <c r="Q94" s="76"/>
      <c r="R94" s="140">
        <f>3*S9+3*S10</f>
        <v>57</v>
      </c>
      <c r="S94" s="79">
        <v>1.5</v>
      </c>
      <c r="T94" s="80">
        <v>3.84</v>
      </c>
    </row>
    <row r="95" spans="2:20" ht="28">
      <c r="B95" s="5" t="s">
        <v>303</v>
      </c>
      <c r="C95" s="45" t="s">
        <v>97</v>
      </c>
      <c r="D95" s="45" t="s">
        <v>304</v>
      </c>
      <c r="E95" s="6" t="s">
        <v>305</v>
      </c>
      <c r="F95" s="45" t="s">
        <v>121</v>
      </c>
      <c r="G95" s="46">
        <f t="shared" si="7"/>
        <v>37</v>
      </c>
      <c r="H95" s="46">
        <f>TRUNC(S95*(1-LOTE_01!$K$10),2)</f>
        <v>5.77</v>
      </c>
      <c r="I95" s="46">
        <f>TRUNC(T95*(1-LOTE_01!$K$10),2)</f>
        <v>15.11</v>
      </c>
      <c r="J95" s="100">
        <f t="shared" si="8"/>
        <v>0.22470000000000001</v>
      </c>
      <c r="K95" s="48">
        <f t="shared" si="9"/>
        <v>7.06</v>
      </c>
      <c r="L95" s="48">
        <f t="shared" si="10"/>
        <v>18.5</v>
      </c>
      <c r="M95" s="48">
        <f t="shared" si="11"/>
        <v>261.22000000000003</v>
      </c>
      <c r="N95" s="48">
        <f t="shared" si="12"/>
        <v>684.5</v>
      </c>
      <c r="O95" s="50">
        <f t="shared" si="13"/>
        <v>945.72</v>
      </c>
      <c r="P95" s="50">
        <v>0</v>
      </c>
      <c r="Q95" s="76"/>
      <c r="R95" s="140">
        <f>IF((10*S10+1*S9)&gt;50,50,(10*S10+1*S9))</f>
        <v>37</v>
      </c>
      <c r="S95" s="79">
        <v>5.77</v>
      </c>
      <c r="T95" s="80">
        <v>15.11</v>
      </c>
    </row>
    <row r="96" spans="2:20" ht="28">
      <c r="B96" s="5" t="s">
        <v>306</v>
      </c>
      <c r="C96" s="45" t="s">
        <v>97</v>
      </c>
      <c r="D96" s="45" t="s">
        <v>307</v>
      </c>
      <c r="E96" s="6" t="s">
        <v>308</v>
      </c>
      <c r="F96" s="45" t="s">
        <v>104</v>
      </c>
      <c r="G96" s="46">
        <f t="shared" si="7"/>
        <v>10</v>
      </c>
      <c r="H96" s="46">
        <f>TRUNC(S96*(1-LOTE_01!$K$10),2)</f>
        <v>9.84</v>
      </c>
      <c r="I96" s="46">
        <f>TRUNC(T96*(1-LOTE_01!$K$10),2)</f>
        <v>26.5</v>
      </c>
      <c r="J96" s="100">
        <f t="shared" si="8"/>
        <v>0.22470000000000001</v>
      </c>
      <c r="K96" s="48">
        <f t="shared" si="9"/>
        <v>12.05</v>
      </c>
      <c r="L96" s="48">
        <f t="shared" si="10"/>
        <v>32.450000000000003</v>
      </c>
      <c r="M96" s="48">
        <f t="shared" si="11"/>
        <v>120.5</v>
      </c>
      <c r="N96" s="48">
        <f t="shared" si="12"/>
        <v>324.5</v>
      </c>
      <c r="O96" s="50">
        <f t="shared" si="13"/>
        <v>445</v>
      </c>
      <c r="P96" s="50">
        <v>0</v>
      </c>
      <c r="Q96" s="76"/>
      <c r="R96" s="140">
        <f>IF((1*S9+2*S10)&gt;10,10,(1*S9+2*S10))</f>
        <v>10</v>
      </c>
      <c r="S96" s="79">
        <v>9.84</v>
      </c>
      <c r="T96" s="80">
        <v>26.5</v>
      </c>
    </row>
    <row r="97" spans="2:20">
      <c r="B97" s="5" t="s">
        <v>309</v>
      </c>
      <c r="C97" s="45" t="s">
        <v>97</v>
      </c>
      <c r="D97" s="45" t="s">
        <v>310</v>
      </c>
      <c r="E97" s="6" t="s">
        <v>311</v>
      </c>
      <c r="F97" s="45" t="s">
        <v>104</v>
      </c>
      <c r="G97" s="46">
        <f t="shared" si="7"/>
        <v>380</v>
      </c>
      <c r="H97" s="46">
        <f>TRUNC(S97*(1-LOTE_01!$K$10),2)</f>
        <v>0.75</v>
      </c>
      <c r="I97" s="46">
        <f>TRUNC(T97*(1-LOTE_01!$K$10),2)</f>
        <v>1.92</v>
      </c>
      <c r="J97" s="100">
        <f t="shared" si="8"/>
        <v>0.22470000000000001</v>
      </c>
      <c r="K97" s="48">
        <f t="shared" si="9"/>
        <v>0.91</v>
      </c>
      <c r="L97" s="48">
        <f t="shared" si="10"/>
        <v>2.35</v>
      </c>
      <c r="M97" s="48">
        <f t="shared" si="11"/>
        <v>345.8</v>
      </c>
      <c r="N97" s="48">
        <f t="shared" si="12"/>
        <v>893</v>
      </c>
      <c r="O97" s="50">
        <f t="shared" si="13"/>
        <v>1238.8</v>
      </c>
      <c r="P97" s="50">
        <v>0</v>
      </c>
      <c r="Q97" s="76"/>
      <c r="R97" s="140">
        <f>20*S9+20*S10</f>
        <v>380</v>
      </c>
      <c r="S97" s="79">
        <v>0.75</v>
      </c>
      <c r="T97" s="80">
        <v>1.92</v>
      </c>
    </row>
    <row r="98" spans="2:20" ht="42">
      <c r="B98" s="5" t="s">
        <v>312</v>
      </c>
      <c r="C98" s="45" t="s">
        <v>97</v>
      </c>
      <c r="D98" s="45" t="s">
        <v>313</v>
      </c>
      <c r="E98" s="6" t="s">
        <v>314</v>
      </c>
      <c r="F98" s="45" t="s">
        <v>104</v>
      </c>
      <c r="G98" s="46">
        <f t="shared" si="7"/>
        <v>5</v>
      </c>
      <c r="H98" s="46">
        <f>TRUNC(S98*(1-LOTE_01!$K$10),2)</f>
        <v>15.07</v>
      </c>
      <c r="I98" s="46">
        <f>TRUNC(T98*(1-LOTE_01!$K$10),2)</f>
        <v>42.81</v>
      </c>
      <c r="J98" s="100">
        <f t="shared" si="8"/>
        <v>0.22470000000000001</v>
      </c>
      <c r="K98" s="48">
        <f t="shared" si="9"/>
        <v>18.45</v>
      </c>
      <c r="L98" s="48">
        <f t="shared" si="10"/>
        <v>52.42</v>
      </c>
      <c r="M98" s="48">
        <f t="shared" si="11"/>
        <v>92.25</v>
      </c>
      <c r="N98" s="48">
        <f t="shared" si="12"/>
        <v>262.10000000000002</v>
      </c>
      <c r="O98" s="50">
        <f t="shared" si="13"/>
        <v>354.35</v>
      </c>
      <c r="P98" s="50">
        <v>0</v>
      </c>
      <c r="Q98" s="76"/>
      <c r="R98" s="140">
        <f>IF((1*S9+1*S10)&gt;5,5,(1*S9+1*S10))</f>
        <v>5</v>
      </c>
      <c r="S98" s="79">
        <v>15.07</v>
      </c>
      <c r="T98" s="80">
        <v>42.81</v>
      </c>
    </row>
    <row r="99" spans="2:20" ht="28">
      <c r="B99" s="5" t="s">
        <v>315</v>
      </c>
      <c r="C99" s="45" t="s">
        <v>97</v>
      </c>
      <c r="D99" s="45" t="s">
        <v>316</v>
      </c>
      <c r="E99" s="6" t="s">
        <v>317</v>
      </c>
      <c r="F99" s="45" t="s">
        <v>104</v>
      </c>
      <c r="G99" s="46">
        <f t="shared" si="7"/>
        <v>38</v>
      </c>
      <c r="H99" s="46">
        <f>TRUNC(S99*(1-LOTE_01!$K$10),2)</f>
        <v>1.82</v>
      </c>
      <c r="I99" s="46">
        <f>TRUNC(T99*(1-LOTE_01!$K$10),2)</f>
        <v>5.46</v>
      </c>
      <c r="J99" s="100">
        <f t="shared" si="8"/>
        <v>0.22470000000000001</v>
      </c>
      <c r="K99" s="48">
        <f t="shared" si="9"/>
        <v>2.2200000000000002</v>
      </c>
      <c r="L99" s="48">
        <f t="shared" si="10"/>
        <v>6.68</v>
      </c>
      <c r="M99" s="48">
        <f t="shared" si="11"/>
        <v>84.36</v>
      </c>
      <c r="N99" s="48">
        <f t="shared" si="12"/>
        <v>253.84</v>
      </c>
      <c r="O99" s="50">
        <f t="shared" si="13"/>
        <v>338.2</v>
      </c>
      <c r="P99" s="50">
        <v>0</v>
      </c>
      <c r="Q99" s="76"/>
      <c r="R99" s="140">
        <f>IF((2*S9+2*S10)&gt;50,50,(2*S9+2*S10))</f>
        <v>38</v>
      </c>
      <c r="S99" s="79">
        <v>1.82</v>
      </c>
      <c r="T99" s="80">
        <v>5.46</v>
      </c>
    </row>
    <row r="100" spans="2:20" ht="28">
      <c r="B100" s="5" t="s">
        <v>318</v>
      </c>
      <c r="C100" s="45" t="s">
        <v>97</v>
      </c>
      <c r="D100" s="45" t="s">
        <v>319</v>
      </c>
      <c r="E100" s="6" t="s">
        <v>320</v>
      </c>
      <c r="F100" s="45" t="s">
        <v>187</v>
      </c>
      <c r="G100" s="46">
        <f t="shared" si="7"/>
        <v>100</v>
      </c>
      <c r="H100" s="46">
        <f>TRUNC(S100*(1-LOTE_01!$K$10),2)</f>
        <v>2.09</v>
      </c>
      <c r="I100" s="46">
        <f>TRUNC(T100*(1-LOTE_01!$K$10),2)</f>
        <v>5.34</v>
      </c>
      <c r="J100" s="100">
        <f t="shared" si="8"/>
        <v>0.22470000000000001</v>
      </c>
      <c r="K100" s="48">
        <f t="shared" si="9"/>
        <v>2.5499999999999998</v>
      </c>
      <c r="L100" s="48">
        <f t="shared" si="10"/>
        <v>6.53</v>
      </c>
      <c r="M100" s="48">
        <f t="shared" si="11"/>
        <v>255</v>
      </c>
      <c r="N100" s="48">
        <f t="shared" si="12"/>
        <v>653</v>
      </c>
      <c r="O100" s="50">
        <f t="shared" si="13"/>
        <v>908</v>
      </c>
      <c r="P100" s="50">
        <v>0</v>
      </c>
      <c r="Q100" s="76"/>
      <c r="R100" s="140">
        <f>IF((10*S9+30*S10)&gt;100,100,(10*S9+30*S10))</f>
        <v>100</v>
      </c>
      <c r="S100" s="79">
        <v>2.09</v>
      </c>
      <c r="T100" s="80">
        <v>5.34</v>
      </c>
    </row>
    <row r="101" spans="2:20" ht="28">
      <c r="B101" s="5" t="s">
        <v>321</v>
      </c>
      <c r="C101" s="45" t="s">
        <v>97</v>
      </c>
      <c r="D101" s="45" t="s">
        <v>322</v>
      </c>
      <c r="E101" s="6" t="s">
        <v>323</v>
      </c>
      <c r="F101" s="45" t="s">
        <v>121</v>
      </c>
      <c r="G101" s="46">
        <f t="shared" si="7"/>
        <v>190</v>
      </c>
      <c r="H101" s="46">
        <f>TRUNC(S101*(1-LOTE_01!$K$10),2)</f>
        <v>9.02</v>
      </c>
      <c r="I101" s="46">
        <f>TRUNC(T101*(1-LOTE_01!$K$10),2)</f>
        <v>24.82</v>
      </c>
      <c r="J101" s="100">
        <f t="shared" si="8"/>
        <v>0.22470000000000001</v>
      </c>
      <c r="K101" s="48">
        <f t="shared" si="9"/>
        <v>11.04</v>
      </c>
      <c r="L101" s="48">
        <f t="shared" si="10"/>
        <v>30.39</v>
      </c>
      <c r="M101" s="48">
        <f t="shared" si="11"/>
        <v>2097.6</v>
      </c>
      <c r="N101" s="48">
        <f t="shared" si="12"/>
        <v>5774.1</v>
      </c>
      <c r="O101" s="50">
        <f t="shared" si="13"/>
        <v>7871.7</v>
      </c>
      <c r="P101" s="50">
        <v>0</v>
      </c>
      <c r="Q101" s="76"/>
      <c r="R101" s="140">
        <f>10*S9+10*S10</f>
        <v>190</v>
      </c>
      <c r="S101" s="79">
        <v>9.02</v>
      </c>
      <c r="T101" s="80">
        <v>24.82</v>
      </c>
    </row>
    <row r="102" spans="2:20" ht="28">
      <c r="B102" s="5" t="s">
        <v>324</v>
      </c>
      <c r="C102" s="45" t="s">
        <v>97</v>
      </c>
      <c r="D102" s="45" t="s">
        <v>325</v>
      </c>
      <c r="E102" s="6" t="s">
        <v>326</v>
      </c>
      <c r="F102" s="45" t="s">
        <v>104</v>
      </c>
      <c r="G102" s="46">
        <f t="shared" si="7"/>
        <v>40</v>
      </c>
      <c r="H102" s="46">
        <f>TRUNC(S102*(1-LOTE_01!$K$10),2)</f>
        <v>3.65</v>
      </c>
      <c r="I102" s="46">
        <f>TRUNC(T102*(1-LOTE_01!$K$10),2)</f>
        <v>10.93</v>
      </c>
      <c r="J102" s="100">
        <f t="shared" si="8"/>
        <v>0.22470000000000001</v>
      </c>
      <c r="K102" s="48">
        <f t="shared" si="9"/>
        <v>4.47</v>
      </c>
      <c r="L102" s="48">
        <f t="shared" si="10"/>
        <v>13.38</v>
      </c>
      <c r="M102" s="48">
        <f t="shared" si="11"/>
        <v>178.8</v>
      </c>
      <c r="N102" s="48">
        <f t="shared" si="12"/>
        <v>535.20000000000005</v>
      </c>
      <c r="O102" s="50">
        <f t="shared" si="13"/>
        <v>714</v>
      </c>
      <c r="P102" s="50">
        <v>0</v>
      </c>
      <c r="Q102" s="76"/>
      <c r="R102" s="140">
        <f>2*S9+3*S10</f>
        <v>40</v>
      </c>
      <c r="S102" s="79">
        <v>3.65</v>
      </c>
      <c r="T102" s="80">
        <v>10.93</v>
      </c>
    </row>
    <row r="103" spans="2:20" ht="28">
      <c r="B103" s="5" t="s">
        <v>327</v>
      </c>
      <c r="C103" s="45" t="s">
        <v>97</v>
      </c>
      <c r="D103" s="45" t="s">
        <v>328</v>
      </c>
      <c r="E103" s="6" t="s">
        <v>329</v>
      </c>
      <c r="F103" s="45" t="s">
        <v>104</v>
      </c>
      <c r="G103" s="46">
        <f t="shared" si="7"/>
        <v>10</v>
      </c>
      <c r="H103" s="46">
        <f>TRUNC(S103*(1-LOTE_01!$K$10),2)</f>
        <v>27.01</v>
      </c>
      <c r="I103" s="46">
        <f>TRUNC(T103*(1-LOTE_01!$K$10),2)</f>
        <v>71.59</v>
      </c>
      <c r="J103" s="100">
        <f t="shared" si="8"/>
        <v>0.22470000000000001</v>
      </c>
      <c r="K103" s="48">
        <f t="shared" si="9"/>
        <v>33.07</v>
      </c>
      <c r="L103" s="48">
        <f t="shared" si="10"/>
        <v>87.67</v>
      </c>
      <c r="M103" s="48">
        <f t="shared" si="11"/>
        <v>330.7</v>
      </c>
      <c r="N103" s="48">
        <f t="shared" si="12"/>
        <v>876.7</v>
      </c>
      <c r="O103" s="50">
        <f t="shared" si="13"/>
        <v>1207.4000000000001</v>
      </c>
      <c r="P103" s="50">
        <v>0</v>
      </c>
      <c r="Q103" s="76"/>
      <c r="R103" s="140">
        <f>IF((1*S9+1*S10)&gt;10,10,(1*S9+1*S10))</f>
        <v>10</v>
      </c>
      <c r="S103" s="79">
        <v>27.01</v>
      </c>
      <c r="T103" s="80">
        <v>71.59</v>
      </c>
    </row>
    <row r="104" spans="2:20" ht="28">
      <c r="B104" s="5" t="s">
        <v>330</v>
      </c>
      <c r="C104" s="45" t="s">
        <v>97</v>
      </c>
      <c r="D104" s="45" t="s">
        <v>331</v>
      </c>
      <c r="E104" s="6" t="s">
        <v>332</v>
      </c>
      <c r="F104" s="45" t="s">
        <v>104</v>
      </c>
      <c r="G104" s="46">
        <f t="shared" si="7"/>
        <v>10</v>
      </c>
      <c r="H104" s="46">
        <f>TRUNC(S104*(1-LOTE_01!$K$10),2)</f>
        <v>5341.43</v>
      </c>
      <c r="I104" s="46">
        <f>TRUNC(T104*(1-LOTE_01!$K$10),2)</f>
        <v>723.5</v>
      </c>
      <c r="J104" s="100">
        <f t="shared" si="8"/>
        <v>0.22470000000000001</v>
      </c>
      <c r="K104" s="48">
        <f t="shared" si="9"/>
        <v>6541.64</v>
      </c>
      <c r="L104" s="48">
        <f t="shared" si="10"/>
        <v>886.07</v>
      </c>
      <c r="M104" s="48">
        <f t="shared" si="11"/>
        <v>65416.4</v>
      </c>
      <c r="N104" s="48">
        <f t="shared" si="12"/>
        <v>8860.7000000000007</v>
      </c>
      <c r="O104" s="50">
        <f t="shared" si="13"/>
        <v>74277.100000000006</v>
      </c>
      <c r="P104" s="50">
        <v>0</v>
      </c>
      <c r="Q104" s="76"/>
      <c r="R104" s="140">
        <f>IF((1*S9+1*S10)&gt;10,10,(1*S9+1*S10))</f>
        <v>10</v>
      </c>
      <c r="S104" s="79">
        <v>5341.43</v>
      </c>
      <c r="T104" s="80">
        <v>723.5</v>
      </c>
    </row>
    <row r="105" spans="2:20" ht="28">
      <c r="B105" s="5" t="s">
        <v>333</v>
      </c>
      <c r="C105" s="45" t="s">
        <v>97</v>
      </c>
      <c r="D105" s="45" t="s">
        <v>334</v>
      </c>
      <c r="E105" s="6" t="s">
        <v>335</v>
      </c>
      <c r="F105" s="45" t="s">
        <v>104</v>
      </c>
      <c r="G105" s="46">
        <f t="shared" si="7"/>
        <v>42</v>
      </c>
      <c r="H105" s="46">
        <f>TRUNC(S105*(1-LOTE_01!$K$10),2)</f>
        <v>2.25</v>
      </c>
      <c r="I105" s="46">
        <f>TRUNC(T105*(1-LOTE_01!$K$10),2)</f>
        <v>5.77</v>
      </c>
      <c r="J105" s="100">
        <f t="shared" si="8"/>
        <v>0.22470000000000001</v>
      </c>
      <c r="K105" s="48">
        <f t="shared" si="9"/>
        <v>2.75</v>
      </c>
      <c r="L105" s="48">
        <f t="shared" si="10"/>
        <v>7.06</v>
      </c>
      <c r="M105" s="48">
        <f t="shared" si="11"/>
        <v>115.5</v>
      </c>
      <c r="N105" s="48">
        <f t="shared" si="12"/>
        <v>296.52</v>
      </c>
      <c r="O105" s="50">
        <f t="shared" si="13"/>
        <v>412.02</v>
      </c>
      <c r="P105" s="50">
        <v>0</v>
      </c>
      <c r="Q105" s="76"/>
      <c r="R105" s="140">
        <f>2*S9+4*S10</f>
        <v>42</v>
      </c>
      <c r="S105" s="79">
        <v>2.25</v>
      </c>
      <c r="T105" s="80">
        <v>5.77</v>
      </c>
    </row>
    <row r="106" spans="2:20">
      <c r="B106" s="5" t="s">
        <v>336</v>
      </c>
      <c r="C106" s="45" t="s">
        <v>97</v>
      </c>
      <c r="D106" s="45" t="s">
        <v>337</v>
      </c>
      <c r="E106" s="6" t="s">
        <v>338</v>
      </c>
      <c r="F106" s="45" t="s">
        <v>104</v>
      </c>
      <c r="G106" s="46">
        <f t="shared" si="7"/>
        <v>400</v>
      </c>
      <c r="H106" s="46">
        <f>TRUNC(S106*(1-LOTE_01!$K$10),2)</f>
        <v>0.75</v>
      </c>
      <c r="I106" s="46">
        <f>TRUNC(T106*(1-LOTE_01!$K$10),2)</f>
        <v>1.92</v>
      </c>
      <c r="J106" s="100">
        <f t="shared" si="8"/>
        <v>0.22470000000000001</v>
      </c>
      <c r="K106" s="48">
        <f t="shared" si="9"/>
        <v>0.91</v>
      </c>
      <c r="L106" s="48">
        <f t="shared" si="10"/>
        <v>2.35</v>
      </c>
      <c r="M106" s="48">
        <f t="shared" si="11"/>
        <v>364</v>
      </c>
      <c r="N106" s="48">
        <f t="shared" si="12"/>
        <v>940</v>
      </c>
      <c r="O106" s="50">
        <f t="shared" si="13"/>
        <v>1304</v>
      </c>
      <c r="P106" s="50">
        <v>0</v>
      </c>
      <c r="Q106" s="76"/>
      <c r="R106" s="140">
        <f>20*S9+30*S10</f>
        <v>400</v>
      </c>
      <c r="S106" s="79">
        <v>0.75</v>
      </c>
      <c r="T106" s="80">
        <v>1.92</v>
      </c>
    </row>
    <row r="107" spans="2:20" ht="28">
      <c r="B107" s="5" t="s">
        <v>339</v>
      </c>
      <c r="C107" s="45" t="s">
        <v>97</v>
      </c>
      <c r="D107" s="45" t="s">
        <v>301</v>
      </c>
      <c r="E107" s="6" t="s">
        <v>302</v>
      </c>
      <c r="F107" s="45" t="s">
        <v>104</v>
      </c>
      <c r="G107" s="46">
        <f t="shared" si="7"/>
        <v>38</v>
      </c>
      <c r="H107" s="46">
        <f>TRUNC(S107*(1-LOTE_01!$K$10),2)</f>
        <v>1.5</v>
      </c>
      <c r="I107" s="46">
        <f>TRUNC(T107*(1-LOTE_01!$K$10),2)</f>
        <v>3.84</v>
      </c>
      <c r="J107" s="100">
        <f t="shared" si="8"/>
        <v>0.22470000000000001</v>
      </c>
      <c r="K107" s="48">
        <f t="shared" si="9"/>
        <v>1.83</v>
      </c>
      <c r="L107" s="48">
        <f t="shared" si="10"/>
        <v>4.7</v>
      </c>
      <c r="M107" s="48">
        <f t="shared" si="11"/>
        <v>69.540000000000006</v>
      </c>
      <c r="N107" s="48">
        <f t="shared" si="12"/>
        <v>178.6</v>
      </c>
      <c r="O107" s="50">
        <f t="shared" si="13"/>
        <v>248.14</v>
      </c>
      <c r="P107" s="50">
        <v>0</v>
      </c>
      <c r="Q107" s="76"/>
      <c r="R107" s="140">
        <f>2*S9+2*S10</f>
        <v>38</v>
      </c>
      <c r="S107" s="79">
        <v>1.5</v>
      </c>
      <c r="T107" s="80">
        <v>3.84</v>
      </c>
    </row>
    <row r="108" spans="2:20" ht="42">
      <c r="B108" s="5" t="s">
        <v>340</v>
      </c>
      <c r="C108" s="45" t="s">
        <v>135</v>
      </c>
      <c r="D108" s="45">
        <v>90436</v>
      </c>
      <c r="E108" s="6" t="s">
        <v>341</v>
      </c>
      <c r="F108" s="45" t="s">
        <v>210</v>
      </c>
      <c r="G108" s="46">
        <f t="shared" si="7"/>
        <v>20</v>
      </c>
      <c r="H108" s="46">
        <f>TRUNC(S108*(1-LOTE_01!$K$10),2)</f>
        <v>3.9</v>
      </c>
      <c r="I108" s="46">
        <f>TRUNC(T108*(1-LOTE_01!$K$10),2)</f>
        <v>12.87</v>
      </c>
      <c r="J108" s="100">
        <f t="shared" si="8"/>
        <v>0.22470000000000001</v>
      </c>
      <c r="K108" s="48">
        <f t="shared" si="9"/>
        <v>4.7699999999999996</v>
      </c>
      <c r="L108" s="48">
        <f t="shared" si="10"/>
        <v>15.76</v>
      </c>
      <c r="M108" s="48">
        <f t="shared" si="11"/>
        <v>95.4</v>
      </c>
      <c r="N108" s="48">
        <f t="shared" si="12"/>
        <v>315.2</v>
      </c>
      <c r="O108" s="50">
        <f t="shared" si="13"/>
        <v>410.6</v>
      </c>
      <c r="P108" s="50">
        <v>0</v>
      </c>
      <c r="Q108" s="76"/>
      <c r="R108" s="140">
        <f>IF((2*S9+2*S10)&gt;20,20,(2*S9+2*S10))</f>
        <v>20</v>
      </c>
      <c r="S108" s="79">
        <v>3.9000000000000004</v>
      </c>
      <c r="T108" s="80">
        <v>12.87</v>
      </c>
    </row>
    <row r="109" spans="2:20" ht="56">
      <c r="B109" s="5" t="s">
        <v>342</v>
      </c>
      <c r="C109" s="45" t="s">
        <v>135</v>
      </c>
      <c r="D109" s="45">
        <v>90437</v>
      </c>
      <c r="E109" s="6" t="s">
        <v>343</v>
      </c>
      <c r="F109" s="45" t="s">
        <v>210</v>
      </c>
      <c r="G109" s="46">
        <f t="shared" si="7"/>
        <v>20</v>
      </c>
      <c r="H109" s="46">
        <f>TRUNC(S109*(1-LOTE_01!$K$10),2)</f>
        <v>10.37</v>
      </c>
      <c r="I109" s="46">
        <f>TRUNC(T109*(1-LOTE_01!$K$10),2)</f>
        <v>34.340000000000003</v>
      </c>
      <c r="J109" s="100">
        <f t="shared" si="8"/>
        <v>0.22470000000000001</v>
      </c>
      <c r="K109" s="48">
        <f t="shared" si="9"/>
        <v>12.7</v>
      </c>
      <c r="L109" s="48">
        <f t="shared" si="10"/>
        <v>42.05</v>
      </c>
      <c r="M109" s="48">
        <f t="shared" si="11"/>
        <v>254</v>
      </c>
      <c r="N109" s="48">
        <f t="shared" si="12"/>
        <v>841</v>
      </c>
      <c r="O109" s="50">
        <f t="shared" si="13"/>
        <v>1095</v>
      </c>
      <c r="P109" s="50">
        <v>0</v>
      </c>
      <c r="Q109" s="76"/>
      <c r="R109" s="140">
        <f>IF((2*S9+2*S10)&gt;20,20,(2*S9+2*S10))</f>
        <v>20</v>
      </c>
      <c r="S109" s="79">
        <v>10.369999999999997</v>
      </c>
      <c r="T109" s="80">
        <v>34.340000000000003</v>
      </c>
    </row>
    <row r="110" spans="2:20" ht="56">
      <c r="B110" s="5" t="s">
        <v>344</v>
      </c>
      <c r="C110" s="45" t="s">
        <v>135</v>
      </c>
      <c r="D110" s="45">
        <v>90438</v>
      </c>
      <c r="E110" s="6" t="s">
        <v>345</v>
      </c>
      <c r="F110" s="45" t="s">
        <v>210</v>
      </c>
      <c r="G110" s="46">
        <f t="shared" si="7"/>
        <v>20</v>
      </c>
      <c r="H110" s="46">
        <f>TRUNC(S110*(1-LOTE_01!$K$10),2)</f>
        <v>15.14</v>
      </c>
      <c r="I110" s="46">
        <f>TRUNC(T110*(1-LOTE_01!$K$10),2)</f>
        <v>50.15</v>
      </c>
      <c r="J110" s="100">
        <f t="shared" si="8"/>
        <v>0.22470000000000001</v>
      </c>
      <c r="K110" s="48">
        <f t="shared" si="9"/>
        <v>18.54</v>
      </c>
      <c r="L110" s="48">
        <f t="shared" si="10"/>
        <v>61.41</v>
      </c>
      <c r="M110" s="48">
        <f t="shared" si="11"/>
        <v>370.8</v>
      </c>
      <c r="N110" s="48">
        <f t="shared" si="12"/>
        <v>1228.2</v>
      </c>
      <c r="O110" s="50">
        <f t="shared" si="13"/>
        <v>1599</v>
      </c>
      <c r="P110" s="50">
        <v>0</v>
      </c>
      <c r="Q110" s="76"/>
      <c r="R110" s="140">
        <f>IF((2*S9+2*S10)&gt;20,20,(2*S9+2*S10))</f>
        <v>20</v>
      </c>
      <c r="S110" s="79">
        <v>15.140000000000008</v>
      </c>
      <c r="T110" s="80">
        <v>50.15</v>
      </c>
    </row>
    <row r="111" spans="2:20" ht="56">
      <c r="B111" s="5" t="s">
        <v>346</v>
      </c>
      <c r="C111" s="45" t="s">
        <v>135</v>
      </c>
      <c r="D111" s="45">
        <v>90439</v>
      </c>
      <c r="E111" s="6" t="s">
        <v>347</v>
      </c>
      <c r="F111" s="45" t="s">
        <v>210</v>
      </c>
      <c r="G111" s="46">
        <f t="shared" si="7"/>
        <v>10</v>
      </c>
      <c r="H111" s="46">
        <f>TRUNC(S111*(1-LOTE_01!$K$10),2)</f>
        <v>2.95</v>
      </c>
      <c r="I111" s="46">
        <f>TRUNC(T111*(1-LOTE_01!$K$10),2)</f>
        <v>7.71</v>
      </c>
      <c r="J111" s="100">
        <f t="shared" si="8"/>
        <v>0.22470000000000001</v>
      </c>
      <c r="K111" s="48">
        <f t="shared" si="9"/>
        <v>3.61</v>
      </c>
      <c r="L111" s="48">
        <f t="shared" si="10"/>
        <v>9.44</v>
      </c>
      <c r="M111" s="48">
        <f t="shared" si="11"/>
        <v>36.1</v>
      </c>
      <c r="N111" s="48">
        <f t="shared" si="12"/>
        <v>94.4</v>
      </c>
      <c r="O111" s="50">
        <f t="shared" si="13"/>
        <v>130.5</v>
      </c>
      <c r="P111" s="50">
        <v>0</v>
      </c>
      <c r="Q111" s="76"/>
      <c r="R111" s="140">
        <f>IF((2*S9+2*S10)&gt;10,10,(2*S9+2*S10))</f>
        <v>10</v>
      </c>
      <c r="S111" s="79">
        <v>2.95</v>
      </c>
      <c r="T111" s="80">
        <v>7.71</v>
      </c>
    </row>
    <row r="112" spans="2:20" ht="70">
      <c r="B112" s="5" t="s">
        <v>348</v>
      </c>
      <c r="C112" s="45" t="s">
        <v>135</v>
      </c>
      <c r="D112" s="45">
        <v>90440</v>
      </c>
      <c r="E112" s="6" t="s">
        <v>349</v>
      </c>
      <c r="F112" s="45" t="s">
        <v>210</v>
      </c>
      <c r="G112" s="46">
        <f t="shared" si="7"/>
        <v>10</v>
      </c>
      <c r="H112" s="46">
        <f>TRUNC(S112*(1-LOTE_01!$K$10),2)</f>
        <v>7.88</v>
      </c>
      <c r="I112" s="46">
        <f>TRUNC(T112*(1-LOTE_01!$K$10),2)</f>
        <v>20.57</v>
      </c>
      <c r="J112" s="100">
        <f t="shared" si="8"/>
        <v>0.22470000000000001</v>
      </c>
      <c r="K112" s="48">
        <f t="shared" si="9"/>
        <v>9.65</v>
      </c>
      <c r="L112" s="48">
        <f t="shared" si="10"/>
        <v>25.19</v>
      </c>
      <c r="M112" s="48">
        <f t="shared" si="11"/>
        <v>96.5</v>
      </c>
      <c r="N112" s="48">
        <f t="shared" si="12"/>
        <v>251.9</v>
      </c>
      <c r="O112" s="50">
        <f t="shared" si="13"/>
        <v>348.4</v>
      </c>
      <c r="P112" s="50">
        <v>0</v>
      </c>
      <c r="Q112" s="76"/>
      <c r="R112" s="140">
        <f>IF((2*S9+2*S10)&gt;10,10,(2*S9+2*S10))</f>
        <v>10</v>
      </c>
      <c r="S112" s="79">
        <v>7.879999999999999</v>
      </c>
      <c r="T112" s="80">
        <v>20.57</v>
      </c>
    </row>
    <row r="113" spans="2:20" ht="70">
      <c r="B113" s="5" t="s">
        <v>350</v>
      </c>
      <c r="C113" s="45" t="s">
        <v>135</v>
      </c>
      <c r="D113" s="45">
        <v>90441</v>
      </c>
      <c r="E113" s="6" t="s">
        <v>351</v>
      </c>
      <c r="F113" s="45" t="s">
        <v>210</v>
      </c>
      <c r="G113" s="46">
        <f t="shared" si="7"/>
        <v>10</v>
      </c>
      <c r="H113" s="46">
        <f>TRUNC(S113*(1-LOTE_01!$K$10),2)</f>
        <v>11.51</v>
      </c>
      <c r="I113" s="46">
        <f>TRUNC(T113*(1-LOTE_01!$K$10),2)</f>
        <v>30.05</v>
      </c>
      <c r="J113" s="100">
        <f t="shared" si="8"/>
        <v>0.22470000000000001</v>
      </c>
      <c r="K113" s="48">
        <f t="shared" si="9"/>
        <v>14.09</v>
      </c>
      <c r="L113" s="48">
        <f t="shared" si="10"/>
        <v>36.799999999999997</v>
      </c>
      <c r="M113" s="48">
        <f t="shared" si="11"/>
        <v>140.9</v>
      </c>
      <c r="N113" s="48">
        <f t="shared" si="12"/>
        <v>368</v>
      </c>
      <c r="O113" s="50">
        <f t="shared" si="13"/>
        <v>508.9</v>
      </c>
      <c r="P113" s="50">
        <v>0</v>
      </c>
      <c r="Q113" s="76"/>
      <c r="R113" s="140">
        <f>IF((2*S9+2*S10)&gt;10,10,(2*S9+2*S10))</f>
        <v>10</v>
      </c>
      <c r="S113" s="79">
        <v>11.510000000000002</v>
      </c>
      <c r="T113" s="80">
        <v>30.05</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698.53000000000009</v>
      </c>
      <c r="Q114" s="76"/>
      <c r="R114" s="154"/>
      <c r="S114" s="79" t="s">
        <v>22</v>
      </c>
      <c r="T114" s="80" t="s">
        <v>22</v>
      </c>
    </row>
    <row r="115" spans="2:20" ht="28">
      <c r="B115" s="5" t="s">
        <v>352</v>
      </c>
      <c r="C115" s="45" t="s">
        <v>135</v>
      </c>
      <c r="D115" s="45">
        <v>94319</v>
      </c>
      <c r="E115" s="6" t="s">
        <v>353</v>
      </c>
      <c r="F115" s="45" t="s">
        <v>161</v>
      </c>
      <c r="G115" s="46">
        <f>IF($S$11=0,0,TRUNC(R115,2))</f>
        <v>1</v>
      </c>
      <c r="H115" s="46">
        <f>TRUNC(S115*(1-LOTE_01!$K$10),2)</f>
        <v>64.63</v>
      </c>
      <c r="I115" s="46">
        <f>TRUNC(T115*(1-LOTE_01!$K$10),2)</f>
        <v>21.4</v>
      </c>
      <c r="J115" s="100">
        <f t="shared" si="8"/>
        <v>0.22470000000000001</v>
      </c>
      <c r="K115" s="48">
        <f t="shared" si="9"/>
        <v>79.150000000000006</v>
      </c>
      <c r="L115" s="48">
        <f t="shared" si="10"/>
        <v>26.2</v>
      </c>
      <c r="M115" s="48">
        <f t="shared" si="11"/>
        <v>79.150000000000006</v>
      </c>
      <c r="N115" s="48">
        <f t="shared" si="12"/>
        <v>26.2</v>
      </c>
      <c r="O115" s="50">
        <f t="shared" si="13"/>
        <v>105.35</v>
      </c>
      <c r="P115" s="50">
        <v>0</v>
      </c>
      <c r="Q115" s="76"/>
      <c r="R115" s="140">
        <f>IF((1*S10)&gt;5,5,1)</f>
        <v>1</v>
      </c>
      <c r="S115" s="79">
        <v>64.63</v>
      </c>
      <c r="T115" s="80">
        <v>21.4</v>
      </c>
    </row>
    <row r="116" spans="2:20" ht="28">
      <c r="B116" s="5" t="s">
        <v>354</v>
      </c>
      <c r="C116" s="45" t="s">
        <v>135</v>
      </c>
      <c r="D116" s="45">
        <v>94342</v>
      </c>
      <c r="E116" s="6" t="s">
        <v>355</v>
      </c>
      <c r="F116" s="45" t="s">
        <v>161</v>
      </c>
      <c r="G116" s="46">
        <f t="shared" ref="G116:G123" si="14">IF($S$11=0,0,TRUNC(R116,2))</f>
        <v>1</v>
      </c>
      <c r="H116" s="46">
        <f>TRUNC(S116*(1-LOTE_01!$K$10),2)</f>
        <v>116.13</v>
      </c>
      <c r="I116" s="46">
        <f>TRUNC(T116*(1-LOTE_01!$K$10),2)</f>
        <v>21.62</v>
      </c>
      <c r="J116" s="100">
        <f t="shared" si="8"/>
        <v>0.22470000000000001</v>
      </c>
      <c r="K116" s="48">
        <f t="shared" si="9"/>
        <v>142.22</v>
      </c>
      <c r="L116" s="48">
        <f t="shared" si="10"/>
        <v>26.47</v>
      </c>
      <c r="M116" s="48">
        <f t="shared" si="11"/>
        <v>142.22</v>
      </c>
      <c r="N116" s="48">
        <f t="shared" si="12"/>
        <v>26.47</v>
      </c>
      <c r="O116" s="50">
        <f t="shared" si="13"/>
        <v>168.69</v>
      </c>
      <c r="P116" s="50">
        <v>0</v>
      </c>
      <c r="Q116" s="76"/>
      <c r="R116" s="140">
        <f>IF((1*S10)&gt;5,5,1)</f>
        <v>1</v>
      </c>
      <c r="S116" s="79">
        <v>116.13</v>
      </c>
      <c r="T116" s="80">
        <v>21.62</v>
      </c>
    </row>
    <row r="117" spans="2:20" ht="28">
      <c r="B117" s="5" t="s">
        <v>356</v>
      </c>
      <c r="C117" s="45" t="s">
        <v>165</v>
      </c>
      <c r="D117" s="45" t="s">
        <v>357</v>
      </c>
      <c r="E117" s="6" t="s">
        <v>358</v>
      </c>
      <c r="F117" s="45" t="s">
        <v>182</v>
      </c>
      <c r="G117" s="46">
        <f t="shared" si="14"/>
        <v>1</v>
      </c>
      <c r="H117" s="46">
        <f>TRUNC(S117*(1-LOTE_01!$K$10),2)</f>
        <v>15.72</v>
      </c>
      <c r="I117" s="46">
        <f>TRUNC(T117*(1-LOTE_01!$K$10),2)</f>
        <v>0.8</v>
      </c>
      <c r="J117" s="100">
        <f t="shared" si="8"/>
        <v>0.22470000000000001</v>
      </c>
      <c r="K117" s="48">
        <f t="shared" si="9"/>
        <v>19.25</v>
      </c>
      <c r="L117" s="48">
        <f t="shared" si="10"/>
        <v>0.97</v>
      </c>
      <c r="M117" s="48">
        <f t="shared" si="11"/>
        <v>19.25</v>
      </c>
      <c r="N117" s="48">
        <f t="shared" si="12"/>
        <v>0.97</v>
      </c>
      <c r="O117" s="50">
        <f t="shared" si="13"/>
        <v>20.22</v>
      </c>
      <c r="P117" s="50">
        <v>0</v>
      </c>
      <c r="Q117" s="76"/>
      <c r="R117" s="140">
        <f>IF((1*S10)&gt;5,5,1)</f>
        <v>1</v>
      </c>
      <c r="S117" s="79">
        <v>15.72</v>
      </c>
      <c r="T117" s="80">
        <v>0.8</v>
      </c>
    </row>
    <row r="118" spans="2:20" ht="28">
      <c r="B118" s="5" t="s">
        <v>359</v>
      </c>
      <c r="C118" s="45" t="s">
        <v>165</v>
      </c>
      <c r="D118" s="45" t="s">
        <v>360</v>
      </c>
      <c r="E118" s="6" t="s">
        <v>361</v>
      </c>
      <c r="F118" s="45" t="s">
        <v>182</v>
      </c>
      <c r="G118" s="46">
        <f t="shared" si="14"/>
        <v>1</v>
      </c>
      <c r="H118" s="46">
        <f>TRUNC(S118*(1-LOTE_01!$K$10),2)</f>
        <v>26.52</v>
      </c>
      <c r="I118" s="46">
        <f>TRUNC(T118*(1-LOTE_01!$K$10),2)</f>
        <v>34.659999999999997</v>
      </c>
      <c r="J118" s="100">
        <f t="shared" si="8"/>
        <v>0.22470000000000001</v>
      </c>
      <c r="K118" s="48">
        <f t="shared" si="9"/>
        <v>32.47</v>
      </c>
      <c r="L118" s="48">
        <f t="shared" si="10"/>
        <v>42.44</v>
      </c>
      <c r="M118" s="48">
        <f t="shared" si="11"/>
        <v>32.47</v>
      </c>
      <c r="N118" s="48">
        <f t="shared" si="12"/>
        <v>42.44</v>
      </c>
      <c r="O118" s="50">
        <f t="shared" si="13"/>
        <v>74.91</v>
      </c>
      <c r="P118" s="50">
        <v>0</v>
      </c>
      <c r="Q118" s="76"/>
      <c r="R118" s="140">
        <f>IF((1*S10)&gt;5,5,1)</f>
        <v>1</v>
      </c>
      <c r="S118" s="79">
        <v>26.52</v>
      </c>
      <c r="T118" s="80">
        <v>34.659999999999997</v>
      </c>
    </row>
    <row r="119" spans="2:20" ht="28">
      <c r="B119" s="5" t="s">
        <v>362</v>
      </c>
      <c r="C119" s="45" t="s">
        <v>135</v>
      </c>
      <c r="D119" s="45">
        <v>93358</v>
      </c>
      <c r="E119" s="6" t="s">
        <v>363</v>
      </c>
      <c r="F119" s="45" t="s">
        <v>161</v>
      </c>
      <c r="G119" s="46">
        <f t="shared" si="14"/>
        <v>1</v>
      </c>
      <c r="H119" s="46">
        <f>TRUNC(S119*(1-LOTE_01!$K$10),2)</f>
        <v>29.65</v>
      </c>
      <c r="I119" s="46">
        <f>TRUNC(T119*(1-LOTE_01!$K$10),2)</f>
        <v>76.12</v>
      </c>
      <c r="J119" s="100">
        <f t="shared" si="8"/>
        <v>0.22470000000000001</v>
      </c>
      <c r="K119" s="48">
        <f t="shared" si="9"/>
        <v>36.31</v>
      </c>
      <c r="L119" s="48">
        <f t="shared" si="10"/>
        <v>93.22</v>
      </c>
      <c r="M119" s="48">
        <f t="shared" si="11"/>
        <v>36.31</v>
      </c>
      <c r="N119" s="48">
        <f t="shared" si="12"/>
        <v>93.22</v>
      </c>
      <c r="O119" s="50">
        <f t="shared" si="13"/>
        <v>129.53</v>
      </c>
      <c r="P119" s="50">
        <v>0</v>
      </c>
      <c r="Q119" s="76"/>
      <c r="R119" s="140">
        <f>IF((1*S10)&gt;5,5,1)</f>
        <v>1</v>
      </c>
      <c r="S119" s="79">
        <v>29.649999999999991</v>
      </c>
      <c r="T119" s="80">
        <v>76.12</v>
      </c>
    </row>
    <row r="120" spans="2:20" ht="28">
      <c r="B120" s="5" t="s">
        <v>364</v>
      </c>
      <c r="C120" s="45" t="s">
        <v>165</v>
      </c>
      <c r="D120" s="45" t="s">
        <v>365</v>
      </c>
      <c r="E120" s="6" t="s">
        <v>366</v>
      </c>
      <c r="F120" s="45" t="s">
        <v>182</v>
      </c>
      <c r="G120" s="46">
        <f t="shared" si="14"/>
        <v>1</v>
      </c>
      <c r="H120" s="46">
        <f>TRUNC(S120*(1-LOTE_01!$K$10),2)</f>
        <v>0</v>
      </c>
      <c r="I120" s="46">
        <f>TRUNC(T120*(1-LOTE_01!$K$10),2)</f>
        <v>66.010000000000005</v>
      </c>
      <c r="J120" s="100">
        <f t="shared" si="8"/>
        <v>0.22470000000000001</v>
      </c>
      <c r="K120" s="48">
        <f t="shared" si="9"/>
        <v>0</v>
      </c>
      <c r="L120" s="48">
        <f t="shared" si="10"/>
        <v>80.84</v>
      </c>
      <c r="M120" s="48">
        <f t="shared" si="11"/>
        <v>0</v>
      </c>
      <c r="N120" s="48">
        <f t="shared" si="12"/>
        <v>80.84</v>
      </c>
      <c r="O120" s="50">
        <f t="shared" si="13"/>
        <v>80.84</v>
      </c>
      <c r="P120" s="50">
        <v>0</v>
      </c>
      <c r="Q120" s="76"/>
      <c r="R120" s="140">
        <f>IF((1*S10)&gt;5,5,1)</f>
        <v>1</v>
      </c>
      <c r="S120" s="79">
        <v>0</v>
      </c>
      <c r="T120" s="80">
        <v>66.010000000000005</v>
      </c>
    </row>
    <row r="121" spans="2:20" ht="28">
      <c r="B121" s="5" t="s">
        <v>367</v>
      </c>
      <c r="C121" s="45" t="s">
        <v>165</v>
      </c>
      <c r="D121" s="45" t="s">
        <v>368</v>
      </c>
      <c r="E121" s="6" t="s">
        <v>369</v>
      </c>
      <c r="F121" s="45" t="s">
        <v>182</v>
      </c>
      <c r="G121" s="46">
        <f t="shared" si="14"/>
        <v>1</v>
      </c>
      <c r="H121" s="46">
        <f>TRUNC(S121*(1-LOTE_01!$K$10),2)</f>
        <v>0</v>
      </c>
      <c r="I121" s="46">
        <f>TRUNC(T121*(1-LOTE_01!$K$10),2)</f>
        <v>7.43</v>
      </c>
      <c r="J121" s="100">
        <f t="shared" si="8"/>
        <v>0.22470000000000001</v>
      </c>
      <c r="K121" s="48">
        <f t="shared" si="9"/>
        <v>0</v>
      </c>
      <c r="L121" s="48">
        <f t="shared" si="10"/>
        <v>9.09</v>
      </c>
      <c r="M121" s="48">
        <f t="shared" si="11"/>
        <v>0</v>
      </c>
      <c r="N121" s="48">
        <f t="shared" si="12"/>
        <v>9.09</v>
      </c>
      <c r="O121" s="50">
        <f t="shared" si="13"/>
        <v>9.09</v>
      </c>
      <c r="P121" s="50">
        <v>0</v>
      </c>
      <c r="Q121" s="76"/>
      <c r="R121" s="140">
        <f>IF((1*S10)&gt;5,5,1)</f>
        <v>1</v>
      </c>
      <c r="S121" s="79">
        <v>0</v>
      </c>
      <c r="T121" s="80">
        <v>7.43</v>
      </c>
    </row>
    <row r="122" spans="2:20" ht="28">
      <c r="B122" s="5" t="s">
        <v>370</v>
      </c>
      <c r="C122" s="45" t="s">
        <v>165</v>
      </c>
      <c r="D122" s="45" t="s">
        <v>371</v>
      </c>
      <c r="E122" s="6" t="s">
        <v>372</v>
      </c>
      <c r="F122" s="45" t="s">
        <v>182</v>
      </c>
      <c r="G122" s="46">
        <f t="shared" si="14"/>
        <v>1</v>
      </c>
      <c r="H122" s="46">
        <f>TRUNC(S122*(1-LOTE_01!$K$10),2)</f>
        <v>0</v>
      </c>
      <c r="I122" s="46">
        <f>TRUNC(T122*(1-LOTE_01!$K$10),2)</f>
        <v>64.98</v>
      </c>
      <c r="J122" s="100">
        <f t="shared" si="8"/>
        <v>0.22470000000000001</v>
      </c>
      <c r="K122" s="48">
        <f t="shared" si="9"/>
        <v>0</v>
      </c>
      <c r="L122" s="48">
        <f t="shared" si="10"/>
        <v>79.58</v>
      </c>
      <c r="M122" s="48">
        <f t="shared" si="11"/>
        <v>0</v>
      </c>
      <c r="N122" s="48">
        <f t="shared" si="12"/>
        <v>79.58</v>
      </c>
      <c r="O122" s="50">
        <f t="shared" si="13"/>
        <v>79.58</v>
      </c>
      <c r="P122" s="50">
        <v>0</v>
      </c>
      <c r="Q122" s="76"/>
      <c r="R122" s="140">
        <f>IF((1*S10)&gt;5,5,1)</f>
        <v>1</v>
      </c>
      <c r="S122" s="79">
        <v>0</v>
      </c>
      <c r="T122" s="80">
        <v>64.98</v>
      </c>
    </row>
    <row r="123" spans="2:20" ht="28">
      <c r="B123" s="5" t="s">
        <v>373</v>
      </c>
      <c r="C123" s="45" t="s">
        <v>165</v>
      </c>
      <c r="D123" s="45" t="s">
        <v>374</v>
      </c>
      <c r="E123" s="6" t="s">
        <v>375</v>
      </c>
      <c r="F123" s="45" t="s">
        <v>168</v>
      </c>
      <c r="G123" s="46">
        <f t="shared" si="14"/>
        <v>1</v>
      </c>
      <c r="H123" s="46">
        <f>TRUNC(S123*(1-LOTE_01!$K$10),2)</f>
        <v>0</v>
      </c>
      <c r="I123" s="46">
        <f>TRUNC(T123*(1-LOTE_01!$K$10),2)</f>
        <v>24.76</v>
      </c>
      <c r="J123" s="100">
        <f t="shared" si="8"/>
        <v>0.22470000000000001</v>
      </c>
      <c r="K123" s="48">
        <f t="shared" si="9"/>
        <v>0</v>
      </c>
      <c r="L123" s="48">
        <f t="shared" si="10"/>
        <v>30.32</v>
      </c>
      <c r="M123" s="48">
        <f t="shared" si="11"/>
        <v>0</v>
      </c>
      <c r="N123" s="48">
        <f t="shared" si="12"/>
        <v>30.32</v>
      </c>
      <c r="O123" s="50">
        <f t="shared" si="13"/>
        <v>30.32</v>
      </c>
      <c r="P123" s="50">
        <v>0</v>
      </c>
      <c r="Q123" s="76"/>
      <c r="R123" s="140">
        <f>IF((1*S10)&gt;5,5,1)</f>
        <v>1</v>
      </c>
      <c r="S123" s="79">
        <v>0</v>
      </c>
      <c r="T123" s="80">
        <v>24.76</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8363.619999999999</v>
      </c>
      <c r="Q124" s="76"/>
      <c r="R124" s="154"/>
      <c r="S124" s="79" t="s">
        <v>22</v>
      </c>
      <c r="T124" s="80" t="s">
        <v>22</v>
      </c>
    </row>
    <row r="125" spans="2:20" ht="70">
      <c r="B125" s="5" t="s">
        <v>376</v>
      </c>
      <c r="C125" s="45" t="s">
        <v>135</v>
      </c>
      <c r="D125" s="45">
        <v>94962</v>
      </c>
      <c r="E125" s="6" t="s">
        <v>377</v>
      </c>
      <c r="F125" s="45" t="s">
        <v>161</v>
      </c>
      <c r="G125" s="46">
        <f t="shared" ref="G125:G131" si="15">IF($S$11=0,0,TRUNC(R125,2))</f>
        <v>1</v>
      </c>
      <c r="H125" s="46">
        <f>TRUNC(S125*(1-LOTE_01!$K$10),2)</f>
        <v>545.89</v>
      </c>
      <c r="I125" s="46">
        <f>TRUNC(T125*(1-LOTE_01!$K$10),2)</f>
        <v>79.98</v>
      </c>
      <c r="J125" s="100">
        <f t="shared" si="8"/>
        <v>0.22470000000000001</v>
      </c>
      <c r="K125" s="48">
        <f t="shared" si="9"/>
        <v>668.55</v>
      </c>
      <c r="L125" s="48">
        <f t="shared" si="10"/>
        <v>97.95</v>
      </c>
      <c r="M125" s="48">
        <f t="shared" si="11"/>
        <v>668.55</v>
      </c>
      <c r="N125" s="48">
        <f t="shared" si="12"/>
        <v>97.95</v>
      </c>
      <c r="O125" s="50">
        <f t="shared" si="13"/>
        <v>766.5</v>
      </c>
      <c r="P125" s="50">
        <v>0</v>
      </c>
      <c r="Q125" s="76"/>
      <c r="R125" s="140">
        <f>IF((1*S10)&gt;5,5,1)</f>
        <v>1</v>
      </c>
      <c r="S125" s="79">
        <v>545.89</v>
      </c>
      <c r="T125" s="80">
        <v>79.98</v>
      </c>
    </row>
    <row r="126" spans="2:20" ht="56">
      <c r="B126" s="5" t="s">
        <v>378</v>
      </c>
      <c r="C126" s="45" t="s">
        <v>135</v>
      </c>
      <c r="D126" s="45">
        <v>94963</v>
      </c>
      <c r="E126" s="6" t="s">
        <v>379</v>
      </c>
      <c r="F126" s="45" t="s">
        <v>161</v>
      </c>
      <c r="G126" s="46">
        <f t="shared" si="15"/>
        <v>1</v>
      </c>
      <c r="H126" s="46">
        <f>TRUNC(S126*(1-LOTE_01!$K$10),2)</f>
        <v>615.54999999999995</v>
      </c>
      <c r="I126" s="46">
        <f>TRUNC(T126*(1-LOTE_01!$K$10),2)</f>
        <v>79.67</v>
      </c>
      <c r="J126" s="100">
        <f t="shared" si="8"/>
        <v>0.22470000000000001</v>
      </c>
      <c r="K126" s="48">
        <f t="shared" si="9"/>
        <v>753.86</v>
      </c>
      <c r="L126" s="48">
        <f t="shared" si="10"/>
        <v>97.57</v>
      </c>
      <c r="M126" s="48">
        <f t="shared" si="11"/>
        <v>753.86</v>
      </c>
      <c r="N126" s="48">
        <f t="shared" si="12"/>
        <v>97.57</v>
      </c>
      <c r="O126" s="50">
        <f t="shared" si="13"/>
        <v>851.43</v>
      </c>
      <c r="P126" s="50">
        <v>0</v>
      </c>
      <c r="Q126" s="76"/>
      <c r="R126" s="140">
        <f>IF((1*S10)&gt;5,5,1)</f>
        <v>1</v>
      </c>
      <c r="S126" s="79">
        <v>615.55000000000007</v>
      </c>
      <c r="T126" s="80">
        <v>79.67</v>
      </c>
    </row>
    <row r="127" spans="2:20" ht="56">
      <c r="B127" s="5" t="s">
        <v>380</v>
      </c>
      <c r="C127" s="45" t="s">
        <v>135</v>
      </c>
      <c r="D127" s="45">
        <v>94964</v>
      </c>
      <c r="E127" s="6" t="s">
        <v>381</v>
      </c>
      <c r="F127" s="45" t="s">
        <v>161</v>
      </c>
      <c r="G127" s="46">
        <f t="shared" si="15"/>
        <v>1</v>
      </c>
      <c r="H127" s="46">
        <f>TRUNC(S127*(1-LOTE_01!$K$10),2)</f>
        <v>672.06</v>
      </c>
      <c r="I127" s="46">
        <f>TRUNC(T127*(1-LOTE_01!$K$10),2)</f>
        <v>86.89</v>
      </c>
      <c r="J127" s="100">
        <f t="shared" si="8"/>
        <v>0.22470000000000001</v>
      </c>
      <c r="K127" s="48">
        <f t="shared" si="9"/>
        <v>823.07</v>
      </c>
      <c r="L127" s="48">
        <f t="shared" si="10"/>
        <v>106.41</v>
      </c>
      <c r="M127" s="48">
        <f t="shared" si="11"/>
        <v>823.07</v>
      </c>
      <c r="N127" s="48">
        <f t="shared" si="12"/>
        <v>106.41</v>
      </c>
      <c r="O127" s="50">
        <f t="shared" si="13"/>
        <v>929.48</v>
      </c>
      <c r="P127" s="50">
        <v>0</v>
      </c>
      <c r="Q127" s="76"/>
      <c r="R127" s="140">
        <f>IF((1*S10)&gt;5,5,1)</f>
        <v>1</v>
      </c>
      <c r="S127" s="79">
        <v>672.06000000000006</v>
      </c>
      <c r="T127" s="80">
        <v>86.89</v>
      </c>
    </row>
    <row r="128" spans="2:20" ht="56">
      <c r="B128" s="5" t="s">
        <v>382</v>
      </c>
      <c r="C128" s="45" t="s">
        <v>135</v>
      </c>
      <c r="D128" s="45">
        <v>94965</v>
      </c>
      <c r="E128" s="6" t="s">
        <v>383</v>
      </c>
      <c r="F128" s="45" t="s">
        <v>161</v>
      </c>
      <c r="G128" s="46">
        <f t="shared" si="15"/>
        <v>1</v>
      </c>
      <c r="H128" s="46">
        <f>TRUNC(S128*(1-LOTE_01!$K$10),2)</f>
        <v>713.67</v>
      </c>
      <c r="I128" s="46">
        <f>TRUNC(T128*(1-LOTE_01!$K$10),2)</f>
        <v>79.55</v>
      </c>
      <c r="J128" s="100">
        <f t="shared" si="8"/>
        <v>0.22470000000000001</v>
      </c>
      <c r="K128" s="48">
        <f t="shared" si="9"/>
        <v>874.03</v>
      </c>
      <c r="L128" s="48">
        <f t="shared" si="10"/>
        <v>97.42</v>
      </c>
      <c r="M128" s="48">
        <f t="shared" si="11"/>
        <v>874.03</v>
      </c>
      <c r="N128" s="48">
        <f t="shared" si="12"/>
        <v>97.42</v>
      </c>
      <c r="O128" s="50">
        <f t="shared" si="13"/>
        <v>971.45</v>
      </c>
      <c r="P128" s="50">
        <v>0</v>
      </c>
      <c r="Q128" s="76"/>
      <c r="R128" s="140">
        <f>IF((1*S10)&gt;5,5,1)</f>
        <v>1</v>
      </c>
      <c r="S128" s="79">
        <v>713.67000000000007</v>
      </c>
      <c r="T128" s="80">
        <v>79.55</v>
      </c>
    </row>
    <row r="129" spans="2:20" ht="42">
      <c r="B129" s="5" t="s">
        <v>384</v>
      </c>
      <c r="C129" s="45" t="s">
        <v>135</v>
      </c>
      <c r="D129" s="45">
        <v>102487</v>
      </c>
      <c r="E129" s="6" t="s">
        <v>385</v>
      </c>
      <c r="F129" s="45" t="s">
        <v>161</v>
      </c>
      <c r="G129" s="46">
        <f t="shared" si="15"/>
        <v>1</v>
      </c>
      <c r="H129" s="46">
        <f>TRUNC(S129*(1-LOTE_01!$K$10),2)</f>
        <v>652.95000000000005</v>
      </c>
      <c r="I129" s="46">
        <f>TRUNC(T129*(1-LOTE_01!$K$10),2)</f>
        <v>237.11</v>
      </c>
      <c r="J129" s="100">
        <f t="shared" si="8"/>
        <v>0.22470000000000001</v>
      </c>
      <c r="K129" s="48">
        <f t="shared" si="9"/>
        <v>799.66</v>
      </c>
      <c r="L129" s="48">
        <f t="shared" si="10"/>
        <v>290.38</v>
      </c>
      <c r="M129" s="48">
        <f t="shared" si="11"/>
        <v>799.66</v>
      </c>
      <c r="N129" s="48">
        <f t="shared" si="12"/>
        <v>290.38</v>
      </c>
      <c r="O129" s="50">
        <f t="shared" si="13"/>
        <v>1090.04</v>
      </c>
      <c r="P129" s="50">
        <v>0</v>
      </c>
      <c r="Q129" s="76"/>
      <c r="R129" s="140">
        <f>IF((1*S10)&gt;5,5,1)</f>
        <v>1</v>
      </c>
      <c r="S129" s="79">
        <v>652.94999999999993</v>
      </c>
      <c r="T129" s="80">
        <v>237.11</v>
      </c>
    </row>
    <row r="130" spans="2:20" ht="28">
      <c r="B130" s="5" t="s">
        <v>386</v>
      </c>
      <c r="C130" s="45" t="s">
        <v>165</v>
      </c>
      <c r="D130" s="45" t="s">
        <v>387</v>
      </c>
      <c r="E130" s="6" t="s">
        <v>388</v>
      </c>
      <c r="F130" s="45" t="s">
        <v>168</v>
      </c>
      <c r="G130" s="46">
        <f t="shared" si="15"/>
        <v>5</v>
      </c>
      <c r="H130" s="46">
        <f>TRUNC(S130*(1-LOTE_01!$K$10),2)</f>
        <v>125.12</v>
      </c>
      <c r="I130" s="46">
        <f>TRUNC(T130*(1-LOTE_01!$K$10),2)</f>
        <v>80.53</v>
      </c>
      <c r="J130" s="100">
        <f t="shared" si="8"/>
        <v>0.22470000000000001</v>
      </c>
      <c r="K130" s="48">
        <f t="shared" si="9"/>
        <v>153.22999999999999</v>
      </c>
      <c r="L130" s="48">
        <f t="shared" si="10"/>
        <v>98.62</v>
      </c>
      <c r="M130" s="48">
        <f t="shared" si="11"/>
        <v>766.15</v>
      </c>
      <c r="N130" s="48">
        <f t="shared" si="12"/>
        <v>493.1</v>
      </c>
      <c r="O130" s="50">
        <f t="shared" si="13"/>
        <v>1259.25</v>
      </c>
      <c r="P130" s="50">
        <v>0</v>
      </c>
      <c r="Q130" s="76"/>
      <c r="R130" s="140">
        <f>IF((5*S10)&gt;20,20,5)</f>
        <v>5</v>
      </c>
      <c r="S130" s="79">
        <v>125.12</v>
      </c>
      <c r="T130" s="80">
        <v>80.53</v>
      </c>
    </row>
    <row r="131" spans="2:20" ht="42">
      <c r="B131" s="5" t="s">
        <v>389</v>
      </c>
      <c r="C131" s="45" t="s">
        <v>135</v>
      </c>
      <c r="D131" s="45">
        <v>103670</v>
      </c>
      <c r="E131" s="6" t="s">
        <v>390</v>
      </c>
      <c r="F131" s="45" t="s">
        <v>161</v>
      </c>
      <c r="G131" s="46">
        <f t="shared" si="15"/>
        <v>1</v>
      </c>
      <c r="H131" s="46">
        <f>TRUNC(S131*(1-LOTE_01!$K$10),2)</f>
        <v>94.39</v>
      </c>
      <c r="I131" s="46">
        <f>TRUNC(T131*(1-LOTE_01!$K$10),2)</f>
        <v>257.02</v>
      </c>
      <c r="J131" s="100">
        <f t="shared" si="8"/>
        <v>0.22470000000000001</v>
      </c>
      <c r="K131" s="48">
        <f t="shared" si="9"/>
        <v>115.59</v>
      </c>
      <c r="L131" s="48">
        <f t="shared" si="10"/>
        <v>314.77</v>
      </c>
      <c r="M131" s="48">
        <f t="shared" si="11"/>
        <v>115.59</v>
      </c>
      <c r="N131" s="48">
        <f t="shared" si="12"/>
        <v>314.77</v>
      </c>
      <c r="O131" s="50">
        <f t="shared" si="13"/>
        <v>430.36</v>
      </c>
      <c r="P131" s="50">
        <v>0</v>
      </c>
      <c r="Q131" s="76"/>
      <c r="R131" s="140">
        <f>IF((1*S10)&gt;5,5,1)</f>
        <v>1</v>
      </c>
      <c r="S131" s="79">
        <v>94.390000000000043</v>
      </c>
      <c r="T131" s="80">
        <v>257.02</v>
      </c>
    </row>
    <row r="132" spans="2:20" ht="56">
      <c r="B132" s="5" t="s">
        <v>391</v>
      </c>
      <c r="C132" s="45" t="s">
        <v>135</v>
      </c>
      <c r="D132" s="45">
        <v>95240</v>
      </c>
      <c r="E132" s="6" t="s">
        <v>392</v>
      </c>
      <c r="F132" s="45" t="s">
        <v>121</v>
      </c>
      <c r="G132" s="46">
        <f t="shared" si="7"/>
        <v>20</v>
      </c>
      <c r="H132" s="46">
        <f>TRUNC(S132*(1-LOTE_01!$K$10),2)</f>
        <v>20.02</v>
      </c>
      <c r="I132" s="46">
        <f>TRUNC(T132*(1-LOTE_01!$K$10),2)</f>
        <v>7.35</v>
      </c>
      <c r="J132" s="100">
        <f t="shared" si="8"/>
        <v>0.22470000000000001</v>
      </c>
      <c r="K132" s="48">
        <f t="shared" si="9"/>
        <v>24.51</v>
      </c>
      <c r="L132" s="48">
        <f t="shared" si="10"/>
        <v>9</v>
      </c>
      <c r="M132" s="48">
        <f t="shared" si="11"/>
        <v>490.2</v>
      </c>
      <c r="N132" s="48">
        <f t="shared" si="12"/>
        <v>180</v>
      </c>
      <c r="O132" s="50">
        <f t="shared" si="13"/>
        <v>670.2</v>
      </c>
      <c r="P132" s="50">
        <v>0</v>
      </c>
      <c r="Q132" s="76"/>
      <c r="R132" s="140">
        <f>IF((S9+2*S10)&gt;20,20,(S9+2*S10))</f>
        <v>20</v>
      </c>
      <c r="S132" s="79">
        <v>20.020000000000003</v>
      </c>
      <c r="T132" s="80">
        <v>7.35</v>
      </c>
    </row>
    <row r="133" spans="2:20" ht="28">
      <c r="B133" s="5" t="s">
        <v>393</v>
      </c>
      <c r="C133" s="45" t="s">
        <v>97</v>
      </c>
      <c r="D133" s="45" t="s">
        <v>394</v>
      </c>
      <c r="E133" s="6" t="s">
        <v>395</v>
      </c>
      <c r="F133" s="45" t="s">
        <v>161</v>
      </c>
      <c r="G133" s="46">
        <f>IF($S$11=0,0,TRUNC(R133,2))</f>
        <v>1</v>
      </c>
      <c r="H133" s="46">
        <f>TRUNC(S133*(1-LOTE_01!$K$10),2)</f>
        <v>784.01</v>
      </c>
      <c r="I133" s="46">
        <f>TRUNC(T133*(1-LOTE_01!$K$10),2)</f>
        <v>354.98</v>
      </c>
      <c r="J133" s="100">
        <f t="shared" si="8"/>
        <v>0.22470000000000001</v>
      </c>
      <c r="K133" s="48">
        <f t="shared" si="9"/>
        <v>960.17</v>
      </c>
      <c r="L133" s="48">
        <f t="shared" si="10"/>
        <v>434.74</v>
      </c>
      <c r="M133" s="48">
        <f t="shared" si="11"/>
        <v>960.17</v>
      </c>
      <c r="N133" s="48">
        <f t="shared" si="12"/>
        <v>434.74</v>
      </c>
      <c r="O133" s="50">
        <f t="shared" si="13"/>
        <v>1394.91</v>
      </c>
      <c r="P133" s="50">
        <v>0</v>
      </c>
      <c r="Q133" s="76"/>
      <c r="R133" s="140">
        <f>IF((1*S10)&gt;5,5,1)</f>
        <v>1</v>
      </c>
      <c r="S133" s="79">
        <v>784.01</v>
      </c>
      <c r="T133" s="80">
        <v>354.98</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40443.409999999996</v>
      </c>
      <c r="Q134" s="76"/>
      <c r="R134" s="154"/>
      <c r="S134" s="79" t="s">
        <v>22</v>
      </c>
      <c r="T134" s="80" t="s">
        <v>22</v>
      </c>
    </row>
    <row r="135" spans="2:20" ht="28">
      <c r="B135" s="5" t="s">
        <v>396</v>
      </c>
      <c r="C135" s="45" t="s">
        <v>135</v>
      </c>
      <c r="D135" s="45">
        <v>96543</v>
      </c>
      <c r="E135" s="6" t="s">
        <v>397</v>
      </c>
      <c r="F135" s="45" t="s">
        <v>398</v>
      </c>
      <c r="G135" s="46">
        <f t="shared" ref="G135:G149" si="16">IF($S$11=0,0,TRUNC(R135,2))</f>
        <v>50</v>
      </c>
      <c r="H135" s="46">
        <f>TRUNC(S135*(1-LOTE_01!$K$10),2)</f>
        <v>14.01</v>
      </c>
      <c r="I135" s="46">
        <f>TRUNC(T135*(1-LOTE_01!$K$10),2)</f>
        <v>9.4600000000000009</v>
      </c>
      <c r="J135" s="100">
        <f t="shared" si="8"/>
        <v>0.22470000000000001</v>
      </c>
      <c r="K135" s="48">
        <f t="shared" si="9"/>
        <v>17.149999999999999</v>
      </c>
      <c r="L135" s="48">
        <f t="shared" si="10"/>
        <v>11.58</v>
      </c>
      <c r="M135" s="48">
        <f t="shared" si="11"/>
        <v>857.5</v>
      </c>
      <c r="N135" s="48">
        <f t="shared" si="12"/>
        <v>579</v>
      </c>
      <c r="O135" s="50">
        <f t="shared" si="13"/>
        <v>1436.5</v>
      </c>
      <c r="P135" s="50">
        <v>0</v>
      </c>
      <c r="Q135" s="76"/>
      <c r="R135" s="140">
        <f>IF(20*S10&gt;=80,200,50)</f>
        <v>50</v>
      </c>
      <c r="S135" s="79">
        <v>14.009999999999998</v>
      </c>
      <c r="T135" s="80">
        <v>9.4600000000000009</v>
      </c>
    </row>
    <row r="136" spans="2:20" ht="42">
      <c r="B136" s="5" t="s">
        <v>399</v>
      </c>
      <c r="C136" s="45" t="s">
        <v>165</v>
      </c>
      <c r="D136" s="45" t="s">
        <v>400</v>
      </c>
      <c r="E136" s="6" t="s">
        <v>401</v>
      </c>
      <c r="F136" s="45" t="s">
        <v>402</v>
      </c>
      <c r="G136" s="46">
        <f t="shared" si="16"/>
        <v>50</v>
      </c>
      <c r="H136" s="46">
        <f>TRUNC(S136*(1-LOTE_01!$K$10),2)</f>
        <v>11.33</v>
      </c>
      <c r="I136" s="46">
        <f>TRUNC(T136*(1-LOTE_01!$K$10),2)</f>
        <v>5.27</v>
      </c>
      <c r="J136" s="100">
        <f t="shared" si="8"/>
        <v>0.22470000000000001</v>
      </c>
      <c r="K136" s="48">
        <f t="shared" si="9"/>
        <v>13.87</v>
      </c>
      <c r="L136" s="48">
        <f t="shared" si="10"/>
        <v>6.45</v>
      </c>
      <c r="M136" s="48">
        <f t="shared" si="11"/>
        <v>693.5</v>
      </c>
      <c r="N136" s="48">
        <f t="shared" si="12"/>
        <v>322.5</v>
      </c>
      <c r="O136" s="50">
        <f t="shared" si="13"/>
        <v>1016</v>
      </c>
      <c r="P136" s="50">
        <v>0</v>
      </c>
      <c r="Q136" s="76"/>
      <c r="R136" s="140">
        <f>IF(20*S10&gt;=80,200,50)</f>
        <v>50</v>
      </c>
      <c r="S136" s="79">
        <v>11.33</v>
      </c>
      <c r="T136" s="80">
        <v>5.27</v>
      </c>
    </row>
    <row r="137" spans="2:20" ht="42">
      <c r="B137" s="5" t="s">
        <v>403</v>
      </c>
      <c r="C137" s="45" t="s">
        <v>165</v>
      </c>
      <c r="D137" s="45" t="s">
        <v>404</v>
      </c>
      <c r="E137" s="6" t="s">
        <v>405</v>
      </c>
      <c r="F137" s="45" t="s">
        <v>402</v>
      </c>
      <c r="G137" s="46">
        <f t="shared" si="16"/>
        <v>50</v>
      </c>
      <c r="H137" s="46">
        <f>TRUNC(S137*(1-LOTE_01!$K$10),2)</f>
        <v>24.24</v>
      </c>
      <c r="I137" s="46">
        <f>TRUNC(T137*(1-LOTE_01!$K$10),2)</f>
        <v>5.27</v>
      </c>
      <c r="J137" s="100">
        <f t="shared" si="8"/>
        <v>0.22470000000000001</v>
      </c>
      <c r="K137" s="48">
        <f t="shared" si="9"/>
        <v>29.68</v>
      </c>
      <c r="L137" s="48">
        <f t="shared" si="10"/>
        <v>6.45</v>
      </c>
      <c r="M137" s="48">
        <f t="shared" si="11"/>
        <v>1484</v>
      </c>
      <c r="N137" s="48">
        <f t="shared" si="12"/>
        <v>322.5</v>
      </c>
      <c r="O137" s="50">
        <f t="shared" si="13"/>
        <v>1806.5</v>
      </c>
      <c r="P137" s="50">
        <v>0</v>
      </c>
      <c r="Q137" s="76"/>
      <c r="R137" s="140">
        <f>IF(20*S10&gt;=80,200,50)</f>
        <v>50</v>
      </c>
      <c r="S137" s="79">
        <v>24.24</v>
      </c>
      <c r="T137" s="80">
        <v>5.27</v>
      </c>
    </row>
    <row r="138" spans="2:20" ht="42">
      <c r="B138" s="5" t="s">
        <v>406</v>
      </c>
      <c r="C138" s="45" t="s">
        <v>165</v>
      </c>
      <c r="D138" s="45" t="s">
        <v>407</v>
      </c>
      <c r="E138" s="6" t="s">
        <v>408</v>
      </c>
      <c r="F138" s="45" t="s">
        <v>402</v>
      </c>
      <c r="G138" s="46">
        <f t="shared" si="16"/>
        <v>50</v>
      </c>
      <c r="H138" s="46">
        <f>TRUNC(S138*(1-LOTE_01!$K$10),2)</f>
        <v>33.229999999999997</v>
      </c>
      <c r="I138" s="46">
        <f>TRUNC(T138*(1-LOTE_01!$K$10),2)</f>
        <v>3.3</v>
      </c>
      <c r="J138" s="100">
        <f t="shared" si="8"/>
        <v>0.22470000000000001</v>
      </c>
      <c r="K138" s="48">
        <f t="shared" si="9"/>
        <v>40.69</v>
      </c>
      <c r="L138" s="48">
        <f t="shared" si="10"/>
        <v>4.04</v>
      </c>
      <c r="M138" s="48">
        <f t="shared" si="11"/>
        <v>2034.5</v>
      </c>
      <c r="N138" s="48">
        <f t="shared" si="12"/>
        <v>202</v>
      </c>
      <c r="O138" s="50">
        <f t="shared" si="13"/>
        <v>2236.5</v>
      </c>
      <c r="P138" s="50">
        <v>0</v>
      </c>
      <c r="Q138" s="76"/>
      <c r="R138" s="140">
        <f>IF(20*S10&gt;=80,200,50)</f>
        <v>50</v>
      </c>
      <c r="S138" s="79">
        <v>33.229999999999997</v>
      </c>
      <c r="T138" s="80">
        <v>3.3</v>
      </c>
    </row>
    <row r="139" spans="2:20" ht="28">
      <c r="B139" s="5" t="s">
        <v>409</v>
      </c>
      <c r="C139" s="45" t="s">
        <v>165</v>
      </c>
      <c r="D139" s="45" t="s">
        <v>410</v>
      </c>
      <c r="E139" s="6" t="s">
        <v>411</v>
      </c>
      <c r="F139" s="45" t="s">
        <v>168</v>
      </c>
      <c r="G139" s="46">
        <f t="shared" si="16"/>
        <v>50</v>
      </c>
      <c r="H139" s="46">
        <f>TRUNC(S139*(1-LOTE_01!$K$10),2)</f>
        <v>72.91</v>
      </c>
      <c r="I139" s="46">
        <f>TRUNC(T139*(1-LOTE_01!$K$10),2)</f>
        <v>2.5</v>
      </c>
      <c r="J139" s="100">
        <f t="shared" si="8"/>
        <v>0.22470000000000001</v>
      </c>
      <c r="K139" s="48">
        <f t="shared" si="9"/>
        <v>89.29</v>
      </c>
      <c r="L139" s="48">
        <f t="shared" si="10"/>
        <v>3.06</v>
      </c>
      <c r="M139" s="48">
        <f t="shared" si="11"/>
        <v>4464.5</v>
      </c>
      <c r="N139" s="48">
        <f t="shared" si="12"/>
        <v>153</v>
      </c>
      <c r="O139" s="50">
        <f t="shared" si="13"/>
        <v>4617.5</v>
      </c>
      <c r="P139" s="50">
        <v>0</v>
      </c>
      <c r="Q139" s="76"/>
      <c r="R139" s="140">
        <f>IF(20*S10&gt;=50,100,50)</f>
        <v>50</v>
      </c>
      <c r="S139" s="79">
        <v>72.91</v>
      </c>
      <c r="T139" s="80">
        <v>2.5</v>
      </c>
    </row>
    <row r="140" spans="2:20" ht="70">
      <c r="B140" s="5" t="s">
        <v>412</v>
      </c>
      <c r="C140" s="45" t="s">
        <v>135</v>
      </c>
      <c r="D140" s="45">
        <v>102475</v>
      </c>
      <c r="E140" s="6" t="s">
        <v>413</v>
      </c>
      <c r="F140" s="45" t="s">
        <v>161</v>
      </c>
      <c r="G140" s="46">
        <f t="shared" si="16"/>
        <v>1</v>
      </c>
      <c r="H140" s="46">
        <f>TRUNC(S140*(1-LOTE_01!$K$10),2)</f>
        <v>649</v>
      </c>
      <c r="I140" s="46">
        <f>TRUNC(T140*(1-LOTE_01!$K$10),2)</f>
        <v>89.42</v>
      </c>
      <c r="J140" s="100">
        <f t="shared" si="8"/>
        <v>0.22470000000000001</v>
      </c>
      <c r="K140" s="48">
        <f t="shared" si="9"/>
        <v>794.83</v>
      </c>
      <c r="L140" s="48">
        <f t="shared" si="10"/>
        <v>109.51</v>
      </c>
      <c r="M140" s="48">
        <f t="shared" si="11"/>
        <v>794.83</v>
      </c>
      <c r="N140" s="48">
        <f t="shared" si="12"/>
        <v>109.51</v>
      </c>
      <c r="O140" s="50">
        <f t="shared" si="13"/>
        <v>904.34</v>
      </c>
      <c r="P140" s="50">
        <v>0</v>
      </c>
      <c r="Q140" s="76"/>
      <c r="R140" s="140">
        <f>IF(S10&gt;5,5,1)</f>
        <v>1</v>
      </c>
      <c r="S140" s="79">
        <v>649</v>
      </c>
      <c r="T140" s="80">
        <v>89.42</v>
      </c>
    </row>
    <row r="141" spans="2:20" ht="42">
      <c r="B141" s="5" t="s">
        <v>414</v>
      </c>
      <c r="C141" s="45" t="s">
        <v>165</v>
      </c>
      <c r="D141" s="45" t="s">
        <v>415</v>
      </c>
      <c r="E141" s="6" t="s">
        <v>416</v>
      </c>
      <c r="F141" s="45" t="s">
        <v>168</v>
      </c>
      <c r="G141" s="46">
        <f t="shared" si="16"/>
        <v>10</v>
      </c>
      <c r="H141" s="46">
        <f>TRUNC(S141*(1-LOTE_01!$K$10),2)</f>
        <v>120.58</v>
      </c>
      <c r="I141" s="46">
        <f>TRUNC(T141*(1-LOTE_01!$K$10),2)</f>
        <v>8.0500000000000007</v>
      </c>
      <c r="J141" s="100">
        <f t="shared" si="8"/>
        <v>0.22470000000000001</v>
      </c>
      <c r="K141" s="48">
        <f t="shared" si="9"/>
        <v>147.66999999999999</v>
      </c>
      <c r="L141" s="48">
        <f t="shared" si="10"/>
        <v>9.85</v>
      </c>
      <c r="M141" s="48">
        <f t="shared" si="11"/>
        <v>1476.7</v>
      </c>
      <c r="N141" s="48">
        <f t="shared" si="12"/>
        <v>98.5</v>
      </c>
      <c r="O141" s="50">
        <f t="shared" si="13"/>
        <v>1575.2</v>
      </c>
      <c r="P141" s="50">
        <v>0</v>
      </c>
      <c r="Q141" s="76"/>
      <c r="R141" s="140">
        <f>IF(S10*10&gt;100,100,10)</f>
        <v>10</v>
      </c>
      <c r="S141" s="79">
        <v>120.58</v>
      </c>
      <c r="T141" s="80">
        <v>8.0500000000000007</v>
      </c>
    </row>
    <row r="142" spans="2:20" ht="56">
      <c r="B142" s="5" t="s">
        <v>417</v>
      </c>
      <c r="C142" s="45" t="s">
        <v>135</v>
      </c>
      <c r="D142" s="45">
        <v>94969</v>
      </c>
      <c r="E142" s="6" t="s">
        <v>418</v>
      </c>
      <c r="F142" s="45" t="s">
        <v>161</v>
      </c>
      <c r="G142" s="46">
        <f t="shared" si="16"/>
        <v>1</v>
      </c>
      <c r="H142" s="46">
        <f>TRUNC(S142*(1-LOTE_01!$K$10),2)</f>
        <v>618.69000000000005</v>
      </c>
      <c r="I142" s="46">
        <f>TRUNC(T142*(1-LOTE_01!$K$10),2)</f>
        <v>69.5</v>
      </c>
      <c r="J142" s="100">
        <f t="shared" si="8"/>
        <v>0.22470000000000001</v>
      </c>
      <c r="K142" s="48">
        <f t="shared" si="9"/>
        <v>757.7</v>
      </c>
      <c r="L142" s="48">
        <f t="shared" si="10"/>
        <v>85.11</v>
      </c>
      <c r="M142" s="48">
        <f t="shared" si="11"/>
        <v>757.7</v>
      </c>
      <c r="N142" s="48">
        <f t="shared" si="12"/>
        <v>85.11</v>
      </c>
      <c r="O142" s="50">
        <f t="shared" si="13"/>
        <v>842.81</v>
      </c>
      <c r="P142" s="50">
        <v>0</v>
      </c>
      <c r="Q142" s="76"/>
      <c r="R142" s="140">
        <f>IF(S10&gt;5,10,1)</f>
        <v>1</v>
      </c>
      <c r="S142" s="79">
        <v>618.69000000000005</v>
      </c>
      <c r="T142" s="80">
        <v>69.5</v>
      </c>
    </row>
    <row r="143" spans="2:20" ht="56">
      <c r="B143" s="5" t="s">
        <v>419</v>
      </c>
      <c r="C143" s="45" t="s">
        <v>135</v>
      </c>
      <c r="D143" s="45">
        <v>92263</v>
      </c>
      <c r="E143" s="6" t="s">
        <v>420</v>
      </c>
      <c r="F143" s="45" t="s">
        <v>121</v>
      </c>
      <c r="G143" s="46">
        <f t="shared" si="16"/>
        <v>20</v>
      </c>
      <c r="H143" s="46">
        <f>TRUNC(S143*(1-LOTE_01!$K$10),2)</f>
        <v>185.98</v>
      </c>
      <c r="I143" s="46">
        <f>TRUNC(T143*(1-LOTE_01!$K$10),2)</f>
        <v>48.07</v>
      </c>
      <c r="J143" s="100">
        <f t="shared" si="8"/>
        <v>0.22470000000000001</v>
      </c>
      <c r="K143" s="48">
        <f t="shared" si="9"/>
        <v>227.76</v>
      </c>
      <c r="L143" s="48">
        <f t="shared" si="10"/>
        <v>58.87</v>
      </c>
      <c r="M143" s="48">
        <f t="shared" si="11"/>
        <v>4555.2</v>
      </c>
      <c r="N143" s="48">
        <f t="shared" si="12"/>
        <v>1177.4000000000001</v>
      </c>
      <c r="O143" s="50">
        <f t="shared" si="13"/>
        <v>5732.6</v>
      </c>
      <c r="P143" s="50">
        <v>0</v>
      </c>
      <c r="Q143" s="76"/>
      <c r="R143" s="140">
        <f>IF(S10&gt;5,100,20)</f>
        <v>20</v>
      </c>
      <c r="S143" s="79">
        <v>185.98000000000002</v>
      </c>
      <c r="T143" s="80">
        <v>48.07</v>
      </c>
    </row>
    <row r="144" spans="2:20" ht="70">
      <c r="B144" s="5" t="s">
        <v>421</v>
      </c>
      <c r="C144" s="45" t="s">
        <v>135</v>
      </c>
      <c r="D144" s="45">
        <v>92409</v>
      </c>
      <c r="E144" s="6" t="s">
        <v>422</v>
      </c>
      <c r="F144" s="45" t="s">
        <v>121</v>
      </c>
      <c r="G144" s="46">
        <f t="shared" si="16"/>
        <v>20</v>
      </c>
      <c r="H144" s="46">
        <f>TRUNC(S144*(1-LOTE_01!$K$10),2)</f>
        <v>122.76</v>
      </c>
      <c r="I144" s="46">
        <f>TRUNC(T144*(1-LOTE_01!$K$10),2)</f>
        <v>109.16</v>
      </c>
      <c r="J144" s="100">
        <f t="shared" si="8"/>
        <v>0.22470000000000001</v>
      </c>
      <c r="K144" s="48">
        <f t="shared" si="9"/>
        <v>150.34</v>
      </c>
      <c r="L144" s="48">
        <f t="shared" si="10"/>
        <v>133.68</v>
      </c>
      <c r="M144" s="48">
        <f t="shared" si="11"/>
        <v>3006.8</v>
      </c>
      <c r="N144" s="48">
        <f t="shared" si="12"/>
        <v>2673.6</v>
      </c>
      <c r="O144" s="50">
        <f t="shared" si="13"/>
        <v>5680.4</v>
      </c>
      <c r="P144" s="50">
        <v>0</v>
      </c>
      <c r="Q144" s="76"/>
      <c r="R144" s="140">
        <f>IF(S10&gt;5,100,20)</f>
        <v>20</v>
      </c>
      <c r="S144" s="79">
        <v>122.75999999999999</v>
      </c>
      <c r="T144" s="80">
        <v>109.16</v>
      </c>
    </row>
    <row r="145" spans="2:20" ht="56">
      <c r="B145" s="5" t="s">
        <v>423</v>
      </c>
      <c r="C145" s="45" t="s">
        <v>135</v>
      </c>
      <c r="D145" s="45">
        <v>92482</v>
      </c>
      <c r="E145" s="6" t="s">
        <v>424</v>
      </c>
      <c r="F145" s="45" t="s">
        <v>121</v>
      </c>
      <c r="G145" s="46">
        <f t="shared" si="16"/>
        <v>20</v>
      </c>
      <c r="H145" s="46">
        <f>TRUNC(S145*(1-LOTE_01!$K$10),2)</f>
        <v>215.1</v>
      </c>
      <c r="I145" s="46">
        <f>TRUNC(T145*(1-LOTE_01!$K$10),2)</f>
        <v>105.8</v>
      </c>
      <c r="J145" s="100">
        <f t="shared" ref="J145:J209" si="17">$J$4</f>
        <v>0.22470000000000001</v>
      </c>
      <c r="K145" s="48">
        <f t="shared" ref="K145:K207" si="18">TRUNC(H145*(1+J145),2)</f>
        <v>263.43</v>
      </c>
      <c r="L145" s="48">
        <f t="shared" ref="L145:L207" si="19">TRUNC(I145*(1+J145),2)</f>
        <v>129.57</v>
      </c>
      <c r="M145" s="48">
        <f t="shared" ref="M145:M207" si="20">TRUNC(K145*G145,2)</f>
        <v>5268.6</v>
      </c>
      <c r="N145" s="48">
        <f t="shared" ref="N145:N207" si="21">TRUNC(L145*G145,2)</f>
        <v>2591.4</v>
      </c>
      <c r="O145" s="50">
        <f t="shared" ref="O145:O207" si="22">TRUNC(M145+N145,2)</f>
        <v>7860</v>
      </c>
      <c r="P145" s="50">
        <v>0</v>
      </c>
      <c r="Q145" s="76"/>
      <c r="R145" s="140">
        <f>IF(S10&gt;5,100,20)</f>
        <v>20</v>
      </c>
      <c r="S145" s="79">
        <v>215.09999999999997</v>
      </c>
      <c r="T145" s="80">
        <v>105.8</v>
      </c>
    </row>
    <row r="146" spans="2:20" ht="70">
      <c r="B146" s="5" t="s">
        <v>425</v>
      </c>
      <c r="C146" s="45" t="s">
        <v>135</v>
      </c>
      <c r="D146" s="45">
        <v>101963</v>
      </c>
      <c r="E146" s="6" t="s">
        <v>426</v>
      </c>
      <c r="F146" s="45" t="s">
        <v>121</v>
      </c>
      <c r="G146" s="46">
        <f t="shared" si="16"/>
        <v>20</v>
      </c>
      <c r="H146" s="46">
        <f>TRUNC(S146*(1-LOTE_01!$K$10),2)</f>
        <v>192.72</v>
      </c>
      <c r="I146" s="46">
        <f>TRUNC(T146*(1-LOTE_01!$K$10),2)</f>
        <v>29.17</v>
      </c>
      <c r="J146" s="100">
        <f t="shared" si="17"/>
        <v>0.22470000000000001</v>
      </c>
      <c r="K146" s="48">
        <f t="shared" si="18"/>
        <v>236.02</v>
      </c>
      <c r="L146" s="48">
        <f t="shared" si="19"/>
        <v>35.72</v>
      </c>
      <c r="M146" s="48">
        <f t="shared" si="20"/>
        <v>4720.3999999999996</v>
      </c>
      <c r="N146" s="48">
        <f t="shared" si="21"/>
        <v>714.4</v>
      </c>
      <c r="O146" s="50">
        <f t="shared" si="22"/>
        <v>5434.8</v>
      </c>
      <c r="P146" s="50">
        <v>0</v>
      </c>
      <c r="Q146" s="76"/>
      <c r="R146" s="140">
        <f>IF(S10&gt;5,100,20)</f>
        <v>20</v>
      </c>
      <c r="S146" s="79">
        <v>192.71999999999997</v>
      </c>
      <c r="T146" s="80">
        <v>29.17</v>
      </c>
    </row>
    <row r="147" spans="2:20" ht="42">
      <c r="B147" s="5" t="s">
        <v>427</v>
      </c>
      <c r="C147" s="45" t="s">
        <v>135</v>
      </c>
      <c r="D147" s="45">
        <v>103670</v>
      </c>
      <c r="E147" s="6" t="s">
        <v>390</v>
      </c>
      <c r="F147" s="45" t="s">
        <v>161</v>
      </c>
      <c r="G147" s="46">
        <f t="shared" si="16"/>
        <v>1</v>
      </c>
      <c r="H147" s="46">
        <f>TRUNC(S147*(1-LOTE_01!$K$10),2)</f>
        <v>94.39</v>
      </c>
      <c r="I147" s="46">
        <f>TRUNC(T147*(1-LOTE_01!$K$10),2)</f>
        <v>257.02</v>
      </c>
      <c r="J147" s="100">
        <f t="shared" si="17"/>
        <v>0.22470000000000001</v>
      </c>
      <c r="K147" s="48">
        <f t="shared" si="18"/>
        <v>115.59</v>
      </c>
      <c r="L147" s="48">
        <f t="shared" si="19"/>
        <v>314.77</v>
      </c>
      <c r="M147" s="48">
        <f t="shared" si="20"/>
        <v>115.59</v>
      </c>
      <c r="N147" s="48">
        <f t="shared" si="21"/>
        <v>314.77</v>
      </c>
      <c r="O147" s="50">
        <f t="shared" si="22"/>
        <v>430.36</v>
      </c>
      <c r="P147" s="50">
        <v>0</v>
      </c>
      <c r="Q147" s="76"/>
      <c r="R147" s="140">
        <f>IF(S10&gt;5,5,1)</f>
        <v>1</v>
      </c>
      <c r="S147" s="79">
        <v>94.390000000000043</v>
      </c>
      <c r="T147" s="80">
        <v>257.02</v>
      </c>
    </row>
    <row r="148" spans="2:20" ht="42">
      <c r="B148" s="5" t="s">
        <v>428</v>
      </c>
      <c r="C148" s="45" t="s">
        <v>135</v>
      </c>
      <c r="D148" s="45">
        <v>105036</v>
      </c>
      <c r="E148" s="6" t="s">
        <v>429</v>
      </c>
      <c r="F148" s="45" t="s">
        <v>187</v>
      </c>
      <c r="G148" s="46">
        <f t="shared" si="16"/>
        <v>5</v>
      </c>
      <c r="H148" s="46">
        <f>TRUNC(S148*(1-LOTE_01!$K$10),2)</f>
        <v>30.83</v>
      </c>
      <c r="I148" s="46">
        <f>TRUNC(T148*(1-LOTE_01!$K$10),2)</f>
        <v>28.94</v>
      </c>
      <c r="J148" s="100">
        <f t="shared" si="17"/>
        <v>0.22470000000000001</v>
      </c>
      <c r="K148" s="48">
        <f t="shared" si="18"/>
        <v>37.75</v>
      </c>
      <c r="L148" s="48">
        <f t="shared" si="19"/>
        <v>35.44</v>
      </c>
      <c r="M148" s="48">
        <f t="shared" si="20"/>
        <v>188.75</v>
      </c>
      <c r="N148" s="48">
        <f t="shared" si="21"/>
        <v>177.2</v>
      </c>
      <c r="O148" s="50">
        <f t="shared" si="22"/>
        <v>365.95</v>
      </c>
      <c r="P148" s="50">
        <v>0</v>
      </c>
      <c r="Q148" s="76"/>
      <c r="R148" s="140">
        <f>IF(S10&gt;=5,20,5)</f>
        <v>5</v>
      </c>
      <c r="S148" s="79">
        <v>30.830000000000002</v>
      </c>
      <c r="T148" s="80">
        <v>28.94</v>
      </c>
    </row>
    <row r="149" spans="2:20" ht="42">
      <c r="B149" s="5" t="s">
        <v>430</v>
      </c>
      <c r="C149" s="45" t="s">
        <v>135</v>
      </c>
      <c r="D149" s="45">
        <v>94588</v>
      </c>
      <c r="E149" s="6" t="s">
        <v>431</v>
      </c>
      <c r="F149" s="45" t="s">
        <v>187</v>
      </c>
      <c r="G149" s="46">
        <f t="shared" si="16"/>
        <v>5</v>
      </c>
      <c r="H149" s="46">
        <f>TRUNC(S149*(1-LOTE_01!$K$10),2)</f>
        <v>64.66</v>
      </c>
      <c r="I149" s="46">
        <f>TRUNC(T149*(1-LOTE_01!$K$10),2)</f>
        <v>17.649999999999999</v>
      </c>
      <c r="J149" s="100">
        <f t="shared" si="17"/>
        <v>0.22470000000000001</v>
      </c>
      <c r="K149" s="48">
        <f t="shared" si="18"/>
        <v>79.180000000000007</v>
      </c>
      <c r="L149" s="48">
        <f t="shared" si="19"/>
        <v>21.61</v>
      </c>
      <c r="M149" s="48">
        <f t="shared" si="20"/>
        <v>395.9</v>
      </c>
      <c r="N149" s="48">
        <f t="shared" si="21"/>
        <v>108.05</v>
      </c>
      <c r="O149" s="50">
        <f t="shared" si="22"/>
        <v>503.95</v>
      </c>
      <c r="P149" s="50">
        <v>0</v>
      </c>
      <c r="Q149" s="76"/>
      <c r="R149" s="140">
        <f>IF(S10&gt;=5,20,5)</f>
        <v>5</v>
      </c>
      <c r="S149" s="79">
        <v>64.66</v>
      </c>
      <c r="T149" s="80">
        <v>17.649999999999999</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1483765.9</v>
      </c>
      <c r="Q150" s="76"/>
      <c r="R150" s="154"/>
      <c r="S150" s="79" t="s">
        <v>22</v>
      </c>
      <c r="T150" s="80" t="s">
        <v>22</v>
      </c>
    </row>
    <row r="151" spans="2:20" ht="28">
      <c r="B151" s="5" t="s">
        <v>432</v>
      </c>
      <c r="C151" s="45" t="s">
        <v>135</v>
      </c>
      <c r="D151" s="45">
        <v>98458</v>
      </c>
      <c r="E151" s="6" t="s">
        <v>433</v>
      </c>
      <c r="F151" s="45" t="s">
        <v>121</v>
      </c>
      <c r="G151" s="46">
        <f t="shared" si="23"/>
        <v>200</v>
      </c>
      <c r="H151" s="46">
        <f>TRUNC(S151*(1-LOTE_01!$K$10),2)</f>
        <v>97.06</v>
      </c>
      <c r="I151" s="46">
        <f>TRUNC(T151*(1-LOTE_01!$K$10),2)</f>
        <v>34.82</v>
      </c>
      <c r="J151" s="100">
        <f t="shared" si="17"/>
        <v>0.22470000000000001</v>
      </c>
      <c r="K151" s="48">
        <f t="shared" si="18"/>
        <v>118.86</v>
      </c>
      <c r="L151" s="48">
        <f t="shared" si="19"/>
        <v>42.64</v>
      </c>
      <c r="M151" s="48">
        <f t="shared" si="20"/>
        <v>23772</v>
      </c>
      <c r="N151" s="48">
        <f t="shared" si="21"/>
        <v>8528</v>
      </c>
      <c r="O151" s="50">
        <f t="shared" si="22"/>
        <v>32300</v>
      </c>
      <c r="P151" s="50">
        <v>0</v>
      </c>
      <c r="Q151" s="76"/>
      <c r="R151" s="140">
        <f>IF((15*3*S9+15*3*S10)&gt;200,200,(15*3*S9+15*3*S10))</f>
        <v>200</v>
      </c>
      <c r="S151" s="79">
        <v>97.06</v>
      </c>
      <c r="T151" s="80">
        <v>34.82</v>
      </c>
    </row>
    <row r="152" spans="2:20" ht="70">
      <c r="B152" s="5" t="s">
        <v>434</v>
      </c>
      <c r="C152" s="45" t="s">
        <v>135</v>
      </c>
      <c r="D152" s="45">
        <v>103329</v>
      </c>
      <c r="E152" s="6" t="s">
        <v>435</v>
      </c>
      <c r="F152" s="45" t="s">
        <v>121</v>
      </c>
      <c r="G152" s="46">
        <f t="shared" si="23"/>
        <v>440</v>
      </c>
      <c r="H152" s="46">
        <f>TRUNC(S152*(1-LOTE_01!$K$10),2)</f>
        <v>53.25</v>
      </c>
      <c r="I152" s="46">
        <f>TRUNC(T152*(1-LOTE_01!$K$10),2)</f>
        <v>56.19</v>
      </c>
      <c r="J152" s="100">
        <f t="shared" si="17"/>
        <v>0.22470000000000001</v>
      </c>
      <c r="K152" s="48">
        <f t="shared" si="18"/>
        <v>65.209999999999994</v>
      </c>
      <c r="L152" s="48">
        <f t="shared" si="19"/>
        <v>68.81</v>
      </c>
      <c r="M152" s="48">
        <f t="shared" si="20"/>
        <v>28692.400000000001</v>
      </c>
      <c r="N152" s="48">
        <f t="shared" si="21"/>
        <v>30276.400000000001</v>
      </c>
      <c r="O152" s="50">
        <f t="shared" si="22"/>
        <v>58968.800000000003</v>
      </c>
      <c r="P152" s="50">
        <v>0</v>
      </c>
      <c r="Q152" s="76"/>
      <c r="R152" s="140">
        <f>IF((20*S9+50*S10)&gt;1000,1000,(20*S9+50*S10))</f>
        <v>440</v>
      </c>
      <c r="S152" s="79">
        <v>53.25</v>
      </c>
      <c r="T152" s="80">
        <v>56.19</v>
      </c>
    </row>
    <row r="153" spans="2:20" ht="70">
      <c r="B153" s="5" t="s">
        <v>436</v>
      </c>
      <c r="C153" s="45" t="s">
        <v>135</v>
      </c>
      <c r="D153" s="45">
        <v>103331</v>
      </c>
      <c r="E153" s="6" t="s">
        <v>437</v>
      </c>
      <c r="F153" s="45" t="s">
        <v>121</v>
      </c>
      <c r="G153" s="46">
        <f t="shared" si="23"/>
        <v>440</v>
      </c>
      <c r="H153" s="46">
        <f>TRUNC(S153*(1-LOTE_01!$K$10),2)</f>
        <v>53.61</v>
      </c>
      <c r="I153" s="46">
        <f>TRUNC(T153*(1-LOTE_01!$K$10),2)</f>
        <v>42.75</v>
      </c>
      <c r="J153" s="100">
        <f t="shared" si="17"/>
        <v>0.22470000000000001</v>
      </c>
      <c r="K153" s="48">
        <f t="shared" si="18"/>
        <v>65.650000000000006</v>
      </c>
      <c r="L153" s="48">
        <f t="shared" si="19"/>
        <v>52.35</v>
      </c>
      <c r="M153" s="48">
        <f t="shared" si="20"/>
        <v>28886</v>
      </c>
      <c r="N153" s="48">
        <f t="shared" si="21"/>
        <v>23034</v>
      </c>
      <c r="O153" s="50">
        <f t="shared" si="22"/>
        <v>51920</v>
      </c>
      <c r="P153" s="50">
        <v>0</v>
      </c>
      <c r="Q153" s="76"/>
      <c r="R153" s="140">
        <f>IF((20*S9+50*S10)&gt;1000,1000,(20*S9+50*S10))</f>
        <v>440</v>
      </c>
      <c r="S153" s="79">
        <v>53.61</v>
      </c>
      <c r="T153" s="80">
        <v>42.75</v>
      </c>
    </row>
    <row r="154" spans="2:20" ht="70">
      <c r="B154" s="5" t="s">
        <v>438</v>
      </c>
      <c r="C154" s="45" t="s">
        <v>135</v>
      </c>
      <c r="D154" s="45">
        <v>96358</v>
      </c>
      <c r="E154" s="6" t="s">
        <v>439</v>
      </c>
      <c r="F154" s="45" t="s">
        <v>121</v>
      </c>
      <c r="G154" s="46">
        <f t="shared" si="23"/>
        <v>440</v>
      </c>
      <c r="H154" s="46">
        <f>TRUNC(S154*(1-LOTE_01!$K$10),2)</f>
        <v>112.09</v>
      </c>
      <c r="I154" s="46">
        <f>TRUNC(T154*(1-LOTE_01!$K$10),2)</f>
        <v>17.13</v>
      </c>
      <c r="J154" s="100">
        <f t="shared" si="17"/>
        <v>0.22470000000000001</v>
      </c>
      <c r="K154" s="48">
        <f t="shared" si="18"/>
        <v>137.27000000000001</v>
      </c>
      <c r="L154" s="48">
        <f t="shared" si="19"/>
        <v>20.97</v>
      </c>
      <c r="M154" s="48">
        <f t="shared" si="20"/>
        <v>60398.8</v>
      </c>
      <c r="N154" s="48">
        <f t="shared" si="21"/>
        <v>9226.7999999999993</v>
      </c>
      <c r="O154" s="50">
        <f t="shared" si="22"/>
        <v>69625.600000000006</v>
      </c>
      <c r="P154" s="50">
        <v>0</v>
      </c>
      <c r="Q154" s="76"/>
      <c r="R154" s="140">
        <f>IF((20*S9+50*S10)&gt;500,500,(20*S9+50*S10))</f>
        <v>440</v>
      </c>
      <c r="S154" s="79">
        <v>112.09</v>
      </c>
      <c r="T154" s="80">
        <v>17.13</v>
      </c>
    </row>
    <row r="155" spans="2:20" ht="98">
      <c r="B155" s="5" t="s">
        <v>440</v>
      </c>
      <c r="C155" s="45" t="s">
        <v>135</v>
      </c>
      <c r="D155" s="45">
        <v>96359</v>
      </c>
      <c r="E155" s="6" t="s">
        <v>441</v>
      </c>
      <c r="F155" s="45" t="s">
        <v>121</v>
      </c>
      <c r="G155" s="46">
        <f t="shared" si="23"/>
        <v>440</v>
      </c>
      <c r="H155" s="46">
        <f>TRUNC(S155*(1-LOTE_01!$K$10),2)</f>
        <v>125.28</v>
      </c>
      <c r="I155" s="46">
        <f>TRUNC(T155*(1-LOTE_01!$K$10),2)</f>
        <v>19.53</v>
      </c>
      <c r="J155" s="100">
        <f t="shared" si="17"/>
        <v>0.22470000000000001</v>
      </c>
      <c r="K155" s="48">
        <f t="shared" si="18"/>
        <v>153.43</v>
      </c>
      <c r="L155" s="48">
        <f t="shared" si="19"/>
        <v>23.91</v>
      </c>
      <c r="M155" s="48">
        <f t="shared" si="20"/>
        <v>67509.2</v>
      </c>
      <c r="N155" s="48">
        <f t="shared" si="21"/>
        <v>10520.4</v>
      </c>
      <c r="O155" s="50">
        <f t="shared" si="22"/>
        <v>78029.600000000006</v>
      </c>
      <c r="P155" s="50">
        <v>0</v>
      </c>
      <c r="Q155" s="76"/>
      <c r="R155" s="140">
        <f>IF((20*S9+50*S10)&gt;500,500,(20*S9+50*S10))</f>
        <v>440</v>
      </c>
      <c r="S155" s="79">
        <v>125.28</v>
      </c>
      <c r="T155" s="80">
        <v>19.53</v>
      </c>
    </row>
    <row r="156" spans="2:20" ht="42">
      <c r="B156" s="5" t="s">
        <v>442</v>
      </c>
      <c r="C156" s="45" t="s">
        <v>97</v>
      </c>
      <c r="D156" s="45" t="s">
        <v>443</v>
      </c>
      <c r="E156" s="6" t="s">
        <v>444</v>
      </c>
      <c r="F156" s="45" t="s">
        <v>121</v>
      </c>
      <c r="G156" s="46">
        <f t="shared" si="23"/>
        <v>200</v>
      </c>
      <c r="H156" s="46">
        <f>TRUNC(S156*(1-LOTE_01!$K$10),2)</f>
        <v>378.03</v>
      </c>
      <c r="I156" s="46">
        <f>TRUNC(T156*(1-LOTE_01!$K$10),2)</f>
        <v>125.52</v>
      </c>
      <c r="J156" s="100">
        <f t="shared" si="17"/>
        <v>0.22470000000000001</v>
      </c>
      <c r="K156" s="48">
        <f t="shared" si="18"/>
        <v>462.97</v>
      </c>
      <c r="L156" s="48">
        <f t="shared" si="19"/>
        <v>153.72</v>
      </c>
      <c r="M156" s="48">
        <f t="shared" si="20"/>
        <v>92594</v>
      </c>
      <c r="N156" s="48">
        <f t="shared" si="21"/>
        <v>30744</v>
      </c>
      <c r="O156" s="50">
        <f t="shared" si="22"/>
        <v>123338</v>
      </c>
      <c r="P156" s="50">
        <v>0</v>
      </c>
      <c r="Q156" s="76"/>
      <c r="R156" s="140">
        <f>IF((20*S9+20*S10)&gt;200,200,(20*S9+20*S10))</f>
        <v>200</v>
      </c>
      <c r="S156" s="79">
        <v>378.03</v>
      </c>
      <c r="T156" s="80">
        <v>125.52</v>
      </c>
    </row>
    <row r="157" spans="2:20" ht="42">
      <c r="B157" s="5" t="s">
        <v>445</v>
      </c>
      <c r="C157" s="45" t="s">
        <v>135</v>
      </c>
      <c r="D157" s="45">
        <v>102180</v>
      </c>
      <c r="E157" s="6" t="s">
        <v>1772</v>
      </c>
      <c r="F157" s="45" t="s">
        <v>121</v>
      </c>
      <c r="G157" s="46">
        <f t="shared" si="23"/>
        <v>100</v>
      </c>
      <c r="H157" s="46">
        <f>TRUNC(S157*(1-LOTE_01!$K$10),2)</f>
        <v>403.94</v>
      </c>
      <c r="I157" s="46">
        <f>TRUNC(T157*(1-LOTE_01!$K$10),2)</f>
        <v>57.28</v>
      </c>
      <c r="J157" s="100">
        <f t="shared" si="17"/>
        <v>0.22470000000000001</v>
      </c>
      <c r="K157" s="48">
        <f t="shared" si="18"/>
        <v>494.7</v>
      </c>
      <c r="L157" s="48">
        <f t="shared" si="19"/>
        <v>70.150000000000006</v>
      </c>
      <c r="M157" s="48">
        <f t="shared" si="20"/>
        <v>49470</v>
      </c>
      <c r="N157" s="48">
        <f t="shared" si="21"/>
        <v>7015</v>
      </c>
      <c r="O157" s="50">
        <f t="shared" si="22"/>
        <v>56485</v>
      </c>
      <c r="P157" s="50">
        <v>0</v>
      </c>
      <c r="Q157" s="76"/>
      <c r="R157" s="140">
        <f>IF((20*S9+20*S10)&gt;100,100,(20*S9+20*S10))</f>
        <v>100</v>
      </c>
      <c r="S157" s="79">
        <v>403.94000000000005</v>
      </c>
      <c r="T157" s="80">
        <v>57.28</v>
      </c>
    </row>
    <row r="158" spans="2:20" ht="42">
      <c r="B158" s="5" t="s">
        <v>446</v>
      </c>
      <c r="C158" s="45" t="s">
        <v>135</v>
      </c>
      <c r="D158" s="45">
        <v>102181</v>
      </c>
      <c r="E158" s="6" t="s">
        <v>1773</v>
      </c>
      <c r="F158" s="45" t="s">
        <v>121</v>
      </c>
      <c r="G158" s="46">
        <f t="shared" si="23"/>
        <v>200</v>
      </c>
      <c r="H158" s="46">
        <f>TRUNC(S158*(1-LOTE_01!$K$10),2)</f>
        <v>499.01</v>
      </c>
      <c r="I158" s="46">
        <f>TRUNC(T158*(1-LOTE_01!$K$10),2)</f>
        <v>54.27</v>
      </c>
      <c r="J158" s="100">
        <f t="shared" si="17"/>
        <v>0.22470000000000001</v>
      </c>
      <c r="K158" s="48">
        <f t="shared" si="18"/>
        <v>611.13</v>
      </c>
      <c r="L158" s="48">
        <f t="shared" si="19"/>
        <v>66.459999999999994</v>
      </c>
      <c r="M158" s="48">
        <f t="shared" si="20"/>
        <v>122226</v>
      </c>
      <c r="N158" s="48">
        <f t="shared" si="21"/>
        <v>13292</v>
      </c>
      <c r="O158" s="50">
        <f t="shared" si="22"/>
        <v>135518</v>
      </c>
      <c r="P158" s="50">
        <v>0</v>
      </c>
      <c r="Q158" s="76"/>
      <c r="R158" s="140">
        <f>IF((20*S9+20*S10)&gt;200,200,(20*S9+20*S10))</f>
        <v>200</v>
      </c>
      <c r="S158" s="79">
        <v>499.01</v>
      </c>
      <c r="T158" s="80">
        <v>54.27</v>
      </c>
    </row>
    <row r="159" spans="2:20" ht="56">
      <c r="B159" s="5" t="s">
        <v>447</v>
      </c>
      <c r="C159" s="45" t="s">
        <v>97</v>
      </c>
      <c r="D159" s="45" t="s">
        <v>448</v>
      </c>
      <c r="E159" s="6" t="s">
        <v>449</v>
      </c>
      <c r="F159" s="45" t="s">
        <v>121</v>
      </c>
      <c r="G159" s="46">
        <f t="shared" si="23"/>
        <v>200</v>
      </c>
      <c r="H159" s="46">
        <f>TRUNC(S159*(1-LOTE_01!$K$10),2)</f>
        <v>143.80000000000001</v>
      </c>
      <c r="I159" s="46">
        <f>TRUNC(T159*(1-LOTE_01!$K$10),2)</f>
        <v>54.27</v>
      </c>
      <c r="J159" s="100">
        <f t="shared" si="17"/>
        <v>0.22470000000000001</v>
      </c>
      <c r="K159" s="48">
        <f t="shared" si="18"/>
        <v>176.11</v>
      </c>
      <c r="L159" s="48">
        <f t="shared" si="19"/>
        <v>66.459999999999994</v>
      </c>
      <c r="M159" s="48">
        <f t="shared" si="20"/>
        <v>35222</v>
      </c>
      <c r="N159" s="48">
        <f t="shared" si="21"/>
        <v>13292</v>
      </c>
      <c r="O159" s="50">
        <f t="shared" si="22"/>
        <v>48514</v>
      </c>
      <c r="P159" s="50">
        <v>0</v>
      </c>
      <c r="Q159" s="76"/>
      <c r="R159" s="140">
        <f>IF((20*S9+20*S10)&gt;200,200,(20*S9+20*S10))</f>
        <v>200</v>
      </c>
      <c r="S159" s="79">
        <v>143.80000000000001</v>
      </c>
      <c r="T159" s="80">
        <v>54.27</v>
      </c>
    </row>
    <row r="160" spans="2:20" ht="56">
      <c r="B160" s="5" t="s">
        <v>450</v>
      </c>
      <c r="C160" s="45" t="s">
        <v>135</v>
      </c>
      <c r="D160" s="45">
        <v>102253</v>
      </c>
      <c r="E160" s="6" t="s">
        <v>1774</v>
      </c>
      <c r="F160" s="45" t="s">
        <v>121</v>
      </c>
      <c r="G160" s="46">
        <f>IF($S$11=0,0,TRUNC(R160,2))</f>
        <v>5</v>
      </c>
      <c r="H160" s="46">
        <f>TRUNC(S160*(1-LOTE_01!$K$10),2)</f>
        <v>1004.72</v>
      </c>
      <c r="I160" s="46">
        <f>TRUNC(T160*(1-LOTE_01!$K$10),2)</f>
        <v>95.13</v>
      </c>
      <c r="J160" s="100">
        <f t="shared" si="17"/>
        <v>0.22470000000000001</v>
      </c>
      <c r="K160" s="48">
        <f t="shared" si="18"/>
        <v>1230.48</v>
      </c>
      <c r="L160" s="48">
        <f t="shared" si="19"/>
        <v>116.5</v>
      </c>
      <c r="M160" s="48">
        <f t="shared" si="20"/>
        <v>6152.4</v>
      </c>
      <c r="N160" s="48">
        <f t="shared" si="21"/>
        <v>582.5</v>
      </c>
      <c r="O160" s="50">
        <f t="shared" si="22"/>
        <v>6734.9</v>
      </c>
      <c r="P160" s="50">
        <v>0</v>
      </c>
      <c r="Q160" s="76"/>
      <c r="R160" s="140">
        <f>IF(S10&gt;=5,10,5)</f>
        <v>5</v>
      </c>
      <c r="S160" s="79">
        <v>1004.7199999999999</v>
      </c>
      <c r="T160" s="80">
        <v>95.13</v>
      </c>
    </row>
    <row r="161" spans="2:20" ht="42">
      <c r="B161" s="5" t="s">
        <v>451</v>
      </c>
      <c r="C161" s="45" t="s">
        <v>165</v>
      </c>
      <c r="D161" s="45" t="s">
        <v>452</v>
      </c>
      <c r="E161" s="6" t="s">
        <v>453</v>
      </c>
      <c r="F161" s="45" t="s">
        <v>168</v>
      </c>
      <c r="G161" s="46">
        <f t="shared" si="23"/>
        <v>500</v>
      </c>
      <c r="H161" s="46">
        <f>TRUNC(S161*(1-LOTE_01!$K$10),2)</f>
        <v>282.10000000000002</v>
      </c>
      <c r="I161" s="46">
        <f>TRUNC(T161*(1-LOTE_01!$K$10),2)</f>
        <v>0</v>
      </c>
      <c r="J161" s="100">
        <f t="shared" si="17"/>
        <v>0.22470000000000001</v>
      </c>
      <c r="K161" s="48">
        <f t="shared" si="18"/>
        <v>345.48</v>
      </c>
      <c r="L161" s="48">
        <f t="shared" si="19"/>
        <v>0</v>
      </c>
      <c r="M161" s="48">
        <f t="shared" si="20"/>
        <v>172740</v>
      </c>
      <c r="N161" s="48">
        <f t="shared" si="21"/>
        <v>0</v>
      </c>
      <c r="O161" s="50">
        <f t="shared" si="22"/>
        <v>172740</v>
      </c>
      <c r="P161" s="50">
        <v>0</v>
      </c>
      <c r="Q161" s="76"/>
      <c r="R161" s="140">
        <f>IF((50*S9+50*S10)&gt;500,500,(50*S9+50*S10))</f>
        <v>500</v>
      </c>
      <c r="S161" s="79">
        <v>282.10000000000002</v>
      </c>
      <c r="T161" s="80">
        <v>0</v>
      </c>
    </row>
    <row r="162" spans="2:20" ht="56">
      <c r="B162" s="5" t="s">
        <v>454</v>
      </c>
      <c r="C162" s="45" t="s">
        <v>165</v>
      </c>
      <c r="D162" s="45" t="s">
        <v>455</v>
      </c>
      <c r="E162" s="6" t="s">
        <v>456</v>
      </c>
      <c r="F162" s="45" t="s">
        <v>168</v>
      </c>
      <c r="G162" s="46">
        <f t="shared" si="23"/>
        <v>100</v>
      </c>
      <c r="H162" s="46">
        <f>TRUNC(S162*(1-LOTE_01!$K$10),2)</f>
        <v>523.59</v>
      </c>
      <c r="I162" s="46">
        <f>TRUNC(T162*(1-LOTE_01!$K$10),2)</f>
        <v>0</v>
      </c>
      <c r="J162" s="100">
        <f t="shared" si="17"/>
        <v>0.22470000000000001</v>
      </c>
      <c r="K162" s="48">
        <f t="shared" si="18"/>
        <v>641.24</v>
      </c>
      <c r="L162" s="48">
        <f t="shared" si="19"/>
        <v>0</v>
      </c>
      <c r="M162" s="48">
        <f t="shared" si="20"/>
        <v>64124</v>
      </c>
      <c r="N162" s="48">
        <f t="shared" si="21"/>
        <v>0</v>
      </c>
      <c r="O162" s="50">
        <f t="shared" si="22"/>
        <v>64124</v>
      </c>
      <c r="P162" s="50">
        <v>0</v>
      </c>
      <c r="Q162" s="76"/>
      <c r="R162" s="140">
        <f>IF((50*S9+50*S10)&gt;100,100,(50*S9+50*S10))</f>
        <v>100</v>
      </c>
      <c r="S162" s="79">
        <v>523.59</v>
      </c>
      <c r="T162" s="80">
        <v>0</v>
      </c>
    </row>
    <row r="163" spans="2:20" ht="56">
      <c r="B163" s="5" t="s">
        <v>457</v>
      </c>
      <c r="C163" s="45" t="s">
        <v>97</v>
      </c>
      <c r="D163" s="45" t="s">
        <v>458</v>
      </c>
      <c r="E163" s="6" t="s">
        <v>459</v>
      </c>
      <c r="F163" s="45" t="s">
        <v>121</v>
      </c>
      <c r="G163" s="46">
        <f t="shared" si="23"/>
        <v>100</v>
      </c>
      <c r="H163" s="46">
        <f>TRUNC(S163*(1-LOTE_01!$K$10),2)</f>
        <v>91.07</v>
      </c>
      <c r="I163" s="46">
        <f>TRUNC(T163*(1-LOTE_01!$K$10),2)</f>
        <v>30.57</v>
      </c>
      <c r="J163" s="100">
        <f t="shared" si="17"/>
        <v>0.22470000000000001</v>
      </c>
      <c r="K163" s="48">
        <f t="shared" si="18"/>
        <v>111.53</v>
      </c>
      <c r="L163" s="48">
        <f t="shared" si="19"/>
        <v>37.43</v>
      </c>
      <c r="M163" s="48">
        <f t="shared" si="20"/>
        <v>11153</v>
      </c>
      <c r="N163" s="48">
        <f t="shared" si="21"/>
        <v>3743</v>
      </c>
      <c r="O163" s="50">
        <f t="shared" si="22"/>
        <v>14896</v>
      </c>
      <c r="P163" s="50">
        <v>0</v>
      </c>
      <c r="Q163" s="76"/>
      <c r="R163" s="140">
        <f>IF((50*S9+50*S10)&gt;100,100,(50*S9+50*S10))</f>
        <v>100</v>
      </c>
      <c r="S163" s="79">
        <v>91.07</v>
      </c>
      <c r="T163" s="80">
        <v>30.57</v>
      </c>
    </row>
    <row r="164" spans="2:20" ht="42">
      <c r="B164" s="5" t="s">
        <v>460</v>
      </c>
      <c r="C164" s="45" t="s">
        <v>97</v>
      </c>
      <c r="D164" s="45" t="s">
        <v>461</v>
      </c>
      <c r="E164" s="6" t="s">
        <v>462</v>
      </c>
      <c r="F164" s="45" t="s">
        <v>121</v>
      </c>
      <c r="G164" s="46">
        <f t="shared" si="23"/>
        <v>200</v>
      </c>
      <c r="H164" s="46">
        <f>TRUNC(S164*(1-LOTE_01!$K$10),2)</f>
        <v>80.540000000000006</v>
      </c>
      <c r="I164" s="46">
        <f>TRUNC(T164*(1-LOTE_01!$K$10),2)</f>
        <v>30.57</v>
      </c>
      <c r="J164" s="100">
        <f t="shared" si="17"/>
        <v>0.22470000000000001</v>
      </c>
      <c r="K164" s="48">
        <f t="shared" si="18"/>
        <v>98.63</v>
      </c>
      <c r="L164" s="48">
        <f t="shared" si="19"/>
        <v>37.43</v>
      </c>
      <c r="M164" s="48">
        <f t="shared" si="20"/>
        <v>19726</v>
      </c>
      <c r="N164" s="48">
        <f t="shared" si="21"/>
        <v>7486</v>
      </c>
      <c r="O164" s="50">
        <f t="shared" si="22"/>
        <v>27212</v>
      </c>
      <c r="P164" s="50">
        <v>0</v>
      </c>
      <c r="Q164" s="76"/>
      <c r="R164" s="140">
        <f>IF((50*S9+50*S10)&gt;200,200,(50*S9+50*S10))</f>
        <v>200</v>
      </c>
      <c r="S164" s="79">
        <v>80.540000000000006</v>
      </c>
      <c r="T164" s="80">
        <v>30.57</v>
      </c>
    </row>
    <row r="165" spans="2:20" ht="28">
      <c r="B165" s="5" t="s">
        <v>463</v>
      </c>
      <c r="C165" s="45" t="s">
        <v>97</v>
      </c>
      <c r="D165" s="45" t="s">
        <v>464</v>
      </c>
      <c r="E165" s="6" t="s">
        <v>465</v>
      </c>
      <c r="F165" s="45" t="s">
        <v>121</v>
      </c>
      <c r="G165" s="46">
        <f t="shared" si="23"/>
        <v>500</v>
      </c>
      <c r="H165" s="46">
        <f>TRUNC(S165*(1-LOTE_01!$K$10),2)</f>
        <v>7.4</v>
      </c>
      <c r="I165" s="46">
        <f>TRUNC(T165*(1-LOTE_01!$K$10),2)</f>
        <v>20.55</v>
      </c>
      <c r="J165" s="100">
        <f t="shared" si="17"/>
        <v>0.22470000000000001</v>
      </c>
      <c r="K165" s="48">
        <f t="shared" si="18"/>
        <v>9.06</v>
      </c>
      <c r="L165" s="48">
        <f t="shared" si="19"/>
        <v>25.16</v>
      </c>
      <c r="M165" s="48">
        <f t="shared" si="20"/>
        <v>4530</v>
      </c>
      <c r="N165" s="48">
        <f t="shared" si="21"/>
        <v>12580</v>
      </c>
      <c r="O165" s="50">
        <f t="shared" si="22"/>
        <v>17110</v>
      </c>
      <c r="P165" s="50">
        <v>0</v>
      </c>
      <c r="Q165" s="76"/>
      <c r="R165" s="140">
        <f>IF((50*S9+50*S10)&gt;500,500,(50*S9+50*S10))</f>
        <v>500</v>
      </c>
      <c r="S165" s="79">
        <v>7.4</v>
      </c>
      <c r="T165" s="80">
        <v>20.55</v>
      </c>
    </row>
    <row r="166" spans="2:20" ht="56">
      <c r="B166" s="5" t="s">
        <v>466</v>
      </c>
      <c r="C166" s="45" t="s">
        <v>97</v>
      </c>
      <c r="D166" s="45" t="s">
        <v>467</v>
      </c>
      <c r="E166" s="6" t="s">
        <v>468</v>
      </c>
      <c r="F166" s="45" t="s">
        <v>121</v>
      </c>
      <c r="G166" s="46">
        <f t="shared" si="23"/>
        <v>570</v>
      </c>
      <c r="H166" s="46">
        <f>TRUNC(S166*(1-LOTE_01!$K$10),2)</f>
        <v>383.04</v>
      </c>
      <c r="I166" s="46">
        <f>TRUNC(T166*(1-LOTE_01!$K$10),2)</f>
        <v>185.4</v>
      </c>
      <c r="J166" s="100">
        <f t="shared" si="17"/>
        <v>0.22470000000000001</v>
      </c>
      <c r="K166" s="48">
        <f t="shared" si="18"/>
        <v>469.1</v>
      </c>
      <c r="L166" s="48">
        <f t="shared" si="19"/>
        <v>227.05</v>
      </c>
      <c r="M166" s="48">
        <f t="shared" si="20"/>
        <v>267387</v>
      </c>
      <c r="N166" s="48">
        <f t="shared" si="21"/>
        <v>129418.5</v>
      </c>
      <c r="O166" s="50">
        <f t="shared" si="22"/>
        <v>396805.5</v>
      </c>
      <c r="P166" s="50">
        <v>0</v>
      </c>
      <c r="Q166" s="76"/>
      <c r="R166" s="140">
        <f>30*S9+30*S10</f>
        <v>570</v>
      </c>
      <c r="S166" s="79">
        <v>383.04</v>
      </c>
      <c r="T166" s="80">
        <v>185.4</v>
      </c>
    </row>
    <row r="167" spans="2:20" ht="42">
      <c r="B167" s="5" t="s">
        <v>469</v>
      </c>
      <c r="C167" s="45" t="s">
        <v>135</v>
      </c>
      <c r="D167" s="45">
        <v>102162</v>
      </c>
      <c r="E167" s="6" t="s">
        <v>1775</v>
      </c>
      <c r="F167" s="45" t="s">
        <v>121</v>
      </c>
      <c r="G167" s="46">
        <f t="shared" si="23"/>
        <v>50</v>
      </c>
      <c r="H167" s="46">
        <f>TRUNC(S167*(1-LOTE_01!$K$10),2)</f>
        <v>480.42</v>
      </c>
      <c r="I167" s="46">
        <f>TRUNC(T167*(1-LOTE_01!$K$10),2)</f>
        <v>30.61</v>
      </c>
      <c r="J167" s="100">
        <f t="shared" si="17"/>
        <v>0.22470000000000001</v>
      </c>
      <c r="K167" s="48">
        <f t="shared" si="18"/>
        <v>588.37</v>
      </c>
      <c r="L167" s="48">
        <f t="shared" si="19"/>
        <v>37.479999999999997</v>
      </c>
      <c r="M167" s="48">
        <f t="shared" si="20"/>
        <v>29418.5</v>
      </c>
      <c r="N167" s="48">
        <f t="shared" si="21"/>
        <v>1874</v>
      </c>
      <c r="O167" s="50">
        <f t="shared" si="22"/>
        <v>31292.5</v>
      </c>
      <c r="P167" s="50">
        <v>0</v>
      </c>
      <c r="Q167" s="76"/>
      <c r="R167" s="140">
        <f>IF((5*S9+10*S10)&gt;50,50,(5*S9+10*S10))</f>
        <v>50</v>
      </c>
      <c r="S167" s="79">
        <v>480.41999999999996</v>
      </c>
      <c r="T167" s="80">
        <v>30.61</v>
      </c>
    </row>
    <row r="168" spans="2:20" ht="42">
      <c r="B168" s="5" t="s">
        <v>470</v>
      </c>
      <c r="C168" s="45" t="s">
        <v>135</v>
      </c>
      <c r="D168" s="45">
        <v>102166</v>
      </c>
      <c r="E168" s="6" t="s">
        <v>1776</v>
      </c>
      <c r="F168" s="45" t="s">
        <v>121</v>
      </c>
      <c r="G168" s="46">
        <f t="shared" si="23"/>
        <v>50</v>
      </c>
      <c r="H168" s="46">
        <f>TRUNC(S168*(1-LOTE_01!$K$10),2)</f>
        <v>578.41</v>
      </c>
      <c r="I168" s="46">
        <f>TRUNC(T168*(1-LOTE_01!$K$10),2)</f>
        <v>18.87</v>
      </c>
      <c r="J168" s="100">
        <f t="shared" si="17"/>
        <v>0.22470000000000001</v>
      </c>
      <c r="K168" s="48">
        <f t="shared" si="18"/>
        <v>708.37</v>
      </c>
      <c r="L168" s="48">
        <f t="shared" si="19"/>
        <v>23.11</v>
      </c>
      <c r="M168" s="48">
        <f t="shared" si="20"/>
        <v>35418.5</v>
      </c>
      <c r="N168" s="48">
        <f t="shared" si="21"/>
        <v>1155.5</v>
      </c>
      <c r="O168" s="50">
        <f t="shared" si="22"/>
        <v>36574</v>
      </c>
      <c r="P168" s="50">
        <v>0</v>
      </c>
      <c r="Q168" s="76"/>
      <c r="R168" s="140">
        <f>IF((5*S9+10*S10)&gt;50,50,(5*S9+10*S10))</f>
        <v>50</v>
      </c>
      <c r="S168" s="79">
        <v>578.41</v>
      </c>
      <c r="T168" s="80">
        <v>18.87</v>
      </c>
    </row>
    <row r="169" spans="2:20" ht="42">
      <c r="B169" s="5" t="s">
        <v>471</v>
      </c>
      <c r="C169" s="45" t="s">
        <v>135</v>
      </c>
      <c r="D169" s="45">
        <v>102172</v>
      </c>
      <c r="E169" s="6" t="s">
        <v>1777</v>
      </c>
      <c r="F169" s="45" t="s">
        <v>121</v>
      </c>
      <c r="G169" s="46">
        <f t="shared" si="23"/>
        <v>50</v>
      </c>
      <c r="H169" s="46">
        <f>TRUNC(S169*(1-LOTE_01!$K$10),2)</f>
        <v>986.71</v>
      </c>
      <c r="I169" s="46">
        <f>TRUNC(T169*(1-LOTE_01!$K$10),2)</f>
        <v>18.899999999999999</v>
      </c>
      <c r="J169" s="100">
        <f t="shared" si="17"/>
        <v>0.22470000000000001</v>
      </c>
      <c r="K169" s="48">
        <f t="shared" si="18"/>
        <v>1208.42</v>
      </c>
      <c r="L169" s="48">
        <f t="shared" si="19"/>
        <v>23.14</v>
      </c>
      <c r="M169" s="48">
        <f t="shared" si="20"/>
        <v>60421</v>
      </c>
      <c r="N169" s="48">
        <f t="shared" si="21"/>
        <v>1157</v>
      </c>
      <c r="O169" s="50">
        <f t="shared" si="22"/>
        <v>61578</v>
      </c>
      <c r="P169" s="50">
        <v>0</v>
      </c>
      <c r="Q169" s="76"/>
      <c r="R169" s="140">
        <f>IF((5*S9+10*S10)&gt;50,50,(5*S9+10*S10))</f>
        <v>50</v>
      </c>
      <c r="S169" s="79">
        <v>986.71</v>
      </c>
      <c r="T169" s="80">
        <v>18.899999999999999</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563384.39999999991</v>
      </c>
      <c r="Q170" s="76"/>
      <c r="R170" s="154"/>
      <c r="S170" s="79" t="s">
        <v>22</v>
      </c>
      <c r="T170" s="80" t="s">
        <v>22</v>
      </c>
    </row>
    <row r="171" spans="2:20" ht="84">
      <c r="B171" s="5" t="s">
        <v>472</v>
      </c>
      <c r="C171" s="45" t="s">
        <v>135</v>
      </c>
      <c r="D171" s="45">
        <v>87893</v>
      </c>
      <c r="E171" s="6" t="s">
        <v>473</v>
      </c>
      <c r="F171" s="45" t="s">
        <v>121</v>
      </c>
      <c r="G171" s="46">
        <f t="shared" si="23"/>
        <v>1760</v>
      </c>
      <c r="H171" s="46">
        <f>TRUNC(S171*(1-LOTE_01!$K$10),2)</f>
        <v>4.0199999999999996</v>
      </c>
      <c r="I171" s="46">
        <f>TRUNC(T171*(1-LOTE_01!$K$10),2)</f>
        <v>5.0599999999999996</v>
      </c>
      <c r="J171" s="100">
        <f t="shared" si="17"/>
        <v>0.22470000000000001</v>
      </c>
      <c r="K171" s="48">
        <f t="shared" si="18"/>
        <v>4.92</v>
      </c>
      <c r="L171" s="48">
        <f t="shared" si="19"/>
        <v>6.19</v>
      </c>
      <c r="M171" s="48">
        <f t="shared" si="20"/>
        <v>8659.2000000000007</v>
      </c>
      <c r="N171" s="48">
        <f t="shared" si="21"/>
        <v>10894.4</v>
      </c>
      <c r="O171" s="50">
        <f t="shared" si="22"/>
        <v>19553.599999999999</v>
      </c>
      <c r="P171" s="50">
        <v>0</v>
      </c>
      <c r="Q171" s="76"/>
      <c r="R171" s="140">
        <f>(R152+R153)*2</f>
        <v>1760</v>
      </c>
      <c r="S171" s="79">
        <v>4.0200000000000005</v>
      </c>
      <c r="T171" s="80">
        <v>5.0599999999999996</v>
      </c>
    </row>
    <row r="172" spans="2:20" ht="84">
      <c r="B172" s="5" t="s">
        <v>474</v>
      </c>
      <c r="C172" s="45" t="s">
        <v>135</v>
      </c>
      <c r="D172" s="45">
        <v>87530</v>
      </c>
      <c r="E172" s="6" t="s">
        <v>475</v>
      </c>
      <c r="F172" s="45" t="s">
        <v>121</v>
      </c>
      <c r="G172" s="46">
        <f t="shared" si="23"/>
        <v>1760</v>
      </c>
      <c r="H172" s="46">
        <f>TRUNC(S172*(1-LOTE_01!$K$10),2)</f>
        <v>27.43</v>
      </c>
      <c r="I172" s="46">
        <f>TRUNC(T172*(1-LOTE_01!$K$10),2)</f>
        <v>22.7</v>
      </c>
      <c r="J172" s="100">
        <f t="shared" si="17"/>
        <v>0.22470000000000001</v>
      </c>
      <c r="K172" s="48">
        <f t="shared" si="18"/>
        <v>33.590000000000003</v>
      </c>
      <c r="L172" s="48">
        <f t="shared" si="19"/>
        <v>27.8</v>
      </c>
      <c r="M172" s="48">
        <f t="shared" si="20"/>
        <v>59118.400000000001</v>
      </c>
      <c r="N172" s="48">
        <f t="shared" si="21"/>
        <v>48928</v>
      </c>
      <c r="O172" s="50">
        <f t="shared" si="22"/>
        <v>108046.39999999999</v>
      </c>
      <c r="P172" s="50">
        <v>0</v>
      </c>
      <c r="Q172" s="76"/>
      <c r="R172" s="140">
        <f>(R152+R153)*2</f>
        <v>1760</v>
      </c>
      <c r="S172" s="79">
        <v>27.430000000000003</v>
      </c>
      <c r="T172" s="80">
        <v>22.7</v>
      </c>
    </row>
    <row r="173" spans="2:20" ht="84">
      <c r="B173" s="5" t="s">
        <v>476</v>
      </c>
      <c r="C173" s="45" t="s">
        <v>135</v>
      </c>
      <c r="D173" s="45">
        <v>87528</v>
      </c>
      <c r="E173" s="6" t="s">
        <v>477</v>
      </c>
      <c r="F173" s="45" t="s">
        <v>121</v>
      </c>
      <c r="G173" s="46">
        <f t="shared" si="23"/>
        <v>270</v>
      </c>
      <c r="H173" s="46">
        <f>TRUNC(S173*(1-LOTE_01!$K$10),2)</f>
        <v>28.29</v>
      </c>
      <c r="I173" s="46">
        <f>TRUNC(T173*(1-LOTE_01!$K$10),2)</f>
        <v>25.36</v>
      </c>
      <c r="J173" s="100">
        <f t="shared" si="17"/>
        <v>0.22470000000000001</v>
      </c>
      <c r="K173" s="48">
        <f t="shared" si="18"/>
        <v>34.64</v>
      </c>
      <c r="L173" s="48">
        <f t="shared" si="19"/>
        <v>31.05</v>
      </c>
      <c r="M173" s="48">
        <f t="shared" si="20"/>
        <v>9352.7999999999993</v>
      </c>
      <c r="N173" s="48">
        <f t="shared" si="21"/>
        <v>8383.5</v>
      </c>
      <c r="O173" s="50">
        <f t="shared" si="22"/>
        <v>17736.3</v>
      </c>
      <c r="P173" s="50">
        <v>0</v>
      </c>
      <c r="Q173" s="76"/>
      <c r="R173" s="140">
        <f>R175</f>
        <v>270</v>
      </c>
      <c r="S173" s="79">
        <v>28.29</v>
      </c>
      <c r="T173" s="80">
        <v>25.36</v>
      </c>
    </row>
    <row r="174" spans="2:20" ht="56">
      <c r="B174" s="5" t="s">
        <v>478</v>
      </c>
      <c r="C174" s="45" t="s">
        <v>135</v>
      </c>
      <c r="D174" s="45">
        <v>87244</v>
      </c>
      <c r="E174" s="6" t="s">
        <v>479</v>
      </c>
      <c r="F174" s="45" t="s">
        <v>121</v>
      </c>
      <c r="G174" s="46">
        <f t="shared" si="23"/>
        <v>270</v>
      </c>
      <c r="H174" s="46">
        <f>TRUNC(S174*(1-LOTE_01!$K$10),2)</f>
        <v>293.35000000000002</v>
      </c>
      <c r="I174" s="46">
        <f>TRUNC(T174*(1-LOTE_01!$K$10),2)</f>
        <v>40.409999999999997</v>
      </c>
      <c r="J174" s="100">
        <f t="shared" si="17"/>
        <v>0.22470000000000001</v>
      </c>
      <c r="K174" s="48">
        <f t="shared" si="18"/>
        <v>359.26</v>
      </c>
      <c r="L174" s="48">
        <f t="shared" si="19"/>
        <v>49.49</v>
      </c>
      <c r="M174" s="48">
        <f t="shared" si="20"/>
        <v>97000.2</v>
      </c>
      <c r="N174" s="48">
        <f t="shared" si="21"/>
        <v>13362.3</v>
      </c>
      <c r="O174" s="50">
        <f t="shared" si="22"/>
        <v>110362.5</v>
      </c>
      <c r="P174" s="50">
        <v>0</v>
      </c>
      <c r="Q174" s="76"/>
      <c r="R174" s="140">
        <f>IF((50*S10)&gt;200,200,(10*S9+50*S10))</f>
        <v>270</v>
      </c>
      <c r="S174" s="79">
        <v>293.35000000000002</v>
      </c>
      <c r="T174" s="80">
        <v>40.409999999999997</v>
      </c>
    </row>
    <row r="175" spans="2:20" ht="70">
      <c r="B175" s="5" t="s">
        <v>480</v>
      </c>
      <c r="C175" s="45" t="s">
        <v>135</v>
      </c>
      <c r="D175" s="45">
        <v>87265</v>
      </c>
      <c r="E175" s="6" t="s">
        <v>481</v>
      </c>
      <c r="F175" s="45" t="s">
        <v>121</v>
      </c>
      <c r="G175" s="46">
        <f t="shared" si="23"/>
        <v>270</v>
      </c>
      <c r="H175" s="46">
        <f>TRUNC(S175*(1-LOTE_01!$K$10),2)</f>
        <v>51.72</v>
      </c>
      <c r="I175" s="46">
        <f>TRUNC(T175*(1-LOTE_01!$K$10),2)</f>
        <v>18.739999999999998</v>
      </c>
      <c r="J175" s="100">
        <f t="shared" si="17"/>
        <v>0.22470000000000001</v>
      </c>
      <c r="K175" s="48">
        <f t="shared" si="18"/>
        <v>63.34</v>
      </c>
      <c r="L175" s="48">
        <f t="shared" si="19"/>
        <v>22.95</v>
      </c>
      <c r="M175" s="48">
        <f t="shared" si="20"/>
        <v>17101.8</v>
      </c>
      <c r="N175" s="48">
        <f t="shared" si="21"/>
        <v>6196.5</v>
      </c>
      <c r="O175" s="50">
        <f t="shared" si="22"/>
        <v>23298.3</v>
      </c>
      <c r="P175" s="50">
        <v>0</v>
      </c>
      <c r="Q175" s="76"/>
      <c r="R175" s="140">
        <f>IF((50*S10)&gt;200,200,(10*S9+50*S10))</f>
        <v>270</v>
      </c>
      <c r="S175" s="79">
        <v>51.72</v>
      </c>
      <c r="T175" s="80">
        <v>18.739999999999998</v>
      </c>
    </row>
    <row r="176" spans="2:20" ht="70">
      <c r="B176" s="5" t="s">
        <v>482</v>
      </c>
      <c r="C176" s="45" t="s">
        <v>135</v>
      </c>
      <c r="D176" s="45">
        <v>87251</v>
      </c>
      <c r="E176" s="6" t="s">
        <v>483</v>
      </c>
      <c r="F176" s="45" t="s">
        <v>121</v>
      </c>
      <c r="G176" s="46">
        <f t="shared" si="23"/>
        <v>230</v>
      </c>
      <c r="H176" s="46">
        <f>TRUNC(S176*(1-LOTE_01!$K$10),2)</f>
        <v>54.82</v>
      </c>
      <c r="I176" s="46">
        <f>TRUNC(T176*(1-LOTE_01!$K$10),2)</f>
        <v>9.0500000000000007</v>
      </c>
      <c r="J176" s="100">
        <f t="shared" si="17"/>
        <v>0.22470000000000001</v>
      </c>
      <c r="K176" s="48">
        <f t="shared" si="18"/>
        <v>67.13</v>
      </c>
      <c r="L176" s="48">
        <f t="shared" si="19"/>
        <v>11.08</v>
      </c>
      <c r="M176" s="48">
        <f t="shared" si="20"/>
        <v>15439.9</v>
      </c>
      <c r="N176" s="48">
        <f t="shared" si="21"/>
        <v>2548.4</v>
      </c>
      <c r="O176" s="50">
        <f t="shared" si="22"/>
        <v>17988.3</v>
      </c>
      <c r="P176" s="50">
        <v>0</v>
      </c>
      <c r="Q176" s="76"/>
      <c r="R176" s="140">
        <f>IF((30*S10)&gt;100,100,(10*S9+30*S10))</f>
        <v>230</v>
      </c>
      <c r="S176" s="79">
        <v>54.819999999999993</v>
      </c>
      <c r="T176" s="80">
        <v>9.0500000000000007</v>
      </c>
    </row>
    <row r="177" spans="2:20" ht="42">
      <c r="B177" s="5" t="s">
        <v>1752</v>
      </c>
      <c r="C177" s="45" t="s">
        <v>165</v>
      </c>
      <c r="D177" s="45" t="s">
        <v>1753</v>
      </c>
      <c r="E177" s="6" t="s">
        <v>1754</v>
      </c>
      <c r="F177" s="45" t="s">
        <v>168</v>
      </c>
      <c r="G177" s="46">
        <f t="shared" si="23"/>
        <v>950</v>
      </c>
      <c r="H177" s="46">
        <f>TRUNC(S177*(1-LOTE_01!$K$10),2)</f>
        <v>132.59</v>
      </c>
      <c r="I177" s="46">
        <f>TRUNC(T177*(1-LOTE_01!$K$10),2)</f>
        <v>7.18</v>
      </c>
      <c r="J177" s="100">
        <f t="shared" si="17"/>
        <v>0.22470000000000001</v>
      </c>
      <c r="K177" s="48">
        <f t="shared" si="18"/>
        <v>162.38</v>
      </c>
      <c r="L177" s="48">
        <f t="shared" si="19"/>
        <v>8.7899999999999991</v>
      </c>
      <c r="M177" s="48">
        <f t="shared" si="20"/>
        <v>154261</v>
      </c>
      <c r="N177" s="48">
        <f t="shared" si="21"/>
        <v>8350.5</v>
      </c>
      <c r="O177" s="50">
        <f t="shared" si="22"/>
        <v>162611.5</v>
      </c>
      <c r="P177" s="50"/>
      <c r="Q177" s="76"/>
      <c r="R177" s="148">
        <f>50*(S9+S10)</f>
        <v>950</v>
      </c>
      <c r="S177" s="46">
        <v>132.59</v>
      </c>
      <c r="T177" s="47">
        <v>7.18</v>
      </c>
    </row>
    <row r="178" spans="2:20" ht="42">
      <c r="B178" s="5" t="s">
        <v>1755</v>
      </c>
      <c r="C178" s="45" t="s">
        <v>97</v>
      </c>
      <c r="D178" s="45" t="s">
        <v>1756</v>
      </c>
      <c r="E178" s="6" t="s">
        <v>1757</v>
      </c>
      <c r="F178" s="45" t="s">
        <v>121</v>
      </c>
      <c r="G178" s="46">
        <f t="shared" si="23"/>
        <v>950</v>
      </c>
      <c r="H178" s="46">
        <f>TRUNC(S178*(1-LOTE_01!$K$10),2)</f>
        <v>59.82</v>
      </c>
      <c r="I178" s="46">
        <f>TRUNC(T178*(1-LOTE_01!$K$10),2)</f>
        <v>29.39</v>
      </c>
      <c r="J178" s="100">
        <f t="shared" si="17"/>
        <v>0.22470000000000001</v>
      </c>
      <c r="K178" s="48">
        <f t="shared" si="18"/>
        <v>73.260000000000005</v>
      </c>
      <c r="L178" s="48">
        <f t="shared" si="19"/>
        <v>35.99</v>
      </c>
      <c r="M178" s="48">
        <f t="shared" si="20"/>
        <v>69597</v>
      </c>
      <c r="N178" s="48">
        <f t="shared" si="21"/>
        <v>34190.5</v>
      </c>
      <c r="O178" s="50">
        <f t="shared" si="22"/>
        <v>103787.5</v>
      </c>
      <c r="P178" s="50"/>
      <c r="Q178" s="76"/>
      <c r="R178" s="140">
        <f>50*(S9+S10)</f>
        <v>950</v>
      </c>
      <c r="S178" s="46">
        <v>59.82</v>
      </c>
      <c r="T178" s="47">
        <v>29.39</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312727.2</v>
      </c>
      <c r="Q179" s="76"/>
      <c r="R179" s="154"/>
      <c r="S179" s="79" t="s">
        <v>22</v>
      </c>
      <c r="T179" s="80" t="s">
        <v>22</v>
      </c>
    </row>
    <row r="180" spans="2:20" ht="70">
      <c r="B180" s="5" t="s">
        <v>484</v>
      </c>
      <c r="C180" s="45" t="s">
        <v>97</v>
      </c>
      <c r="D180" s="45" t="s">
        <v>485</v>
      </c>
      <c r="E180" s="6" t="s">
        <v>486</v>
      </c>
      <c r="F180" s="45" t="s">
        <v>121</v>
      </c>
      <c r="G180" s="46">
        <f t="shared" si="23"/>
        <v>950</v>
      </c>
      <c r="H180" s="46">
        <f>TRUNC(S180*(1-LOTE_01!$K$10),2)</f>
        <v>16.29</v>
      </c>
      <c r="I180" s="46">
        <f>TRUNC(T180*(1-LOTE_01!$K$10),2)</f>
        <v>16.260000000000002</v>
      </c>
      <c r="J180" s="100">
        <f t="shared" si="17"/>
        <v>0.22470000000000001</v>
      </c>
      <c r="K180" s="48">
        <f t="shared" si="18"/>
        <v>19.95</v>
      </c>
      <c r="L180" s="48">
        <f t="shared" si="19"/>
        <v>19.91</v>
      </c>
      <c r="M180" s="48">
        <f t="shared" si="20"/>
        <v>18952.5</v>
      </c>
      <c r="N180" s="48">
        <f t="shared" si="21"/>
        <v>18914.5</v>
      </c>
      <c r="O180" s="50">
        <f t="shared" si="22"/>
        <v>37867</v>
      </c>
      <c r="P180" s="50">
        <v>0</v>
      </c>
      <c r="Q180" s="76"/>
      <c r="R180" s="140">
        <f>50*S9+50*S10</f>
        <v>950</v>
      </c>
      <c r="S180" s="79">
        <v>16.29</v>
      </c>
      <c r="T180" s="80">
        <v>16.260000000000002</v>
      </c>
    </row>
    <row r="181" spans="2:20" ht="42">
      <c r="B181" s="5" t="s">
        <v>487</v>
      </c>
      <c r="C181" s="45" t="s">
        <v>165</v>
      </c>
      <c r="D181" s="45" t="s">
        <v>488</v>
      </c>
      <c r="E181" s="6" t="s">
        <v>489</v>
      </c>
      <c r="F181" s="45" t="s">
        <v>168</v>
      </c>
      <c r="G181" s="46">
        <f t="shared" si="23"/>
        <v>1140</v>
      </c>
      <c r="H181" s="46">
        <f>TRUNC(S181*(1-LOTE_01!$K$10),2)</f>
        <v>141.47999999999999</v>
      </c>
      <c r="I181" s="46">
        <f>TRUNC(T181*(1-LOTE_01!$K$10),2)</f>
        <v>0</v>
      </c>
      <c r="J181" s="100">
        <f t="shared" si="17"/>
        <v>0.22470000000000001</v>
      </c>
      <c r="K181" s="48">
        <f t="shared" si="18"/>
        <v>173.27</v>
      </c>
      <c r="L181" s="48">
        <f t="shared" si="19"/>
        <v>0</v>
      </c>
      <c r="M181" s="48">
        <f t="shared" si="20"/>
        <v>197527.8</v>
      </c>
      <c r="N181" s="48">
        <f t="shared" si="21"/>
        <v>0</v>
      </c>
      <c r="O181" s="50">
        <f t="shared" si="22"/>
        <v>197527.8</v>
      </c>
      <c r="P181" s="50">
        <v>0</v>
      </c>
      <c r="Q181" s="76"/>
      <c r="R181" s="140">
        <f>20*S9+400*S10</f>
        <v>1140</v>
      </c>
      <c r="S181" s="79">
        <v>141.47999999999999</v>
      </c>
      <c r="T181" s="80">
        <v>0</v>
      </c>
    </row>
    <row r="182" spans="2:20" ht="28">
      <c r="B182" s="5" t="s">
        <v>490</v>
      </c>
      <c r="C182" s="45" t="s">
        <v>135</v>
      </c>
      <c r="D182" s="45">
        <v>96113</v>
      </c>
      <c r="E182" s="6" t="s">
        <v>491</v>
      </c>
      <c r="F182" s="45" t="s">
        <v>121</v>
      </c>
      <c r="G182" s="46">
        <f t="shared" si="23"/>
        <v>190</v>
      </c>
      <c r="H182" s="46">
        <f>TRUNC(S182*(1-LOTE_01!$K$10),2)</f>
        <v>30.43</v>
      </c>
      <c r="I182" s="46">
        <f>TRUNC(T182*(1-LOTE_01!$K$10),2)</f>
        <v>26.88</v>
      </c>
      <c r="J182" s="100">
        <f t="shared" si="17"/>
        <v>0.22470000000000001</v>
      </c>
      <c r="K182" s="48">
        <f t="shared" si="18"/>
        <v>37.26</v>
      </c>
      <c r="L182" s="48">
        <f t="shared" si="19"/>
        <v>32.909999999999997</v>
      </c>
      <c r="M182" s="48">
        <f t="shared" si="20"/>
        <v>7079.4</v>
      </c>
      <c r="N182" s="48">
        <f t="shared" si="21"/>
        <v>6252.9</v>
      </c>
      <c r="O182" s="50">
        <f t="shared" si="22"/>
        <v>13332.3</v>
      </c>
      <c r="P182" s="50">
        <v>0</v>
      </c>
      <c r="Q182" s="76"/>
      <c r="R182" s="140">
        <f>IF((10*S10)&gt;100,100,(10*S9+10*S10))</f>
        <v>190</v>
      </c>
      <c r="S182" s="79">
        <v>30.430000000000003</v>
      </c>
      <c r="T182" s="80">
        <v>26.88</v>
      </c>
    </row>
    <row r="183" spans="2:20" ht="42">
      <c r="B183" s="5" t="s">
        <v>492</v>
      </c>
      <c r="C183" s="45" t="s">
        <v>135</v>
      </c>
      <c r="D183" s="45">
        <v>99054</v>
      </c>
      <c r="E183" s="6" t="s">
        <v>493</v>
      </c>
      <c r="F183" s="45" t="s">
        <v>121</v>
      </c>
      <c r="G183" s="46">
        <f t="shared" si="23"/>
        <v>100</v>
      </c>
      <c r="H183" s="46">
        <f>TRUNC(S183*(1-LOTE_01!$K$10),2)</f>
        <v>34.130000000000003</v>
      </c>
      <c r="I183" s="46">
        <f>TRUNC(T183*(1-LOTE_01!$K$10),2)</f>
        <v>37.36</v>
      </c>
      <c r="J183" s="100">
        <f t="shared" si="17"/>
        <v>0.22470000000000001</v>
      </c>
      <c r="K183" s="48">
        <f t="shared" si="18"/>
        <v>41.79</v>
      </c>
      <c r="L183" s="48">
        <f t="shared" si="19"/>
        <v>45.75</v>
      </c>
      <c r="M183" s="48">
        <f t="shared" si="20"/>
        <v>4179</v>
      </c>
      <c r="N183" s="48">
        <f t="shared" si="21"/>
        <v>4575</v>
      </c>
      <c r="O183" s="50">
        <f t="shared" si="22"/>
        <v>8754</v>
      </c>
      <c r="P183" s="50">
        <v>0</v>
      </c>
      <c r="Q183" s="76"/>
      <c r="R183" s="140">
        <f>IF((20*S10+20*S9)&gt;100,100,(20*S10+20*S9))</f>
        <v>100</v>
      </c>
      <c r="S183" s="79">
        <v>34.129999999999995</v>
      </c>
      <c r="T183" s="80">
        <v>37.36</v>
      </c>
    </row>
    <row r="184" spans="2:20" ht="28">
      <c r="B184" s="5" t="s">
        <v>494</v>
      </c>
      <c r="C184" s="45" t="s">
        <v>135</v>
      </c>
      <c r="D184" s="45">
        <v>96120</v>
      </c>
      <c r="E184" s="6" t="s">
        <v>495</v>
      </c>
      <c r="F184" s="45" t="s">
        <v>187</v>
      </c>
      <c r="G184" s="46">
        <f t="shared" si="23"/>
        <v>380</v>
      </c>
      <c r="H184" s="46">
        <f>TRUNC(S184*(1-LOTE_01!$K$10),2)</f>
        <v>2.25</v>
      </c>
      <c r="I184" s="46">
        <f>TRUNC(T184*(1-LOTE_01!$K$10),2)</f>
        <v>1.54</v>
      </c>
      <c r="J184" s="100">
        <f t="shared" si="17"/>
        <v>0.22470000000000001</v>
      </c>
      <c r="K184" s="48">
        <f t="shared" si="18"/>
        <v>2.75</v>
      </c>
      <c r="L184" s="48">
        <f t="shared" si="19"/>
        <v>1.88</v>
      </c>
      <c r="M184" s="48">
        <f t="shared" si="20"/>
        <v>1045</v>
      </c>
      <c r="N184" s="48">
        <f t="shared" si="21"/>
        <v>714.4</v>
      </c>
      <c r="O184" s="50">
        <f t="shared" si="22"/>
        <v>1759.4</v>
      </c>
      <c r="P184" s="50">
        <v>0</v>
      </c>
      <c r="Q184" s="76"/>
      <c r="R184" s="140">
        <f>IF((20*S10+20*S9)&gt;500,500,(20*S10+20*S9))</f>
        <v>380</v>
      </c>
      <c r="S184" s="79">
        <v>2.25</v>
      </c>
      <c r="T184" s="80">
        <v>1.54</v>
      </c>
    </row>
    <row r="185" spans="2:20" ht="56">
      <c r="B185" s="5" t="s">
        <v>496</v>
      </c>
      <c r="C185" s="45" t="s">
        <v>135</v>
      </c>
      <c r="D185" s="45">
        <v>96486</v>
      </c>
      <c r="E185" s="6" t="s">
        <v>497</v>
      </c>
      <c r="F185" s="45" t="s">
        <v>121</v>
      </c>
      <c r="G185" s="46">
        <f t="shared" si="23"/>
        <v>100</v>
      </c>
      <c r="H185" s="46">
        <f>TRUNC(S185*(1-LOTE_01!$K$10),2)</f>
        <v>77.89</v>
      </c>
      <c r="I185" s="46">
        <f>TRUNC(T185*(1-LOTE_01!$K$10),2)</f>
        <v>15.79</v>
      </c>
      <c r="J185" s="100">
        <f t="shared" si="17"/>
        <v>0.22470000000000001</v>
      </c>
      <c r="K185" s="48">
        <f t="shared" si="18"/>
        <v>95.39</v>
      </c>
      <c r="L185" s="48">
        <f t="shared" si="19"/>
        <v>19.329999999999998</v>
      </c>
      <c r="M185" s="48">
        <f t="shared" si="20"/>
        <v>9539</v>
      </c>
      <c r="N185" s="48">
        <f t="shared" si="21"/>
        <v>1933</v>
      </c>
      <c r="O185" s="50">
        <f t="shared" si="22"/>
        <v>11472</v>
      </c>
      <c r="P185" s="50">
        <v>0</v>
      </c>
      <c r="Q185" s="76"/>
      <c r="R185" s="140">
        <f>IF((20*S10+20*S9)&gt;100,100,(20*S10+20*S9))</f>
        <v>100</v>
      </c>
      <c r="S185" s="79">
        <v>77.890000000000015</v>
      </c>
      <c r="T185" s="80">
        <v>15.79</v>
      </c>
    </row>
    <row r="186" spans="2:20" ht="42">
      <c r="B186" s="5" t="s">
        <v>498</v>
      </c>
      <c r="C186" s="45" t="s">
        <v>135</v>
      </c>
      <c r="D186" s="45">
        <v>96114</v>
      </c>
      <c r="E186" s="6" t="s">
        <v>499</v>
      </c>
      <c r="F186" s="45" t="s">
        <v>121</v>
      </c>
      <c r="G186" s="46">
        <f t="shared" si="23"/>
        <v>190</v>
      </c>
      <c r="H186" s="46">
        <f>TRUNC(S186*(1-LOTE_01!$K$10),2)</f>
        <v>81.34</v>
      </c>
      <c r="I186" s="46">
        <f>TRUNC(T186*(1-LOTE_01!$K$10),2)</f>
        <v>22</v>
      </c>
      <c r="J186" s="100">
        <f t="shared" si="17"/>
        <v>0.22470000000000001</v>
      </c>
      <c r="K186" s="48">
        <f t="shared" si="18"/>
        <v>99.61</v>
      </c>
      <c r="L186" s="48">
        <f t="shared" si="19"/>
        <v>26.94</v>
      </c>
      <c r="M186" s="48">
        <f t="shared" si="20"/>
        <v>18925.900000000001</v>
      </c>
      <c r="N186" s="48">
        <f t="shared" si="21"/>
        <v>5118.6000000000004</v>
      </c>
      <c r="O186" s="50">
        <f t="shared" si="22"/>
        <v>24044.5</v>
      </c>
      <c r="P186" s="50">
        <v>0</v>
      </c>
      <c r="Q186" s="76"/>
      <c r="R186" s="140">
        <f>IF((10*S10)&gt;100,100,(10*S9+10*S10))</f>
        <v>190</v>
      </c>
      <c r="S186" s="79">
        <v>81.34</v>
      </c>
      <c r="T186" s="80">
        <v>22</v>
      </c>
    </row>
    <row r="187" spans="2:20" ht="42">
      <c r="B187" s="5" t="s">
        <v>500</v>
      </c>
      <c r="C187" s="45" t="s">
        <v>135</v>
      </c>
      <c r="D187" s="45">
        <v>96123</v>
      </c>
      <c r="E187" s="6" t="s">
        <v>501</v>
      </c>
      <c r="F187" s="45" t="s">
        <v>187</v>
      </c>
      <c r="G187" s="46">
        <f t="shared" si="23"/>
        <v>380</v>
      </c>
      <c r="H187" s="46">
        <f>TRUNC(S187*(1-LOTE_01!$K$10),2)</f>
        <v>28.67</v>
      </c>
      <c r="I187" s="46">
        <f>TRUNC(T187*(1-LOTE_01!$K$10),2)</f>
        <v>9.9499999999999993</v>
      </c>
      <c r="J187" s="100">
        <f t="shared" si="17"/>
        <v>0.22470000000000001</v>
      </c>
      <c r="K187" s="48">
        <f t="shared" si="18"/>
        <v>35.11</v>
      </c>
      <c r="L187" s="48">
        <f t="shared" si="19"/>
        <v>12.18</v>
      </c>
      <c r="M187" s="48">
        <f t="shared" si="20"/>
        <v>13341.8</v>
      </c>
      <c r="N187" s="48">
        <f t="shared" si="21"/>
        <v>4628.3999999999996</v>
      </c>
      <c r="O187" s="50">
        <f t="shared" si="22"/>
        <v>17970.2</v>
      </c>
      <c r="P187" s="50">
        <v>0</v>
      </c>
      <c r="Q187" s="76"/>
      <c r="R187" s="140">
        <f>20*S10+20*S9</f>
        <v>380</v>
      </c>
      <c r="S187" s="79">
        <v>28.669999999999998</v>
      </c>
      <c r="T187" s="80">
        <v>9.9499999999999993</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2361749.5</v>
      </c>
      <c r="Q188" s="76"/>
      <c r="R188" s="154"/>
      <c r="S188" s="79" t="s">
        <v>22</v>
      </c>
      <c r="T188" s="80" t="s">
        <v>22</v>
      </c>
    </row>
    <row r="189" spans="2:20" ht="84">
      <c r="B189" s="5" t="s">
        <v>502</v>
      </c>
      <c r="C189" s="45" t="s">
        <v>135</v>
      </c>
      <c r="D189" s="45">
        <v>87632</v>
      </c>
      <c r="E189" s="6" t="s">
        <v>503</v>
      </c>
      <c r="F189" s="45" t="s">
        <v>121</v>
      </c>
      <c r="G189" s="46">
        <f t="shared" si="23"/>
        <v>7600</v>
      </c>
      <c r="H189" s="46">
        <f>TRUNC(S189*(1-LOTE_01!$K$10),2)</f>
        <v>42.37</v>
      </c>
      <c r="I189" s="46">
        <f>TRUNC(T189*(1-LOTE_01!$K$10),2)</f>
        <v>17.96</v>
      </c>
      <c r="J189" s="100">
        <f t="shared" si="17"/>
        <v>0.22470000000000001</v>
      </c>
      <c r="K189" s="48">
        <f t="shared" si="18"/>
        <v>51.89</v>
      </c>
      <c r="L189" s="48">
        <f t="shared" si="19"/>
        <v>21.99</v>
      </c>
      <c r="M189" s="48">
        <f t="shared" si="20"/>
        <v>394364</v>
      </c>
      <c r="N189" s="48">
        <f t="shared" si="21"/>
        <v>167124</v>
      </c>
      <c r="O189" s="50">
        <f t="shared" si="22"/>
        <v>561488</v>
      </c>
      <c r="P189" s="50">
        <v>0</v>
      </c>
      <c r="Q189" s="76"/>
      <c r="R189" s="140">
        <f>400*S10+400*S9</f>
        <v>7600</v>
      </c>
      <c r="S189" s="79">
        <v>42.37</v>
      </c>
      <c r="T189" s="80">
        <v>17.96</v>
      </c>
    </row>
    <row r="190" spans="2:20" ht="56">
      <c r="B190" s="5" t="s">
        <v>504</v>
      </c>
      <c r="C190" s="45" t="s">
        <v>135</v>
      </c>
      <c r="D190" s="45">
        <v>101749</v>
      </c>
      <c r="E190" s="6" t="s">
        <v>1778</v>
      </c>
      <c r="F190" s="45" t="s">
        <v>121</v>
      </c>
      <c r="G190" s="46">
        <f t="shared" si="23"/>
        <v>1250</v>
      </c>
      <c r="H190" s="46">
        <f>TRUNC(S190*(1-LOTE_01!$K$10),2)</f>
        <v>47.22</v>
      </c>
      <c r="I190" s="46">
        <f>TRUNC(T190*(1-LOTE_01!$K$10),2)</f>
        <v>16.690000000000001</v>
      </c>
      <c r="J190" s="100">
        <f t="shared" si="17"/>
        <v>0.22470000000000001</v>
      </c>
      <c r="K190" s="48">
        <f t="shared" si="18"/>
        <v>57.83</v>
      </c>
      <c r="L190" s="48">
        <f t="shared" si="19"/>
        <v>20.440000000000001</v>
      </c>
      <c r="M190" s="48">
        <f t="shared" si="20"/>
        <v>72287.5</v>
      </c>
      <c r="N190" s="48">
        <f t="shared" si="21"/>
        <v>25550</v>
      </c>
      <c r="O190" s="50">
        <f t="shared" si="22"/>
        <v>97837.5</v>
      </c>
      <c r="P190" s="50">
        <v>0</v>
      </c>
      <c r="Q190" s="76"/>
      <c r="R190" s="140">
        <f>IF((50*S9+200*S10)&gt;1500,1500,(50*S9+200*S10))</f>
        <v>1250</v>
      </c>
      <c r="S190" s="79">
        <v>47.22</v>
      </c>
      <c r="T190" s="80">
        <v>16.690000000000001</v>
      </c>
    </row>
    <row r="191" spans="2:20" ht="126">
      <c r="B191" s="5" t="s">
        <v>505</v>
      </c>
      <c r="C191" s="45" t="s">
        <v>97</v>
      </c>
      <c r="D191" s="45" t="s">
        <v>506</v>
      </c>
      <c r="E191" s="6" t="s">
        <v>507</v>
      </c>
      <c r="F191" s="45" t="s">
        <v>121</v>
      </c>
      <c r="G191" s="46">
        <f t="shared" si="23"/>
        <v>2500</v>
      </c>
      <c r="H191" s="46">
        <f>TRUNC(S191*(1-LOTE_01!$K$10),2)</f>
        <v>236.3</v>
      </c>
      <c r="I191" s="46">
        <f>TRUNC(T191*(1-LOTE_01!$K$10),2)</f>
        <v>34.630000000000003</v>
      </c>
      <c r="J191" s="100">
        <f t="shared" si="17"/>
        <v>0.22470000000000001</v>
      </c>
      <c r="K191" s="48">
        <f t="shared" si="18"/>
        <v>289.39</v>
      </c>
      <c r="L191" s="48">
        <f t="shared" si="19"/>
        <v>42.41</v>
      </c>
      <c r="M191" s="48">
        <f t="shared" si="20"/>
        <v>723475</v>
      </c>
      <c r="N191" s="48">
        <f t="shared" si="21"/>
        <v>106025</v>
      </c>
      <c r="O191" s="50">
        <f t="shared" si="22"/>
        <v>829500</v>
      </c>
      <c r="P191" s="50">
        <v>0</v>
      </c>
      <c r="Q191" s="76"/>
      <c r="R191" s="141">
        <f>400*S10+100*S9</f>
        <v>2500</v>
      </c>
      <c r="S191" s="79">
        <v>236.3</v>
      </c>
      <c r="T191" s="80">
        <v>34.630000000000003</v>
      </c>
    </row>
    <row r="192" spans="2:20" ht="140">
      <c r="B192" s="5" t="s">
        <v>508</v>
      </c>
      <c r="C192" s="45" t="s">
        <v>97</v>
      </c>
      <c r="D192" s="45" t="s">
        <v>509</v>
      </c>
      <c r="E192" s="6" t="s">
        <v>510</v>
      </c>
      <c r="F192" s="45" t="s">
        <v>121</v>
      </c>
      <c r="G192" s="46">
        <f t="shared" si="23"/>
        <v>1840</v>
      </c>
      <c r="H192" s="46">
        <f>TRUNC(S192*(1-LOTE_01!$K$10),2)</f>
        <v>301.7</v>
      </c>
      <c r="I192" s="46">
        <f>TRUNC(T192*(1-LOTE_01!$K$10),2)</f>
        <v>34.630000000000003</v>
      </c>
      <c r="J192" s="100">
        <f t="shared" si="17"/>
        <v>0.22470000000000001</v>
      </c>
      <c r="K192" s="48">
        <f t="shared" si="18"/>
        <v>369.49</v>
      </c>
      <c r="L192" s="48">
        <f t="shared" si="19"/>
        <v>42.41</v>
      </c>
      <c r="M192" s="48">
        <f t="shared" si="20"/>
        <v>679861.6</v>
      </c>
      <c r="N192" s="48">
        <f t="shared" si="21"/>
        <v>78034.399999999994</v>
      </c>
      <c r="O192" s="50">
        <f t="shared" si="22"/>
        <v>757896</v>
      </c>
      <c r="P192" s="50">
        <v>0</v>
      </c>
      <c r="Q192" s="76"/>
      <c r="R192" s="141">
        <f>14*5*(S10)+100*S9</f>
        <v>1840</v>
      </c>
      <c r="S192" s="79">
        <v>301.7</v>
      </c>
      <c r="T192" s="80">
        <v>34.630000000000003</v>
      </c>
    </row>
    <row r="193" spans="2:20" ht="42">
      <c r="B193" s="5" t="s">
        <v>511</v>
      </c>
      <c r="C193" s="45" t="s">
        <v>135</v>
      </c>
      <c r="D193" s="45">
        <v>101736</v>
      </c>
      <c r="E193" s="6" t="s">
        <v>1779</v>
      </c>
      <c r="F193" s="45" t="s">
        <v>121</v>
      </c>
      <c r="G193" s="46">
        <f t="shared" si="23"/>
        <v>38</v>
      </c>
      <c r="H193" s="46">
        <f>TRUNC(S193*(1-LOTE_01!$K$10),2)</f>
        <v>102.2</v>
      </c>
      <c r="I193" s="46">
        <f>TRUNC(T193*(1-LOTE_01!$K$10),2)</f>
        <v>17.02</v>
      </c>
      <c r="J193" s="100">
        <f t="shared" si="17"/>
        <v>0.22470000000000001</v>
      </c>
      <c r="K193" s="48">
        <f t="shared" si="18"/>
        <v>125.16</v>
      </c>
      <c r="L193" s="48">
        <f t="shared" si="19"/>
        <v>20.84</v>
      </c>
      <c r="M193" s="48">
        <f t="shared" si="20"/>
        <v>4756.08</v>
      </c>
      <c r="N193" s="48">
        <f t="shared" si="21"/>
        <v>791.92</v>
      </c>
      <c r="O193" s="50">
        <f t="shared" si="22"/>
        <v>5548</v>
      </c>
      <c r="P193" s="50">
        <v>0</v>
      </c>
      <c r="Q193" s="76"/>
      <c r="R193" s="141">
        <f>IF(2*(S10+S9)&gt;50,500,2*(S9+S10))</f>
        <v>38</v>
      </c>
      <c r="S193" s="79">
        <v>102.2</v>
      </c>
      <c r="T193" s="80">
        <v>17.02</v>
      </c>
    </row>
    <row r="194" spans="2:20" ht="70">
      <c r="B194" s="5" t="s">
        <v>512</v>
      </c>
      <c r="C194" s="45" t="s">
        <v>135</v>
      </c>
      <c r="D194" s="45">
        <v>94995</v>
      </c>
      <c r="E194" s="6" t="s">
        <v>1780</v>
      </c>
      <c r="F194" s="45" t="s">
        <v>121</v>
      </c>
      <c r="G194" s="46">
        <f t="shared" si="23"/>
        <v>500</v>
      </c>
      <c r="H194" s="46">
        <f>TRUNC(S194*(1-LOTE_01!$K$10),2)</f>
        <v>120.84</v>
      </c>
      <c r="I194" s="46">
        <f>TRUNC(T194*(1-LOTE_01!$K$10),2)</f>
        <v>9.3000000000000007</v>
      </c>
      <c r="J194" s="100">
        <f t="shared" si="17"/>
        <v>0.22470000000000001</v>
      </c>
      <c r="K194" s="48">
        <f t="shared" si="18"/>
        <v>147.99</v>
      </c>
      <c r="L194" s="48">
        <f t="shared" si="19"/>
        <v>11.38</v>
      </c>
      <c r="M194" s="48">
        <f t="shared" si="20"/>
        <v>73995</v>
      </c>
      <c r="N194" s="48">
        <f t="shared" si="21"/>
        <v>5690</v>
      </c>
      <c r="O194" s="50">
        <f t="shared" si="22"/>
        <v>79685</v>
      </c>
      <c r="P194" s="50">
        <v>0</v>
      </c>
      <c r="Q194" s="76"/>
      <c r="R194" s="141">
        <f>IF(50*(S10+S9)&gt;500,500,50*(S9+S10))</f>
        <v>500</v>
      </c>
      <c r="S194" s="79">
        <v>120.83999999999999</v>
      </c>
      <c r="T194" s="80">
        <v>9.3000000000000007</v>
      </c>
    </row>
    <row r="195" spans="2:20" ht="28">
      <c r="B195" s="5" t="s">
        <v>513</v>
      </c>
      <c r="C195" s="45" t="s">
        <v>165</v>
      </c>
      <c r="D195" s="45" t="s">
        <v>514</v>
      </c>
      <c r="E195" s="6" t="s">
        <v>515</v>
      </c>
      <c r="F195" s="45" t="s">
        <v>168</v>
      </c>
      <c r="G195" s="46">
        <f t="shared" si="23"/>
        <v>1900</v>
      </c>
      <c r="H195" s="46">
        <f>TRUNC(S195*(1-LOTE_01!$K$10),2)</f>
        <v>6.37</v>
      </c>
      <c r="I195" s="46">
        <f>TRUNC(T195*(1-LOTE_01!$K$10),2)</f>
        <v>4.13</v>
      </c>
      <c r="J195" s="100">
        <f t="shared" si="17"/>
        <v>0.22470000000000001</v>
      </c>
      <c r="K195" s="48">
        <f t="shared" si="18"/>
        <v>7.8</v>
      </c>
      <c r="L195" s="48">
        <f t="shared" si="19"/>
        <v>5.05</v>
      </c>
      <c r="M195" s="48">
        <f t="shared" si="20"/>
        <v>14820</v>
      </c>
      <c r="N195" s="48">
        <f t="shared" si="21"/>
        <v>9595</v>
      </c>
      <c r="O195" s="50">
        <f t="shared" si="22"/>
        <v>24415</v>
      </c>
      <c r="P195" s="50">
        <v>0</v>
      </c>
      <c r="Q195" s="76"/>
      <c r="R195" s="140">
        <f>100*(S9+S10)</f>
        <v>1900</v>
      </c>
      <c r="S195" s="79">
        <v>6.37</v>
      </c>
      <c r="T195" s="80">
        <v>4.13</v>
      </c>
    </row>
    <row r="196" spans="2:20">
      <c r="B196" s="5" t="s">
        <v>516</v>
      </c>
      <c r="C196" s="45" t="s">
        <v>97</v>
      </c>
      <c r="D196" s="45" t="s">
        <v>517</v>
      </c>
      <c r="E196" s="6" t="s">
        <v>518</v>
      </c>
      <c r="F196" s="45" t="s">
        <v>519</v>
      </c>
      <c r="G196" s="46">
        <f t="shared" si="23"/>
        <v>1000</v>
      </c>
      <c r="H196" s="46">
        <f>TRUNC(S196*(1-LOTE_01!$K$10),2)</f>
        <v>2.2799999999999998</v>
      </c>
      <c r="I196" s="46">
        <f>TRUNC(T196*(1-LOTE_01!$K$10),2)</f>
        <v>2.12</v>
      </c>
      <c r="J196" s="100">
        <f t="shared" si="17"/>
        <v>0.22470000000000001</v>
      </c>
      <c r="K196" s="48">
        <f t="shared" si="18"/>
        <v>2.79</v>
      </c>
      <c r="L196" s="48">
        <f t="shared" si="19"/>
        <v>2.59</v>
      </c>
      <c r="M196" s="48">
        <f t="shared" si="20"/>
        <v>2790</v>
      </c>
      <c r="N196" s="48">
        <f t="shared" si="21"/>
        <v>2590</v>
      </c>
      <c r="O196" s="50">
        <f t="shared" si="22"/>
        <v>5380</v>
      </c>
      <c r="P196" s="50">
        <v>0</v>
      </c>
      <c r="Q196" s="76"/>
      <c r="R196" s="140">
        <f>IF((200*S9+200*S10)&gt;1000,1000,(200*S9+200*S10))</f>
        <v>1000</v>
      </c>
      <c r="S196" s="79">
        <v>2.2799999999999998</v>
      </c>
      <c r="T196" s="80">
        <v>2.12</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227140.4</v>
      </c>
      <c r="Q197" s="76"/>
      <c r="R197" s="154"/>
      <c r="S197" s="79" t="s">
        <v>22</v>
      </c>
      <c r="T197" s="80" t="s">
        <v>22</v>
      </c>
    </row>
    <row r="198" spans="2:20" ht="42">
      <c r="B198" s="5" t="s">
        <v>520</v>
      </c>
      <c r="C198" s="45" t="s">
        <v>135</v>
      </c>
      <c r="D198" s="45">
        <v>88648</v>
      </c>
      <c r="E198" s="6" t="s">
        <v>521</v>
      </c>
      <c r="F198" s="45" t="s">
        <v>187</v>
      </c>
      <c r="G198" s="46">
        <f t="shared" si="23"/>
        <v>190</v>
      </c>
      <c r="H198" s="46">
        <f>TRUNC(S198*(1-LOTE_01!$K$10),2)</f>
        <v>6.73</v>
      </c>
      <c r="I198" s="46">
        <f>TRUNC(T198*(1-LOTE_01!$K$10),2)</f>
        <v>2.38</v>
      </c>
      <c r="J198" s="100">
        <f t="shared" si="17"/>
        <v>0.22470000000000001</v>
      </c>
      <c r="K198" s="48">
        <f t="shared" si="18"/>
        <v>8.24</v>
      </c>
      <c r="L198" s="48">
        <f t="shared" si="19"/>
        <v>2.91</v>
      </c>
      <c r="M198" s="48">
        <f t="shared" si="20"/>
        <v>1565.6</v>
      </c>
      <c r="N198" s="48">
        <f t="shared" si="21"/>
        <v>552.9</v>
      </c>
      <c r="O198" s="50">
        <f t="shared" si="22"/>
        <v>2118.5</v>
      </c>
      <c r="P198" s="50">
        <v>0</v>
      </c>
      <c r="Q198" s="76"/>
      <c r="R198" s="140">
        <f>IF((20*S10)&gt;100,100,(10*S9+10*S10))</f>
        <v>190</v>
      </c>
      <c r="S198" s="79">
        <v>6.7299999999999995</v>
      </c>
      <c r="T198" s="80">
        <v>2.38</v>
      </c>
    </row>
    <row r="199" spans="2:20" ht="42">
      <c r="B199" s="5" t="s">
        <v>522</v>
      </c>
      <c r="C199" s="45" t="s">
        <v>135</v>
      </c>
      <c r="D199" s="45">
        <v>88650</v>
      </c>
      <c r="E199" s="6" t="s">
        <v>523</v>
      </c>
      <c r="F199" s="45" t="s">
        <v>187</v>
      </c>
      <c r="G199" s="46">
        <f t="shared" si="23"/>
        <v>1020</v>
      </c>
      <c r="H199" s="46">
        <f>TRUNC(S199*(1-LOTE_01!$K$10),2)</f>
        <v>11.17</v>
      </c>
      <c r="I199" s="46">
        <f>TRUNC(T199*(1-LOTE_01!$K$10),2)</f>
        <v>2.82</v>
      </c>
      <c r="J199" s="100">
        <f t="shared" si="17"/>
        <v>0.22470000000000001</v>
      </c>
      <c r="K199" s="48">
        <f t="shared" si="18"/>
        <v>13.67</v>
      </c>
      <c r="L199" s="48">
        <f t="shared" si="19"/>
        <v>3.45</v>
      </c>
      <c r="M199" s="48">
        <f t="shared" si="20"/>
        <v>13943.4</v>
      </c>
      <c r="N199" s="48">
        <f t="shared" si="21"/>
        <v>3519</v>
      </c>
      <c r="O199" s="50">
        <f t="shared" si="22"/>
        <v>17462.400000000001</v>
      </c>
      <c r="P199" s="50">
        <v>0</v>
      </c>
      <c r="Q199" s="76"/>
      <c r="R199" s="141">
        <f>85*S10+50*S9</f>
        <v>1020</v>
      </c>
      <c r="S199" s="79">
        <v>11.17</v>
      </c>
      <c r="T199" s="80">
        <v>2.82</v>
      </c>
    </row>
    <row r="200" spans="2:20" ht="126">
      <c r="B200" s="5" t="s">
        <v>524</v>
      </c>
      <c r="C200" s="45" t="s">
        <v>97</v>
      </c>
      <c r="D200" s="45" t="s">
        <v>525</v>
      </c>
      <c r="E200" s="6" t="s">
        <v>526</v>
      </c>
      <c r="F200" s="45" t="s">
        <v>187</v>
      </c>
      <c r="G200" s="46">
        <f t="shared" si="23"/>
        <v>3800</v>
      </c>
      <c r="H200" s="46">
        <f>TRUNC(S200*(1-LOTE_01!$K$10),2)</f>
        <v>33.67</v>
      </c>
      <c r="I200" s="46">
        <f>TRUNC(T200*(1-LOTE_01!$K$10),2)</f>
        <v>2.77</v>
      </c>
      <c r="J200" s="100">
        <f t="shared" si="17"/>
        <v>0.22470000000000001</v>
      </c>
      <c r="K200" s="48">
        <f t="shared" si="18"/>
        <v>41.23</v>
      </c>
      <c r="L200" s="48">
        <f t="shared" si="19"/>
        <v>3.39</v>
      </c>
      <c r="M200" s="48">
        <f t="shared" si="20"/>
        <v>156674</v>
      </c>
      <c r="N200" s="48">
        <f t="shared" si="21"/>
        <v>12882</v>
      </c>
      <c r="O200" s="50">
        <f t="shared" si="22"/>
        <v>169556</v>
      </c>
      <c r="P200" s="50">
        <v>0</v>
      </c>
      <c r="Q200" s="76"/>
      <c r="R200" s="140">
        <f>200*(S10+S9)</f>
        <v>3800</v>
      </c>
      <c r="S200" s="79">
        <v>33.67</v>
      </c>
      <c r="T200" s="80">
        <v>2.77</v>
      </c>
    </row>
    <row r="201" spans="2:20" ht="42">
      <c r="B201" s="5" t="s">
        <v>527</v>
      </c>
      <c r="C201" s="45" t="s">
        <v>135</v>
      </c>
      <c r="D201" s="45">
        <v>101738</v>
      </c>
      <c r="E201" s="6" t="s">
        <v>1781</v>
      </c>
      <c r="F201" s="45" t="s">
        <v>187</v>
      </c>
      <c r="G201" s="46">
        <f t="shared" si="23"/>
        <v>50</v>
      </c>
      <c r="H201" s="46">
        <f>TRUNC(S201*(1-LOTE_01!$K$10),2)</f>
        <v>9.52</v>
      </c>
      <c r="I201" s="46">
        <f>TRUNC(T201*(1-LOTE_01!$K$10),2)</f>
        <v>8.35</v>
      </c>
      <c r="J201" s="100">
        <f t="shared" si="17"/>
        <v>0.22470000000000001</v>
      </c>
      <c r="K201" s="48">
        <f t="shared" si="18"/>
        <v>11.65</v>
      </c>
      <c r="L201" s="48">
        <f t="shared" si="19"/>
        <v>10.220000000000001</v>
      </c>
      <c r="M201" s="48">
        <f t="shared" si="20"/>
        <v>582.5</v>
      </c>
      <c r="N201" s="48">
        <f t="shared" si="21"/>
        <v>511</v>
      </c>
      <c r="O201" s="50">
        <f t="shared" si="22"/>
        <v>1093.5</v>
      </c>
      <c r="P201" s="50">
        <v>0</v>
      </c>
      <c r="Q201" s="76"/>
      <c r="R201" s="140">
        <f>IF((S9*5+20*S10)&gt;50,50,(5*S9+10*S10))</f>
        <v>50</v>
      </c>
      <c r="S201" s="79">
        <v>9.5200000000000014</v>
      </c>
      <c r="T201" s="80">
        <v>8.35</v>
      </c>
    </row>
    <row r="202" spans="2:20" ht="28">
      <c r="B202" s="5" t="s">
        <v>528</v>
      </c>
      <c r="C202" s="45" t="s">
        <v>165</v>
      </c>
      <c r="D202" s="45" t="s">
        <v>529</v>
      </c>
      <c r="E202" s="6" t="s">
        <v>530</v>
      </c>
      <c r="F202" s="45" t="s">
        <v>531</v>
      </c>
      <c r="G202" s="46">
        <f t="shared" si="23"/>
        <v>50</v>
      </c>
      <c r="H202" s="46">
        <f>TRUNC(S202*(1-LOTE_01!$K$10),2)</f>
        <v>27.33</v>
      </c>
      <c r="I202" s="46">
        <f>TRUNC(T202*(1-LOTE_01!$K$10),2)</f>
        <v>1.52</v>
      </c>
      <c r="J202" s="100">
        <f t="shared" si="17"/>
        <v>0.22470000000000001</v>
      </c>
      <c r="K202" s="48">
        <f t="shared" si="18"/>
        <v>33.47</v>
      </c>
      <c r="L202" s="48">
        <f t="shared" si="19"/>
        <v>1.86</v>
      </c>
      <c r="M202" s="48">
        <f t="shared" si="20"/>
        <v>1673.5</v>
      </c>
      <c r="N202" s="48">
        <f t="shared" si="21"/>
        <v>93</v>
      </c>
      <c r="O202" s="50">
        <f t="shared" si="22"/>
        <v>1766.5</v>
      </c>
      <c r="P202" s="50">
        <v>0</v>
      </c>
      <c r="Q202" s="76"/>
      <c r="R202" s="140">
        <f>IF((S9*5+20*S10)&gt;50,50,(5*S9+10*S10))</f>
        <v>50</v>
      </c>
      <c r="S202" s="79">
        <v>27.33</v>
      </c>
      <c r="T202" s="80">
        <v>1.52</v>
      </c>
    </row>
    <row r="203" spans="2:20" ht="28">
      <c r="B203" s="5" t="s">
        <v>532</v>
      </c>
      <c r="C203" s="45" t="s">
        <v>135</v>
      </c>
      <c r="D203" s="45">
        <v>98685</v>
      </c>
      <c r="E203" s="6" t="s">
        <v>1782</v>
      </c>
      <c r="F203" s="45" t="s">
        <v>187</v>
      </c>
      <c r="G203" s="46">
        <f t="shared" si="23"/>
        <v>50</v>
      </c>
      <c r="H203" s="46">
        <f>TRUNC(S203*(1-LOTE_01!$K$10),2)</f>
        <v>91.67</v>
      </c>
      <c r="I203" s="46">
        <f>TRUNC(T203*(1-LOTE_01!$K$10),2)</f>
        <v>10.96</v>
      </c>
      <c r="J203" s="100">
        <f t="shared" si="17"/>
        <v>0.22470000000000001</v>
      </c>
      <c r="K203" s="48">
        <f t="shared" si="18"/>
        <v>112.26</v>
      </c>
      <c r="L203" s="48">
        <f t="shared" si="19"/>
        <v>13.42</v>
      </c>
      <c r="M203" s="48">
        <f t="shared" si="20"/>
        <v>5613</v>
      </c>
      <c r="N203" s="48">
        <f t="shared" si="21"/>
        <v>671</v>
      </c>
      <c r="O203" s="50">
        <f t="shared" si="22"/>
        <v>6284</v>
      </c>
      <c r="P203" s="50">
        <v>0</v>
      </c>
      <c r="Q203" s="76"/>
      <c r="R203" s="140">
        <f>IF((S9*5+20*S10)&gt;50,50,(5*S9+10*S10))</f>
        <v>50</v>
      </c>
      <c r="S203" s="79">
        <v>91.669999999999987</v>
      </c>
      <c r="T203" s="80">
        <v>10.96</v>
      </c>
    </row>
    <row r="204" spans="2:20" ht="28">
      <c r="B204" s="5" t="s">
        <v>533</v>
      </c>
      <c r="C204" s="45" t="s">
        <v>135</v>
      </c>
      <c r="D204" s="45">
        <v>98689</v>
      </c>
      <c r="E204" s="6" t="s">
        <v>1783</v>
      </c>
      <c r="F204" s="45" t="s">
        <v>187</v>
      </c>
      <c r="G204" s="46">
        <f t="shared" si="23"/>
        <v>50</v>
      </c>
      <c r="H204" s="46">
        <f>TRUNC(S204*(1-LOTE_01!$K$10),2)</f>
        <v>132.63</v>
      </c>
      <c r="I204" s="46">
        <f>TRUNC(T204*(1-LOTE_01!$K$10),2)</f>
        <v>21.14</v>
      </c>
      <c r="J204" s="100">
        <f t="shared" si="17"/>
        <v>0.22470000000000001</v>
      </c>
      <c r="K204" s="48">
        <f t="shared" si="18"/>
        <v>162.43</v>
      </c>
      <c r="L204" s="48">
        <f t="shared" si="19"/>
        <v>25.89</v>
      </c>
      <c r="M204" s="48">
        <f t="shared" si="20"/>
        <v>8121.5</v>
      </c>
      <c r="N204" s="48">
        <f t="shared" si="21"/>
        <v>1294.5</v>
      </c>
      <c r="O204" s="50">
        <f t="shared" si="22"/>
        <v>9416</v>
      </c>
      <c r="P204" s="50">
        <v>0</v>
      </c>
      <c r="Q204" s="76"/>
      <c r="R204" s="140">
        <f>IF((S9*5+20*S10)&gt;50,50,(5*S9+10*S10))</f>
        <v>50</v>
      </c>
      <c r="S204" s="79">
        <v>132.63</v>
      </c>
      <c r="T204" s="80">
        <v>21.14</v>
      </c>
    </row>
    <row r="205" spans="2:20" ht="28">
      <c r="B205" s="5" t="s">
        <v>534</v>
      </c>
      <c r="C205" s="45" t="s">
        <v>135</v>
      </c>
      <c r="D205" s="45">
        <v>98695</v>
      </c>
      <c r="E205" s="6" t="s">
        <v>1784</v>
      </c>
      <c r="F205" s="45" t="s">
        <v>187</v>
      </c>
      <c r="G205" s="46">
        <f t="shared" si="23"/>
        <v>50</v>
      </c>
      <c r="H205" s="46">
        <f>TRUNC(S205*(1-LOTE_01!$K$10),2)</f>
        <v>125.62</v>
      </c>
      <c r="I205" s="46">
        <f>TRUNC(T205*(1-LOTE_01!$K$10),2)</f>
        <v>25.21</v>
      </c>
      <c r="J205" s="100">
        <f t="shared" si="17"/>
        <v>0.22470000000000001</v>
      </c>
      <c r="K205" s="48">
        <f t="shared" si="18"/>
        <v>153.84</v>
      </c>
      <c r="L205" s="48">
        <f t="shared" si="19"/>
        <v>30.87</v>
      </c>
      <c r="M205" s="48">
        <f t="shared" si="20"/>
        <v>7692</v>
      </c>
      <c r="N205" s="48">
        <f t="shared" si="21"/>
        <v>1543.5</v>
      </c>
      <c r="O205" s="50">
        <f t="shared" si="22"/>
        <v>9235.5</v>
      </c>
      <c r="P205" s="50">
        <v>0</v>
      </c>
      <c r="Q205" s="76"/>
      <c r="R205" s="140">
        <f>IF((S9*5+20*S10)&gt;50,50,(5*S9+10*S10))</f>
        <v>50</v>
      </c>
      <c r="S205" s="79">
        <v>125.62</v>
      </c>
      <c r="T205" s="80">
        <v>25.21</v>
      </c>
    </row>
    <row r="206" spans="2:20" ht="28">
      <c r="B206" s="5" t="s">
        <v>535</v>
      </c>
      <c r="C206" s="45" t="s">
        <v>165</v>
      </c>
      <c r="D206" s="45" t="s">
        <v>536</v>
      </c>
      <c r="E206" s="6" t="s">
        <v>537</v>
      </c>
      <c r="F206" s="45" t="s">
        <v>531</v>
      </c>
      <c r="G206" s="46">
        <f t="shared" si="23"/>
        <v>50</v>
      </c>
      <c r="H206" s="46">
        <f>TRUNC(S206*(1-LOTE_01!$K$10),2)</f>
        <v>164.69</v>
      </c>
      <c r="I206" s="46">
        <f>TRUNC(T206*(1-LOTE_01!$K$10),2)</f>
        <v>2.02</v>
      </c>
      <c r="J206" s="100">
        <f t="shared" si="17"/>
        <v>0.22470000000000001</v>
      </c>
      <c r="K206" s="48">
        <f t="shared" si="18"/>
        <v>201.69</v>
      </c>
      <c r="L206" s="48">
        <f t="shared" si="19"/>
        <v>2.4700000000000002</v>
      </c>
      <c r="M206" s="48">
        <f t="shared" si="20"/>
        <v>10084.5</v>
      </c>
      <c r="N206" s="48">
        <f t="shared" si="21"/>
        <v>123.5</v>
      </c>
      <c r="O206" s="50">
        <f t="shared" si="22"/>
        <v>10208</v>
      </c>
      <c r="P206" s="50">
        <v>0</v>
      </c>
      <c r="Q206" s="76"/>
      <c r="R206" s="140">
        <f>IF((S9*5+20*S10)&gt;50,50,(5*S9+10*S10))</f>
        <v>50</v>
      </c>
      <c r="S206" s="79">
        <v>164.69</v>
      </c>
      <c r="T206" s="80">
        <v>2.02</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1746863.6100000003</v>
      </c>
      <c r="Q207" s="76"/>
      <c r="R207" s="154"/>
      <c r="S207" s="79" t="s">
        <v>22</v>
      </c>
      <c r="T207" s="80" t="s">
        <v>22</v>
      </c>
    </row>
    <row r="208" spans="2:20" ht="42">
      <c r="B208" s="5" t="s">
        <v>538</v>
      </c>
      <c r="C208" s="45" t="s">
        <v>97</v>
      </c>
      <c r="D208" s="45" t="s">
        <v>539</v>
      </c>
      <c r="E208" s="6" t="s">
        <v>540</v>
      </c>
      <c r="F208" s="45" t="s">
        <v>104</v>
      </c>
      <c r="G208" s="46">
        <f t="shared" si="23"/>
        <v>20</v>
      </c>
      <c r="H208" s="46">
        <f>TRUNC(S208*(1-LOTE_01!$K$10),2)</f>
        <v>28.53</v>
      </c>
      <c r="I208" s="46">
        <f>TRUNC(T208*(1-LOTE_01!$K$10),2)</f>
        <v>75.62</v>
      </c>
      <c r="J208" s="100">
        <f t="shared" si="17"/>
        <v>0.22470000000000001</v>
      </c>
      <c r="K208" s="48">
        <f t="shared" ref="K208:K271" si="24">TRUNC(H208*(1+J208),2)</f>
        <v>34.94</v>
      </c>
      <c r="L208" s="48">
        <f t="shared" ref="L208:L271" si="25">TRUNC(I208*(1+J208),2)</f>
        <v>92.61</v>
      </c>
      <c r="M208" s="48">
        <f t="shared" ref="M208:M271" si="26">TRUNC(K208*G208,2)</f>
        <v>698.8</v>
      </c>
      <c r="N208" s="48">
        <f t="shared" ref="N208:N271" si="27">TRUNC(L208*G208,2)</f>
        <v>1852.2</v>
      </c>
      <c r="O208" s="50">
        <f t="shared" ref="O208:O271" si="28">TRUNC(M208+N208,2)</f>
        <v>2551</v>
      </c>
      <c r="P208" s="50">
        <v>0</v>
      </c>
      <c r="Q208" s="76"/>
      <c r="R208" s="140">
        <f>IF((2*S9+2*S10)&gt;20,20,(2*S9+2*S10))</f>
        <v>20</v>
      </c>
      <c r="S208" s="79">
        <v>28.53</v>
      </c>
      <c r="T208" s="80">
        <v>75.62</v>
      </c>
    </row>
    <row r="209" spans="2:20" ht="28">
      <c r="B209" s="5" t="s">
        <v>541</v>
      </c>
      <c r="C209" s="45" t="s">
        <v>97</v>
      </c>
      <c r="D209" s="45" t="s">
        <v>542</v>
      </c>
      <c r="E209" s="6" t="s">
        <v>543</v>
      </c>
      <c r="F209" s="45" t="s">
        <v>104</v>
      </c>
      <c r="G209" s="46">
        <f t="shared" si="23"/>
        <v>10</v>
      </c>
      <c r="H209" s="46">
        <f>TRUNC(S209*(1-LOTE_01!$K$10),2)</f>
        <v>0</v>
      </c>
      <c r="I209" s="46">
        <f>TRUNC(T209*(1-LOTE_01!$K$10),2)</f>
        <v>126.68</v>
      </c>
      <c r="J209" s="100">
        <f t="shared" si="17"/>
        <v>0.22470000000000001</v>
      </c>
      <c r="K209" s="48">
        <f t="shared" si="24"/>
        <v>0</v>
      </c>
      <c r="L209" s="48">
        <f t="shared" si="25"/>
        <v>155.13999999999999</v>
      </c>
      <c r="M209" s="48">
        <f t="shared" si="26"/>
        <v>0</v>
      </c>
      <c r="N209" s="48">
        <f t="shared" si="27"/>
        <v>1551.4</v>
      </c>
      <c r="O209" s="50">
        <f t="shared" si="28"/>
        <v>1551.4</v>
      </c>
      <c r="P209" s="50">
        <v>0</v>
      </c>
      <c r="Q209" s="76"/>
      <c r="R209" s="140">
        <f>IF((1*S9+1*S10)&gt;10,10,(1*S9+1*S10))</f>
        <v>10</v>
      </c>
      <c r="S209" s="79">
        <v>0</v>
      </c>
      <c r="T209" s="80">
        <v>126.68</v>
      </c>
    </row>
    <row r="210" spans="2:20" ht="42">
      <c r="B210" s="5" t="s">
        <v>544</v>
      </c>
      <c r="C210" s="45" t="s">
        <v>135</v>
      </c>
      <c r="D210" s="45">
        <v>102182</v>
      </c>
      <c r="E210" s="6" t="s">
        <v>1785</v>
      </c>
      <c r="F210" s="45" t="s">
        <v>210</v>
      </c>
      <c r="G210" s="46">
        <f t="shared" ref="G210:G273" si="29">TRUNC(R210,2)</f>
        <v>20</v>
      </c>
      <c r="H210" s="46">
        <f>TRUNC(S210*(1-LOTE_01!$K$10),2)</f>
        <v>1072.8800000000001</v>
      </c>
      <c r="I210" s="46">
        <f>TRUNC(T210*(1-LOTE_01!$K$10),2)</f>
        <v>75.069999999999993</v>
      </c>
      <c r="J210" s="100">
        <f t="shared" ref="J210:J273" si="30">$J$4</f>
        <v>0.22470000000000001</v>
      </c>
      <c r="K210" s="48">
        <f t="shared" si="24"/>
        <v>1313.95</v>
      </c>
      <c r="L210" s="48">
        <f t="shared" si="25"/>
        <v>91.93</v>
      </c>
      <c r="M210" s="48">
        <f t="shared" si="26"/>
        <v>26279</v>
      </c>
      <c r="N210" s="48">
        <f t="shared" si="27"/>
        <v>1838.6</v>
      </c>
      <c r="O210" s="50">
        <f t="shared" si="28"/>
        <v>28117.599999999999</v>
      </c>
      <c r="P210" s="50">
        <v>0</v>
      </c>
      <c r="Q210" s="76"/>
      <c r="R210" s="140">
        <f>IF((2*S9+2*S10)&gt;20,20,(2*S9+2*S10))</f>
        <v>20</v>
      </c>
      <c r="S210" s="79">
        <v>1072.8800000000001</v>
      </c>
      <c r="T210" s="80">
        <v>75.069999999999993</v>
      </c>
    </row>
    <row r="211" spans="2:20" ht="56">
      <c r="B211" s="5" t="s">
        <v>545</v>
      </c>
      <c r="C211" s="45" t="s">
        <v>135</v>
      </c>
      <c r="D211" s="45">
        <v>102183</v>
      </c>
      <c r="E211" s="6" t="s">
        <v>1786</v>
      </c>
      <c r="F211" s="45" t="s">
        <v>210</v>
      </c>
      <c r="G211" s="46">
        <f t="shared" si="29"/>
        <v>10</v>
      </c>
      <c r="H211" s="46">
        <f>TRUNC(S211*(1-LOTE_01!$K$10),2)</f>
        <v>2012.07</v>
      </c>
      <c r="I211" s="46">
        <f>TRUNC(T211*(1-LOTE_01!$K$10),2)</f>
        <v>150.28</v>
      </c>
      <c r="J211" s="100">
        <f t="shared" si="30"/>
        <v>0.22470000000000001</v>
      </c>
      <c r="K211" s="48">
        <f t="shared" si="24"/>
        <v>2464.1799999999998</v>
      </c>
      <c r="L211" s="48">
        <f t="shared" si="25"/>
        <v>184.04</v>
      </c>
      <c r="M211" s="48">
        <f t="shared" si="26"/>
        <v>24641.8</v>
      </c>
      <c r="N211" s="48">
        <f t="shared" si="27"/>
        <v>1840.4</v>
      </c>
      <c r="O211" s="50">
        <f t="shared" si="28"/>
        <v>26482.2</v>
      </c>
      <c r="P211" s="50">
        <v>0</v>
      </c>
      <c r="Q211" s="76"/>
      <c r="R211" s="140">
        <f>IF((1*S9+1*S10)&gt;10,10,(1*S9+1*S10))</f>
        <v>10</v>
      </c>
      <c r="S211" s="79">
        <v>2012.07</v>
      </c>
      <c r="T211" s="80">
        <v>150.28</v>
      </c>
    </row>
    <row r="212" spans="2:20" ht="56">
      <c r="B212" s="5" t="s">
        <v>546</v>
      </c>
      <c r="C212" s="45" t="s">
        <v>135</v>
      </c>
      <c r="D212" s="45">
        <v>102184</v>
      </c>
      <c r="E212" s="6" t="s">
        <v>1787</v>
      </c>
      <c r="F212" s="45" t="s">
        <v>210</v>
      </c>
      <c r="G212" s="46">
        <f t="shared" si="29"/>
        <v>10</v>
      </c>
      <c r="H212" s="46">
        <f>TRUNC(S212*(1-LOTE_01!$K$10),2)</f>
        <v>1877.88</v>
      </c>
      <c r="I212" s="46">
        <f>TRUNC(T212*(1-LOTE_01!$K$10),2)</f>
        <v>126.68</v>
      </c>
      <c r="J212" s="100">
        <f t="shared" si="30"/>
        <v>0.22470000000000001</v>
      </c>
      <c r="K212" s="48">
        <f t="shared" si="24"/>
        <v>2299.83</v>
      </c>
      <c r="L212" s="48">
        <f t="shared" si="25"/>
        <v>155.13999999999999</v>
      </c>
      <c r="M212" s="48">
        <f t="shared" si="26"/>
        <v>22998.3</v>
      </c>
      <c r="N212" s="48">
        <f t="shared" si="27"/>
        <v>1551.4</v>
      </c>
      <c r="O212" s="50">
        <f t="shared" si="28"/>
        <v>24549.7</v>
      </c>
      <c r="P212" s="50">
        <v>0</v>
      </c>
      <c r="Q212" s="76"/>
      <c r="R212" s="140">
        <f>IF((1*S9+1*S10)&gt;10,10,(1*S9+1*S10))</f>
        <v>10</v>
      </c>
      <c r="S212" s="79">
        <v>1877.8799999999999</v>
      </c>
      <c r="T212" s="80">
        <v>126.68</v>
      </c>
    </row>
    <row r="213" spans="2:20" ht="70">
      <c r="B213" s="5" t="s">
        <v>547</v>
      </c>
      <c r="C213" s="45" t="s">
        <v>135</v>
      </c>
      <c r="D213" s="45">
        <v>102185</v>
      </c>
      <c r="E213" s="6" t="s">
        <v>1788</v>
      </c>
      <c r="F213" s="45" t="s">
        <v>210</v>
      </c>
      <c r="G213" s="46">
        <f t="shared" si="29"/>
        <v>10</v>
      </c>
      <c r="H213" s="46">
        <f>TRUNC(S213*(1-LOTE_01!$K$10),2)</f>
        <v>3759.11</v>
      </c>
      <c r="I213" s="46">
        <f>TRUNC(T213*(1-LOTE_01!$K$10),2)</f>
        <v>263.04000000000002</v>
      </c>
      <c r="J213" s="100">
        <f t="shared" si="30"/>
        <v>0.22470000000000001</v>
      </c>
      <c r="K213" s="48">
        <f t="shared" si="24"/>
        <v>4603.78</v>
      </c>
      <c r="L213" s="48">
        <f t="shared" si="25"/>
        <v>322.14</v>
      </c>
      <c r="M213" s="48">
        <f t="shared" si="26"/>
        <v>46037.8</v>
      </c>
      <c r="N213" s="48">
        <f t="shared" si="27"/>
        <v>3221.4</v>
      </c>
      <c r="O213" s="50">
        <f t="shared" si="28"/>
        <v>49259.199999999997</v>
      </c>
      <c r="P213" s="50">
        <v>0</v>
      </c>
      <c r="Q213" s="76"/>
      <c r="R213" s="140">
        <f>IF((1*S9+1*S10)&gt;10,10,(1*S9+1*S10))</f>
        <v>10</v>
      </c>
      <c r="S213" s="79">
        <v>3759.11</v>
      </c>
      <c r="T213" s="80">
        <v>263.04000000000002</v>
      </c>
    </row>
    <row r="214" spans="2:20" ht="28">
      <c r="B214" s="5" t="s">
        <v>548</v>
      </c>
      <c r="C214" s="45" t="s">
        <v>97</v>
      </c>
      <c r="D214" s="45" t="s">
        <v>549</v>
      </c>
      <c r="E214" s="6" t="s">
        <v>550</v>
      </c>
      <c r="F214" s="45" t="s">
        <v>104</v>
      </c>
      <c r="G214" s="46">
        <f t="shared" si="29"/>
        <v>38</v>
      </c>
      <c r="H214" s="46">
        <f>TRUNC(S214*(1-LOTE_01!$K$10),2)</f>
        <v>16.920000000000002</v>
      </c>
      <c r="I214" s="46">
        <f>TRUNC(T214*(1-LOTE_01!$K$10),2)</f>
        <v>49.83</v>
      </c>
      <c r="J214" s="100">
        <f t="shared" si="30"/>
        <v>0.22470000000000001</v>
      </c>
      <c r="K214" s="48">
        <f t="shared" si="24"/>
        <v>20.72</v>
      </c>
      <c r="L214" s="48">
        <f t="shared" si="25"/>
        <v>61.02</v>
      </c>
      <c r="M214" s="48">
        <f t="shared" si="26"/>
        <v>787.36</v>
      </c>
      <c r="N214" s="48">
        <f t="shared" si="27"/>
        <v>2318.7600000000002</v>
      </c>
      <c r="O214" s="50">
        <f t="shared" si="28"/>
        <v>3106.12</v>
      </c>
      <c r="P214" s="50">
        <v>0</v>
      </c>
      <c r="Q214" s="76"/>
      <c r="R214" s="140">
        <f>IF((2*S9+2*S10)&gt;50,50,(2*S9+2*S10))</f>
        <v>38</v>
      </c>
      <c r="S214" s="79">
        <v>16.920000000000002</v>
      </c>
      <c r="T214" s="80">
        <v>49.83</v>
      </c>
    </row>
    <row r="215" spans="2:20" ht="70">
      <c r="B215" s="5" t="s">
        <v>551</v>
      </c>
      <c r="C215" s="45" t="s">
        <v>135</v>
      </c>
      <c r="D215" s="45">
        <v>100695</v>
      </c>
      <c r="E215" s="6" t="s">
        <v>1789</v>
      </c>
      <c r="F215" s="45" t="s">
        <v>210</v>
      </c>
      <c r="G215" s="46">
        <f t="shared" si="29"/>
        <v>38</v>
      </c>
      <c r="H215" s="46">
        <f>TRUNC(S215*(1-LOTE_01!$K$10),2)</f>
        <v>23.24</v>
      </c>
      <c r="I215" s="46">
        <f>TRUNC(T215*(1-LOTE_01!$K$10),2)</f>
        <v>61.79</v>
      </c>
      <c r="J215" s="100">
        <f t="shared" si="30"/>
        <v>0.22470000000000001</v>
      </c>
      <c r="K215" s="48">
        <f t="shared" si="24"/>
        <v>28.46</v>
      </c>
      <c r="L215" s="48">
        <f t="shared" si="25"/>
        <v>75.67</v>
      </c>
      <c r="M215" s="48">
        <f t="shared" si="26"/>
        <v>1081.48</v>
      </c>
      <c r="N215" s="48">
        <f t="shared" si="27"/>
        <v>2875.46</v>
      </c>
      <c r="O215" s="50">
        <f t="shared" si="28"/>
        <v>3956.94</v>
      </c>
      <c r="P215" s="50">
        <v>0</v>
      </c>
      <c r="Q215" s="76"/>
      <c r="R215" s="140">
        <f>IF((2*S9+2*S10)&gt;50,50,(2*S9+2*S10))</f>
        <v>38</v>
      </c>
      <c r="S215" s="79">
        <v>23.240000000000002</v>
      </c>
      <c r="T215" s="80">
        <v>61.79</v>
      </c>
    </row>
    <row r="216" spans="2:20" ht="70">
      <c r="B216" s="5" t="s">
        <v>552</v>
      </c>
      <c r="C216" s="45" t="s">
        <v>135</v>
      </c>
      <c r="D216" s="45">
        <v>100697</v>
      </c>
      <c r="E216" s="6" t="s">
        <v>1790</v>
      </c>
      <c r="F216" s="45" t="s">
        <v>210</v>
      </c>
      <c r="G216" s="46">
        <f t="shared" si="29"/>
        <v>38</v>
      </c>
      <c r="H216" s="46">
        <f>TRUNC(S216*(1-LOTE_01!$K$10),2)</f>
        <v>28.2</v>
      </c>
      <c r="I216" s="46">
        <f>TRUNC(T216*(1-LOTE_01!$K$10),2)</f>
        <v>75.77</v>
      </c>
      <c r="J216" s="100">
        <f t="shared" si="30"/>
        <v>0.22470000000000001</v>
      </c>
      <c r="K216" s="48">
        <f t="shared" si="24"/>
        <v>34.53</v>
      </c>
      <c r="L216" s="48">
        <f t="shared" si="25"/>
        <v>92.79</v>
      </c>
      <c r="M216" s="48">
        <f t="shared" si="26"/>
        <v>1312.14</v>
      </c>
      <c r="N216" s="48">
        <f t="shared" si="27"/>
        <v>3526.02</v>
      </c>
      <c r="O216" s="50">
        <f t="shared" si="28"/>
        <v>4838.16</v>
      </c>
      <c r="P216" s="50">
        <v>0</v>
      </c>
      <c r="Q216" s="76"/>
      <c r="R216" s="140">
        <f>IF((2*S9+2*S10)&gt;50,50,(2*S9+2*S10))</f>
        <v>38</v>
      </c>
      <c r="S216" s="79">
        <v>28.200000000000003</v>
      </c>
      <c r="T216" s="80">
        <v>75.77</v>
      </c>
    </row>
    <row r="217" spans="2:20" ht="70">
      <c r="B217" s="5" t="s">
        <v>553</v>
      </c>
      <c r="C217" s="45" t="s">
        <v>135</v>
      </c>
      <c r="D217" s="45">
        <v>90820</v>
      </c>
      <c r="E217" s="6" t="s">
        <v>1791</v>
      </c>
      <c r="F217" s="45" t="s">
        <v>210</v>
      </c>
      <c r="G217" s="46">
        <f t="shared" si="29"/>
        <v>19</v>
      </c>
      <c r="H217" s="46">
        <f>TRUNC(S217*(1-LOTE_01!$K$10),2)</f>
        <v>387.84</v>
      </c>
      <c r="I217" s="46">
        <f>TRUNC(T217*(1-LOTE_01!$K$10),2)</f>
        <v>42.32</v>
      </c>
      <c r="J217" s="100">
        <f t="shared" si="30"/>
        <v>0.22470000000000001</v>
      </c>
      <c r="K217" s="48">
        <f t="shared" si="24"/>
        <v>474.98</v>
      </c>
      <c r="L217" s="48">
        <f t="shared" si="25"/>
        <v>51.82</v>
      </c>
      <c r="M217" s="48">
        <f t="shared" si="26"/>
        <v>9024.6200000000008</v>
      </c>
      <c r="N217" s="48">
        <f t="shared" si="27"/>
        <v>984.58</v>
      </c>
      <c r="O217" s="50">
        <f t="shared" si="28"/>
        <v>10009.200000000001</v>
      </c>
      <c r="P217" s="50">
        <v>0</v>
      </c>
      <c r="Q217" s="76"/>
      <c r="R217" s="140">
        <f>IF((1*S9+1*S10)&gt;50,50,(1*S9+1*S10))</f>
        <v>19</v>
      </c>
      <c r="S217" s="79">
        <v>387.84000000000003</v>
      </c>
      <c r="T217" s="80">
        <v>42.32</v>
      </c>
    </row>
    <row r="218" spans="2:20" ht="70">
      <c r="B218" s="5" t="s">
        <v>554</v>
      </c>
      <c r="C218" s="45" t="s">
        <v>135</v>
      </c>
      <c r="D218" s="45">
        <v>90822</v>
      </c>
      <c r="E218" s="6" t="s">
        <v>1792</v>
      </c>
      <c r="F218" s="45" t="s">
        <v>210</v>
      </c>
      <c r="G218" s="46">
        <f t="shared" si="29"/>
        <v>38</v>
      </c>
      <c r="H218" s="46">
        <f>TRUNC(S218*(1-LOTE_01!$K$10),2)</f>
        <v>419.36</v>
      </c>
      <c r="I218" s="46">
        <f>TRUNC(T218*(1-LOTE_01!$K$10),2)</f>
        <v>51.19</v>
      </c>
      <c r="J218" s="100">
        <f t="shared" si="30"/>
        <v>0.22470000000000001</v>
      </c>
      <c r="K218" s="48">
        <f t="shared" si="24"/>
        <v>513.59</v>
      </c>
      <c r="L218" s="48">
        <f t="shared" si="25"/>
        <v>62.69</v>
      </c>
      <c r="M218" s="48">
        <f t="shared" si="26"/>
        <v>19516.419999999998</v>
      </c>
      <c r="N218" s="48">
        <f t="shared" si="27"/>
        <v>2382.2199999999998</v>
      </c>
      <c r="O218" s="50">
        <f t="shared" si="28"/>
        <v>21898.639999999999</v>
      </c>
      <c r="P218" s="50">
        <v>0</v>
      </c>
      <c r="Q218" s="76"/>
      <c r="R218" s="140">
        <f>IF((2*S9+2*S10)&gt;50,50,(2*S9+2*S10))</f>
        <v>38</v>
      </c>
      <c r="S218" s="79">
        <v>419.36</v>
      </c>
      <c r="T218" s="80">
        <v>51.19</v>
      </c>
    </row>
    <row r="219" spans="2:20" ht="70">
      <c r="B219" s="5" t="s">
        <v>555</v>
      </c>
      <c r="C219" s="45" t="s">
        <v>135</v>
      </c>
      <c r="D219" s="45">
        <v>90823</v>
      </c>
      <c r="E219" s="6" t="s">
        <v>1793</v>
      </c>
      <c r="F219" s="45" t="s">
        <v>210</v>
      </c>
      <c r="G219" s="46">
        <f t="shared" si="29"/>
        <v>38</v>
      </c>
      <c r="H219" s="46">
        <f>TRUNC(S219*(1-LOTE_01!$K$10),2)</f>
        <v>517.53</v>
      </c>
      <c r="I219" s="46">
        <f>TRUNC(T219*(1-LOTE_01!$K$10),2)</f>
        <v>55.33</v>
      </c>
      <c r="J219" s="100">
        <f t="shared" si="30"/>
        <v>0.22470000000000001</v>
      </c>
      <c r="K219" s="48">
        <f t="shared" si="24"/>
        <v>633.80999999999995</v>
      </c>
      <c r="L219" s="48">
        <f t="shared" si="25"/>
        <v>67.760000000000005</v>
      </c>
      <c r="M219" s="48">
        <f t="shared" si="26"/>
        <v>24084.78</v>
      </c>
      <c r="N219" s="48">
        <f t="shared" si="27"/>
        <v>2574.88</v>
      </c>
      <c r="O219" s="50">
        <f t="shared" si="28"/>
        <v>26659.66</v>
      </c>
      <c r="P219" s="50">
        <v>0</v>
      </c>
      <c r="Q219" s="76"/>
      <c r="R219" s="140">
        <f>IF((2*S9+2*S10)&gt;50,50,(2*S9+2*S10))</f>
        <v>38</v>
      </c>
      <c r="S219" s="79">
        <v>517.53</v>
      </c>
      <c r="T219" s="80">
        <v>55.33</v>
      </c>
    </row>
    <row r="220" spans="2:20" ht="28">
      <c r="B220" s="5" t="s">
        <v>556</v>
      </c>
      <c r="C220" s="45" t="s">
        <v>165</v>
      </c>
      <c r="D220" s="45" t="s">
        <v>557</v>
      </c>
      <c r="E220" s="6" t="s">
        <v>558</v>
      </c>
      <c r="F220" s="45" t="s">
        <v>559</v>
      </c>
      <c r="G220" s="46">
        <f t="shared" si="29"/>
        <v>38</v>
      </c>
      <c r="H220" s="46">
        <f>TRUNC(S220*(1-LOTE_01!$K$10),2)</f>
        <v>800.43</v>
      </c>
      <c r="I220" s="46">
        <f>TRUNC(T220*(1-LOTE_01!$K$10),2)</f>
        <v>197.25</v>
      </c>
      <c r="J220" s="100">
        <f t="shared" si="30"/>
        <v>0.22470000000000001</v>
      </c>
      <c r="K220" s="48">
        <f t="shared" si="24"/>
        <v>980.28</v>
      </c>
      <c r="L220" s="48">
        <f t="shared" si="25"/>
        <v>241.57</v>
      </c>
      <c r="M220" s="48">
        <f t="shared" si="26"/>
        <v>37250.639999999999</v>
      </c>
      <c r="N220" s="48">
        <f t="shared" si="27"/>
        <v>9179.66</v>
      </c>
      <c r="O220" s="50">
        <f t="shared" si="28"/>
        <v>46430.3</v>
      </c>
      <c r="P220" s="50">
        <v>0</v>
      </c>
      <c r="Q220" s="76"/>
      <c r="R220" s="140">
        <f>IF((2*S9+2*S10)&gt;50,50,(2*S9+2*S10))</f>
        <v>38</v>
      </c>
      <c r="S220" s="79">
        <v>800.43</v>
      </c>
      <c r="T220" s="80">
        <v>197.25</v>
      </c>
    </row>
    <row r="221" spans="2:20" ht="28">
      <c r="B221" s="5" t="s">
        <v>560</v>
      </c>
      <c r="C221" s="45" t="s">
        <v>165</v>
      </c>
      <c r="D221" s="45" t="s">
        <v>561</v>
      </c>
      <c r="E221" s="6" t="s">
        <v>562</v>
      </c>
      <c r="F221" s="45" t="s">
        <v>559</v>
      </c>
      <c r="G221" s="46">
        <f t="shared" si="29"/>
        <v>19</v>
      </c>
      <c r="H221" s="46">
        <f>TRUNC(S221*(1-LOTE_01!$K$10),2)</f>
        <v>1550.82</v>
      </c>
      <c r="I221" s="46">
        <f>TRUNC(T221*(1-LOTE_01!$K$10),2)</f>
        <v>197.25</v>
      </c>
      <c r="J221" s="100">
        <f t="shared" si="30"/>
        <v>0.22470000000000001</v>
      </c>
      <c r="K221" s="48">
        <f t="shared" si="24"/>
        <v>1899.28</v>
      </c>
      <c r="L221" s="48">
        <f t="shared" si="25"/>
        <v>241.57</v>
      </c>
      <c r="M221" s="48">
        <f t="shared" si="26"/>
        <v>36086.32</v>
      </c>
      <c r="N221" s="48">
        <f t="shared" si="27"/>
        <v>4589.83</v>
      </c>
      <c r="O221" s="50">
        <f t="shared" si="28"/>
        <v>40676.15</v>
      </c>
      <c r="P221" s="50">
        <v>0</v>
      </c>
      <c r="Q221" s="76"/>
      <c r="R221" s="140">
        <f>IF((1*S9+1*S10)&gt;20,20,(1*S9+1*S10))</f>
        <v>19</v>
      </c>
      <c r="S221" s="79">
        <v>1550.82</v>
      </c>
      <c r="T221" s="80">
        <v>197.25</v>
      </c>
    </row>
    <row r="222" spans="2:20" ht="98">
      <c r="B222" s="5" t="s">
        <v>563</v>
      </c>
      <c r="C222" s="45" t="s">
        <v>135</v>
      </c>
      <c r="D222" s="45">
        <v>90793</v>
      </c>
      <c r="E222" s="6" t="s">
        <v>1794</v>
      </c>
      <c r="F222" s="45" t="s">
        <v>210</v>
      </c>
      <c r="G222" s="46">
        <f t="shared" si="29"/>
        <v>20</v>
      </c>
      <c r="H222" s="46">
        <f>TRUNC(S222*(1-LOTE_01!$K$10),2)</f>
        <v>1321.52</v>
      </c>
      <c r="I222" s="46">
        <f>TRUNC(T222*(1-LOTE_01!$K$10),2)</f>
        <v>30.14</v>
      </c>
      <c r="J222" s="100">
        <f t="shared" si="30"/>
        <v>0.22470000000000001</v>
      </c>
      <c r="K222" s="48">
        <f t="shared" si="24"/>
        <v>1618.46</v>
      </c>
      <c r="L222" s="48">
        <f t="shared" si="25"/>
        <v>36.909999999999997</v>
      </c>
      <c r="M222" s="48">
        <f t="shared" si="26"/>
        <v>32369.200000000001</v>
      </c>
      <c r="N222" s="48">
        <f t="shared" si="27"/>
        <v>738.2</v>
      </c>
      <c r="O222" s="50">
        <f t="shared" si="28"/>
        <v>33107.4</v>
      </c>
      <c r="P222" s="50">
        <v>0</v>
      </c>
      <c r="Q222" s="76"/>
      <c r="R222" s="140">
        <f>IF((2*S9+2*S10)&gt;20,20,(2*S9+2*S10))</f>
        <v>20</v>
      </c>
      <c r="S222" s="79">
        <v>1321.52</v>
      </c>
      <c r="T222" s="80">
        <v>30.14</v>
      </c>
    </row>
    <row r="223" spans="2:20" ht="56">
      <c r="B223" s="5" t="s">
        <v>564</v>
      </c>
      <c r="C223" s="45" t="s">
        <v>97</v>
      </c>
      <c r="D223" s="45" t="s">
        <v>565</v>
      </c>
      <c r="E223" s="6" t="s">
        <v>566</v>
      </c>
      <c r="F223" s="45" t="s">
        <v>104</v>
      </c>
      <c r="G223" s="46">
        <f t="shared" si="29"/>
        <v>95</v>
      </c>
      <c r="H223" s="46">
        <f>TRUNC(S223*(1-LOTE_01!$K$10),2)</f>
        <v>1699.74</v>
      </c>
      <c r="I223" s="46">
        <f>TRUNC(T223*(1-LOTE_01!$K$10),2)</f>
        <v>56.55</v>
      </c>
      <c r="J223" s="100">
        <f t="shared" si="30"/>
        <v>0.22470000000000001</v>
      </c>
      <c r="K223" s="48">
        <f t="shared" si="24"/>
        <v>2081.67</v>
      </c>
      <c r="L223" s="48">
        <f t="shared" si="25"/>
        <v>69.25</v>
      </c>
      <c r="M223" s="48">
        <f t="shared" si="26"/>
        <v>197758.65</v>
      </c>
      <c r="N223" s="48">
        <f t="shared" si="27"/>
        <v>6578.75</v>
      </c>
      <c r="O223" s="50">
        <f t="shared" si="28"/>
        <v>204337.4</v>
      </c>
      <c r="P223" s="50">
        <v>0</v>
      </c>
      <c r="Q223" s="76"/>
      <c r="R223" s="140">
        <f>5*(S9+S10)</f>
        <v>95</v>
      </c>
      <c r="S223" s="79">
        <v>1699.74</v>
      </c>
      <c r="T223" s="80">
        <v>56.55</v>
      </c>
    </row>
    <row r="224" spans="2:20" ht="28">
      <c r="B224" s="5" t="s">
        <v>567</v>
      </c>
      <c r="C224" s="45" t="s">
        <v>97</v>
      </c>
      <c r="D224" s="45" t="s">
        <v>568</v>
      </c>
      <c r="E224" s="6" t="s">
        <v>569</v>
      </c>
      <c r="F224" s="45" t="s">
        <v>104</v>
      </c>
      <c r="G224" s="46">
        <f t="shared" si="29"/>
        <v>38</v>
      </c>
      <c r="H224" s="46">
        <f>TRUNC(S224*(1-LOTE_01!$K$10),2)</f>
        <v>290.45999999999998</v>
      </c>
      <c r="I224" s="46">
        <f>TRUNC(T224*(1-LOTE_01!$K$10),2)</f>
        <v>16.440000000000001</v>
      </c>
      <c r="J224" s="100">
        <f t="shared" si="30"/>
        <v>0.22470000000000001</v>
      </c>
      <c r="K224" s="48">
        <f t="shared" si="24"/>
        <v>355.72</v>
      </c>
      <c r="L224" s="48">
        <f t="shared" si="25"/>
        <v>20.13</v>
      </c>
      <c r="M224" s="48">
        <f t="shared" si="26"/>
        <v>13517.36</v>
      </c>
      <c r="N224" s="48">
        <f t="shared" si="27"/>
        <v>764.94</v>
      </c>
      <c r="O224" s="50">
        <f t="shared" si="28"/>
        <v>14282.3</v>
      </c>
      <c r="P224" s="50">
        <v>0</v>
      </c>
      <c r="Q224" s="76"/>
      <c r="R224" s="140">
        <f>IF((2*S9+2*S10)&gt;50,50,(2*S9+2*S10))</f>
        <v>38</v>
      </c>
      <c r="S224" s="79">
        <v>290.45999999999998</v>
      </c>
      <c r="T224" s="80">
        <v>16.440000000000001</v>
      </c>
    </row>
    <row r="225" spans="2:20" ht="42">
      <c r="B225" s="5" t="s">
        <v>570</v>
      </c>
      <c r="C225" s="45" t="s">
        <v>135</v>
      </c>
      <c r="D225" s="45">
        <v>100701</v>
      </c>
      <c r="E225" s="6" t="s">
        <v>1795</v>
      </c>
      <c r="F225" s="45" t="s">
        <v>121</v>
      </c>
      <c r="G225" s="46">
        <f t="shared" si="29"/>
        <v>99</v>
      </c>
      <c r="H225" s="46">
        <f>TRUNC(S225*(1-LOTE_01!$K$10),2)</f>
        <v>675.05</v>
      </c>
      <c r="I225" s="46">
        <f>TRUNC(T225*(1-LOTE_01!$K$10),2)</f>
        <v>17.09</v>
      </c>
      <c r="J225" s="100">
        <f t="shared" si="30"/>
        <v>0.22470000000000001</v>
      </c>
      <c r="K225" s="48">
        <f t="shared" si="24"/>
        <v>826.73</v>
      </c>
      <c r="L225" s="48">
        <f t="shared" si="25"/>
        <v>20.93</v>
      </c>
      <c r="M225" s="48">
        <f t="shared" si="26"/>
        <v>81846.27</v>
      </c>
      <c r="N225" s="48">
        <f t="shared" si="27"/>
        <v>2072.0700000000002</v>
      </c>
      <c r="O225" s="50">
        <f t="shared" si="28"/>
        <v>83918.34</v>
      </c>
      <c r="P225" s="50">
        <v>0</v>
      </c>
      <c r="Q225" s="76"/>
      <c r="R225" s="140">
        <f>IF((5*S9+7*S10)&gt;100,100,(5*S9+7*S10))</f>
        <v>99</v>
      </c>
      <c r="S225" s="79">
        <v>675.05</v>
      </c>
      <c r="T225" s="80">
        <v>17.09</v>
      </c>
    </row>
    <row r="226" spans="2:20" ht="42">
      <c r="B226" s="5" t="s">
        <v>571</v>
      </c>
      <c r="C226" s="45" t="s">
        <v>135</v>
      </c>
      <c r="D226" s="45">
        <v>90838</v>
      </c>
      <c r="E226" s="6" t="s">
        <v>1796</v>
      </c>
      <c r="F226" s="45" t="s">
        <v>210</v>
      </c>
      <c r="G226" s="46">
        <f t="shared" si="29"/>
        <v>10</v>
      </c>
      <c r="H226" s="46">
        <f>TRUNC(S226*(1-LOTE_01!$K$10),2)</f>
        <v>1580.11</v>
      </c>
      <c r="I226" s="46">
        <f>TRUNC(T226*(1-LOTE_01!$K$10),2)</f>
        <v>117.29</v>
      </c>
      <c r="J226" s="100">
        <f t="shared" si="30"/>
        <v>0.22470000000000001</v>
      </c>
      <c r="K226" s="48">
        <f t="shared" si="24"/>
        <v>1935.16</v>
      </c>
      <c r="L226" s="48">
        <f t="shared" si="25"/>
        <v>143.63999999999999</v>
      </c>
      <c r="M226" s="48">
        <f t="shared" si="26"/>
        <v>19351.599999999999</v>
      </c>
      <c r="N226" s="48">
        <f t="shared" si="27"/>
        <v>1436.4</v>
      </c>
      <c r="O226" s="50">
        <f t="shared" si="28"/>
        <v>20788</v>
      </c>
      <c r="P226" s="50">
        <v>0</v>
      </c>
      <c r="Q226" s="76"/>
      <c r="R226" s="140">
        <f>IF((1*S9+1*S10)&gt;10,10,(1*S9+1*S10))</f>
        <v>10</v>
      </c>
      <c r="S226" s="79">
        <v>1580.1100000000001</v>
      </c>
      <c r="T226" s="80">
        <v>117.29</v>
      </c>
    </row>
    <row r="227" spans="2:20" ht="56">
      <c r="B227" s="5" t="s">
        <v>572</v>
      </c>
      <c r="C227" s="45" t="s">
        <v>135</v>
      </c>
      <c r="D227" s="45">
        <v>91341</v>
      </c>
      <c r="E227" s="6" t="s">
        <v>1797</v>
      </c>
      <c r="F227" s="45" t="s">
        <v>121</v>
      </c>
      <c r="G227" s="46">
        <f t="shared" si="29"/>
        <v>20</v>
      </c>
      <c r="H227" s="46">
        <f>TRUNC(S227*(1-LOTE_01!$K$10),2)</f>
        <v>1221.68</v>
      </c>
      <c r="I227" s="46">
        <f>TRUNC(T227*(1-LOTE_01!$K$10),2)</f>
        <v>14.21</v>
      </c>
      <c r="J227" s="100">
        <f t="shared" si="30"/>
        <v>0.22470000000000001</v>
      </c>
      <c r="K227" s="48">
        <f t="shared" si="24"/>
        <v>1496.19</v>
      </c>
      <c r="L227" s="48">
        <f t="shared" si="25"/>
        <v>17.399999999999999</v>
      </c>
      <c r="M227" s="48">
        <f t="shared" si="26"/>
        <v>29923.8</v>
      </c>
      <c r="N227" s="48">
        <f t="shared" si="27"/>
        <v>348</v>
      </c>
      <c r="O227" s="50">
        <f t="shared" si="28"/>
        <v>30271.8</v>
      </c>
      <c r="P227" s="50">
        <v>0</v>
      </c>
      <c r="Q227" s="76"/>
      <c r="R227" s="140">
        <f>IF((1*S9+2*S10)&gt;20,20,(1*S9+2*S10))</f>
        <v>20</v>
      </c>
      <c r="S227" s="79">
        <v>1221.68</v>
      </c>
      <c r="T227" s="80">
        <v>14.21</v>
      </c>
    </row>
    <row r="228" spans="2:20" ht="56">
      <c r="B228" s="5" t="s">
        <v>573</v>
      </c>
      <c r="C228" s="45" t="s">
        <v>135</v>
      </c>
      <c r="D228" s="45">
        <v>100702</v>
      </c>
      <c r="E228" s="6" t="s">
        <v>1798</v>
      </c>
      <c r="F228" s="45" t="s">
        <v>121</v>
      </c>
      <c r="G228" s="46">
        <f t="shared" si="29"/>
        <v>50</v>
      </c>
      <c r="H228" s="46">
        <f>TRUNC(S228*(1-LOTE_01!$K$10),2)</f>
        <v>770.9</v>
      </c>
      <c r="I228" s="46">
        <f>TRUNC(T228*(1-LOTE_01!$K$10),2)</f>
        <v>9.99</v>
      </c>
      <c r="J228" s="100">
        <f t="shared" si="30"/>
        <v>0.22470000000000001</v>
      </c>
      <c r="K228" s="48">
        <f t="shared" si="24"/>
        <v>944.12</v>
      </c>
      <c r="L228" s="48">
        <f t="shared" si="25"/>
        <v>12.23</v>
      </c>
      <c r="M228" s="48">
        <f t="shared" si="26"/>
        <v>47206</v>
      </c>
      <c r="N228" s="48">
        <f t="shared" si="27"/>
        <v>611.5</v>
      </c>
      <c r="O228" s="50">
        <f t="shared" si="28"/>
        <v>47817.5</v>
      </c>
      <c r="P228" s="50">
        <v>0</v>
      </c>
      <c r="Q228" s="76"/>
      <c r="R228" s="140">
        <f>IF((10*S9+10*S10)&gt;50,50,(10*S9+10*S10))</f>
        <v>50</v>
      </c>
      <c r="S228" s="79">
        <v>770.9</v>
      </c>
      <c r="T228" s="80">
        <v>9.99</v>
      </c>
    </row>
    <row r="229" spans="2:20" ht="112">
      <c r="B229" s="5" t="s">
        <v>574</v>
      </c>
      <c r="C229" s="45" t="s">
        <v>135</v>
      </c>
      <c r="D229" s="45">
        <v>94569</v>
      </c>
      <c r="E229" s="6" t="s">
        <v>575</v>
      </c>
      <c r="F229" s="45" t="s">
        <v>121</v>
      </c>
      <c r="G229" s="46">
        <f t="shared" si="29"/>
        <v>50</v>
      </c>
      <c r="H229" s="46">
        <f>TRUNC(S229*(1-LOTE_01!$K$10),2)</f>
        <v>1687.94</v>
      </c>
      <c r="I229" s="46">
        <f>TRUNC(T229*(1-LOTE_01!$K$10),2)</f>
        <v>43.1</v>
      </c>
      <c r="J229" s="100">
        <f t="shared" si="30"/>
        <v>0.22470000000000001</v>
      </c>
      <c r="K229" s="48">
        <f t="shared" si="24"/>
        <v>2067.2199999999998</v>
      </c>
      <c r="L229" s="48">
        <f t="shared" si="25"/>
        <v>52.78</v>
      </c>
      <c r="M229" s="48">
        <f t="shared" si="26"/>
        <v>103361</v>
      </c>
      <c r="N229" s="48">
        <f t="shared" si="27"/>
        <v>2639</v>
      </c>
      <c r="O229" s="50">
        <f t="shared" si="28"/>
        <v>106000</v>
      </c>
      <c r="P229" s="50">
        <v>0</v>
      </c>
      <c r="Q229" s="76"/>
      <c r="R229" s="140">
        <f>IF((5*S9+5*S10)&gt;50,50,(5*S9+5*S10))</f>
        <v>50</v>
      </c>
      <c r="S229" s="79">
        <v>1687.94</v>
      </c>
      <c r="T229" s="80">
        <v>43.1</v>
      </c>
    </row>
    <row r="230" spans="2:20" ht="140">
      <c r="B230" s="5" t="s">
        <v>576</v>
      </c>
      <c r="C230" s="45" t="s">
        <v>135</v>
      </c>
      <c r="D230" s="45">
        <v>94570</v>
      </c>
      <c r="E230" s="6" t="s">
        <v>577</v>
      </c>
      <c r="F230" s="45" t="s">
        <v>121</v>
      </c>
      <c r="G230" s="46">
        <f t="shared" si="29"/>
        <v>50</v>
      </c>
      <c r="H230" s="46">
        <f>TRUNC(S230*(1-LOTE_01!$K$10),2)</f>
        <v>916.47</v>
      </c>
      <c r="I230" s="46">
        <f>TRUNC(T230*(1-LOTE_01!$K$10),2)</f>
        <v>13.38</v>
      </c>
      <c r="J230" s="100">
        <f t="shared" si="30"/>
        <v>0.22470000000000001</v>
      </c>
      <c r="K230" s="48">
        <f t="shared" si="24"/>
        <v>1122.4000000000001</v>
      </c>
      <c r="L230" s="48">
        <f t="shared" si="25"/>
        <v>16.38</v>
      </c>
      <c r="M230" s="48">
        <f t="shared" si="26"/>
        <v>56120</v>
      </c>
      <c r="N230" s="48">
        <f t="shared" si="27"/>
        <v>819</v>
      </c>
      <c r="O230" s="50">
        <f t="shared" si="28"/>
        <v>56939</v>
      </c>
      <c r="P230" s="50">
        <v>0</v>
      </c>
      <c r="Q230" s="76"/>
      <c r="R230" s="140">
        <f>IF((5*S9+5*S10)&gt;50,50,(5*S9+5*S10))</f>
        <v>50</v>
      </c>
      <c r="S230" s="79">
        <v>916.47</v>
      </c>
      <c r="T230" s="80">
        <v>13.38</v>
      </c>
    </row>
    <row r="231" spans="2:20" ht="98">
      <c r="B231" s="5" t="s">
        <v>578</v>
      </c>
      <c r="C231" s="45" t="s">
        <v>135</v>
      </c>
      <c r="D231" s="45">
        <v>100674</v>
      </c>
      <c r="E231" s="6" t="s">
        <v>579</v>
      </c>
      <c r="F231" s="45" t="s">
        <v>121</v>
      </c>
      <c r="G231" s="46">
        <f t="shared" si="29"/>
        <v>50</v>
      </c>
      <c r="H231" s="46">
        <f>TRUNC(S231*(1-LOTE_01!$K$10),2)</f>
        <v>1996.69</v>
      </c>
      <c r="I231" s="46">
        <f>TRUNC(T231*(1-LOTE_01!$K$10),2)</f>
        <v>31.84</v>
      </c>
      <c r="J231" s="100">
        <f t="shared" si="30"/>
        <v>0.22470000000000001</v>
      </c>
      <c r="K231" s="48">
        <f t="shared" si="24"/>
        <v>2445.34</v>
      </c>
      <c r="L231" s="48">
        <f t="shared" si="25"/>
        <v>38.99</v>
      </c>
      <c r="M231" s="48">
        <f t="shared" si="26"/>
        <v>122267</v>
      </c>
      <c r="N231" s="48">
        <f t="shared" si="27"/>
        <v>1949.5</v>
      </c>
      <c r="O231" s="50">
        <f t="shared" si="28"/>
        <v>124216.5</v>
      </c>
      <c r="P231" s="50">
        <v>0</v>
      </c>
      <c r="Q231" s="76"/>
      <c r="R231" s="140">
        <f>IF((5*S9+5*S10)&gt;50,50,(5*S9+5*S10))</f>
        <v>50</v>
      </c>
      <c r="S231" s="79">
        <v>1996.69</v>
      </c>
      <c r="T231" s="80">
        <v>31.84</v>
      </c>
    </row>
    <row r="232" spans="2:20" ht="140">
      <c r="B232" s="5" t="s">
        <v>580</v>
      </c>
      <c r="C232" s="45" t="s">
        <v>135</v>
      </c>
      <c r="D232" s="45">
        <v>94573</v>
      </c>
      <c r="E232" s="6" t="s">
        <v>581</v>
      </c>
      <c r="F232" s="45" t="s">
        <v>121</v>
      </c>
      <c r="G232" s="46">
        <f t="shared" si="29"/>
        <v>50</v>
      </c>
      <c r="H232" s="46">
        <f>TRUNC(S232*(1-LOTE_01!$K$10),2)</f>
        <v>1030.71</v>
      </c>
      <c r="I232" s="46">
        <f>TRUNC(T232*(1-LOTE_01!$K$10),2)</f>
        <v>13.36</v>
      </c>
      <c r="J232" s="100">
        <f t="shared" si="30"/>
        <v>0.22470000000000001</v>
      </c>
      <c r="K232" s="48">
        <f t="shared" si="24"/>
        <v>1262.31</v>
      </c>
      <c r="L232" s="48">
        <f t="shared" si="25"/>
        <v>16.36</v>
      </c>
      <c r="M232" s="48">
        <f t="shared" si="26"/>
        <v>63115.5</v>
      </c>
      <c r="N232" s="48">
        <f t="shared" si="27"/>
        <v>818</v>
      </c>
      <c r="O232" s="50">
        <f t="shared" si="28"/>
        <v>63933.5</v>
      </c>
      <c r="P232" s="50">
        <v>0</v>
      </c>
      <c r="Q232" s="76"/>
      <c r="R232" s="140">
        <f>IF((5*S9+5*S10)&gt;50,50,(5*S9+5*S10))</f>
        <v>50</v>
      </c>
      <c r="S232" s="79">
        <v>1030.71</v>
      </c>
      <c r="T232" s="80">
        <v>13.36</v>
      </c>
    </row>
    <row r="233" spans="2:20" ht="28">
      <c r="B233" s="5" t="s">
        <v>582</v>
      </c>
      <c r="C233" s="45" t="s">
        <v>165</v>
      </c>
      <c r="D233" s="45" t="s">
        <v>583</v>
      </c>
      <c r="E233" s="6" t="s">
        <v>584</v>
      </c>
      <c r="F233" s="45" t="s">
        <v>168</v>
      </c>
      <c r="G233" s="46">
        <f t="shared" si="29"/>
        <v>100</v>
      </c>
      <c r="H233" s="46">
        <f>TRUNC(S233*(1-LOTE_01!$K$10),2)</f>
        <v>411.16</v>
      </c>
      <c r="I233" s="46">
        <f>TRUNC(T233*(1-LOTE_01!$K$10),2)</f>
        <v>111.38</v>
      </c>
      <c r="J233" s="100">
        <f t="shared" si="30"/>
        <v>0.22470000000000001</v>
      </c>
      <c r="K233" s="48">
        <f t="shared" si="24"/>
        <v>503.54</v>
      </c>
      <c r="L233" s="48">
        <f t="shared" si="25"/>
        <v>136.4</v>
      </c>
      <c r="M233" s="48">
        <f t="shared" si="26"/>
        <v>50354</v>
      </c>
      <c r="N233" s="48">
        <f t="shared" si="27"/>
        <v>13640</v>
      </c>
      <c r="O233" s="50">
        <f t="shared" si="28"/>
        <v>63994</v>
      </c>
      <c r="P233" s="50">
        <v>0</v>
      </c>
      <c r="Q233" s="76"/>
      <c r="R233" s="140">
        <f>IF((20*S9+20*S10)&gt;100,100,(20*S9+20*S10))</f>
        <v>100</v>
      </c>
      <c r="S233" s="79">
        <v>411.16</v>
      </c>
      <c r="T233" s="80">
        <v>111.38</v>
      </c>
    </row>
    <row r="234" spans="2:20" ht="42">
      <c r="B234" s="5" t="s">
        <v>585</v>
      </c>
      <c r="C234" s="45" t="s">
        <v>135</v>
      </c>
      <c r="D234" s="45">
        <v>99861</v>
      </c>
      <c r="E234" s="6" t="s">
        <v>1799</v>
      </c>
      <c r="F234" s="45" t="s">
        <v>121</v>
      </c>
      <c r="G234" s="46">
        <f t="shared" si="29"/>
        <v>100</v>
      </c>
      <c r="H234" s="46">
        <f>TRUNC(S234*(1-LOTE_01!$K$10),2)</f>
        <v>313.67</v>
      </c>
      <c r="I234" s="46">
        <f>TRUNC(T234*(1-LOTE_01!$K$10),2)</f>
        <v>237.87</v>
      </c>
      <c r="J234" s="100">
        <f t="shared" si="30"/>
        <v>0.22470000000000001</v>
      </c>
      <c r="K234" s="48">
        <f t="shared" si="24"/>
        <v>384.15</v>
      </c>
      <c r="L234" s="48">
        <f t="shared" si="25"/>
        <v>291.31</v>
      </c>
      <c r="M234" s="48">
        <f t="shared" si="26"/>
        <v>38415</v>
      </c>
      <c r="N234" s="48">
        <f t="shared" si="27"/>
        <v>29131</v>
      </c>
      <c r="O234" s="50">
        <f t="shared" si="28"/>
        <v>67546</v>
      </c>
      <c r="P234" s="50">
        <v>0</v>
      </c>
      <c r="Q234" s="76"/>
      <c r="R234" s="140">
        <f>IF((20*S9+20*S10)&gt;100,100,(20*S9+20*S10))</f>
        <v>100</v>
      </c>
      <c r="S234" s="79">
        <v>313.66999999999996</v>
      </c>
      <c r="T234" s="80">
        <v>237.87</v>
      </c>
    </row>
    <row r="235" spans="2:20" ht="28">
      <c r="B235" s="5" t="s">
        <v>586</v>
      </c>
      <c r="C235" s="45" t="s">
        <v>97</v>
      </c>
      <c r="D235" s="45" t="s">
        <v>587</v>
      </c>
      <c r="E235" s="6" t="s">
        <v>588</v>
      </c>
      <c r="F235" s="45" t="s">
        <v>187</v>
      </c>
      <c r="G235" s="46">
        <f t="shared" si="29"/>
        <v>100</v>
      </c>
      <c r="H235" s="46">
        <f>TRUNC(S235*(1-LOTE_01!$K$10),2)</f>
        <v>404.7</v>
      </c>
      <c r="I235" s="46">
        <f>TRUNC(T235*(1-LOTE_01!$K$10),2)</f>
        <v>56.05</v>
      </c>
      <c r="J235" s="100">
        <f t="shared" si="30"/>
        <v>0.22470000000000001</v>
      </c>
      <c r="K235" s="48">
        <f t="shared" si="24"/>
        <v>495.63</v>
      </c>
      <c r="L235" s="48">
        <f t="shared" si="25"/>
        <v>68.64</v>
      </c>
      <c r="M235" s="48">
        <f t="shared" si="26"/>
        <v>49563</v>
      </c>
      <c r="N235" s="48">
        <f t="shared" si="27"/>
        <v>6864</v>
      </c>
      <c r="O235" s="50">
        <f t="shared" si="28"/>
        <v>56427</v>
      </c>
      <c r="P235" s="50">
        <v>0</v>
      </c>
      <c r="Q235" s="76"/>
      <c r="R235" s="140">
        <f>IF((10*S10+10*S9)&gt;100,100,(10*S10+10*S9))</f>
        <v>100</v>
      </c>
      <c r="S235" s="79">
        <v>404.7</v>
      </c>
      <c r="T235" s="80">
        <v>56.05</v>
      </c>
    </row>
    <row r="236" spans="2:20" ht="28">
      <c r="B236" s="5" t="s">
        <v>589</v>
      </c>
      <c r="C236" s="45" t="s">
        <v>165</v>
      </c>
      <c r="D236" s="45" t="s">
        <v>590</v>
      </c>
      <c r="E236" s="6" t="s">
        <v>591</v>
      </c>
      <c r="F236" s="45" t="s">
        <v>559</v>
      </c>
      <c r="G236" s="46">
        <f t="shared" si="29"/>
        <v>10</v>
      </c>
      <c r="H236" s="46">
        <f>TRUNC(S236*(1-LOTE_01!$K$10),2)</f>
        <v>1050.4100000000001</v>
      </c>
      <c r="I236" s="46">
        <f>TRUNC(T236*(1-LOTE_01!$K$10),2)</f>
        <v>22.28</v>
      </c>
      <c r="J236" s="100">
        <f t="shared" si="30"/>
        <v>0.22470000000000001</v>
      </c>
      <c r="K236" s="48">
        <f t="shared" si="24"/>
        <v>1286.43</v>
      </c>
      <c r="L236" s="48">
        <f t="shared" si="25"/>
        <v>27.28</v>
      </c>
      <c r="M236" s="48">
        <f t="shared" si="26"/>
        <v>12864.3</v>
      </c>
      <c r="N236" s="48">
        <f t="shared" si="27"/>
        <v>272.8</v>
      </c>
      <c r="O236" s="50">
        <f t="shared" si="28"/>
        <v>13137.1</v>
      </c>
      <c r="P236" s="50">
        <v>0</v>
      </c>
      <c r="Q236" s="76"/>
      <c r="R236" s="140">
        <f>IF((1*S9+1*S10)&gt;10,10,(1*S9+1*S10))</f>
        <v>10</v>
      </c>
      <c r="S236" s="79">
        <v>1050.4100000000001</v>
      </c>
      <c r="T236" s="80">
        <v>22.28</v>
      </c>
    </row>
    <row r="237" spans="2:20" ht="42">
      <c r="B237" s="5" t="s">
        <v>592</v>
      </c>
      <c r="C237" s="45" t="s">
        <v>97</v>
      </c>
      <c r="D237" s="45" t="s">
        <v>593</v>
      </c>
      <c r="E237" s="6" t="s">
        <v>594</v>
      </c>
      <c r="F237" s="45" t="s">
        <v>187</v>
      </c>
      <c r="G237" s="46">
        <f t="shared" si="29"/>
        <v>1500</v>
      </c>
      <c r="H237" s="46">
        <f>TRUNC(S237*(1-LOTE_01!$K$10),2)</f>
        <v>100.75</v>
      </c>
      <c r="I237" s="46">
        <f>TRUNC(T237*(1-LOTE_01!$K$10),2)</f>
        <v>105.84</v>
      </c>
      <c r="J237" s="100">
        <f t="shared" si="30"/>
        <v>0.22470000000000001</v>
      </c>
      <c r="K237" s="48">
        <f t="shared" si="24"/>
        <v>123.38</v>
      </c>
      <c r="L237" s="48">
        <f t="shared" si="25"/>
        <v>129.62</v>
      </c>
      <c r="M237" s="48">
        <f t="shared" si="26"/>
        <v>185070</v>
      </c>
      <c r="N237" s="48">
        <f t="shared" si="27"/>
        <v>194430</v>
      </c>
      <c r="O237" s="50">
        <f t="shared" si="28"/>
        <v>379500</v>
      </c>
      <c r="P237" s="50">
        <v>0</v>
      </c>
      <c r="Q237" s="76"/>
      <c r="R237" s="140">
        <f>IF((100*S9+100*S10)&gt;1500,1500,(100*S9+100*S10))</f>
        <v>1500</v>
      </c>
      <c r="S237" s="79">
        <v>100.75</v>
      </c>
      <c r="T237" s="80">
        <v>105.84</v>
      </c>
    </row>
    <row r="238" spans="2:20" ht="28">
      <c r="B238" s="5" t="s">
        <v>595</v>
      </c>
      <c r="C238" s="45" t="s">
        <v>165</v>
      </c>
      <c r="D238" s="45" t="s">
        <v>596</v>
      </c>
      <c r="E238" s="6" t="s">
        <v>597</v>
      </c>
      <c r="F238" s="45" t="s">
        <v>531</v>
      </c>
      <c r="G238" s="46">
        <f t="shared" si="29"/>
        <v>10</v>
      </c>
      <c r="H238" s="46">
        <f>TRUNC(S238*(1-LOTE_01!$K$10),2)</f>
        <v>134.72999999999999</v>
      </c>
      <c r="I238" s="46">
        <f>TRUNC(T238*(1-LOTE_01!$K$10),2)</f>
        <v>37.130000000000003</v>
      </c>
      <c r="J238" s="100">
        <f t="shared" si="30"/>
        <v>0.22470000000000001</v>
      </c>
      <c r="K238" s="48">
        <f t="shared" si="24"/>
        <v>165</v>
      </c>
      <c r="L238" s="48">
        <f t="shared" si="25"/>
        <v>45.47</v>
      </c>
      <c r="M238" s="48">
        <f t="shared" si="26"/>
        <v>1650</v>
      </c>
      <c r="N238" s="48">
        <f t="shared" si="27"/>
        <v>454.7</v>
      </c>
      <c r="O238" s="50">
        <f t="shared" si="28"/>
        <v>2104.6999999999998</v>
      </c>
      <c r="P238" s="50">
        <v>0</v>
      </c>
      <c r="Q238" s="76"/>
      <c r="R238" s="140">
        <f>IF((1*S9+1*S10)&gt;10,10,(1*S9+1*S10))</f>
        <v>10</v>
      </c>
      <c r="S238" s="79">
        <v>134.72999999999999</v>
      </c>
      <c r="T238" s="80">
        <v>37.130000000000003</v>
      </c>
    </row>
    <row r="239" spans="2:20" ht="28">
      <c r="B239" s="5" t="s">
        <v>598</v>
      </c>
      <c r="C239" s="45" t="s">
        <v>165</v>
      </c>
      <c r="D239" s="45" t="s">
        <v>599</v>
      </c>
      <c r="E239" s="6" t="s">
        <v>600</v>
      </c>
      <c r="F239" s="45" t="s">
        <v>559</v>
      </c>
      <c r="G239" s="46">
        <f t="shared" si="29"/>
        <v>10</v>
      </c>
      <c r="H239" s="46">
        <f>TRUNC(S239*(1-LOTE_01!$K$10),2)</f>
        <v>39.39</v>
      </c>
      <c r="I239" s="46">
        <f>TRUNC(T239*(1-LOTE_01!$K$10),2)</f>
        <v>2.3199999999999998</v>
      </c>
      <c r="J239" s="100">
        <f t="shared" si="30"/>
        <v>0.22470000000000001</v>
      </c>
      <c r="K239" s="48">
        <f t="shared" si="24"/>
        <v>48.24</v>
      </c>
      <c r="L239" s="48">
        <f t="shared" si="25"/>
        <v>2.84</v>
      </c>
      <c r="M239" s="48">
        <f t="shared" si="26"/>
        <v>482.4</v>
      </c>
      <c r="N239" s="48">
        <f t="shared" si="27"/>
        <v>28.4</v>
      </c>
      <c r="O239" s="50">
        <f t="shared" si="28"/>
        <v>510.8</v>
      </c>
      <c r="P239" s="50">
        <v>0</v>
      </c>
      <c r="Q239" s="76"/>
      <c r="R239" s="140">
        <f>IF((1*S9+1*S10)&gt;10,10,(1*S9+1*S10))</f>
        <v>10</v>
      </c>
      <c r="S239" s="79">
        <v>39.39</v>
      </c>
      <c r="T239" s="80">
        <v>2.3199999999999998</v>
      </c>
    </row>
    <row r="240" spans="2:20" ht="28">
      <c r="B240" s="5" t="s">
        <v>601</v>
      </c>
      <c r="C240" s="45" t="s">
        <v>97</v>
      </c>
      <c r="D240" s="45" t="s">
        <v>602</v>
      </c>
      <c r="E240" s="6" t="s">
        <v>603</v>
      </c>
      <c r="F240" s="45" t="s">
        <v>121</v>
      </c>
      <c r="G240" s="46">
        <f t="shared" si="29"/>
        <v>50</v>
      </c>
      <c r="H240" s="46">
        <f>TRUNC(S240*(1-LOTE_01!$K$10),2)</f>
        <v>356.13</v>
      </c>
      <c r="I240" s="46">
        <f>TRUNC(T240*(1-LOTE_01!$K$10),2)</f>
        <v>403.34</v>
      </c>
      <c r="J240" s="100">
        <f t="shared" si="30"/>
        <v>0.22470000000000001</v>
      </c>
      <c r="K240" s="48">
        <f t="shared" si="24"/>
        <v>436.15</v>
      </c>
      <c r="L240" s="48">
        <f t="shared" si="25"/>
        <v>493.97</v>
      </c>
      <c r="M240" s="48">
        <f t="shared" si="26"/>
        <v>21807.5</v>
      </c>
      <c r="N240" s="48">
        <f t="shared" si="27"/>
        <v>24698.5</v>
      </c>
      <c r="O240" s="50">
        <f t="shared" si="28"/>
        <v>46506</v>
      </c>
      <c r="P240" s="50">
        <v>0</v>
      </c>
      <c r="Q240" s="76"/>
      <c r="R240" s="140">
        <f>IF((5*S9+5*S10)&gt;50,50,(5*S9+5*S10))</f>
        <v>50</v>
      </c>
      <c r="S240" s="79">
        <v>356.13</v>
      </c>
      <c r="T240" s="80">
        <v>403.34</v>
      </c>
    </row>
    <row r="241" spans="2:20" ht="28">
      <c r="B241" s="5" t="s">
        <v>604</v>
      </c>
      <c r="C241" s="45" t="s">
        <v>97</v>
      </c>
      <c r="D241" s="45" t="s">
        <v>605</v>
      </c>
      <c r="E241" s="6" t="s">
        <v>606</v>
      </c>
      <c r="F241" s="45" t="s">
        <v>187</v>
      </c>
      <c r="G241" s="46">
        <f t="shared" si="29"/>
        <v>500</v>
      </c>
      <c r="H241" s="46">
        <f>TRUNC(S241*(1-LOTE_01!$K$10),2)</f>
        <v>46.39</v>
      </c>
      <c r="I241" s="46">
        <f>TRUNC(T241*(1-LOTE_01!$K$10),2)</f>
        <v>21.29</v>
      </c>
      <c r="J241" s="100">
        <f t="shared" si="30"/>
        <v>0.22470000000000001</v>
      </c>
      <c r="K241" s="48">
        <f t="shared" si="24"/>
        <v>56.81</v>
      </c>
      <c r="L241" s="48">
        <f t="shared" si="25"/>
        <v>26.07</v>
      </c>
      <c r="M241" s="48">
        <f t="shared" si="26"/>
        <v>28405</v>
      </c>
      <c r="N241" s="48">
        <f t="shared" si="27"/>
        <v>13035</v>
      </c>
      <c r="O241" s="50">
        <f t="shared" si="28"/>
        <v>41440</v>
      </c>
      <c r="P241" s="50">
        <v>0</v>
      </c>
      <c r="Q241" s="76"/>
      <c r="R241" s="140">
        <f>IF((100*S10+100*S9)&gt;500,500,(100*S10+100*S9))</f>
        <v>500</v>
      </c>
      <c r="S241" s="79">
        <v>46.39</v>
      </c>
      <c r="T241" s="80">
        <v>21.29</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66314.759999999995</v>
      </c>
      <c r="Q242" s="76"/>
      <c r="R242" s="154"/>
      <c r="S242" s="79" t="s">
        <v>22</v>
      </c>
      <c r="T242" s="80" t="s">
        <v>22</v>
      </c>
    </row>
    <row r="243" spans="2:20" ht="28">
      <c r="B243" s="5" t="s">
        <v>607</v>
      </c>
      <c r="C243" s="45" t="s">
        <v>135</v>
      </c>
      <c r="D243" s="45">
        <v>102188</v>
      </c>
      <c r="E243" s="6" t="s">
        <v>1800</v>
      </c>
      <c r="F243" s="45" t="s">
        <v>210</v>
      </c>
      <c r="G243" s="46">
        <f t="shared" si="29"/>
        <v>10</v>
      </c>
      <c r="H243" s="46">
        <f>TRUNC(S243*(1-LOTE_01!$K$10),2)</f>
        <v>810.73</v>
      </c>
      <c r="I243" s="46">
        <f>TRUNC(T243*(1-LOTE_01!$K$10),2)</f>
        <v>70.209999999999994</v>
      </c>
      <c r="J243" s="100">
        <f t="shared" si="30"/>
        <v>0.22470000000000001</v>
      </c>
      <c r="K243" s="48">
        <f t="shared" si="24"/>
        <v>992.9</v>
      </c>
      <c r="L243" s="48">
        <f t="shared" si="25"/>
        <v>85.98</v>
      </c>
      <c r="M243" s="48">
        <f t="shared" si="26"/>
        <v>9929</v>
      </c>
      <c r="N243" s="48">
        <f t="shared" si="27"/>
        <v>859.8</v>
      </c>
      <c r="O243" s="50">
        <f t="shared" si="28"/>
        <v>10788.8</v>
      </c>
      <c r="P243" s="50">
        <v>0</v>
      </c>
      <c r="Q243" s="76"/>
      <c r="R243" s="140">
        <f>IF((1*S9+1*S10)&gt;10,10,(1*S9+1*S10))</f>
        <v>10</v>
      </c>
      <c r="S243" s="79">
        <v>810.73</v>
      </c>
      <c r="T243" s="80">
        <v>70.209999999999994</v>
      </c>
    </row>
    <row r="244" spans="2:20" ht="98">
      <c r="B244" s="5" t="s">
        <v>608</v>
      </c>
      <c r="C244" s="45" t="s">
        <v>135</v>
      </c>
      <c r="D244" s="45">
        <v>102189</v>
      </c>
      <c r="E244" s="6" t="s">
        <v>1801</v>
      </c>
      <c r="F244" s="45" t="s">
        <v>210</v>
      </c>
      <c r="G244" s="46">
        <f t="shared" si="29"/>
        <v>10</v>
      </c>
      <c r="H244" s="46">
        <f>TRUNC(S244*(1-LOTE_01!$K$10),2)</f>
        <v>166.34</v>
      </c>
      <c r="I244" s="46">
        <f>TRUNC(T244*(1-LOTE_01!$K$10),2)</f>
        <v>74.23</v>
      </c>
      <c r="J244" s="100">
        <f t="shared" si="30"/>
        <v>0.22470000000000001</v>
      </c>
      <c r="K244" s="48">
        <f t="shared" si="24"/>
        <v>203.71</v>
      </c>
      <c r="L244" s="48">
        <f t="shared" si="25"/>
        <v>90.9</v>
      </c>
      <c r="M244" s="48">
        <f t="shared" si="26"/>
        <v>2037.1</v>
      </c>
      <c r="N244" s="48">
        <f t="shared" si="27"/>
        <v>909</v>
      </c>
      <c r="O244" s="50">
        <f t="shared" si="28"/>
        <v>2946.1</v>
      </c>
      <c r="P244" s="50">
        <v>0</v>
      </c>
      <c r="Q244" s="76"/>
      <c r="R244" s="140">
        <f>IF((1*S9+1*S10)&gt;10,10,(1*S9+1*S10))</f>
        <v>10</v>
      </c>
      <c r="S244" s="79">
        <v>166.33999999999997</v>
      </c>
      <c r="T244" s="80">
        <v>74.23</v>
      </c>
    </row>
    <row r="245" spans="2:20" ht="28">
      <c r="B245" s="5" t="s">
        <v>609</v>
      </c>
      <c r="C245" s="45" t="s">
        <v>135</v>
      </c>
      <c r="D245" s="45">
        <v>100705</v>
      </c>
      <c r="E245" s="6" t="s">
        <v>1802</v>
      </c>
      <c r="F245" s="45" t="s">
        <v>210</v>
      </c>
      <c r="G245" s="46">
        <f t="shared" si="29"/>
        <v>50</v>
      </c>
      <c r="H245" s="46">
        <f>TRUNC(S245*(1-LOTE_01!$K$10),2)</f>
        <v>59.7</v>
      </c>
      <c r="I245" s="46">
        <f>TRUNC(T245*(1-LOTE_01!$K$10),2)</f>
        <v>26.26</v>
      </c>
      <c r="J245" s="100">
        <f t="shared" si="30"/>
        <v>0.22470000000000001</v>
      </c>
      <c r="K245" s="48">
        <f t="shared" si="24"/>
        <v>73.11</v>
      </c>
      <c r="L245" s="48">
        <f t="shared" si="25"/>
        <v>32.159999999999997</v>
      </c>
      <c r="M245" s="48">
        <f t="shared" si="26"/>
        <v>3655.5</v>
      </c>
      <c r="N245" s="48">
        <f t="shared" si="27"/>
        <v>1608</v>
      </c>
      <c r="O245" s="50">
        <f t="shared" si="28"/>
        <v>5263.5</v>
      </c>
      <c r="P245" s="50">
        <v>0</v>
      </c>
      <c r="Q245" s="76"/>
      <c r="R245" s="140">
        <f>IF((5*2*S10+2*S9)&gt;50,50,(5*2*S10+2*S9))</f>
        <v>50</v>
      </c>
      <c r="S245" s="79">
        <v>59.699999999999989</v>
      </c>
      <c r="T245" s="80">
        <v>26.26</v>
      </c>
    </row>
    <row r="246" spans="2:20" ht="56">
      <c r="B246" s="5" t="s">
        <v>610</v>
      </c>
      <c r="C246" s="45" t="s">
        <v>135</v>
      </c>
      <c r="D246" s="45">
        <v>100709</v>
      </c>
      <c r="E246" s="6" t="s">
        <v>1803</v>
      </c>
      <c r="F246" s="45" t="s">
        <v>210</v>
      </c>
      <c r="G246" s="46">
        <f t="shared" si="29"/>
        <v>50</v>
      </c>
      <c r="H246" s="46">
        <f>TRUNC(S246*(1-LOTE_01!$K$10),2)</f>
        <v>33.700000000000003</v>
      </c>
      <c r="I246" s="46">
        <f>TRUNC(T246*(1-LOTE_01!$K$10),2)</f>
        <v>33.9</v>
      </c>
      <c r="J246" s="100">
        <f t="shared" si="30"/>
        <v>0.22470000000000001</v>
      </c>
      <c r="K246" s="48">
        <f t="shared" si="24"/>
        <v>41.27</v>
      </c>
      <c r="L246" s="48">
        <f t="shared" si="25"/>
        <v>41.51</v>
      </c>
      <c r="M246" s="48">
        <f t="shared" si="26"/>
        <v>2063.5</v>
      </c>
      <c r="N246" s="48">
        <f t="shared" si="27"/>
        <v>2075.5</v>
      </c>
      <c r="O246" s="50">
        <f t="shared" si="28"/>
        <v>4139</v>
      </c>
      <c r="P246" s="50">
        <v>0</v>
      </c>
      <c r="Q246" s="76"/>
      <c r="R246" s="140">
        <f>IF((3*2*S9+3*2*S10)&gt;50,50,(3*2*S9+3*2*S10))</f>
        <v>50</v>
      </c>
      <c r="S246" s="79">
        <v>33.699999999999996</v>
      </c>
      <c r="T246" s="80">
        <v>33.9</v>
      </c>
    </row>
    <row r="247" spans="2:20" ht="28">
      <c r="B247" s="5" t="s">
        <v>611</v>
      </c>
      <c r="C247" s="45" t="s">
        <v>97</v>
      </c>
      <c r="D247" s="45" t="s">
        <v>612</v>
      </c>
      <c r="E247" s="6" t="s">
        <v>613</v>
      </c>
      <c r="F247" s="45" t="s">
        <v>104</v>
      </c>
      <c r="G247" s="46">
        <f t="shared" si="29"/>
        <v>19</v>
      </c>
      <c r="H247" s="46">
        <f>TRUNC(S247*(1-LOTE_01!$K$10),2)</f>
        <v>292.47000000000003</v>
      </c>
      <c r="I247" s="46">
        <f>TRUNC(T247*(1-LOTE_01!$K$10),2)</f>
        <v>24.15</v>
      </c>
      <c r="J247" s="100">
        <f t="shared" si="30"/>
        <v>0.22470000000000001</v>
      </c>
      <c r="K247" s="48">
        <f t="shared" si="24"/>
        <v>358.18</v>
      </c>
      <c r="L247" s="48">
        <f t="shared" si="25"/>
        <v>29.57</v>
      </c>
      <c r="M247" s="48">
        <f t="shared" si="26"/>
        <v>6805.42</v>
      </c>
      <c r="N247" s="48">
        <f t="shared" si="27"/>
        <v>561.83000000000004</v>
      </c>
      <c r="O247" s="50">
        <f t="shared" si="28"/>
        <v>7367.25</v>
      </c>
      <c r="P247" s="50">
        <v>0</v>
      </c>
      <c r="Q247" s="76"/>
      <c r="R247" s="140">
        <f>IF((1*S9+1*S10)&gt;30,30,(1*S9+1*S10))</f>
        <v>19</v>
      </c>
      <c r="S247" s="79">
        <v>292.47000000000003</v>
      </c>
      <c r="T247" s="80">
        <v>24.15</v>
      </c>
    </row>
    <row r="248" spans="2:20" ht="70">
      <c r="B248" s="5" t="s">
        <v>614</v>
      </c>
      <c r="C248" s="45" t="s">
        <v>135</v>
      </c>
      <c r="D248" s="45">
        <v>91306</v>
      </c>
      <c r="E248" s="6" t="s">
        <v>1804</v>
      </c>
      <c r="F248" s="45" t="s">
        <v>210</v>
      </c>
      <c r="G248" s="46">
        <f t="shared" si="29"/>
        <v>30</v>
      </c>
      <c r="H248" s="46">
        <f>TRUNC(S248*(1-LOTE_01!$K$10),2)</f>
        <v>129.44999999999999</v>
      </c>
      <c r="I248" s="46">
        <f>TRUNC(T248*(1-LOTE_01!$K$10),2)</f>
        <v>25.39</v>
      </c>
      <c r="J248" s="100">
        <f t="shared" si="30"/>
        <v>0.22470000000000001</v>
      </c>
      <c r="K248" s="48">
        <f t="shared" si="24"/>
        <v>158.53</v>
      </c>
      <c r="L248" s="48">
        <f t="shared" si="25"/>
        <v>31.09</v>
      </c>
      <c r="M248" s="48">
        <f t="shared" si="26"/>
        <v>4755.8999999999996</v>
      </c>
      <c r="N248" s="48">
        <f t="shared" si="27"/>
        <v>932.7</v>
      </c>
      <c r="O248" s="50">
        <f t="shared" si="28"/>
        <v>5688.6</v>
      </c>
      <c r="P248" s="50">
        <v>0</v>
      </c>
      <c r="Q248" s="76"/>
      <c r="R248" s="140">
        <f>IF((2*S9+3*S10)&gt;30,30,(2*S9+3*S10))</f>
        <v>30</v>
      </c>
      <c r="S248" s="79">
        <v>129.44999999999999</v>
      </c>
      <c r="T248" s="80">
        <v>25.39</v>
      </c>
    </row>
    <row r="249" spans="2:20" ht="70">
      <c r="B249" s="5" t="s">
        <v>615</v>
      </c>
      <c r="C249" s="45" t="s">
        <v>135</v>
      </c>
      <c r="D249" s="45">
        <v>90831</v>
      </c>
      <c r="E249" s="6" t="s">
        <v>1805</v>
      </c>
      <c r="F249" s="45" t="s">
        <v>210</v>
      </c>
      <c r="G249" s="46">
        <f t="shared" si="29"/>
        <v>30</v>
      </c>
      <c r="H249" s="46">
        <f>TRUNC(S249*(1-LOTE_01!$K$10),2)</f>
        <v>129.44999999999999</v>
      </c>
      <c r="I249" s="46">
        <f>TRUNC(T249*(1-LOTE_01!$K$10),2)</f>
        <v>25.39</v>
      </c>
      <c r="J249" s="100">
        <f t="shared" si="30"/>
        <v>0.22470000000000001</v>
      </c>
      <c r="K249" s="48">
        <f t="shared" si="24"/>
        <v>158.53</v>
      </c>
      <c r="L249" s="48">
        <f t="shared" si="25"/>
        <v>31.09</v>
      </c>
      <c r="M249" s="48">
        <f t="shared" si="26"/>
        <v>4755.8999999999996</v>
      </c>
      <c r="N249" s="48">
        <f t="shared" si="27"/>
        <v>932.7</v>
      </c>
      <c r="O249" s="50">
        <f t="shared" si="28"/>
        <v>5688.6</v>
      </c>
      <c r="P249" s="50">
        <v>0</v>
      </c>
      <c r="Q249" s="76"/>
      <c r="R249" s="140">
        <f>IF((2*S9+2*S10)&gt;30,30,(2*S9+2*S10))</f>
        <v>30</v>
      </c>
      <c r="S249" s="79">
        <v>129.44999999999999</v>
      </c>
      <c r="T249" s="80">
        <v>25.39</v>
      </c>
    </row>
    <row r="250" spans="2:20" ht="70">
      <c r="B250" s="5" t="s">
        <v>616</v>
      </c>
      <c r="C250" s="45" t="s">
        <v>135</v>
      </c>
      <c r="D250" s="45">
        <v>90830</v>
      </c>
      <c r="E250" s="6" t="s">
        <v>1806</v>
      </c>
      <c r="F250" s="45" t="s">
        <v>210</v>
      </c>
      <c r="G250" s="46">
        <f t="shared" si="29"/>
        <v>19</v>
      </c>
      <c r="H250" s="46">
        <f>TRUNC(S250*(1-LOTE_01!$K$10),2)</f>
        <v>145.75</v>
      </c>
      <c r="I250" s="46">
        <f>TRUNC(T250*(1-LOTE_01!$K$10),2)</f>
        <v>33.39</v>
      </c>
      <c r="J250" s="100">
        <f t="shared" si="30"/>
        <v>0.22470000000000001</v>
      </c>
      <c r="K250" s="48">
        <f t="shared" si="24"/>
        <v>178.5</v>
      </c>
      <c r="L250" s="48">
        <f t="shared" si="25"/>
        <v>40.89</v>
      </c>
      <c r="M250" s="48">
        <f t="shared" si="26"/>
        <v>3391.5</v>
      </c>
      <c r="N250" s="48">
        <f t="shared" si="27"/>
        <v>776.91</v>
      </c>
      <c r="O250" s="50">
        <f t="shared" si="28"/>
        <v>4168.41</v>
      </c>
      <c r="P250" s="50">
        <v>0</v>
      </c>
      <c r="Q250" s="76"/>
      <c r="R250" s="140">
        <f>IF((1*S9+1*S10)&gt;30,30,(1*S9+1*S10))</f>
        <v>19</v>
      </c>
      <c r="S250" s="79">
        <v>145.75</v>
      </c>
      <c r="T250" s="80">
        <v>33.39</v>
      </c>
    </row>
    <row r="251" spans="2:20" ht="42">
      <c r="B251" s="5" t="s">
        <v>617</v>
      </c>
      <c r="C251" s="45" t="s">
        <v>97</v>
      </c>
      <c r="D251" s="45" t="s">
        <v>618</v>
      </c>
      <c r="E251" s="6" t="s">
        <v>619</v>
      </c>
      <c r="F251" s="45" t="s">
        <v>104</v>
      </c>
      <c r="G251" s="46">
        <f t="shared" si="29"/>
        <v>10</v>
      </c>
      <c r="H251" s="46">
        <f>TRUNC(S251*(1-LOTE_01!$K$10),2)</f>
        <v>115.48</v>
      </c>
      <c r="I251" s="46">
        <f>TRUNC(T251*(1-LOTE_01!$K$10),2)</f>
        <v>31.54</v>
      </c>
      <c r="J251" s="100">
        <f t="shared" si="30"/>
        <v>0.22470000000000001</v>
      </c>
      <c r="K251" s="48">
        <f t="shared" si="24"/>
        <v>141.41999999999999</v>
      </c>
      <c r="L251" s="48">
        <f t="shared" si="25"/>
        <v>38.619999999999997</v>
      </c>
      <c r="M251" s="48">
        <f t="shared" si="26"/>
        <v>1414.2</v>
      </c>
      <c r="N251" s="48">
        <f t="shared" si="27"/>
        <v>386.2</v>
      </c>
      <c r="O251" s="50">
        <f t="shared" si="28"/>
        <v>1800.4</v>
      </c>
      <c r="P251" s="50">
        <v>0</v>
      </c>
      <c r="Q251" s="76"/>
      <c r="R251" s="140">
        <f>IF((1*S9+1*S10)&gt;10,10,(1*S9+1*S10))</f>
        <v>10</v>
      </c>
      <c r="S251" s="79">
        <v>115.48</v>
      </c>
      <c r="T251" s="80">
        <v>31.54</v>
      </c>
    </row>
    <row r="252" spans="2:20" ht="98">
      <c r="B252" s="5" t="s">
        <v>620</v>
      </c>
      <c r="C252" s="45" t="s">
        <v>97</v>
      </c>
      <c r="D252" s="45" t="s">
        <v>621</v>
      </c>
      <c r="E252" s="7" t="s">
        <v>622</v>
      </c>
      <c r="F252" s="45" t="s">
        <v>104</v>
      </c>
      <c r="G252" s="46">
        <f t="shared" si="29"/>
        <v>10</v>
      </c>
      <c r="H252" s="46">
        <f>TRUNC(S252*(1-LOTE_01!$K$10),2)</f>
        <v>708.47</v>
      </c>
      <c r="I252" s="46">
        <f>TRUNC(T252*(1-LOTE_01!$K$10),2)</f>
        <v>799.18</v>
      </c>
      <c r="J252" s="100">
        <f t="shared" si="30"/>
        <v>0.22470000000000001</v>
      </c>
      <c r="K252" s="48">
        <f t="shared" si="24"/>
        <v>867.66</v>
      </c>
      <c r="L252" s="48">
        <f t="shared" si="25"/>
        <v>978.75</v>
      </c>
      <c r="M252" s="48">
        <f t="shared" si="26"/>
        <v>8676.6</v>
      </c>
      <c r="N252" s="48">
        <f t="shared" si="27"/>
        <v>9787.5</v>
      </c>
      <c r="O252" s="50">
        <f t="shared" si="28"/>
        <v>18464.099999999999</v>
      </c>
      <c r="P252" s="50">
        <v>0</v>
      </c>
      <c r="Q252" s="76"/>
      <c r="R252" s="140">
        <f>IF((1*S9+1*S10)&gt;10,10,(1*S9+1*S10))</f>
        <v>10</v>
      </c>
      <c r="S252" s="79">
        <v>708.47</v>
      </c>
      <c r="T252" s="80">
        <v>799.18</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2993504.57</v>
      </c>
      <c r="Q253" s="76"/>
      <c r="R253" s="154"/>
      <c r="S253" s="79" t="s">
        <v>22</v>
      </c>
      <c r="T253" s="80" t="s">
        <v>22</v>
      </c>
    </row>
    <row r="254" spans="2:20" ht="70">
      <c r="B254" s="5" t="s">
        <v>623</v>
      </c>
      <c r="C254" s="45" t="s">
        <v>97</v>
      </c>
      <c r="D254" s="45" t="s">
        <v>624</v>
      </c>
      <c r="E254" s="6" t="s">
        <v>625</v>
      </c>
      <c r="F254" s="45" t="s">
        <v>121</v>
      </c>
      <c r="G254" s="46">
        <f t="shared" si="29"/>
        <v>1250</v>
      </c>
      <c r="H254" s="46">
        <f>TRUNC(S254*(1-LOTE_01!$K$10),2)</f>
        <v>13.85</v>
      </c>
      <c r="I254" s="46">
        <f>TRUNC(T254*(1-LOTE_01!$K$10),2)</f>
        <v>4.13</v>
      </c>
      <c r="J254" s="100">
        <f t="shared" si="30"/>
        <v>0.22470000000000001</v>
      </c>
      <c r="K254" s="48">
        <f t="shared" si="24"/>
        <v>16.96</v>
      </c>
      <c r="L254" s="48">
        <f t="shared" si="25"/>
        <v>5.05</v>
      </c>
      <c r="M254" s="48">
        <f t="shared" si="26"/>
        <v>21200</v>
      </c>
      <c r="N254" s="48">
        <f t="shared" si="27"/>
        <v>6312.5</v>
      </c>
      <c r="O254" s="50">
        <f t="shared" si="28"/>
        <v>27512.5</v>
      </c>
      <c r="P254" s="50">
        <v>0</v>
      </c>
      <c r="Q254" s="76"/>
      <c r="R254" s="140">
        <f>IF((50*S9+200*S10)&gt;2000,2000,(50*S9+200*S10))</f>
        <v>1250</v>
      </c>
      <c r="S254" s="79">
        <v>13.85</v>
      </c>
      <c r="T254" s="80">
        <v>4.13</v>
      </c>
    </row>
    <row r="255" spans="2:20" ht="84">
      <c r="B255" s="5" t="s">
        <v>626</v>
      </c>
      <c r="C255" s="45" t="s">
        <v>135</v>
      </c>
      <c r="D255" s="45">
        <v>92543</v>
      </c>
      <c r="E255" s="6" t="s">
        <v>1807</v>
      </c>
      <c r="F255" s="45" t="s">
        <v>121</v>
      </c>
      <c r="G255" s="46">
        <f t="shared" si="29"/>
        <v>570</v>
      </c>
      <c r="H255" s="46">
        <f>TRUNC(S255*(1-LOTE_01!$K$10),2)</f>
        <v>20.72</v>
      </c>
      <c r="I255" s="46">
        <f>TRUNC(T255*(1-LOTE_01!$K$10),2)</f>
        <v>4.5</v>
      </c>
      <c r="J255" s="100">
        <f t="shared" si="30"/>
        <v>0.22470000000000001</v>
      </c>
      <c r="K255" s="48">
        <f t="shared" si="24"/>
        <v>25.37</v>
      </c>
      <c r="L255" s="48">
        <f t="shared" si="25"/>
        <v>5.51</v>
      </c>
      <c r="M255" s="48">
        <f t="shared" si="26"/>
        <v>14460.9</v>
      </c>
      <c r="N255" s="48">
        <f t="shared" si="27"/>
        <v>3140.7</v>
      </c>
      <c r="O255" s="50">
        <f t="shared" si="28"/>
        <v>17601.599999999999</v>
      </c>
      <c r="P255" s="50">
        <v>0</v>
      </c>
      <c r="Q255" s="76"/>
      <c r="R255" s="140">
        <f>IF((10*S9+200*S10)&gt;1000,1000,(10*S9+200*S10))</f>
        <v>570</v>
      </c>
      <c r="S255" s="79">
        <v>20.72</v>
      </c>
      <c r="T255" s="80">
        <v>4.5</v>
      </c>
    </row>
    <row r="256" spans="2:20" ht="98">
      <c r="B256" s="5" t="s">
        <v>627</v>
      </c>
      <c r="C256" s="45" t="s">
        <v>135</v>
      </c>
      <c r="D256" s="45">
        <v>92580</v>
      </c>
      <c r="E256" s="6" t="s">
        <v>1808</v>
      </c>
      <c r="F256" s="45" t="s">
        <v>121</v>
      </c>
      <c r="G256" s="46">
        <f t="shared" si="29"/>
        <v>570</v>
      </c>
      <c r="H256" s="46">
        <f>TRUNC(S256*(1-LOTE_01!$K$10),2)</f>
        <v>47.41</v>
      </c>
      <c r="I256" s="46">
        <f>TRUNC(T256*(1-LOTE_01!$K$10),2)</f>
        <v>3.83</v>
      </c>
      <c r="J256" s="100">
        <f t="shared" si="30"/>
        <v>0.22470000000000001</v>
      </c>
      <c r="K256" s="48">
        <f t="shared" si="24"/>
        <v>58.06</v>
      </c>
      <c r="L256" s="48">
        <f t="shared" si="25"/>
        <v>4.6900000000000004</v>
      </c>
      <c r="M256" s="48">
        <f t="shared" si="26"/>
        <v>33094.199999999997</v>
      </c>
      <c r="N256" s="48">
        <f t="shared" si="27"/>
        <v>2673.3</v>
      </c>
      <c r="O256" s="50">
        <f t="shared" si="28"/>
        <v>35767.5</v>
      </c>
      <c r="P256" s="50">
        <v>0</v>
      </c>
      <c r="Q256" s="76"/>
      <c r="R256" s="140">
        <f>IF((10*S9+200*S10)&gt;5000,5000,(10*S9+200*S10))</f>
        <v>570</v>
      </c>
      <c r="S256" s="79">
        <v>47.410000000000004</v>
      </c>
      <c r="T256" s="80">
        <v>3.83</v>
      </c>
    </row>
    <row r="257" spans="2:20" ht="84">
      <c r="B257" s="5" t="s">
        <v>628</v>
      </c>
      <c r="C257" s="45" t="s">
        <v>135</v>
      </c>
      <c r="D257" s="45">
        <v>94207</v>
      </c>
      <c r="E257" s="6" t="s">
        <v>629</v>
      </c>
      <c r="F257" s="45" t="s">
        <v>121</v>
      </c>
      <c r="G257" s="46">
        <f t="shared" si="29"/>
        <v>570</v>
      </c>
      <c r="H257" s="46">
        <f>TRUNC(S257*(1-LOTE_01!$K$10),2)</f>
        <v>44.9</v>
      </c>
      <c r="I257" s="46">
        <f>TRUNC(T257*(1-LOTE_01!$K$10),2)</f>
        <v>6.25</v>
      </c>
      <c r="J257" s="100">
        <f t="shared" si="30"/>
        <v>0.22470000000000001</v>
      </c>
      <c r="K257" s="48">
        <f t="shared" si="24"/>
        <v>54.98</v>
      </c>
      <c r="L257" s="48">
        <f t="shared" si="25"/>
        <v>7.65</v>
      </c>
      <c r="M257" s="48">
        <f t="shared" si="26"/>
        <v>31338.6</v>
      </c>
      <c r="N257" s="48">
        <f t="shared" si="27"/>
        <v>4360.5</v>
      </c>
      <c r="O257" s="50">
        <f t="shared" si="28"/>
        <v>35699.1</v>
      </c>
      <c r="P257" s="50">
        <v>0</v>
      </c>
      <c r="Q257" s="76"/>
      <c r="R257" s="140">
        <f>IF((10*S9+200*S10)&gt;1000,1000,(10*S9+200*S10))</f>
        <v>570</v>
      </c>
      <c r="S257" s="79">
        <v>44.9</v>
      </c>
      <c r="T257" s="80">
        <v>6.25</v>
      </c>
    </row>
    <row r="258" spans="2:20" ht="42">
      <c r="B258" s="5" t="s">
        <v>630</v>
      </c>
      <c r="C258" s="45" t="s">
        <v>135</v>
      </c>
      <c r="D258" s="45">
        <v>94216</v>
      </c>
      <c r="E258" s="6" t="s">
        <v>631</v>
      </c>
      <c r="F258" s="45" t="s">
        <v>121</v>
      </c>
      <c r="G258" s="46">
        <f t="shared" si="29"/>
        <v>570</v>
      </c>
      <c r="H258" s="46">
        <f>TRUNC(S258*(1-LOTE_01!$K$10),2)</f>
        <v>192.22</v>
      </c>
      <c r="I258" s="46">
        <f>TRUNC(T258*(1-LOTE_01!$K$10),2)</f>
        <v>2.35</v>
      </c>
      <c r="J258" s="100">
        <f t="shared" si="30"/>
        <v>0.22470000000000001</v>
      </c>
      <c r="K258" s="48">
        <f t="shared" si="24"/>
        <v>235.41</v>
      </c>
      <c r="L258" s="48">
        <f t="shared" si="25"/>
        <v>2.87</v>
      </c>
      <c r="M258" s="48">
        <f t="shared" si="26"/>
        <v>134183.70000000001</v>
      </c>
      <c r="N258" s="48">
        <f t="shared" si="27"/>
        <v>1635.9</v>
      </c>
      <c r="O258" s="50">
        <f t="shared" si="28"/>
        <v>135819.6</v>
      </c>
      <c r="P258" s="50">
        <v>0</v>
      </c>
      <c r="Q258" s="76"/>
      <c r="R258" s="140">
        <f>IF((10*S9+200*S10)&gt;1000,1000,(10*S9+200*S10))</f>
        <v>570</v>
      </c>
      <c r="S258" s="79">
        <v>192.22</v>
      </c>
      <c r="T258" s="80">
        <v>2.35</v>
      </c>
    </row>
    <row r="259" spans="2:20" ht="42">
      <c r="B259" s="5" t="s">
        <v>632</v>
      </c>
      <c r="C259" s="45" t="s">
        <v>135</v>
      </c>
      <c r="D259" s="45">
        <v>94213</v>
      </c>
      <c r="E259" s="6" t="s">
        <v>633</v>
      </c>
      <c r="F259" s="45" t="s">
        <v>121</v>
      </c>
      <c r="G259" s="46">
        <f t="shared" si="29"/>
        <v>570</v>
      </c>
      <c r="H259" s="46">
        <f>TRUNC(S259*(1-LOTE_01!$K$10),2)</f>
        <v>64.64</v>
      </c>
      <c r="I259" s="46">
        <f>TRUNC(T259*(1-LOTE_01!$K$10),2)</f>
        <v>3.75</v>
      </c>
      <c r="J259" s="100">
        <f t="shared" si="30"/>
        <v>0.22470000000000001</v>
      </c>
      <c r="K259" s="48">
        <f t="shared" si="24"/>
        <v>79.16</v>
      </c>
      <c r="L259" s="48">
        <f t="shared" si="25"/>
        <v>4.59</v>
      </c>
      <c r="M259" s="48">
        <f t="shared" si="26"/>
        <v>45121.2</v>
      </c>
      <c r="N259" s="48">
        <f t="shared" si="27"/>
        <v>2616.3000000000002</v>
      </c>
      <c r="O259" s="50">
        <f t="shared" si="28"/>
        <v>47737.5</v>
      </c>
      <c r="P259" s="50">
        <v>0</v>
      </c>
      <c r="Q259" s="76"/>
      <c r="R259" s="140">
        <f>IF((10*S9+200*S10)&gt;1000,1000,(10*S9+200*S10))</f>
        <v>570</v>
      </c>
      <c r="S259" s="79">
        <v>64.64</v>
      </c>
      <c r="T259" s="80">
        <v>3.75</v>
      </c>
    </row>
    <row r="260" spans="2:20" ht="56">
      <c r="B260" s="5" t="s">
        <v>634</v>
      </c>
      <c r="C260" s="45" t="s">
        <v>135</v>
      </c>
      <c r="D260" s="45">
        <v>94227</v>
      </c>
      <c r="E260" s="6" t="s">
        <v>635</v>
      </c>
      <c r="F260" s="45" t="s">
        <v>187</v>
      </c>
      <c r="G260" s="46">
        <f t="shared" si="29"/>
        <v>500</v>
      </c>
      <c r="H260" s="46">
        <f>TRUNC(S260*(1-LOTE_01!$K$10),2)</f>
        <v>60.27</v>
      </c>
      <c r="I260" s="46">
        <f>TRUNC(T260*(1-LOTE_01!$K$10),2)</f>
        <v>10.09</v>
      </c>
      <c r="J260" s="100">
        <f t="shared" si="30"/>
        <v>0.22470000000000001</v>
      </c>
      <c r="K260" s="48">
        <f t="shared" si="24"/>
        <v>73.81</v>
      </c>
      <c r="L260" s="48">
        <f t="shared" si="25"/>
        <v>12.35</v>
      </c>
      <c r="M260" s="48">
        <f t="shared" si="26"/>
        <v>36905</v>
      </c>
      <c r="N260" s="48">
        <f t="shared" si="27"/>
        <v>6175</v>
      </c>
      <c r="O260" s="50">
        <f t="shared" si="28"/>
        <v>43080</v>
      </c>
      <c r="P260" s="50">
        <v>0</v>
      </c>
      <c r="Q260" s="76"/>
      <c r="R260" s="140">
        <f>IF((50*S10+50*S9)&gt;500,500,(50*S10+50*S9))</f>
        <v>500</v>
      </c>
      <c r="S260" s="79">
        <v>60.269999999999996</v>
      </c>
      <c r="T260" s="80">
        <v>10.09</v>
      </c>
    </row>
    <row r="261" spans="2:20" ht="56">
      <c r="B261" s="5" t="s">
        <v>636</v>
      </c>
      <c r="C261" s="45" t="s">
        <v>135</v>
      </c>
      <c r="D261" s="45">
        <v>94228</v>
      </c>
      <c r="E261" s="6" t="s">
        <v>637</v>
      </c>
      <c r="F261" s="45" t="s">
        <v>187</v>
      </c>
      <c r="G261" s="46">
        <f t="shared" si="29"/>
        <v>440</v>
      </c>
      <c r="H261" s="46">
        <f>TRUNC(S261*(1-LOTE_01!$K$10),2)</f>
        <v>81.08</v>
      </c>
      <c r="I261" s="46">
        <f>TRUNC(T261*(1-LOTE_01!$K$10),2)</f>
        <v>13.78</v>
      </c>
      <c r="J261" s="100">
        <f t="shared" si="30"/>
        <v>0.22470000000000001</v>
      </c>
      <c r="K261" s="48">
        <f t="shared" si="24"/>
        <v>99.29</v>
      </c>
      <c r="L261" s="48">
        <f t="shared" si="25"/>
        <v>16.87</v>
      </c>
      <c r="M261" s="48">
        <f t="shared" si="26"/>
        <v>43687.6</v>
      </c>
      <c r="N261" s="48">
        <f t="shared" si="27"/>
        <v>7422.8</v>
      </c>
      <c r="O261" s="50">
        <f t="shared" si="28"/>
        <v>51110.400000000001</v>
      </c>
      <c r="P261" s="50">
        <v>0</v>
      </c>
      <c r="Q261" s="76"/>
      <c r="R261" s="140">
        <f>IF((50*S10+20*S9)&gt;500,500,(50*S10+20*S9))</f>
        <v>440</v>
      </c>
      <c r="S261" s="79">
        <v>81.08</v>
      </c>
      <c r="T261" s="80">
        <v>13.78</v>
      </c>
    </row>
    <row r="262" spans="2:20" ht="56">
      <c r="B262" s="5" t="s">
        <v>638</v>
      </c>
      <c r="C262" s="45" t="s">
        <v>135</v>
      </c>
      <c r="D262" s="45">
        <v>94229</v>
      </c>
      <c r="E262" s="6" t="s">
        <v>639</v>
      </c>
      <c r="F262" s="45" t="s">
        <v>187</v>
      </c>
      <c r="G262" s="46">
        <f t="shared" si="29"/>
        <v>440</v>
      </c>
      <c r="H262" s="46">
        <f>TRUNC(S262*(1-LOTE_01!$K$10),2)</f>
        <v>158.27000000000001</v>
      </c>
      <c r="I262" s="46">
        <f>TRUNC(T262*(1-LOTE_01!$K$10),2)</f>
        <v>24.59</v>
      </c>
      <c r="J262" s="100">
        <f t="shared" si="30"/>
        <v>0.22470000000000001</v>
      </c>
      <c r="K262" s="48">
        <f t="shared" si="24"/>
        <v>193.83</v>
      </c>
      <c r="L262" s="48">
        <f t="shared" si="25"/>
        <v>30.11</v>
      </c>
      <c r="M262" s="48">
        <f t="shared" si="26"/>
        <v>85285.2</v>
      </c>
      <c r="N262" s="48">
        <f t="shared" si="27"/>
        <v>13248.4</v>
      </c>
      <c r="O262" s="50">
        <f t="shared" si="28"/>
        <v>98533.6</v>
      </c>
      <c r="P262" s="50">
        <v>0</v>
      </c>
      <c r="Q262" s="76"/>
      <c r="R262" s="140">
        <f>IF((50*S10+20*S9)&gt;500,500,(50*S10+20*S9))</f>
        <v>440</v>
      </c>
      <c r="S262" s="79">
        <v>158.27000000000001</v>
      </c>
      <c r="T262" s="80">
        <v>24.59</v>
      </c>
    </row>
    <row r="263" spans="2:20" ht="56">
      <c r="B263" s="5" t="s">
        <v>640</v>
      </c>
      <c r="C263" s="45" t="s">
        <v>135</v>
      </c>
      <c r="D263" s="45">
        <v>94223</v>
      </c>
      <c r="E263" s="6" t="s">
        <v>641</v>
      </c>
      <c r="F263" s="45" t="s">
        <v>187</v>
      </c>
      <c r="G263" s="46">
        <f t="shared" si="29"/>
        <v>500</v>
      </c>
      <c r="H263" s="46">
        <f>TRUNC(S263*(1-LOTE_01!$K$10),2)</f>
        <v>82.13</v>
      </c>
      <c r="I263" s="46">
        <f>TRUNC(T263*(1-LOTE_01!$K$10),2)</f>
        <v>3.11</v>
      </c>
      <c r="J263" s="100">
        <f t="shared" si="30"/>
        <v>0.22470000000000001</v>
      </c>
      <c r="K263" s="48">
        <f t="shared" si="24"/>
        <v>100.58</v>
      </c>
      <c r="L263" s="48">
        <f t="shared" si="25"/>
        <v>3.8</v>
      </c>
      <c r="M263" s="48">
        <f t="shared" si="26"/>
        <v>50290</v>
      </c>
      <c r="N263" s="48">
        <f t="shared" si="27"/>
        <v>1900</v>
      </c>
      <c r="O263" s="50">
        <f t="shared" si="28"/>
        <v>52190</v>
      </c>
      <c r="P263" s="50">
        <v>0</v>
      </c>
      <c r="Q263" s="76"/>
      <c r="R263" s="140">
        <f>IF((50*S10+50*S9)&gt;500,500,(50*S10+50*S9))</f>
        <v>500</v>
      </c>
      <c r="S263" s="79">
        <v>82.13</v>
      </c>
      <c r="T263" s="80">
        <v>3.11</v>
      </c>
    </row>
    <row r="264" spans="2:20" ht="28">
      <c r="B264" s="5" t="s">
        <v>642</v>
      </c>
      <c r="C264" s="45" t="s">
        <v>165</v>
      </c>
      <c r="D264" s="45" t="s">
        <v>643</v>
      </c>
      <c r="E264" s="6" t="s">
        <v>644</v>
      </c>
      <c r="F264" s="45" t="s">
        <v>531</v>
      </c>
      <c r="G264" s="46">
        <f t="shared" si="29"/>
        <v>500</v>
      </c>
      <c r="H264" s="46">
        <f>TRUNC(S264*(1-LOTE_01!$K$10),2)</f>
        <v>131.35</v>
      </c>
      <c r="I264" s="46">
        <f>TRUNC(T264*(1-LOTE_01!$K$10),2)</f>
        <v>4.6500000000000004</v>
      </c>
      <c r="J264" s="100">
        <f t="shared" si="30"/>
        <v>0.22470000000000001</v>
      </c>
      <c r="K264" s="48">
        <f t="shared" si="24"/>
        <v>160.86000000000001</v>
      </c>
      <c r="L264" s="48">
        <f t="shared" si="25"/>
        <v>5.69</v>
      </c>
      <c r="M264" s="48">
        <f t="shared" si="26"/>
        <v>80430</v>
      </c>
      <c r="N264" s="48">
        <f t="shared" si="27"/>
        <v>2845</v>
      </c>
      <c r="O264" s="50">
        <f t="shared" si="28"/>
        <v>83275</v>
      </c>
      <c r="P264" s="50">
        <v>0</v>
      </c>
      <c r="Q264" s="76"/>
      <c r="R264" s="140">
        <f>IF((50*S10+50*S9)&gt;500,500,(50*S10+50*S9))</f>
        <v>500</v>
      </c>
      <c r="S264" s="79">
        <v>131.35</v>
      </c>
      <c r="T264" s="80">
        <v>4.6500000000000004</v>
      </c>
    </row>
    <row r="265" spans="2:20" ht="28">
      <c r="B265" s="5" t="s">
        <v>645</v>
      </c>
      <c r="C265" s="45" t="s">
        <v>97</v>
      </c>
      <c r="D265" s="45" t="s">
        <v>646</v>
      </c>
      <c r="E265" s="6" t="s">
        <v>647</v>
      </c>
      <c r="F265" s="45" t="s">
        <v>187</v>
      </c>
      <c r="G265" s="46">
        <f t="shared" si="29"/>
        <v>500</v>
      </c>
      <c r="H265" s="46">
        <f>TRUNC(S265*(1-LOTE_01!$K$10),2)</f>
        <v>61.03</v>
      </c>
      <c r="I265" s="46">
        <f>TRUNC(T265*(1-LOTE_01!$K$10),2)</f>
        <v>5.56</v>
      </c>
      <c r="J265" s="100">
        <f t="shared" si="30"/>
        <v>0.22470000000000001</v>
      </c>
      <c r="K265" s="48">
        <f t="shared" si="24"/>
        <v>74.739999999999995</v>
      </c>
      <c r="L265" s="48">
        <f t="shared" si="25"/>
        <v>6.8</v>
      </c>
      <c r="M265" s="48">
        <f t="shared" si="26"/>
        <v>37370</v>
      </c>
      <c r="N265" s="48">
        <f t="shared" si="27"/>
        <v>3400</v>
      </c>
      <c r="O265" s="50">
        <f t="shared" si="28"/>
        <v>40770</v>
      </c>
      <c r="P265" s="50">
        <v>0</v>
      </c>
      <c r="Q265" s="76"/>
      <c r="R265" s="140">
        <f>IF((50*S10+50*S9)&gt;500,500,(50*S10+50*S9))</f>
        <v>500</v>
      </c>
      <c r="S265" s="79">
        <v>61.03</v>
      </c>
      <c r="T265" s="80">
        <v>5.56</v>
      </c>
    </row>
    <row r="266" spans="2:20" ht="56">
      <c r="B266" s="5" t="s">
        <v>648</v>
      </c>
      <c r="C266" s="45" t="s">
        <v>135</v>
      </c>
      <c r="D266" s="45">
        <v>100327</v>
      </c>
      <c r="E266" s="6" t="s">
        <v>649</v>
      </c>
      <c r="F266" s="45" t="s">
        <v>187</v>
      </c>
      <c r="G266" s="46">
        <f t="shared" si="29"/>
        <v>500</v>
      </c>
      <c r="H266" s="46">
        <f>TRUNC(S266*(1-LOTE_01!$K$10),2)</f>
        <v>56.31</v>
      </c>
      <c r="I266" s="46">
        <f>TRUNC(T266*(1-LOTE_01!$K$10),2)</f>
        <v>8.35</v>
      </c>
      <c r="J266" s="100">
        <f t="shared" si="30"/>
        <v>0.22470000000000001</v>
      </c>
      <c r="K266" s="48">
        <f t="shared" si="24"/>
        <v>68.959999999999994</v>
      </c>
      <c r="L266" s="48">
        <f t="shared" si="25"/>
        <v>10.220000000000001</v>
      </c>
      <c r="M266" s="48">
        <f t="shared" si="26"/>
        <v>34480</v>
      </c>
      <c r="N266" s="48">
        <f t="shared" si="27"/>
        <v>5110</v>
      </c>
      <c r="O266" s="50">
        <f t="shared" si="28"/>
        <v>39590</v>
      </c>
      <c r="P266" s="50">
        <v>0</v>
      </c>
      <c r="Q266" s="76"/>
      <c r="R266" s="140">
        <f>IF((50*S10+50*S9)&gt;500,500,(50*S10+50*S9))</f>
        <v>500</v>
      </c>
      <c r="S266" s="79">
        <v>56.309999999999995</v>
      </c>
      <c r="T266" s="80">
        <v>8.35</v>
      </c>
    </row>
    <row r="267" spans="2:20" ht="56">
      <c r="B267" s="5" t="s">
        <v>650</v>
      </c>
      <c r="C267" s="45" t="s">
        <v>135</v>
      </c>
      <c r="D267" s="45">
        <v>100435</v>
      </c>
      <c r="E267" s="6" t="s">
        <v>651</v>
      </c>
      <c r="F267" s="45" t="s">
        <v>187</v>
      </c>
      <c r="G267" s="46">
        <f t="shared" si="29"/>
        <v>500</v>
      </c>
      <c r="H267" s="46">
        <f>TRUNC(S267*(1-LOTE_01!$K$10),2)</f>
        <v>62.14</v>
      </c>
      <c r="I267" s="46">
        <f>TRUNC(T267*(1-LOTE_01!$K$10),2)</f>
        <v>6.65</v>
      </c>
      <c r="J267" s="100">
        <f t="shared" si="30"/>
        <v>0.22470000000000001</v>
      </c>
      <c r="K267" s="48">
        <f t="shared" si="24"/>
        <v>76.099999999999994</v>
      </c>
      <c r="L267" s="48">
        <f t="shared" si="25"/>
        <v>8.14</v>
      </c>
      <c r="M267" s="48">
        <f t="shared" si="26"/>
        <v>38050</v>
      </c>
      <c r="N267" s="48">
        <f t="shared" si="27"/>
        <v>4070</v>
      </c>
      <c r="O267" s="50">
        <f t="shared" si="28"/>
        <v>42120</v>
      </c>
      <c r="P267" s="50">
        <v>0</v>
      </c>
      <c r="Q267" s="76"/>
      <c r="R267" s="140">
        <f>IF((50*S10+50*S9)&gt;500,500,(50*S10+50*S9))</f>
        <v>500</v>
      </c>
      <c r="S267" s="79">
        <v>62.140000000000008</v>
      </c>
      <c r="T267" s="80">
        <v>6.65</v>
      </c>
    </row>
    <row r="268" spans="2:20" ht="42">
      <c r="B268" s="5" t="s">
        <v>652</v>
      </c>
      <c r="C268" s="45" t="s">
        <v>135</v>
      </c>
      <c r="D268" s="45">
        <v>94231</v>
      </c>
      <c r="E268" s="6" t="s">
        <v>653</v>
      </c>
      <c r="F268" s="45" t="s">
        <v>187</v>
      </c>
      <c r="G268" s="46">
        <f t="shared" si="29"/>
        <v>500</v>
      </c>
      <c r="H268" s="46">
        <f>TRUNC(S268*(1-LOTE_01!$K$10),2)</f>
        <v>50.86</v>
      </c>
      <c r="I268" s="46">
        <f>TRUNC(T268*(1-LOTE_01!$K$10),2)</f>
        <v>6.98</v>
      </c>
      <c r="J268" s="100">
        <f t="shared" si="30"/>
        <v>0.22470000000000001</v>
      </c>
      <c r="K268" s="48">
        <f t="shared" si="24"/>
        <v>62.28</v>
      </c>
      <c r="L268" s="48">
        <f t="shared" si="25"/>
        <v>8.5399999999999991</v>
      </c>
      <c r="M268" s="48">
        <f t="shared" si="26"/>
        <v>31140</v>
      </c>
      <c r="N268" s="48">
        <f t="shared" si="27"/>
        <v>4270</v>
      </c>
      <c r="O268" s="50">
        <f t="shared" si="28"/>
        <v>35410</v>
      </c>
      <c r="P268" s="50">
        <v>0</v>
      </c>
      <c r="Q268" s="76"/>
      <c r="R268" s="140">
        <f>IF((50*S10+50*S9)&gt;500,500,(50*S10+50*S9))</f>
        <v>500</v>
      </c>
      <c r="S268" s="79">
        <v>50.86</v>
      </c>
      <c r="T268" s="80">
        <v>6.98</v>
      </c>
    </row>
    <row r="269" spans="2:20" ht="28">
      <c r="B269" s="5" t="s">
        <v>654</v>
      </c>
      <c r="C269" s="45" t="s">
        <v>97</v>
      </c>
      <c r="D269" s="45" t="s">
        <v>655</v>
      </c>
      <c r="E269" s="6" t="s">
        <v>656</v>
      </c>
      <c r="F269" s="45" t="s">
        <v>161</v>
      </c>
      <c r="G269" s="46">
        <f t="shared" si="29"/>
        <v>21</v>
      </c>
      <c r="H269" s="46">
        <f>TRUNC(S269*(1-LOTE_01!$K$10),2)</f>
        <v>3544.17</v>
      </c>
      <c r="I269" s="46">
        <f>TRUNC(T269*(1-LOTE_01!$K$10),2)</f>
        <v>1014.48</v>
      </c>
      <c r="J269" s="100">
        <f t="shared" si="30"/>
        <v>0.22470000000000001</v>
      </c>
      <c r="K269" s="48">
        <f t="shared" si="24"/>
        <v>4340.54</v>
      </c>
      <c r="L269" s="48">
        <f t="shared" si="25"/>
        <v>1242.43</v>
      </c>
      <c r="M269" s="48">
        <f t="shared" si="26"/>
        <v>91151.34</v>
      </c>
      <c r="N269" s="48">
        <f t="shared" si="27"/>
        <v>26091.03</v>
      </c>
      <c r="O269" s="50">
        <f t="shared" si="28"/>
        <v>117242.37</v>
      </c>
      <c r="P269" s="50">
        <v>0</v>
      </c>
      <c r="Q269" s="76"/>
      <c r="R269" s="140">
        <f>IF((S9+2*S10)&gt;50,50,(S9+2*S10))</f>
        <v>21</v>
      </c>
      <c r="S269" s="79">
        <v>3544.17</v>
      </c>
      <c r="T269" s="80">
        <v>1014.48</v>
      </c>
    </row>
    <row r="270" spans="2:20" ht="56">
      <c r="B270" s="5" t="s">
        <v>657</v>
      </c>
      <c r="C270" s="45" t="s">
        <v>135</v>
      </c>
      <c r="D270" s="45">
        <v>98562</v>
      </c>
      <c r="E270" s="6" t="s">
        <v>658</v>
      </c>
      <c r="F270" s="45" t="s">
        <v>121</v>
      </c>
      <c r="G270" s="46">
        <f t="shared" si="29"/>
        <v>950</v>
      </c>
      <c r="H270" s="46">
        <f>TRUNC(S270*(1-LOTE_01!$K$10),2)</f>
        <v>30.9</v>
      </c>
      <c r="I270" s="46">
        <f>TRUNC(T270*(1-LOTE_01!$K$10),2)</f>
        <v>29.96</v>
      </c>
      <c r="J270" s="100">
        <f t="shared" si="30"/>
        <v>0.22470000000000001</v>
      </c>
      <c r="K270" s="48">
        <f t="shared" si="24"/>
        <v>37.840000000000003</v>
      </c>
      <c r="L270" s="48">
        <f t="shared" si="25"/>
        <v>36.69</v>
      </c>
      <c r="M270" s="48">
        <f t="shared" si="26"/>
        <v>35948</v>
      </c>
      <c r="N270" s="48">
        <f t="shared" si="27"/>
        <v>34855.5</v>
      </c>
      <c r="O270" s="50">
        <f t="shared" si="28"/>
        <v>70803.5</v>
      </c>
      <c r="P270" s="50">
        <v>0</v>
      </c>
      <c r="Q270" s="76"/>
      <c r="R270" s="140">
        <f>50*S9+50*S10</f>
        <v>950</v>
      </c>
      <c r="S270" s="79">
        <v>30.9</v>
      </c>
      <c r="T270" s="80">
        <v>29.96</v>
      </c>
    </row>
    <row r="271" spans="2:20" ht="56">
      <c r="B271" s="5" t="s">
        <v>659</v>
      </c>
      <c r="C271" s="45" t="s">
        <v>135</v>
      </c>
      <c r="D271" s="45">
        <v>98555</v>
      </c>
      <c r="E271" s="6" t="s">
        <v>660</v>
      </c>
      <c r="F271" s="45" t="s">
        <v>121</v>
      </c>
      <c r="G271" s="46">
        <f t="shared" si="29"/>
        <v>1900</v>
      </c>
      <c r="H271" s="46">
        <f>TRUNC(S271*(1-LOTE_01!$K$10),2)</f>
        <v>20.43</v>
      </c>
      <c r="I271" s="46">
        <f>TRUNC(T271*(1-LOTE_01!$K$10),2)</f>
        <v>17.09</v>
      </c>
      <c r="J271" s="100">
        <f t="shared" si="30"/>
        <v>0.22470000000000001</v>
      </c>
      <c r="K271" s="48">
        <f t="shared" si="24"/>
        <v>25.02</v>
      </c>
      <c r="L271" s="48">
        <f t="shared" si="25"/>
        <v>20.93</v>
      </c>
      <c r="M271" s="48">
        <f t="shared" si="26"/>
        <v>47538</v>
      </c>
      <c r="N271" s="48">
        <f t="shared" si="27"/>
        <v>39767</v>
      </c>
      <c r="O271" s="50">
        <f t="shared" si="28"/>
        <v>87305</v>
      </c>
      <c r="P271" s="50">
        <v>0</v>
      </c>
      <c r="Q271" s="76"/>
      <c r="R271" s="140">
        <f>100*S9+100*S10</f>
        <v>1900</v>
      </c>
      <c r="S271" s="79">
        <v>20.430000000000003</v>
      </c>
      <c r="T271" s="80">
        <v>17.09</v>
      </c>
    </row>
    <row r="272" spans="2:20" ht="70">
      <c r="B272" s="5" t="s">
        <v>661</v>
      </c>
      <c r="C272" s="45" t="s">
        <v>135</v>
      </c>
      <c r="D272" s="45">
        <v>98556</v>
      </c>
      <c r="E272" s="6" t="s">
        <v>1809</v>
      </c>
      <c r="F272" s="45" t="s">
        <v>121</v>
      </c>
      <c r="G272" s="46">
        <f t="shared" si="29"/>
        <v>1900</v>
      </c>
      <c r="H272" s="46">
        <f>TRUNC(S272*(1-LOTE_01!$K$10),2)</f>
        <v>42.15</v>
      </c>
      <c r="I272" s="46">
        <f>TRUNC(T272*(1-LOTE_01!$K$10),2)</f>
        <v>27.22</v>
      </c>
      <c r="J272" s="100">
        <f t="shared" si="30"/>
        <v>0.22470000000000001</v>
      </c>
      <c r="K272" s="48">
        <f t="shared" ref="K272:K335" si="31">TRUNC(H272*(1+J272),2)</f>
        <v>51.62</v>
      </c>
      <c r="L272" s="48">
        <f t="shared" ref="L272:L335" si="32">TRUNC(I272*(1+J272),2)</f>
        <v>33.33</v>
      </c>
      <c r="M272" s="48">
        <f t="shared" ref="M272:M335" si="33">TRUNC(K272*G272,2)</f>
        <v>98078</v>
      </c>
      <c r="N272" s="48">
        <f t="shared" ref="N272:N335" si="34">TRUNC(L272*G272,2)</f>
        <v>63327</v>
      </c>
      <c r="O272" s="50">
        <f t="shared" ref="O272:O335" si="35">TRUNC(M272+N272,2)</f>
        <v>161405</v>
      </c>
      <c r="P272" s="50">
        <v>0</v>
      </c>
      <c r="Q272" s="76"/>
      <c r="R272" s="140">
        <f>100*S9+100*S10</f>
        <v>1900</v>
      </c>
      <c r="S272" s="79">
        <v>42.150000000000006</v>
      </c>
      <c r="T272" s="80">
        <v>27.22</v>
      </c>
    </row>
    <row r="273" spans="2:20" ht="70">
      <c r="B273" s="5" t="s">
        <v>662</v>
      </c>
      <c r="C273" s="45" t="s">
        <v>135</v>
      </c>
      <c r="D273" s="45">
        <v>98547</v>
      </c>
      <c r="E273" s="6" t="s">
        <v>663</v>
      </c>
      <c r="F273" s="45" t="s">
        <v>121</v>
      </c>
      <c r="G273" s="46">
        <f t="shared" si="29"/>
        <v>1900</v>
      </c>
      <c r="H273" s="46">
        <f>TRUNC(S273*(1-LOTE_01!$K$10),2)</f>
        <v>216.6</v>
      </c>
      <c r="I273" s="46">
        <f>TRUNC(T273*(1-LOTE_01!$K$10),2)</f>
        <v>38.01</v>
      </c>
      <c r="J273" s="100">
        <f t="shared" si="30"/>
        <v>0.22470000000000001</v>
      </c>
      <c r="K273" s="48">
        <f t="shared" si="31"/>
        <v>265.27</v>
      </c>
      <c r="L273" s="48">
        <f t="shared" si="32"/>
        <v>46.55</v>
      </c>
      <c r="M273" s="48">
        <f t="shared" si="33"/>
        <v>504013</v>
      </c>
      <c r="N273" s="48">
        <f t="shared" si="34"/>
        <v>88445</v>
      </c>
      <c r="O273" s="50">
        <f t="shared" si="35"/>
        <v>592458</v>
      </c>
      <c r="P273" s="50">
        <v>0</v>
      </c>
      <c r="Q273" s="76"/>
      <c r="R273" s="140">
        <f>100*S9+100*S10</f>
        <v>1900</v>
      </c>
      <c r="S273" s="79">
        <v>216.60000000000002</v>
      </c>
      <c r="T273" s="80">
        <v>38.01</v>
      </c>
    </row>
    <row r="274" spans="2:20" ht="42">
      <c r="B274" s="5" t="s">
        <v>664</v>
      </c>
      <c r="C274" s="45" t="s">
        <v>135</v>
      </c>
      <c r="D274" s="45">
        <v>98553</v>
      </c>
      <c r="E274" s="6" t="s">
        <v>665</v>
      </c>
      <c r="F274" s="45" t="s">
        <v>121</v>
      </c>
      <c r="G274" s="46">
        <f t="shared" ref="G274:G337" si="36">TRUNC(R274,2)</f>
        <v>1900</v>
      </c>
      <c r="H274" s="46">
        <f>TRUNC(S274*(1-LOTE_01!$K$10),2)</f>
        <v>197.81</v>
      </c>
      <c r="I274" s="46">
        <f>TRUNC(T274*(1-LOTE_01!$K$10),2)</f>
        <v>14.29</v>
      </c>
      <c r="J274" s="100">
        <f t="shared" ref="J274:J337" si="37">$J$4</f>
        <v>0.22470000000000001</v>
      </c>
      <c r="K274" s="48">
        <f t="shared" si="31"/>
        <v>242.25</v>
      </c>
      <c r="L274" s="48">
        <f t="shared" si="32"/>
        <v>17.5</v>
      </c>
      <c r="M274" s="48">
        <f t="shared" si="33"/>
        <v>460275</v>
      </c>
      <c r="N274" s="48">
        <f t="shared" si="34"/>
        <v>33250</v>
      </c>
      <c r="O274" s="50">
        <f t="shared" si="35"/>
        <v>493525</v>
      </c>
      <c r="P274" s="50">
        <v>0</v>
      </c>
      <c r="Q274" s="76"/>
      <c r="R274" s="140">
        <f>100*S9+100*S10</f>
        <v>1900</v>
      </c>
      <c r="S274" s="79">
        <v>197.81</v>
      </c>
      <c r="T274" s="80">
        <v>14.29</v>
      </c>
    </row>
    <row r="275" spans="2:20" ht="42">
      <c r="B275" s="5" t="s">
        <v>666</v>
      </c>
      <c r="C275" s="45" t="s">
        <v>135</v>
      </c>
      <c r="D275" s="45">
        <v>98557</v>
      </c>
      <c r="E275" s="6" t="s">
        <v>667</v>
      </c>
      <c r="F275" s="45" t="s">
        <v>121</v>
      </c>
      <c r="G275" s="46">
        <f t="shared" si="36"/>
        <v>1900</v>
      </c>
      <c r="H275" s="46">
        <f>TRUNC(S275*(1-LOTE_01!$K$10),2)</f>
        <v>37.46</v>
      </c>
      <c r="I275" s="46">
        <f>TRUNC(T275*(1-LOTE_01!$K$10),2)</f>
        <v>12.16</v>
      </c>
      <c r="J275" s="100">
        <f t="shared" si="37"/>
        <v>0.22470000000000001</v>
      </c>
      <c r="K275" s="48">
        <f t="shared" si="31"/>
        <v>45.87</v>
      </c>
      <c r="L275" s="48">
        <f t="shared" si="32"/>
        <v>14.89</v>
      </c>
      <c r="M275" s="48">
        <f t="shared" si="33"/>
        <v>87153</v>
      </c>
      <c r="N275" s="48">
        <f t="shared" si="34"/>
        <v>28291</v>
      </c>
      <c r="O275" s="50">
        <f t="shared" si="35"/>
        <v>115444</v>
      </c>
      <c r="P275" s="50">
        <v>0</v>
      </c>
      <c r="Q275" s="76"/>
      <c r="R275" s="140">
        <f>100*S9+100*S10</f>
        <v>1900</v>
      </c>
      <c r="S275" s="79">
        <v>37.459999999999994</v>
      </c>
      <c r="T275" s="80">
        <v>12.16</v>
      </c>
    </row>
    <row r="276" spans="2:20" ht="42">
      <c r="B276" s="5" t="s">
        <v>668</v>
      </c>
      <c r="C276" s="45" t="s">
        <v>135</v>
      </c>
      <c r="D276" s="45">
        <v>98554</v>
      </c>
      <c r="E276" s="6" t="s">
        <v>669</v>
      </c>
      <c r="F276" s="45" t="s">
        <v>121</v>
      </c>
      <c r="G276" s="46">
        <f t="shared" si="36"/>
        <v>1900</v>
      </c>
      <c r="H276" s="46">
        <f>TRUNC(S276*(1-LOTE_01!$K$10),2)</f>
        <v>41.25</v>
      </c>
      <c r="I276" s="46">
        <f>TRUNC(T276*(1-LOTE_01!$K$10),2)</f>
        <v>16.03</v>
      </c>
      <c r="J276" s="100">
        <f t="shared" si="37"/>
        <v>0.22470000000000001</v>
      </c>
      <c r="K276" s="48">
        <f t="shared" si="31"/>
        <v>50.51</v>
      </c>
      <c r="L276" s="48">
        <f t="shared" si="32"/>
        <v>19.63</v>
      </c>
      <c r="M276" s="48">
        <f t="shared" si="33"/>
        <v>95969</v>
      </c>
      <c r="N276" s="48">
        <f t="shared" si="34"/>
        <v>37297</v>
      </c>
      <c r="O276" s="50">
        <f t="shared" si="35"/>
        <v>133266</v>
      </c>
      <c r="P276" s="50">
        <v>0</v>
      </c>
      <c r="Q276" s="76"/>
      <c r="R276" s="140">
        <f>100*S9+100*S10</f>
        <v>1900</v>
      </c>
      <c r="S276" s="79">
        <v>41.25</v>
      </c>
      <c r="T276" s="80">
        <v>16.03</v>
      </c>
    </row>
    <row r="277" spans="2:20" ht="28">
      <c r="B277" s="5" t="s">
        <v>670</v>
      </c>
      <c r="C277" s="45" t="s">
        <v>165</v>
      </c>
      <c r="D277" s="45" t="s">
        <v>671</v>
      </c>
      <c r="E277" s="6" t="s">
        <v>672</v>
      </c>
      <c r="F277" s="45" t="s">
        <v>531</v>
      </c>
      <c r="G277" s="46">
        <f t="shared" si="36"/>
        <v>950</v>
      </c>
      <c r="H277" s="46">
        <f>TRUNC(S277*(1-LOTE_01!$K$10),2)</f>
        <v>22.99</v>
      </c>
      <c r="I277" s="46">
        <f>TRUNC(T277*(1-LOTE_01!$K$10),2)</f>
        <v>6.6</v>
      </c>
      <c r="J277" s="100">
        <f t="shared" si="37"/>
        <v>0.22470000000000001</v>
      </c>
      <c r="K277" s="48">
        <f t="shared" si="31"/>
        <v>28.15</v>
      </c>
      <c r="L277" s="48">
        <f t="shared" si="32"/>
        <v>8.08</v>
      </c>
      <c r="M277" s="48">
        <f t="shared" si="33"/>
        <v>26742.5</v>
      </c>
      <c r="N277" s="48">
        <f t="shared" si="34"/>
        <v>7676</v>
      </c>
      <c r="O277" s="50">
        <f t="shared" si="35"/>
        <v>34418.5</v>
      </c>
      <c r="P277" s="50">
        <v>0</v>
      </c>
      <c r="Q277" s="76"/>
      <c r="R277" s="140">
        <f>50*S9+50*S10</f>
        <v>950</v>
      </c>
      <c r="S277" s="79">
        <v>22.99</v>
      </c>
      <c r="T277" s="80">
        <v>6.6</v>
      </c>
    </row>
    <row r="278" spans="2:20" ht="42">
      <c r="B278" s="5" t="s">
        <v>673</v>
      </c>
      <c r="C278" s="45" t="s">
        <v>165</v>
      </c>
      <c r="D278" s="45" t="s">
        <v>674</v>
      </c>
      <c r="E278" s="6" t="s">
        <v>675</v>
      </c>
      <c r="F278" s="45" t="s">
        <v>168</v>
      </c>
      <c r="G278" s="46">
        <f t="shared" si="36"/>
        <v>950</v>
      </c>
      <c r="H278" s="46">
        <f>TRUNC(S278*(1-LOTE_01!$K$10),2)</f>
        <v>57.22</v>
      </c>
      <c r="I278" s="46">
        <f>TRUNC(T278*(1-LOTE_01!$K$10),2)</f>
        <v>12.37</v>
      </c>
      <c r="J278" s="100">
        <f t="shared" si="37"/>
        <v>0.22470000000000001</v>
      </c>
      <c r="K278" s="48">
        <f t="shared" si="31"/>
        <v>70.069999999999993</v>
      </c>
      <c r="L278" s="48">
        <f t="shared" si="32"/>
        <v>15.14</v>
      </c>
      <c r="M278" s="48">
        <f t="shared" si="33"/>
        <v>66566.5</v>
      </c>
      <c r="N278" s="48">
        <f t="shared" si="34"/>
        <v>14383</v>
      </c>
      <c r="O278" s="50">
        <f t="shared" si="35"/>
        <v>80949.5</v>
      </c>
      <c r="P278" s="50">
        <v>0</v>
      </c>
      <c r="Q278" s="76"/>
      <c r="R278" s="140">
        <f>50*S9+50*S10</f>
        <v>950</v>
      </c>
      <c r="S278" s="79">
        <v>57.22</v>
      </c>
      <c r="T278" s="80">
        <v>12.37</v>
      </c>
    </row>
    <row r="279" spans="2:20" ht="42">
      <c r="B279" s="5" t="s">
        <v>676</v>
      </c>
      <c r="C279" s="45" t="s">
        <v>165</v>
      </c>
      <c r="D279" s="45" t="s">
        <v>677</v>
      </c>
      <c r="E279" s="6" t="s">
        <v>678</v>
      </c>
      <c r="F279" s="45" t="s">
        <v>168</v>
      </c>
      <c r="G279" s="46">
        <f t="shared" si="36"/>
        <v>950</v>
      </c>
      <c r="H279" s="46">
        <f>TRUNC(S279*(1-LOTE_01!$K$10),2)</f>
        <v>115.96</v>
      </c>
      <c r="I279" s="46">
        <f>TRUNC(T279*(1-LOTE_01!$K$10),2)</f>
        <v>91.88</v>
      </c>
      <c r="J279" s="100">
        <f t="shared" si="37"/>
        <v>0.22470000000000001</v>
      </c>
      <c r="K279" s="48">
        <f t="shared" si="31"/>
        <v>142.01</v>
      </c>
      <c r="L279" s="48">
        <f t="shared" si="32"/>
        <v>112.52</v>
      </c>
      <c r="M279" s="48">
        <f t="shared" si="33"/>
        <v>134909.5</v>
      </c>
      <c r="N279" s="48">
        <f t="shared" si="34"/>
        <v>106894</v>
      </c>
      <c r="O279" s="50">
        <f t="shared" si="35"/>
        <v>241803.5</v>
      </c>
      <c r="P279" s="50">
        <v>0</v>
      </c>
      <c r="Q279" s="76"/>
      <c r="R279" s="140">
        <f>50*S9+50*S10</f>
        <v>950</v>
      </c>
      <c r="S279" s="79">
        <v>115.96</v>
      </c>
      <c r="T279" s="80">
        <v>91.88</v>
      </c>
    </row>
    <row r="280" spans="2:20" ht="28">
      <c r="B280" s="5" t="s">
        <v>679</v>
      </c>
      <c r="C280" s="45" t="s">
        <v>165</v>
      </c>
      <c r="D280" s="45" t="s">
        <v>680</v>
      </c>
      <c r="E280" s="6" t="s">
        <v>681</v>
      </c>
      <c r="F280" s="45" t="s">
        <v>168</v>
      </c>
      <c r="G280" s="46">
        <f t="shared" si="36"/>
        <v>950</v>
      </c>
      <c r="H280" s="46">
        <f>TRUNC(S280*(1-LOTE_01!$K$10),2)</f>
        <v>35.76</v>
      </c>
      <c r="I280" s="46">
        <f>TRUNC(T280*(1-LOTE_01!$K$10),2)</f>
        <v>11.55</v>
      </c>
      <c r="J280" s="100">
        <f t="shared" si="37"/>
        <v>0.22470000000000001</v>
      </c>
      <c r="K280" s="48">
        <f t="shared" si="31"/>
        <v>43.79</v>
      </c>
      <c r="L280" s="48">
        <f t="shared" si="32"/>
        <v>14.14</v>
      </c>
      <c r="M280" s="48">
        <f t="shared" si="33"/>
        <v>41600.5</v>
      </c>
      <c r="N280" s="48">
        <f t="shared" si="34"/>
        <v>13433</v>
      </c>
      <c r="O280" s="50">
        <f t="shared" si="35"/>
        <v>55033.5</v>
      </c>
      <c r="P280" s="50">
        <v>0</v>
      </c>
      <c r="Q280" s="76"/>
      <c r="R280" s="140">
        <f>50*S9+50*S10</f>
        <v>950</v>
      </c>
      <c r="S280" s="79">
        <v>35.76</v>
      </c>
      <c r="T280" s="80">
        <v>11.55</v>
      </c>
    </row>
    <row r="281" spans="2:20" ht="42">
      <c r="B281" s="5" t="s">
        <v>682</v>
      </c>
      <c r="C281" s="45" t="s">
        <v>97</v>
      </c>
      <c r="D281" s="45" t="s">
        <v>683</v>
      </c>
      <c r="E281" s="6" t="s">
        <v>684</v>
      </c>
      <c r="F281" s="45" t="s">
        <v>104</v>
      </c>
      <c r="G281" s="46">
        <f t="shared" si="36"/>
        <v>50</v>
      </c>
      <c r="H281" s="46">
        <f>TRUNC(S281*(1-LOTE_01!$K$10),2)</f>
        <v>21.53</v>
      </c>
      <c r="I281" s="46">
        <f>TRUNC(T281*(1-LOTE_01!$K$10),2)</f>
        <v>1.92</v>
      </c>
      <c r="J281" s="100">
        <f t="shared" si="37"/>
        <v>0.22470000000000001</v>
      </c>
      <c r="K281" s="48">
        <f t="shared" si="31"/>
        <v>26.36</v>
      </c>
      <c r="L281" s="48">
        <f t="shared" si="32"/>
        <v>2.35</v>
      </c>
      <c r="M281" s="48">
        <f t="shared" si="33"/>
        <v>1318</v>
      </c>
      <c r="N281" s="48">
        <f t="shared" si="34"/>
        <v>117.5</v>
      </c>
      <c r="O281" s="50">
        <f t="shared" si="35"/>
        <v>1435.5</v>
      </c>
      <c r="P281" s="50">
        <v>0</v>
      </c>
      <c r="Q281" s="76"/>
      <c r="R281" s="140">
        <f>IF((4*S10+4*S9)&gt;50,50,(4*S10+4*S9))</f>
        <v>50</v>
      </c>
      <c r="S281" s="79">
        <v>21.53</v>
      </c>
      <c r="T281" s="80">
        <v>1.92</v>
      </c>
    </row>
    <row r="282" spans="2:20" ht="42">
      <c r="B282" s="5" t="s">
        <v>685</v>
      </c>
      <c r="C282" s="45" t="s">
        <v>97</v>
      </c>
      <c r="D282" s="45" t="s">
        <v>686</v>
      </c>
      <c r="E282" s="6" t="s">
        <v>687</v>
      </c>
      <c r="F282" s="45" t="s">
        <v>121</v>
      </c>
      <c r="G282" s="46">
        <f t="shared" si="36"/>
        <v>1000</v>
      </c>
      <c r="H282" s="46">
        <f>TRUNC(S282*(1-LOTE_01!$K$10),2)</f>
        <v>3.71</v>
      </c>
      <c r="I282" s="46">
        <f>TRUNC(T282*(1-LOTE_01!$K$10),2)</f>
        <v>3.84</v>
      </c>
      <c r="J282" s="100">
        <f t="shared" si="37"/>
        <v>0.22470000000000001</v>
      </c>
      <c r="K282" s="48">
        <f t="shared" si="31"/>
        <v>4.54</v>
      </c>
      <c r="L282" s="48">
        <f t="shared" si="32"/>
        <v>4.7</v>
      </c>
      <c r="M282" s="48">
        <f t="shared" si="33"/>
        <v>4540</v>
      </c>
      <c r="N282" s="48">
        <f t="shared" si="34"/>
        <v>4700</v>
      </c>
      <c r="O282" s="50">
        <f t="shared" si="35"/>
        <v>9240</v>
      </c>
      <c r="P282" s="50">
        <v>0</v>
      </c>
      <c r="Q282" s="76"/>
      <c r="R282" s="140">
        <f>IF((100*S9+100*S10)&gt;1000,1000,(100*S9+100*S10))</f>
        <v>1000</v>
      </c>
      <c r="S282" s="79">
        <v>3.71</v>
      </c>
      <c r="T282" s="80">
        <v>3.84</v>
      </c>
    </row>
    <row r="283" spans="2:20" ht="28">
      <c r="B283" s="5" t="s">
        <v>688</v>
      </c>
      <c r="C283" s="45" t="s">
        <v>97</v>
      </c>
      <c r="D283" s="45" t="s">
        <v>689</v>
      </c>
      <c r="E283" s="6" t="s">
        <v>690</v>
      </c>
      <c r="F283" s="45" t="s">
        <v>187</v>
      </c>
      <c r="G283" s="46">
        <f t="shared" si="36"/>
        <v>500</v>
      </c>
      <c r="H283" s="46">
        <f>TRUNC(S283*(1-LOTE_01!$K$10),2)</f>
        <v>0.48</v>
      </c>
      <c r="I283" s="46">
        <f>TRUNC(T283*(1-LOTE_01!$K$10),2)</f>
        <v>1.64</v>
      </c>
      <c r="J283" s="100">
        <f t="shared" si="37"/>
        <v>0.22470000000000001</v>
      </c>
      <c r="K283" s="48">
        <f t="shared" si="31"/>
        <v>0.57999999999999996</v>
      </c>
      <c r="L283" s="48">
        <f t="shared" si="32"/>
        <v>2</v>
      </c>
      <c r="M283" s="48">
        <f t="shared" si="33"/>
        <v>290</v>
      </c>
      <c r="N283" s="48">
        <f t="shared" si="34"/>
        <v>1000</v>
      </c>
      <c r="O283" s="50">
        <f t="shared" si="35"/>
        <v>1290</v>
      </c>
      <c r="P283" s="50">
        <v>0</v>
      </c>
      <c r="Q283" s="76"/>
      <c r="R283" s="140">
        <f>IF((50*S10+50*S9)&gt;500,500,(50*S10+50*S9))</f>
        <v>500</v>
      </c>
      <c r="S283" s="79">
        <v>0.48</v>
      </c>
      <c r="T283" s="80">
        <v>1.64</v>
      </c>
    </row>
    <row r="284" spans="2:20" ht="28">
      <c r="B284" s="5" t="s">
        <v>691</v>
      </c>
      <c r="C284" s="45" t="s">
        <v>97</v>
      </c>
      <c r="D284" s="45" t="s">
        <v>692</v>
      </c>
      <c r="E284" s="6" t="s">
        <v>693</v>
      </c>
      <c r="F284" s="45" t="s">
        <v>104</v>
      </c>
      <c r="G284" s="46">
        <f t="shared" si="36"/>
        <v>190</v>
      </c>
      <c r="H284" s="46">
        <f>TRUNC(S284*(1-LOTE_01!$K$10),2)</f>
        <v>6.95</v>
      </c>
      <c r="I284" s="46">
        <f>TRUNC(T284*(1-LOTE_01!$K$10),2)</f>
        <v>21.89</v>
      </c>
      <c r="J284" s="100">
        <f t="shared" si="37"/>
        <v>0.22470000000000001</v>
      </c>
      <c r="K284" s="48">
        <f t="shared" si="31"/>
        <v>8.51</v>
      </c>
      <c r="L284" s="48">
        <f t="shared" si="32"/>
        <v>26.8</v>
      </c>
      <c r="M284" s="48">
        <f t="shared" si="33"/>
        <v>1616.9</v>
      </c>
      <c r="N284" s="48">
        <f t="shared" si="34"/>
        <v>5092</v>
      </c>
      <c r="O284" s="50">
        <f t="shared" si="35"/>
        <v>6708.9</v>
      </c>
      <c r="P284" s="50">
        <v>0</v>
      </c>
      <c r="Q284" s="76"/>
      <c r="R284" s="140">
        <f>10*S9+10*S10</f>
        <v>190</v>
      </c>
      <c r="S284" s="79">
        <v>6.95</v>
      </c>
      <c r="T284" s="80">
        <v>21.89</v>
      </c>
    </row>
    <row r="285" spans="2:20" ht="28">
      <c r="B285" s="5" t="s">
        <v>694</v>
      </c>
      <c r="C285" s="45" t="s">
        <v>97</v>
      </c>
      <c r="D285" s="45" t="s">
        <v>695</v>
      </c>
      <c r="E285" s="6" t="s">
        <v>696</v>
      </c>
      <c r="F285" s="45" t="s">
        <v>104</v>
      </c>
      <c r="G285" s="46">
        <f t="shared" si="36"/>
        <v>50</v>
      </c>
      <c r="H285" s="46">
        <f>TRUNC(S285*(1-LOTE_01!$K$10),2)</f>
        <v>51.46</v>
      </c>
      <c r="I285" s="46">
        <f>TRUNC(T285*(1-LOTE_01!$K$10),2)</f>
        <v>29.54</v>
      </c>
      <c r="J285" s="100">
        <f t="shared" si="37"/>
        <v>0.22470000000000001</v>
      </c>
      <c r="K285" s="48">
        <f t="shared" si="31"/>
        <v>63.02</v>
      </c>
      <c r="L285" s="48">
        <f t="shared" si="32"/>
        <v>36.17</v>
      </c>
      <c r="M285" s="48">
        <f t="shared" si="33"/>
        <v>3151</v>
      </c>
      <c r="N285" s="48">
        <f t="shared" si="34"/>
        <v>1808.5</v>
      </c>
      <c r="O285" s="50">
        <f t="shared" si="35"/>
        <v>4959.5</v>
      </c>
      <c r="P285" s="50">
        <v>0</v>
      </c>
      <c r="Q285" s="76"/>
      <c r="R285" s="140">
        <f>IF((5*S9+5*S10)&gt;50,50,(5*S9+5*S10))</f>
        <v>50</v>
      </c>
      <c r="S285" s="79">
        <v>51.46</v>
      </c>
      <c r="T285" s="80">
        <v>29.54</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719007.25999999966</v>
      </c>
      <c r="Q286" s="76"/>
      <c r="R286" s="154"/>
      <c r="S286" s="79" t="s">
        <v>22</v>
      </c>
      <c r="T286" s="80" t="s">
        <v>22</v>
      </c>
    </row>
    <row r="287" spans="2:20" ht="56">
      <c r="B287" s="5" t="s">
        <v>697</v>
      </c>
      <c r="C287" s="45" t="s">
        <v>135</v>
      </c>
      <c r="D287" s="45">
        <v>101094</v>
      </c>
      <c r="E287" s="6" t="s">
        <v>1810</v>
      </c>
      <c r="F287" s="45" t="s">
        <v>187</v>
      </c>
      <c r="G287" s="46">
        <f t="shared" si="36"/>
        <v>380</v>
      </c>
      <c r="H287" s="46">
        <f>TRUNC(S287*(1-LOTE_01!$K$10),2)</f>
        <v>212.18</v>
      </c>
      <c r="I287" s="46">
        <f>TRUNC(T287*(1-LOTE_01!$K$10),2)</f>
        <v>18.37</v>
      </c>
      <c r="J287" s="100">
        <f t="shared" si="37"/>
        <v>0.22470000000000001</v>
      </c>
      <c r="K287" s="48">
        <f t="shared" si="31"/>
        <v>259.85000000000002</v>
      </c>
      <c r="L287" s="48">
        <f t="shared" si="32"/>
        <v>22.49</v>
      </c>
      <c r="M287" s="48">
        <f t="shared" si="33"/>
        <v>98743</v>
      </c>
      <c r="N287" s="48">
        <f t="shared" si="34"/>
        <v>8546.2000000000007</v>
      </c>
      <c r="O287" s="50">
        <f t="shared" si="35"/>
        <v>107289.2</v>
      </c>
      <c r="P287" s="50">
        <v>0</v>
      </c>
      <c r="Q287" s="76"/>
      <c r="R287" s="140">
        <f>20*S9+20*S10</f>
        <v>380</v>
      </c>
      <c r="S287" s="79">
        <v>212.18</v>
      </c>
      <c r="T287" s="80">
        <v>18.37</v>
      </c>
    </row>
    <row r="288" spans="2:20" ht="28">
      <c r="B288" s="5" t="s">
        <v>698</v>
      </c>
      <c r="C288" s="45" t="s">
        <v>97</v>
      </c>
      <c r="D288" s="45" t="s">
        <v>699</v>
      </c>
      <c r="E288" s="6" t="s">
        <v>700</v>
      </c>
      <c r="F288" s="45" t="s">
        <v>187</v>
      </c>
      <c r="G288" s="46">
        <f t="shared" si="36"/>
        <v>560.5</v>
      </c>
      <c r="H288" s="46">
        <f>TRUNC(S288*(1-LOTE_01!$K$10),2)</f>
        <v>140.80000000000001</v>
      </c>
      <c r="I288" s="46">
        <f>TRUNC(T288*(1-LOTE_01!$K$10),2)</f>
        <v>23.76</v>
      </c>
      <c r="J288" s="100">
        <f t="shared" si="37"/>
        <v>0.22470000000000001</v>
      </c>
      <c r="K288" s="48">
        <f t="shared" si="31"/>
        <v>172.43</v>
      </c>
      <c r="L288" s="48">
        <f t="shared" si="32"/>
        <v>29.09</v>
      </c>
      <c r="M288" s="48">
        <f t="shared" si="33"/>
        <v>96647.01</v>
      </c>
      <c r="N288" s="48">
        <f t="shared" si="34"/>
        <v>16304.94</v>
      </c>
      <c r="O288" s="50">
        <f t="shared" si="35"/>
        <v>112951.95</v>
      </c>
      <c r="P288" s="50">
        <v>0</v>
      </c>
      <c r="Q288" s="76"/>
      <c r="R288" s="140">
        <f>((28+17+33+40)*0.25)*(S9+S10)</f>
        <v>560.5</v>
      </c>
      <c r="S288" s="79">
        <v>140.80000000000001</v>
      </c>
      <c r="T288" s="80">
        <v>23.76</v>
      </c>
    </row>
    <row r="289" spans="2:20" ht="28">
      <c r="B289" s="5" t="s">
        <v>701</v>
      </c>
      <c r="C289" s="45" t="s">
        <v>97</v>
      </c>
      <c r="D289" s="45" t="s">
        <v>702</v>
      </c>
      <c r="E289" s="6" t="s">
        <v>703</v>
      </c>
      <c r="F289" s="45" t="s">
        <v>187</v>
      </c>
      <c r="G289" s="46">
        <f t="shared" si="36"/>
        <v>608</v>
      </c>
      <c r="H289" s="46">
        <f>TRUNC(S289*(1-LOTE_01!$K$10),2)</f>
        <v>153.72</v>
      </c>
      <c r="I289" s="46">
        <f>TRUNC(T289*(1-LOTE_01!$K$10),2)</f>
        <v>23.76</v>
      </c>
      <c r="J289" s="100">
        <f t="shared" si="37"/>
        <v>0.22470000000000001</v>
      </c>
      <c r="K289" s="48">
        <f t="shared" si="31"/>
        <v>188.26</v>
      </c>
      <c r="L289" s="48">
        <f t="shared" si="32"/>
        <v>29.09</v>
      </c>
      <c r="M289" s="48">
        <f t="shared" si="33"/>
        <v>114462.08</v>
      </c>
      <c r="N289" s="48">
        <f t="shared" si="34"/>
        <v>17686.72</v>
      </c>
      <c r="O289" s="50">
        <f t="shared" si="35"/>
        <v>132148.79999999999</v>
      </c>
      <c r="P289" s="50">
        <v>0</v>
      </c>
      <c r="Q289" s="76"/>
      <c r="R289" s="140">
        <f>((17+22+60+29)*0.25)*(S9+S10)</f>
        <v>608</v>
      </c>
      <c r="S289" s="79">
        <v>153.72</v>
      </c>
      <c r="T289" s="80">
        <v>23.76</v>
      </c>
    </row>
    <row r="290" spans="2:20" ht="28">
      <c r="B290" s="5" t="s">
        <v>704</v>
      </c>
      <c r="C290" s="45" t="s">
        <v>165</v>
      </c>
      <c r="D290" s="45" t="s">
        <v>705</v>
      </c>
      <c r="E290" s="6" t="s">
        <v>706</v>
      </c>
      <c r="F290" s="45" t="s">
        <v>168</v>
      </c>
      <c r="G290" s="46">
        <f t="shared" si="36"/>
        <v>380</v>
      </c>
      <c r="H290" s="46">
        <f>TRUNC(S290*(1-LOTE_01!$K$10),2)</f>
        <v>176.49</v>
      </c>
      <c r="I290" s="46">
        <f>TRUNC(T290*(1-LOTE_01!$K$10),2)</f>
        <v>25.91</v>
      </c>
      <c r="J290" s="100">
        <f t="shared" si="37"/>
        <v>0.22470000000000001</v>
      </c>
      <c r="K290" s="48">
        <f t="shared" si="31"/>
        <v>216.14</v>
      </c>
      <c r="L290" s="48">
        <f t="shared" si="32"/>
        <v>31.73</v>
      </c>
      <c r="M290" s="48">
        <f t="shared" si="33"/>
        <v>82133.2</v>
      </c>
      <c r="N290" s="48">
        <f t="shared" si="34"/>
        <v>12057.4</v>
      </c>
      <c r="O290" s="50">
        <f t="shared" si="35"/>
        <v>94190.6</v>
      </c>
      <c r="P290" s="50">
        <v>0</v>
      </c>
      <c r="Q290" s="76"/>
      <c r="R290" s="140">
        <f>20*S9+20*S10</f>
        <v>380</v>
      </c>
      <c r="S290" s="79">
        <v>176.49</v>
      </c>
      <c r="T290" s="80">
        <v>25.91</v>
      </c>
    </row>
    <row r="291" spans="2:20" ht="56">
      <c r="B291" s="5" t="s">
        <v>707</v>
      </c>
      <c r="C291" s="45" t="s">
        <v>135</v>
      </c>
      <c r="D291" s="45">
        <v>104658</v>
      </c>
      <c r="E291" s="6" t="s">
        <v>708</v>
      </c>
      <c r="F291" s="45" t="s">
        <v>121</v>
      </c>
      <c r="G291" s="46">
        <f t="shared" si="36"/>
        <v>380</v>
      </c>
      <c r="H291" s="46">
        <f>TRUNC(S291*(1-LOTE_01!$K$10),2)</f>
        <v>170.76</v>
      </c>
      <c r="I291" s="46">
        <f>TRUNC(T291*(1-LOTE_01!$K$10),2)</f>
        <v>40.49</v>
      </c>
      <c r="J291" s="100">
        <f t="shared" si="37"/>
        <v>0.22470000000000001</v>
      </c>
      <c r="K291" s="48">
        <f t="shared" si="31"/>
        <v>209.12</v>
      </c>
      <c r="L291" s="48">
        <f t="shared" si="32"/>
        <v>49.58</v>
      </c>
      <c r="M291" s="48">
        <f t="shared" si="33"/>
        <v>79465.600000000006</v>
      </c>
      <c r="N291" s="48">
        <f t="shared" si="34"/>
        <v>18840.400000000001</v>
      </c>
      <c r="O291" s="50">
        <f t="shared" si="35"/>
        <v>98306</v>
      </c>
      <c r="P291" s="50">
        <v>0</v>
      </c>
      <c r="Q291" s="76"/>
      <c r="R291" s="140">
        <f>20*S9+20*S10</f>
        <v>380</v>
      </c>
      <c r="S291" s="79">
        <v>170.76</v>
      </c>
      <c r="T291" s="80">
        <v>40.49</v>
      </c>
    </row>
    <row r="292" spans="2:20" ht="84">
      <c r="B292" s="5" t="s">
        <v>709</v>
      </c>
      <c r="C292" s="45" t="s">
        <v>97</v>
      </c>
      <c r="D292" s="45" t="s">
        <v>710</v>
      </c>
      <c r="E292" s="6" t="s">
        <v>711</v>
      </c>
      <c r="F292" s="45" t="s">
        <v>104</v>
      </c>
      <c r="G292" s="46">
        <f t="shared" si="36"/>
        <v>19</v>
      </c>
      <c r="H292" s="46">
        <f>TRUNC(S292*(1-LOTE_01!$K$10),2)</f>
        <v>201.94</v>
      </c>
      <c r="I292" s="46">
        <f>TRUNC(T292*(1-LOTE_01!$K$10),2)</f>
        <v>3.84</v>
      </c>
      <c r="J292" s="100">
        <f t="shared" si="37"/>
        <v>0.22470000000000001</v>
      </c>
      <c r="K292" s="48">
        <f t="shared" si="31"/>
        <v>247.31</v>
      </c>
      <c r="L292" s="48">
        <f t="shared" si="32"/>
        <v>4.7</v>
      </c>
      <c r="M292" s="48">
        <f t="shared" si="33"/>
        <v>4698.8900000000003</v>
      </c>
      <c r="N292" s="48">
        <f t="shared" si="34"/>
        <v>89.3</v>
      </c>
      <c r="O292" s="50">
        <f t="shared" si="35"/>
        <v>4788.1899999999996</v>
      </c>
      <c r="P292" s="50">
        <v>0</v>
      </c>
      <c r="Q292" s="76"/>
      <c r="R292" s="140">
        <f>1*S9+1*S10</f>
        <v>19</v>
      </c>
      <c r="S292" s="79">
        <v>201.94</v>
      </c>
      <c r="T292" s="80">
        <v>3.84</v>
      </c>
    </row>
    <row r="293" spans="2:20" ht="56">
      <c r="B293" s="5" t="s">
        <v>712</v>
      </c>
      <c r="C293" s="45" t="s">
        <v>97</v>
      </c>
      <c r="D293" s="45" t="s">
        <v>713</v>
      </c>
      <c r="E293" s="6" t="s">
        <v>714</v>
      </c>
      <c r="F293" s="45" t="s">
        <v>104</v>
      </c>
      <c r="G293" s="46">
        <f t="shared" si="36"/>
        <v>95</v>
      </c>
      <c r="H293" s="46">
        <f>TRUNC(S293*(1-LOTE_01!$K$10),2)</f>
        <v>14.24</v>
      </c>
      <c r="I293" s="46">
        <f>TRUNC(T293*(1-LOTE_01!$K$10),2)</f>
        <v>0.96</v>
      </c>
      <c r="J293" s="100">
        <f t="shared" si="37"/>
        <v>0.22470000000000001</v>
      </c>
      <c r="K293" s="48">
        <f t="shared" si="31"/>
        <v>17.43</v>
      </c>
      <c r="L293" s="48">
        <f t="shared" si="32"/>
        <v>1.17</v>
      </c>
      <c r="M293" s="48">
        <f t="shared" si="33"/>
        <v>1655.85</v>
      </c>
      <c r="N293" s="48">
        <f t="shared" si="34"/>
        <v>111.15</v>
      </c>
      <c r="O293" s="50">
        <f t="shared" si="35"/>
        <v>1767</v>
      </c>
      <c r="P293" s="50">
        <v>0</v>
      </c>
      <c r="Q293" s="76"/>
      <c r="R293" s="140">
        <f>5*S9+5*S10</f>
        <v>95</v>
      </c>
      <c r="S293" s="79">
        <v>14.24</v>
      </c>
      <c r="T293" s="80">
        <v>0.96</v>
      </c>
    </row>
    <row r="294" spans="2:20" ht="70">
      <c r="B294" s="5" t="s">
        <v>715</v>
      </c>
      <c r="C294" s="45" t="s">
        <v>97</v>
      </c>
      <c r="D294" s="45" t="s">
        <v>716</v>
      </c>
      <c r="E294" s="6" t="s">
        <v>717</v>
      </c>
      <c r="F294" s="45" t="s">
        <v>104</v>
      </c>
      <c r="G294" s="46">
        <f t="shared" si="36"/>
        <v>38</v>
      </c>
      <c r="H294" s="46">
        <f>TRUNC(S294*(1-LOTE_01!$K$10),2)</f>
        <v>225.5</v>
      </c>
      <c r="I294" s="46">
        <f>TRUNC(T294*(1-LOTE_01!$K$10),2)</f>
        <v>3.84</v>
      </c>
      <c r="J294" s="100">
        <f t="shared" si="37"/>
        <v>0.22470000000000001</v>
      </c>
      <c r="K294" s="48">
        <f t="shared" si="31"/>
        <v>276.16000000000003</v>
      </c>
      <c r="L294" s="48">
        <f t="shared" si="32"/>
        <v>4.7</v>
      </c>
      <c r="M294" s="48">
        <f t="shared" si="33"/>
        <v>10494.08</v>
      </c>
      <c r="N294" s="48">
        <f t="shared" si="34"/>
        <v>178.6</v>
      </c>
      <c r="O294" s="50">
        <f t="shared" si="35"/>
        <v>10672.68</v>
      </c>
      <c r="P294" s="50">
        <v>0</v>
      </c>
      <c r="Q294" s="76"/>
      <c r="R294" s="140">
        <f>2*S9+2*S10</f>
        <v>38</v>
      </c>
      <c r="S294" s="79">
        <v>225.5</v>
      </c>
      <c r="T294" s="80">
        <v>3.84</v>
      </c>
    </row>
    <row r="295" spans="2:20" ht="56">
      <c r="B295" s="5" t="s">
        <v>718</v>
      </c>
      <c r="C295" s="45" t="s">
        <v>97</v>
      </c>
      <c r="D295" s="45" t="s">
        <v>719</v>
      </c>
      <c r="E295" s="6" t="s">
        <v>720</v>
      </c>
      <c r="F295" s="45" t="s">
        <v>104</v>
      </c>
      <c r="G295" s="46">
        <f t="shared" si="36"/>
        <v>38</v>
      </c>
      <c r="H295" s="46">
        <f>TRUNC(S295*(1-LOTE_01!$K$10),2)</f>
        <v>26.45</v>
      </c>
      <c r="I295" s="46">
        <f>TRUNC(T295*(1-LOTE_01!$K$10),2)</f>
        <v>4.71</v>
      </c>
      <c r="J295" s="100">
        <f t="shared" si="37"/>
        <v>0.22470000000000001</v>
      </c>
      <c r="K295" s="48">
        <f t="shared" si="31"/>
        <v>32.39</v>
      </c>
      <c r="L295" s="48">
        <f t="shared" si="32"/>
        <v>5.76</v>
      </c>
      <c r="M295" s="48">
        <f t="shared" si="33"/>
        <v>1230.82</v>
      </c>
      <c r="N295" s="48">
        <f t="shared" si="34"/>
        <v>218.88</v>
      </c>
      <c r="O295" s="50">
        <f t="shared" si="35"/>
        <v>1449.7</v>
      </c>
      <c r="P295" s="50">
        <v>0</v>
      </c>
      <c r="Q295" s="76"/>
      <c r="R295" s="140">
        <f>2*S9+2*S10</f>
        <v>38</v>
      </c>
      <c r="S295" s="79">
        <v>26.45</v>
      </c>
      <c r="T295" s="80">
        <v>4.71</v>
      </c>
    </row>
    <row r="296" spans="2:20" ht="42">
      <c r="B296" s="5" t="s">
        <v>721</v>
      </c>
      <c r="C296" s="45" t="s">
        <v>97</v>
      </c>
      <c r="D296" s="45" t="s">
        <v>722</v>
      </c>
      <c r="E296" s="6" t="s">
        <v>723</v>
      </c>
      <c r="F296" s="45" t="s">
        <v>104</v>
      </c>
      <c r="G296" s="46">
        <f t="shared" si="36"/>
        <v>38</v>
      </c>
      <c r="H296" s="46">
        <f>TRUNC(S296*(1-LOTE_01!$K$10),2)</f>
        <v>42.91</v>
      </c>
      <c r="I296" s="46">
        <f>TRUNC(T296*(1-LOTE_01!$K$10),2)</f>
        <v>4.71</v>
      </c>
      <c r="J296" s="100">
        <f t="shared" si="37"/>
        <v>0.22470000000000001</v>
      </c>
      <c r="K296" s="48">
        <f t="shared" si="31"/>
        <v>52.55</v>
      </c>
      <c r="L296" s="48">
        <f t="shared" si="32"/>
        <v>5.76</v>
      </c>
      <c r="M296" s="48">
        <f t="shared" si="33"/>
        <v>1996.9</v>
      </c>
      <c r="N296" s="48">
        <f t="shared" si="34"/>
        <v>218.88</v>
      </c>
      <c r="O296" s="50">
        <f t="shared" si="35"/>
        <v>2215.7800000000002</v>
      </c>
      <c r="P296" s="50">
        <v>0</v>
      </c>
      <c r="Q296" s="76"/>
      <c r="R296" s="140">
        <f>2*S9+2*S10</f>
        <v>38</v>
      </c>
      <c r="S296" s="79">
        <v>42.91</v>
      </c>
      <c r="T296" s="80">
        <v>4.71</v>
      </c>
    </row>
    <row r="297" spans="2:20" ht="56">
      <c r="B297" s="5" t="s">
        <v>724</v>
      </c>
      <c r="C297" s="45" t="s">
        <v>135</v>
      </c>
      <c r="D297" s="45">
        <v>100868</v>
      </c>
      <c r="E297" s="6" t="s">
        <v>1811</v>
      </c>
      <c r="F297" s="45" t="s">
        <v>210</v>
      </c>
      <c r="G297" s="46">
        <f t="shared" si="36"/>
        <v>19</v>
      </c>
      <c r="H297" s="46">
        <f>TRUNC(S297*(1-LOTE_01!$K$10),2)</f>
        <v>261.01</v>
      </c>
      <c r="I297" s="46">
        <f>TRUNC(T297*(1-LOTE_01!$K$10),2)</f>
        <v>22.51</v>
      </c>
      <c r="J297" s="100">
        <f t="shared" si="37"/>
        <v>0.22470000000000001</v>
      </c>
      <c r="K297" s="48">
        <f t="shared" si="31"/>
        <v>319.64999999999998</v>
      </c>
      <c r="L297" s="48">
        <f t="shared" si="32"/>
        <v>27.56</v>
      </c>
      <c r="M297" s="48">
        <f t="shared" si="33"/>
        <v>6073.35</v>
      </c>
      <c r="N297" s="48">
        <f t="shared" si="34"/>
        <v>523.64</v>
      </c>
      <c r="O297" s="50">
        <f t="shared" si="35"/>
        <v>6596.99</v>
      </c>
      <c r="P297" s="50">
        <v>0</v>
      </c>
      <c r="Q297" s="76"/>
      <c r="R297" s="140">
        <f>1*S9+1*S10</f>
        <v>19</v>
      </c>
      <c r="S297" s="79">
        <v>261.01</v>
      </c>
      <c r="T297" s="80">
        <v>22.51</v>
      </c>
    </row>
    <row r="298" spans="2:20" ht="56">
      <c r="B298" s="5" t="s">
        <v>725</v>
      </c>
      <c r="C298" s="45" t="s">
        <v>135</v>
      </c>
      <c r="D298" s="45">
        <v>100871</v>
      </c>
      <c r="E298" s="6" t="s">
        <v>1812</v>
      </c>
      <c r="F298" s="45" t="s">
        <v>210</v>
      </c>
      <c r="G298" s="46">
        <f t="shared" si="36"/>
        <v>19</v>
      </c>
      <c r="H298" s="46">
        <f>TRUNC(S298*(1-LOTE_01!$K$10),2)</f>
        <v>331.25</v>
      </c>
      <c r="I298" s="46">
        <f>TRUNC(T298*(1-LOTE_01!$K$10),2)</f>
        <v>29</v>
      </c>
      <c r="J298" s="100">
        <f t="shared" si="37"/>
        <v>0.22470000000000001</v>
      </c>
      <c r="K298" s="48">
        <f t="shared" si="31"/>
        <v>405.68</v>
      </c>
      <c r="L298" s="48">
        <f t="shared" si="32"/>
        <v>35.51</v>
      </c>
      <c r="M298" s="48">
        <f t="shared" si="33"/>
        <v>7707.92</v>
      </c>
      <c r="N298" s="48">
        <f t="shared" si="34"/>
        <v>674.69</v>
      </c>
      <c r="O298" s="50">
        <f t="shared" si="35"/>
        <v>8382.61</v>
      </c>
      <c r="P298" s="50">
        <v>0</v>
      </c>
      <c r="Q298" s="76"/>
      <c r="R298" s="140">
        <f>1*S9+1*S10</f>
        <v>19</v>
      </c>
      <c r="S298" s="79">
        <v>331.25</v>
      </c>
      <c r="T298" s="80">
        <v>29</v>
      </c>
    </row>
    <row r="299" spans="2:20" ht="56">
      <c r="B299" s="5" t="s">
        <v>726</v>
      </c>
      <c r="C299" s="45" t="s">
        <v>135</v>
      </c>
      <c r="D299" s="45">
        <v>100866</v>
      </c>
      <c r="E299" s="6" t="s">
        <v>1813</v>
      </c>
      <c r="F299" s="45" t="s">
        <v>210</v>
      </c>
      <c r="G299" s="46">
        <f t="shared" si="36"/>
        <v>38</v>
      </c>
      <c r="H299" s="46">
        <f>TRUNC(S299*(1-LOTE_01!$K$10),2)</f>
        <v>241.51</v>
      </c>
      <c r="I299" s="46">
        <f>TRUNC(T299*(1-LOTE_01!$K$10),2)</f>
        <v>23.04</v>
      </c>
      <c r="J299" s="100">
        <f t="shared" si="37"/>
        <v>0.22470000000000001</v>
      </c>
      <c r="K299" s="48">
        <f t="shared" si="31"/>
        <v>295.77</v>
      </c>
      <c r="L299" s="48">
        <f t="shared" si="32"/>
        <v>28.21</v>
      </c>
      <c r="M299" s="48">
        <f t="shared" si="33"/>
        <v>11239.26</v>
      </c>
      <c r="N299" s="48">
        <f t="shared" si="34"/>
        <v>1071.98</v>
      </c>
      <c r="O299" s="50">
        <f t="shared" si="35"/>
        <v>12311.24</v>
      </c>
      <c r="P299" s="50">
        <v>0</v>
      </c>
      <c r="Q299" s="76"/>
      <c r="R299" s="140">
        <f>2*S9+2*S10</f>
        <v>38</v>
      </c>
      <c r="S299" s="79">
        <v>241.51000000000002</v>
      </c>
      <c r="T299" s="80">
        <v>23.04</v>
      </c>
    </row>
    <row r="300" spans="2:20" ht="112">
      <c r="B300" s="5" t="s">
        <v>727</v>
      </c>
      <c r="C300" s="45" t="s">
        <v>97</v>
      </c>
      <c r="D300" s="45" t="s">
        <v>728</v>
      </c>
      <c r="E300" s="6" t="s">
        <v>729</v>
      </c>
      <c r="F300" s="45" t="s">
        <v>104</v>
      </c>
      <c r="G300" s="46">
        <f t="shared" si="36"/>
        <v>10</v>
      </c>
      <c r="H300" s="46">
        <f>TRUNC(S300*(1-LOTE_01!$K$10),2)</f>
        <v>546.16999999999996</v>
      </c>
      <c r="I300" s="46">
        <f>TRUNC(T300*(1-LOTE_01!$K$10),2)</f>
        <v>7.8</v>
      </c>
      <c r="J300" s="100">
        <f t="shared" si="37"/>
        <v>0.22470000000000001</v>
      </c>
      <c r="K300" s="48">
        <f t="shared" si="31"/>
        <v>668.89</v>
      </c>
      <c r="L300" s="48">
        <f t="shared" si="32"/>
        <v>9.5500000000000007</v>
      </c>
      <c r="M300" s="48">
        <f t="shared" si="33"/>
        <v>6688.9</v>
      </c>
      <c r="N300" s="48">
        <f t="shared" si="34"/>
        <v>95.5</v>
      </c>
      <c r="O300" s="50">
        <f t="shared" si="35"/>
        <v>6784.4</v>
      </c>
      <c r="P300" s="50">
        <v>0</v>
      </c>
      <c r="Q300" s="76"/>
      <c r="R300" s="140">
        <f>IF((1*S9+1*S10)&gt;10,10,(1*S9+1*S10))</f>
        <v>10</v>
      </c>
      <c r="S300" s="79">
        <v>546.16999999999996</v>
      </c>
      <c r="T300" s="80">
        <v>7.8</v>
      </c>
    </row>
    <row r="301" spans="2:20" ht="42">
      <c r="B301" s="5" t="s">
        <v>730</v>
      </c>
      <c r="C301" s="45" t="s">
        <v>97</v>
      </c>
      <c r="D301" s="45" t="s">
        <v>731</v>
      </c>
      <c r="E301" s="6" t="s">
        <v>732</v>
      </c>
      <c r="F301" s="45" t="s">
        <v>104</v>
      </c>
      <c r="G301" s="46">
        <f t="shared" si="36"/>
        <v>19</v>
      </c>
      <c r="H301" s="46">
        <f>TRUNC(S301*(1-LOTE_01!$K$10),2)</f>
        <v>790</v>
      </c>
      <c r="I301" s="46">
        <f>TRUNC(T301*(1-LOTE_01!$K$10),2)</f>
        <v>0</v>
      </c>
      <c r="J301" s="100">
        <f t="shared" si="37"/>
        <v>0.22470000000000001</v>
      </c>
      <c r="K301" s="48">
        <f t="shared" si="31"/>
        <v>967.51</v>
      </c>
      <c r="L301" s="48">
        <f t="shared" si="32"/>
        <v>0</v>
      </c>
      <c r="M301" s="48">
        <f t="shared" si="33"/>
        <v>18382.689999999999</v>
      </c>
      <c r="N301" s="48">
        <f t="shared" si="34"/>
        <v>0</v>
      </c>
      <c r="O301" s="50">
        <f t="shared" si="35"/>
        <v>18382.689999999999</v>
      </c>
      <c r="P301" s="50">
        <v>0</v>
      </c>
      <c r="Q301" s="76"/>
      <c r="R301" s="140">
        <f>1*S9+1*S10</f>
        <v>19</v>
      </c>
      <c r="S301" s="79">
        <v>790</v>
      </c>
      <c r="T301" s="80">
        <v>0</v>
      </c>
    </row>
    <row r="302" spans="2:20" ht="42">
      <c r="B302" s="5" t="s">
        <v>733</v>
      </c>
      <c r="C302" s="45" t="s">
        <v>97</v>
      </c>
      <c r="D302" s="45" t="s">
        <v>734</v>
      </c>
      <c r="E302" s="6" t="s">
        <v>735</v>
      </c>
      <c r="F302" s="45" t="s">
        <v>104</v>
      </c>
      <c r="G302" s="46">
        <f t="shared" si="36"/>
        <v>10</v>
      </c>
      <c r="H302" s="46">
        <f>TRUNC(S302*(1-LOTE_01!$K$10),2)</f>
        <v>2668.79</v>
      </c>
      <c r="I302" s="46">
        <f>TRUNC(T302*(1-LOTE_01!$K$10),2)</f>
        <v>0</v>
      </c>
      <c r="J302" s="100">
        <f t="shared" si="37"/>
        <v>0.22470000000000001</v>
      </c>
      <c r="K302" s="48">
        <f t="shared" si="31"/>
        <v>3268.46</v>
      </c>
      <c r="L302" s="48">
        <f t="shared" si="32"/>
        <v>0</v>
      </c>
      <c r="M302" s="48">
        <f t="shared" si="33"/>
        <v>32684.6</v>
      </c>
      <c r="N302" s="48">
        <f t="shared" si="34"/>
        <v>0</v>
      </c>
      <c r="O302" s="50">
        <f t="shared" si="35"/>
        <v>32684.6</v>
      </c>
      <c r="P302" s="50">
        <v>0</v>
      </c>
      <c r="Q302" s="76"/>
      <c r="R302" s="140">
        <f>IF((1*S9+1*S10)&gt;10,10,(1*S9+1*S10))</f>
        <v>10</v>
      </c>
      <c r="S302" s="79">
        <v>2668.79</v>
      </c>
      <c r="T302" s="80">
        <v>0</v>
      </c>
    </row>
    <row r="303" spans="2:20">
      <c r="B303" s="5" t="s">
        <v>736</v>
      </c>
      <c r="C303" s="45" t="s">
        <v>97</v>
      </c>
      <c r="D303" s="45" t="s">
        <v>737</v>
      </c>
      <c r="E303" s="6" t="s">
        <v>738</v>
      </c>
      <c r="F303" s="45" t="s">
        <v>104</v>
      </c>
      <c r="G303" s="46">
        <f t="shared" si="36"/>
        <v>10</v>
      </c>
      <c r="H303" s="46">
        <f>TRUNC(S303*(1-LOTE_01!$K$10),2)</f>
        <v>1474.71</v>
      </c>
      <c r="I303" s="46">
        <f>TRUNC(T303*(1-LOTE_01!$K$10),2)</f>
        <v>3.84</v>
      </c>
      <c r="J303" s="100">
        <f t="shared" si="37"/>
        <v>0.22470000000000001</v>
      </c>
      <c r="K303" s="48">
        <f t="shared" si="31"/>
        <v>1806.07</v>
      </c>
      <c r="L303" s="48">
        <f t="shared" si="32"/>
        <v>4.7</v>
      </c>
      <c r="M303" s="48">
        <f t="shared" si="33"/>
        <v>18060.7</v>
      </c>
      <c r="N303" s="48">
        <f t="shared" si="34"/>
        <v>47</v>
      </c>
      <c r="O303" s="50">
        <f t="shared" si="35"/>
        <v>18107.7</v>
      </c>
      <c r="P303" s="50">
        <v>0</v>
      </c>
      <c r="Q303" s="76"/>
      <c r="R303" s="140">
        <f>IF((1*S9+1*S10)&gt;10,10,(1*S9+1*S10))</f>
        <v>10</v>
      </c>
      <c r="S303" s="79">
        <v>1474.71</v>
      </c>
      <c r="T303" s="80">
        <v>3.84</v>
      </c>
    </row>
    <row r="304" spans="2:20" ht="42">
      <c r="B304" s="5" t="s">
        <v>739</v>
      </c>
      <c r="C304" s="45" t="s">
        <v>97</v>
      </c>
      <c r="D304" s="45" t="s">
        <v>740</v>
      </c>
      <c r="E304" s="6" t="s">
        <v>741</v>
      </c>
      <c r="F304" s="45" t="s">
        <v>104</v>
      </c>
      <c r="G304" s="46">
        <f t="shared" si="36"/>
        <v>76</v>
      </c>
      <c r="H304" s="46">
        <f>TRUNC(S304*(1-LOTE_01!$K$10),2)</f>
        <v>66.3</v>
      </c>
      <c r="I304" s="46">
        <f>TRUNC(T304*(1-LOTE_01!$K$10),2)</f>
        <v>0</v>
      </c>
      <c r="J304" s="100">
        <f t="shared" si="37"/>
        <v>0.22470000000000001</v>
      </c>
      <c r="K304" s="48">
        <f t="shared" si="31"/>
        <v>81.19</v>
      </c>
      <c r="L304" s="48">
        <f t="shared" si="32"/>
        <v>0</v>
      </c>
      <c r="M304" s="48">
        <f t="shared" si="33"/>
        <v>6170.44</v>
      </c>
      <c r="N304" s="48">
        <f t="shared" si="34"/>
        <v>0</v>
      </c>
      <c r="O304" s="50">
        <f t="shared" si="35"/>
        <v>6170.44</v>
      </c>
      <c r="P304" s="50">
        <v>0</v>
      </c>
      <c r="Q304" s="76"/>
      <c r="R304" s="140">
        <f>4*S9+4*S10</f>
        <v>76</v>
      </c>
      <c r="S304" s="79">
        <v>66.3</v>
      </c>
      <c r="T304" s="80">
        <v>0</v>
      </c>
    </row>
    <row r="305" spans="2:20" ht="84">
      <c r="B305" s="5" t="s">
        <v>742</v>
      </c>
      <c r="C305" s="45" t="s">
        <v>97</v>
      </c>
      <c r="D305" s="45" t="s">
        <v>743</v>
      </c>
      <c r="E305" s="6" t="s">
        <v>744</v>
      </c>
      <c r="F305" s="45" t="s">
        <v>104</v>
      </c>
      <c r="G305" s="46">
        <f t="shared" si="36"/>
        <v>10</v>
      </c>
      <c r="H305" s="46">
        <f>TRUNC(S305*(1-LOTE_01!$K$10),2)</f>
        <v>75.5</v>
      </c>
      <c r="I305" s="46">
        <f>TRUNC(T305*(1-LOTE_01!$K$10),2)</f>
        <v>3.84</v>
      </c>
      <c r="J305" s="100">
        <f t="shared" si="37"/>
        <v>0.22470000000000001</v>
      </c>
      <c r="K305" s="48">
        <f t="shared" si="31"/>
        <v>92.46</v>
      </c>
      <c r="L305" s="48">
        <f t="shared" si="32"/>
        <v>4.7</v>
      </c>
      <c r="M305" s="48">
        <f t="shared" si="33"/>
        <v>924.6</v>
      </c>
      <c r="N305" s="48">
        <f t="shared" si="34"/>
        <v>47</v>
      </c>
      <c r="O305" s="50">
        <f t="shared" si="35"/>
        <v>971.6</v>
      </c>
      <c r="P305" s="50">
        <v>0</v>
      </c>
      <c r="Q305" s="76"/>
      <c r="R305" s="140">
        <f>IF((1*S9+1*S10)&gt;10,10,(1*S9+1*S10))</f>
        <v>10</v>
      </c>
      <c r="S305" s="79">
        <v>75.5</v>
      </c>
      <c r="T305" s="80">
        <v>3.84</v>
      </c>
    </row>
    <row r="306" spans="2:20" ht="98">
      <c r="B306" s="5" t="s">
        <v>745</v>
      </c>
      <c r="C306" s="45" t="s">
        <v>97</v>
      </c>
      <c r="D306" s="45" t="s">
        <v>746</v>
      </c>
      <c r="E306" s="6" t="s">
        <v>747</v>
      </c>
      <c r="F306" s="45" t="s">
        <v>104</v>
      </c>
      <c r="G306" s="46">
        <f t="shared" si="36"/>
        <v>19</v>
      </c>
      <c r="H306" s="46">
        <f>TRUNC(S306*(1-LOTE_01!$K$10),2)</f>
        <v>76.11</v>
      </c>
      <c r="I306" s="46">
        <f>TRUNC(T306*(1-LOTE_01!$K$10),2)</f>
        <v>0</v>
      </c>
      <c r="J306" s="100">
        <f t="shared" si="37"/>
        <v>0.22470000000000001</v>
      </c>
      <c r="K306" s="48">
        <f t="shared" si="31"/>
        <v>93.21</v>
      </c>
      <c r="L306" s="48">
        <f t="shared" si="32"/>
        <v>0</v>
      </c>
      <c r="M306" s="48">
        <f t="shared" si="33"/>
        <v>1770.99</v>
      </c>
      <c r="N306" s="48">
        <f t="shared" si="34"/>
        <v>0</v>
      </c>
      <c r="O306" s="50">
        <f t="shared" si="35"/>
        <v>1770.99</v>
      </c>
      <c r="P306" s="50">
        <v>0</v>
      </c>
      <c r="Q306" s="76"/>
      <c r="R306" s="140">
        <f>S9+S10</f>
        <v>19</v>
      </c>
      <c r="S306" s="79">
        <v>76.11</v>
      </c>
      <c r="T306" s="80">
        <v>0</v>
      </c>
    </row>
    <row r="307" spans="2:20" ht="84">
      <c r="B307" s="5" t="s">
        <v>748</v>
      </c>
      <c r="C307" s="45" t="s">
        <v>97</v>
      </c>
      <c r="D307" s="45" t="s">
        <v>749</v>
      </c>
      <c r="E307" s="6" t="s">
        <v>750</v>
      </c>
      <c r="F307" s="45" t="s">
        <v>104</v>
      </c>
      <c r="G307" s="46">
        <f t="shared" si="36"/>
        <v>10</v>
      </c>
      <c r="H307" s="46">
        <f>TRUNC(S307*(1-LOTE_01!$K$10),2)</f>
        <v>713.57</v>
      </c>
      <c r="I307" s="46">
        <f>TRUNC(T307*(1-LOTE_01!$K$10),2)</f>
        <v>28.77</v>
      </c>
      <c r="J307" s="100">
        <f t="shared" si="37"/>
        <v>0.22470000000000001</v>
      </c>
      <c r="K307" s="48">
        <f t="shared" si="31"/>
        <v>873.9</v>
      </c>
      <c r="L307" s="48">
        <f t="shared" si="32"/>
        <v>35.229999999999997</v>
      </c>
      <c r="M307" s="48">
        <f t="shared" si="33"/>
        <v>8739</v>
      </c>
      <c r="N307" s="48">
        <f t="shared" si="34"/>
        <v>352.3</v>
      </c>
      <c r="O307" s="50">
        <f t="shared" si="35"/>
        <v>9091.2999999999993</v>
      </c>
      <c r="P307" s="50">
        <v>0</v>
      </c>
      <c r="Q307" s="76"/>
      <c r="R307" s="140">
        <f>IF((1*S9+1*S10)&gt;10,10,(1*S9+1*S10))</f>
        <v>10</v>
      </c>
      <c r="S307" s="79">
        <v>713.57</v>
      </c>
      <c r="T307" s="80">
        <v>28.77</v>
      </c>
    </row>
    <row r="308" spans="2:20" ht="70">
      <c r="B308" s="5" t="s">
        <v>751</v>
      </c>
      <c r="C308" s="45" t="s">
        <v>97</v>
      </c>
      <c r="D308" s="45" t="s">
        <v>752</v>
      </c>
      <c r="E308" s="6" t="s">
        <v>753</v>
      </c>
      <c r="F308" s="45" t="s">
        <v>104</v>
      </c>
      <c r="G308" s="46">
        <f t="shared" si="36"/>
        <v>10</v>
      </c>
      <c r="H308" s="46">
        <f>TRUNC(S308*(1-LOTE_01!$K$10),2)</f>
        <v>301.64</v>
      </c>
      <c r="I308" s="46">
        <f>TRUNC(T308*(1-LOTE_01!$K$10),2)</f>
        <v>12.78</v>
      </c>
      <c r="J308" s="100">
        <f t="shared" si="37"/>
        <v>0.22470000000000001</v>
      </c>
      <c r="K308" s="48">
        <f t="shared" si="31"/>
        <v>369.41</v>
      </c>
      <c r="L308" s="48">
        <f t="shared" si="32"/>
        <v>15.65</v>
      </c>
      <c r="M308" s="48">
        <f t="shared" si="33"/>
        <v>3694.1</v>
      </c>
      <c r="N308" s="48">
        <f t="shared" si="34"/>
        <v>156.5</v>
      </c>
      <c r="O308" s="50">
        <f t="shared" si="35"/>
        <v>3850.6</v>
      </c>
      <c r="P308" s="50">
        <v>0</v>
      </c>
      <c r="Q308" s="76"/>
      <c r="R308" s="140">
        <f>IF((1*S9+1*S10)&gt;10,10,(1*S9+1*S10))</f>
        <v>10</v>
      </c>
      <c r="S308" s="79">
        <v>301.64</v>
      </c>
      <c r="T308" s="80">
        <v>12.78</v>
      </c>
    </row>
    <row r="309" spans="2:20" ht="28">
      <c r="B309" s="5" t="s">
        <v>754</v>
      </c>
      <c r="C309" s="45" t="s">
        <v>97</v>
      </c>
      <c r="D309" s="45" t="s">
        <v>755</v>
      </c>
      <c r="E309" s="6" t="s">
        <v>756</v>
      </c>
      <c r="F309" s="45" t="s">
        <v>187</v>
      </c>
      <c r="G309" s="46">
        <f t="shared" si="36"/>
        <v>50</v>
      </c>
      <c r="H309" s="46">
        <f>TRUNC(S309*(1-LOTE_01!$K$10),2)</f>
        <v>277.18</v>
      </c>
      <c r="I309" s="46">
        <f>TRUNC(T309*(1-LOTE_01!$K$10),2)</f>
        <v>42.81</v>
      </c>
      <c r="J309" s="100">
        <f t="shared" si="37"/>
        <v>0.22470000000000001</v>
      </c>
      <c r="K309" s="48">
        <f t="shared" si="31"/>
        <v>339.46</v>
      </c>
      <c r="L309" s="48">
        <f t="shared" si="32"/>
        <v>52.42</v>
      </c>
      <c r="M309" s="48">
        <f t="shared" si="33"/>
        <v>16973</v>
      </c>
      <c r="N309" s="48">
        <f t="shared" si="34"/>
        <v>2621</v>
      </c>
      <c r="O309" s="50">
        <f t="shared" si="35"/>
        <v>19594</v>
      </c>
      <c r="P309" s="50">
        <v>0</v>
      </c>
      <c r="Q309" s="76"/>
      <c r="R309" s="140">
        <f>IF((10*S9+10*S10)&gt;50,50,(10*S9+10*S10))</f>
        <v>50</v>
      </c>
      <c r="S309" s="79">
        <v>277.18</v>
      </c>
      <c r="T309" s="80">
        <v>42.81</v>
      </c>
    </row>
    <row r="310" spans="2:20" ht="84">
      <c r="B310" s="5" t="s">
        <v>757</v>
      </c>
      <c r="C310" s="45" t="s">
        <v>97</v>
      </c>
      <c r="D310" s="45" t="s">
        <v>758</v>
      </c>
      <c r="E310" s="6" t="s">
        <v>759</v>
      </c>
      <c r="F310" s="45" t="s">
        <v>104</v>
      </c>
      <c r="G310" s="46">
        <f t="shared" si="36"/>
        <v>10</v>
      </c>
      <c r="H310" s="46">
        <f>TRUNC(S310*(1-LOTE_01!$K$10),2)</f>
        <v>680.17</v>
      </c>
      <c r="I310" s="46">
        <f>TRUNC(T310*(1-LOTE_01!$K$10),2)</f>
        <v>16.190000000000001</v>
      </c>
      <c r="J310" s="100">
        <f t="shared" si="37"/>
        <v>0.22470000000000001</v>
      </c>
      <c r="K310" s="48">
        <f t="shared" si="31"/>
        <v>833</v>
      </c>
      <c r="L310" s="48">
        <f t="shared" si="32"/>
        <v>19.82</v>
      </c>
      <c r="M310" s="48">
        <f t="shared" si="33"/>
        <v>8330</v>
      </c>
      <c r="N310" s="48">
        <f t="shared" si="34"/>
        <v>198.2</v>
      </c>
      <c r="O310" s="50">
        <f t="shared" si="35"/>
        <v>8528.2000000000007</v>
      </c>
      <c r="P310" s="50">
        <v>0</v>
      </c>
      <c r="Q310" s="76"/>
      <c r="R310" s="140">
        <f>IF((1*S9+1*S10)&gt;10,10,(1*S9+1*S10))</f>
        <v>10</v>
      </c>
      <c r="S310" s="79">
        <v>680.17</v>
      </c>
      <c r="T310" s="80">
        <v>16.190000000000001</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4401370.25</v>
      </c>
      <c r="Q311" s="76"/>
      <c r="R311" s="154"/>
      <c r="S311" s="79" t="s">
        <v>22</v>
      </c>
      <c r="T311" s="80" t="s">
        <v>22</v>
      </c>
    </row>
    <row r="312" spans="2:20" ht="28">
      <c r="B312" s="5" t="s">
        <v>760</v>
      </c>
      <c r="C312" s="45" t="s">
        <v>165</v>
      </c>
      <c r="D312" s="45" t="s">
        <v>761</v>
      </c>
      <c r="E312" s="6" t="s">
        <v>762</v>
      </c>
      <c r="F312" s="45" t="s">
        <v>168</v>
      </c>
      <c r="G312" s="46">
        <f t="shared" si="36"/>
        <v>10260</v>
      </c>
      <c r="H312" s="46">
        <f>TRUNC(S312*(1-LOTE_01!$K$10),2)</f>
        <v>0</v>
      </c>
      <c r="I312" s="46">
        <f>TRUNC(T312*(1-LOTE_01!$K$10),2)</f>
        <v>19.8</v>
      </c>
      <c r="J312" s="100">
        <f t="shared" si="37"/>
        <v>0.22470000000000001</v>
      </c>
      <c r="K312" s="48">
        <f t="shared" si="31"/>
        <v>0</v>
      </c>
      <c r="L312" s="48">
        <f t="shared" si="32"/>
        <v>24.24</v>
      </c>
      <c r="M312" s="48">
        <f t="shared" si="33"/>
        <v>0</v>
      </c>
      <c r="N312" s="48">
        <f t="shared" si="34"/>
        <v>248702.4</v>
      </c>
      <c r="O312" s="50">
        <f t="shared" si="35"/>
        <v>248702.4</v>
      </c>
      <c r="P312" s="50">
        <v>0</v>
      </c>
      <c r="Q312" s="76"/>
      <c r="R312" s="140">
        <f>90*6*(S9+S10)</f>
        <v>10260</v>
      </c>
      <c r="S312" s="79">
        <v>0</v>
      </c>
      <c r="T312" s="80">
        <v>19.8</v>
      </c>
    </row>
    <row r="313" spans="2:20" ht="28">
      <c r="B313" s="5" t="s">
        <v>763</v>
      </c>
      <c r="C313" s="45" t="s">
        <v>165</v>
      </c>
      <c r="D313" s="45" t="s">
        <v>764</v>
      </c>
      <c r="E313" s="6" t="s">
        <v>765</v>
      </c>
      <c r="F313" s="45" t="s">
        <v>168</v>
      </c>
      <c r="G313" s="46">
        <f t="shared" si="36"/>
        <v>890</v>
      </c>
      <c r="H313" s="46">
        <f>TRUNC(S313*(1-LOTE_01!$K$10),2)</f>
        <v>27.54</v>
      </c>
      <c r="I313" s="46">
        <f>TRUNC(T313*(1-LOTE_01!$K$10),2)</f>
        <v>27.23</v>
      </c>
      <c r="J313" s="100">
        <f t="shared" si="37"/>
        <v>0.22470000000000001</v>
      </c>
      <c r="K313" s="48">
        <f t="shared" si="31"/>
        <v>33.72</v>
      </c>
      <c r="L313" s="48">
        <f t="shared" si="32"/>
        <v>33.340000000000003</v>
      </c>
      <c r="M313" s="48">
        <f t="shared" si="33"/>
        <v>30010.799999999999</v>
      </c>
      <c r="N313" s="48">
        <f t="shared" si="34"/>
        <v>29672.6</v>
      </c>
      <c r="O313" s="50">
        <f t="shared" si="35"/>
        <v>59683.4</v>
      </c>
      <c r="P313" s="50">
        <v>0</v>
      </c>
      <c r="Q313" s="76"/>
      <c r="R313" s="140">
        <f>50*S9+20*(S10)</f>
        <v>890</v>
      </c>
      <c r="S313" s="79">
        <v>27.54</v>
      </c>
      <c r="T313" s="80">
        <v>27.23</v>
      </c>
    </row>
    <row r="314" spans="2:20" ht="28">
      <c r="B314" s="5" t="s">
        <v>766</v>
      </c>
      <c r="C314" s="45" t="s">
        <v>135</v>
      </c>
      <c r="D314" s="45">
        <v>100717</v>
      </c>
      <c r="E314" s="6" t="s">
        <v>767</v>
      </c>
      <c r="F314" s="45" t="s">
        <v>121</v>
      </c>
      <c r="G314" s="46">
        <f t="shared" si="36"/>
        <v>5500</v>
      </c>
      <c r="H314" s="46">
        <f>TRUNC(S314*(1-LOTE_01!$K$10),2)</f>
        <v>3.88</v>
      </c>
      <c r="I314" s="46">
        <f>TRUNC(T314*(1-LOTE_01!$K$10),2)</f>
        <v>7.01</v>
      </c>
      <c r="J314" s="100">
        <f t="shared" si="37"/>
        <v>0.22470000000000001</v>
      </c>
      <c r="K314" s="48">
        <f t="shared" si="31"/>
        <v>4.75</v>
      </c>
      <c r="L314" s="48">
        <f t="shared" si="32"/>
        <v>8.58</v>
      </c>
      <c r="M314" s="48">
        <f t="shared" si="33"/>
        <v>26125</v>
      </c>
      <c r="N314" s="48">
        <f t="shared" si="34"/>
        <v>47190</v>
      </c>
      <c r="O314" s="50">
        <f t="shared" si="35"/>
        <v>73315</v>
      </c>
      <c r="P314" s="50">
        <v>0</v>
      </c>
      <c r="Q314" s="76"/>
      <c r="R314" s="140">
        <f>R330</f>
        <v>5500</v>
      </c>
      <c r="S314" s="79">
        <v>3.8800000000000008</v>
      </c>
      <c r="T314" s="80">
        <v>7.01</v>
      </c>
    </row>
    <row r="315" spans="2:20" ht="28">
      <c r="B315" s="5" t="s">
        <v>768</v>
      </c>
      <c r="C315" s="45" t="s">
        <v>135</v>
      </c>
      <c r="D315" s="45">
        <v>102197</v>
      </c>
      <c r="E315" s="6" t="s">
        <v>769</v>
      </c>
      <c r="F315" s="45" t="s">
        <v>121</v>
      </c>
      <c r="G315" s="46">
        <f t="shared" si="36"/>
        <v>570</v>
      </c>
      <c r="H315" s="46">
        <f>TRUNC(S315*(1-LOTE_01!$K$10),2)</f>
        <v>21.63</v>
      </c>
      <c r="I315" s="46">
        <f>TRUNC(T315*(1-LOTE_01!$K$10),2)</f>
        <v>6.72</v>
      </c>
      <c r="J315" s="100">
        <f t="shared" si="37"/>
        <v>0.22470000000000001</v>
      </c>
      <c r="K315" s="48">
        <f t="shared" si="31"/>
        <v>26.49</v>
      </c>
      <c r="L315" s="48">
        <f t="shared" si="32"/>
        <v>8.2200000000000006</v>
      </c>
      <c r="M315" s="48">
        <f t="shared" si="33"/>
        <v>15099.3</v>
      </c>
      <c r="N315" s="48">
        <f t="shared" si="34"/>
        <v>4685.3999999999996</v>
      </c>
      <c r="O315" s="50">
        <f t="shared" si="35"/>
        <v>19784.7</v>
      </c>
      <c r="P315" s="50">
        <v>0</v>
      </c>
      <c r="Q315" s="76"/>
      <c r="R315" s="140">
        <f>R256</f>
        <v>570</v>
      </c>
      <c r="S315" s="79">
        <v>21.630000000000003</v>
      </c>
      <c r="T315" s="80">
        <v>6.72</v>
      </c>
    </row>
    <row r="316" spans="2:20" ht="70">
      <c r="B316" s="5" t="s">
        <v>770</v>
      </c>
      <c r="C316" s="45" t="s">
        <v>135</v>
      </c>
      <c r="D316" s="45">
        <v>88412</v>
      </c>
      <c r="E316" s="6" t="s">
        <v>771</v>
      </c>
      <c r="F316" s="45" t="s">
        <v>121</v>
      </c>
      <c r="G316" s="46">
        <f t="shared" si="36"/>
        <v>28500</v>
      </c>
      <c r="H316" s="46">
        <f>TRUNC(S316*(1-LOTE_01!$K$10),2)</f>
        <v>2.57</v>
      </c>
      <c r="I316" s="46">
        <f>TRUNC(T316*(1-LOTE_01!$K$10),2)</f>
        <v>0.84</v>
      </c>
      <c r="J316" s="100">
        <f t="shared" si="37"/>
        <v>0.22470000000000001</v>
      </c>
      <c r="K316" s="48">
        <f t="shared" si="31"/>
        <v>3.14</v>
      </c>
      <c r="L316" s="48">
        <f t="shared" si="32"/>
        <v>1.02</v>
      </c>
      <c r="M316" s="48">
        <f t="shared" si="33"/>
        <v>89490</v>
      </c>
      <c r="N316" s="48">
        <f t="shared" si="34"/>
        <v>29070</v>
      </c>
      <c r="O316" s="50">
        <f t="shared" si="35"/>
        <v>118560</v>
      </c>
      <c r="P316" s="50">
        <v>0</v>
      </c>
      <c r="Q316" s="76"/>
      <c r="R316" s="140">
        <f>1500*S9+1500*S10</f>
        <v>28500</v>
      </c>
      <c r="S316" s="79">
        <v>2.5700000000000003</v>
      </c>
      <c r="T316" s="80">
        <v>0.84</v>
      </c>
    </row>
    <row r="317" spans="2:20" ht="42">
      <c r="B317" s="5" t="s">
        <v>772</v>
      </c>
      <c r="C317" s="45" t="s">
        <v>135</v>
      </c>
      <c r="D317" s="45">
        <v>88484</v>
      </c>
      <c r="E317" s="6" t="s">
        <v>773</v>
      </c>
      <c r="F317" s="45" t="s">
        <v>121</v>
      </c>
      <c r="G317" s="46">
        <f t="shared" si="36"/>
        <v>28500</v>
      </c>
      <c r="H317" s="46">
        <f>TRUNC(S317*(1-LOTE_01!$K$10),2)</f>
        <v>2.38</v>
      </c>
      <c r="I317" s="46">
        <f>TRUNC(T317*(1-LOTE_01!$K$10),2)</f>
        <v>2.78</v>
      </c>
      <c r="J317" s="100">
        <f t="shared" si="37"/>
        <v>0.22470000000000001</v>
      </c>
      <c r="K317" s="48">
        <f t="shared" si="31"/>
        <v>2.91</v>
      </c>
      <c r="L317" s="48">
        <f t="shared" si="32"/>
        <v>3.4</v>
      </c>
      <c r="M317" s="48">
        <f t="shared" si="33"/>
        <v>82935</v>
      </c>
      <c r="N317" s="48">
        <f t="shared" si="34"/>
        <v>96900</v>
      </c>
      <c r="O317" s="50">
        <f t="shared" si="35"/>
        <v>179835</v>
      </c>
      <c r="P317" s="50">
        <v>0</v>
      </c>
      <c r="Q317" s="76"/>
      <c r="R317" s="140">
        <f>1500*S9+1500*S10</f>
        <v>28500</v>
      </c>
      <c r="S317" s="79">
        <v>2.3800000000000003</v>
      </c>
      <c r="T317" s="80">
        <v>2.78</v>
      </c>
    </row>
    <row r="318" spans="2:20" ht="42">
      <c r="B318" s="5" t="s">
        <v>774</v>
      </c>
      <c r="C318" s="45" t="s">
        <v>135</v>
      </c>
      <c r="D318" s="45">
        <v>88485</v>
      </c>
      <c r="E318" s="6" t="s">
        <v>775</v>
      </c>
      <c r="F318" s="45" t="s">
        <v>121</v>
      </c>
      <c r="G318" s="46">
        <f t="shared" si="36"/>
        <v>28500</v>
      </c>
      <c r="H318" s="46">
        <f>TRUNC(S318*(1-LOTE_01!$K$10),2)</f>
        <v>2.08</v>
      </c>
      <c r="I318" s="46">
        <f>TRUNC(T318*(1-LOTE_01!$K$10),2)</f>
        <v>2</v>
      </c>
      <c r="J318" s="100">
        <f t="shared" si="37"/>
        <v>0.22470000000000001</v>
      </c>
      <c r="K318" s="48">
        <f t="shared" si="31"/>
        <v>2.54</v>
      </c>
      <c r="L318" s="48">
        <f t="shared" si="32"/>
        <v>2.44</v>
      </c>
      <c r="M318" s="48">
        <f t="shared" si="33"/>
        <v>72390</v>
      </c>
      <c r="N318" s="48">
        <f t="shared" si="34"/>
        <v>69540</v>
      </c>
      <c r="O318" s="50">
        <f t="shared" si="35"/>
        <v>141930</v>
      </c>
      <c r="P318" s="50">
        <v>0</v>
      </c>
      <c r="Q318" s="76"/>
      <c r="R318" s="140">
        <f>1500*S9+1500*S10</f>
        <v>28500</v>
      </c>
      <c r="S318" s="79">
        <v>2.08</v>
      </c>
      <c r="T318" s="80">
        <v>2</v>
      </c>
    </row>
    <row r="319" spans="2:20" ht="42">
      <c r="B319" s="5" t="s">
        <v>776</v>
      </c>
      <c r="C319" s="45" t="s">
        <v>135</v>
      </c>
      <c r="D319" s="45">
        <v>88495</v>
      </c>
      <c r="E319" s="6" t="s">
        <v>777</v>
      </c>
      <c r="F319" s="45" t="s">
        <v>121</v>
      </c>
      <c r="G319" s="46">
        <f t="shared" si="36"/>
        <v>28500</v>
      </c>
      <c r="H319" s="46">
        <f>TRUNC(S319*(1-LOTE_01!$K$10),2)</f>
        <v>5.6</v>
      </c>
      <c r="I319" s="46">
        <f>TRUNC(T319*(1-LOTE_01!$K$10),2)</f>
        <v>7.38</v>
      </c>
      <c r="J319" s="100">
        <f t="shared" si="37"/>
        <v>0.22470000000000001</v>
      </c>
      <c r="K319" s="48">
        <f t="shared" si="31"/>
        <v>6.85</v>
      </c>
      <c r="L319" s="48">
        <f t="shared" si="32"/>
        <v>9.0299999999999994</v>
      </c>
      <c r="M319" s="48">
        <f t="shared" si="33"/>
        <v>195225</v>
      </c>
      <c r="N319" s="48">
        <f t="shared" si="34"/>
        <v>257355</v>
      </c>
      <c r="O319" s="50">
        <f t="shared" si="35"/>
        <v>452580</v>
      </c>
      <c r="P319" s="50">
        <v>0</v>
      </c>
      <c r="Q319" s="76"/>
      <c r="R319" s="140">
        <f>R316</f>
        <v>28500</v>
      </c>
      <c r="S319" s="79">
        <v>5.6000000000000005</v>
      </c>
      <c r="T319" s="80">
        <v>7.38</v>
      </c>
    </row>
    <row r="320" spans="2:20" ht="42">
      <c r="B320" s="5" t="s">
        <v>778</v>
      </c>
      <c r="C320" s="45" t="s">
        <v>135</v>
      </c>
      <c r="D320" s="45">
        <v>88497</v>
      </c>
      <c r="E320" s="6" t="s">
        <v>779</v>
      </c>
      <c r="F320" s="45" t="s">
        <v>121</v>
      </c>
      <c r="G320" s="46">
        <f t="shared" si="36"/>
        <v>28500</v>
      </c>
      <c r="H320" s="46">
        <f>TRUNC(S320*(1-LOTE_01!$K$10),2)</f>
        <v>9.23</v>
      </c>
      <c r="I320" s="46">
        <f>TRUNC(T320*(1-LOTE_01!$K$10),2)</f>
        <v>10.85</v>
      </c>
      <c r="J320" s="100">
        <f t="shared" si="37"/>
        <v>0.22470000000000001</v>
      </c>
      <c r="K320" s="48">
        <f t="shared" si="31"/>
        <v>11.3</v>
      </c>
      <c r="L320" s="48">
        <f t="shared" si="32"/>
        <v>13.28</v>
      </c>
      <c r="M320" s="48">
        <f t="shared" si="33"/>
        <v>322050</v>
      </c>
      <c r="N320" s="48">
        <f t="shared" si="34"/>
        <v>378480</v>
      </c>
      <c r="O320" s="50">
        <f t="shared" si="35"/>
        <v>700530</v>
      </c>
      <c r="P320" s="50">
        <v>0</v>
      </c>
      <c r="Q320" s="76"/>
      <c r="R320" s="140">
        <f>R316</f>
        <v>28500</v>
      </c>
      <c r="S320" s="79">
        <v>9.2299999999999986</v>
      </c>
      <c r="T320" s="80">
        <v>10.85</v>
      </c>
    </row>
    <row r="321" spans="2:20" ht="42">
      <c r="B321" s="5" t="s">
        <v>780</v>
      </c>
      <c r="C321" s="45" t="s">
        <v>135</v>
      </c>
      <c r="D321" s="45">
        <v>88494</v>
      </c>
      <c r="E321" s="6" t="s">
        <v>781</v>
      </c>
      <c r="F321" s="45" t="s">
        <v>121</v>
      </c>
      <c r="G321" s="46">
        <f t="shared" si="36"/>
        <v>7125</v>
      </c>
      <c r="H321" s="46">
        <f>TRUNC(S321*(1-LOTE_01!$K$10),2)</f>
        <v>8.66</v>
      </c>
      <c r="I321" s="46">
        <f>TRUNC(T321*(1-LOTE_01!$K$10),2)</f>
        <v>15.13</v>
      </c>
      <c r="J321" s="100">
        <f t="shared" si="37"/>
        <v>0.22470000000000001</v>
      </c>
      <c r="K321" s="48">
        <f t="shared" si="31"/>
        <v>10.6</v>
      </c>
      <c r="L321" s="48">
        <f t="shared" si="32"/>
        <v>18.52</v>
      </c>
      <c r="M321" s="48">
        <f t="shared" si="33"/>
        <v>75525</v>
      </c>
      <c r="N321" s="48">
        <f t="shared" si="34"/>
        <v>131955</v>
      </c>
      <c r="O321" s="50">
        <f t="shared" si="35"/>
        <v>207480</v>
      </c>
      <c r="P321" s="50">
        <v>0</v>
      </c>
      <c r="Q321" s="76"/>
      <c r="R321" s="140">
        <f>R316/4</f>
        <v>7125</v>
      </c>
      <c r="S321" s="79">
        <v>8.6599999999999984</v>
      </c>
      <c r="T321" s="80">
        <v>15.13</v>
      </c>
    </row>
    <row r="322" spans="2:20" ht="42">
      <c r="B322" s="5" t="s">
        <v>782</v>
      </c>
      <c r="C322" s="45" t="s">
        <v>135</v>
      </c>
      <c r="D322" s="45">
        <v>88496</v>
      </c>
      <c r="E322" s="6" t="s">
        <v>783</v>
      </c>
      <c r="F322" s="45" t="s">
        <v>121</v>
      </c>
      <c r="G322" s="46">
        <f t="shared" si="36"/>
        <v>7125</v>
      </c>
      <c r="H322" s="46">
        <f>TRUNC(S322*(1-LOTE_01!$K$10),2)</f>
        <v>13.73</v>
      </c>
      <c r="I322" s="46">
        <f>TRUNC(T322*(1-LOTE_01!$K$10),2)</f>
        <v>22.23</v>
      </c>
      <c r="J322" s="100">
        <f t="shared" si="37"/>
        <v>0.22470000000000001</v>
      </c>
      <c r="K322" s="48">
        <f t="shared" si="31"/>
        <v>16.809999999999999</v>
      </c>
      <c r="L322" s="48">
        <f t="shared" si="32"/>
        <v>27.22</v>
      </c>
      <c r="M322" s="48">
        <f t="shared" si="33"/>
        <v>119771.25</v>
      </c>
      <c r="N322" s="48">
        <f t="shared" si="34"/>
        <v>193942.5</v>
      </c>
      <c r="O322" s="50">
        <f t="shared" si="35"/>
        <v>313713.75</v>
      </c>
      <c r="P322" s="50">
        <v>0</v>
      </c>
      <c r="Q322" s="76"/>
      <c r="R322" s="140">
        <f>R316/4</f>
        <v>7125</v>
      </c>
      <c r="S322" s="79">
        <v>13.73</v>
      </c>
      <c r="T322" s="80">
        <v>22.23</v>
      </c>
    </row>
    <row r="323" spans="2:20" ht="56">
      <c r="B323" s="5" t="s">
        <v>784</v>
      </c>
      <c r="C323" s="45" t="s">
        <v>135</v>
      </c>
      <c r="D323" s="45">
        <v>96132</v>
      </c>
      <c r="E323" s="6" t="s">
        <v>785</v>
      </c>
      <c r="F323" s="45" t="s">
        <v>121</v>
      </c>
      <c r="G323" s="46">
        <f t="shared" si="36"/>
        <v>28500</v>
      </c>
      <c r="H323" s="46">
        <f>TRUNC(S323*(1-LOTE_01!$K$10),2)</f>
        <v>12.03</v>
      </c>
      <c r="I323" s="46">
        <f>TRUNC(T323*(1-LOTE_01!$K$10),2)</f>
        <v>8.0399999999999991</v>
      </c>
      <c r="J323" s="100">
        <f t="shared" si="37"/>
        <v>0.22470000000000001</v>
      </c>
      <c r="K323" s="48">
        <f t="shared" si="31"/>
        <v>14.73</v>
      </c>
      <c r="L323" s="48">
        <f t="shared" si="32"/>
        <v>9.84</v>
      </c>
      <c r="M323" s="48">
        <f t="shared" si="33"/>
        <v>419805</v>
      </c>
      <c r="N323" s="48">
        <f t="shared" si="34"/>
        <v>280440</v>
      </c>
      <c r="O323" s="50">
        <f t="shared" si="35"/>
        <v>700245</v>
      </c>
      <c r="P323" s="50">
        <v>0</v>
      </c>
      <c r="Q323" s="76"/>
      <c r="R323" s="140">
        <f>R316</f>
        <v>28500</v>
      </c>
      <c r="S323" s="79">
        <v>12.030000000000001</v>
      </c>
      <c r="T323" s="80">
        <v>8.0399999999999991</v>
      </c>
    </row>
    <row r="324" spans="2:20" ht="42">
      <c r="B324" s="5" t="s">
        <v>786</v>
      </c>
      <c r="C324" s="45" t="s">
        <v>135</v>
      </c>
      <c r="D324" s="45">
        <v>88489</v>
      </c>
      <c r="E324" s="6" t="s">
        <v>787</v>
      </c>
      <c r="F324" s="45" t="s">
        <v>121</v>
      </c>
      <c r="G324" s="46">
        <f t="shared" si="36"/>
        <v>28500</v>
      </c>
      <c r="H324" s="46">
        <f>TRUNC(S324*(1-LOTE_01!$K$10),2)</f>
        <v>9.4700000000000006</v>
      </c>
      <c r="I324" s="46">
        <f>TRUNC(T324*(1-LOTE_01!$K$10),2)</f>
        <v>5.0199999999999996</v>
      </c>
      <c r="J324" s="100">
        <f t="shared" si="37"/>
        <v>0.22470000000000001</v>
      </c>
      <c r="K324" s="48">
        <f t="shared" si="31"/>
        <v>11.59</v>
      </c>
      <c r="L324" s="48">
        <f t="shared" si="32"/>
        <v>6.14</v>
      </c>
      <c r="M324" s="48">
        <f t="shared" si="33"/>
        <v>330315</v>
      </c>
      <c r="N324" s="48">
        <f t="shared" si="34"/>
        <v>174990</v>
      </c>
      <c r="O324" s="50">
        <f t="shared" si="35"/>
        <v>505305</v>
      </c>
      <c r="P324" s="50">
        <v>0</v>
      </c>
      <c r="Q324" s="76"/>
      <c r="R324" s="140">
        <f>R316</f>
        <v>28500</v>
      </c>
      <c r="S324" s="79">
        <v>9.4700000000000006</v>
      </c>
      <c r="T324" s="80">
        <v>5.0199999999999996</v>
      </c>
    </row>
    <row r="325" spans="2:20" ht="56">
      <c r="B325" s="5" t="s">
        <v>788</v>
      </c>
      <c r="C325" s="45" t="s">
        <v>135</v>
      </c>
      <c r="D325" s="45">
        <v>102491</v>
      </c>
      <c r="E325" s="6" t="s">
        <v>789</v>
      </c>
      <c r="F325" s="45" t="s">
        <v>121</v>
      </c>
      <c r="G325" s="46">
        <f t="shared" si="36"/>
        <v>2850</v>
      </c>
      <c r="H325" s="46">
        <f>TRUNC(S325*(1-LOTE_01!$K$10),2)</f>
        <v>14.23</v>
      </c>
      <c r="I325" s="46">
        <f>TRUNC(T325*(1-LOTE_01!$K$10),2)</f>
        <v>8.89</v>
      </c>
      <c r="J325" s="100">
        <f t="shared" si="37"/>
        <v>0.22470000000000001</v>
      </c>
      <c r="K325" s="48">
        <f t="shared" si="31"/>
        <v>17.420000000000002</v>
      </c>
      <c r="L325" s="48">
        <f t="shared" si="32"/>
        <v>10.88</v>
      </c>
      <c r="M325" s="48">
        <f t="shared" si="33"/>
        <v>49647</v>
      </c>
      <c r="N325" s="48">
        <f t="shared" si="34"/>
        <v>31008</v>
      </c>
      <c r="O325" s="50">
        <f t="shared" si="35"/>
        <v>80655</v>
      </c>
      <c r="P325" s="50">
        <v>0</v>
      </c>
      <c r="Q325" s="76"/>
      <c r="R325" s="140">
        <f>150*S9+150*S10</f>
        <v>2850</v>
      </c>
      <c r="S325" s="79">
        <v>14.23</v>
      </c>
      <c r="T325" s="80">
        <v>8.89</v>
      </c>
    </row>
    <row r="326" spans="2:20" ht="56">
      <c r="B326" s="5" t="s">
        <v>790</v>
      </c>
      <c r="C326" s="45" t="s">
        <v>135</v>
      </c>
      <c r="D326" s="45">
        <v>102513</v>
      </c>
      <c r="E326" s="6" t="s">
        <v>791</v>
      </c>
      <c r="F326" s="45" t="s">
        <v>121</v>
      </c>
      <c r="G326" s="46">
        <f t="shared" si="36"/>
        <v>760</v>
      </c>
      <c r="H326" s="46">
        <f>TRUNC(S326*(1-LOTE_01!$K$10),2)</f>
        <v>24.48</v>
      </c>
      <c r="I326" s="46">
        <f>TRUNC(T326*(1-LOTE_01!$K$10),2)</f>
        <v>30.61</v>
      </c>
      <c r="J326" s="100">
        <f t="shared" si="37"/>
        <v>0.22470000000000001</v>
      </c>
      <c r="K326" s="48">
        <f t="shared" si="31"/>
        <v>29.98</v>
      </c>
      <c r="L326" s="48">
        <f t="shared" si="32"/>
        <v>37.479999999999997</v>
      </c>
      <c r="M326" s="48">
        <f t="shared" si="33"/>
        <v>22784.799999999999</v>
      </c>
      <c r="N326" s="48">
        <f t="shared" si="34"/>
        <v>28484.799999999999</v>
      </c>
      <c r="O326" s="50">
        <f t="shared" si="35"/>
        <v>51269.599999999999</v>
      </c>
      <c r="P326" s="50">
        <v>0</v>
      </c>
      <c r="Q326" s="76"/>
      <c r="R326" s="140">
        <f>40*S9+40*S10</f>
        <v>760</v>
      </c>
      <c r="S326" s="79">
        <v>24.480000000000004</v>
      </c>
      <c r="T326" s="80">
        <v>30.61</v>
      </c>
    </row>
    <row r="327" spans="2:20" ht="42">
      <c r="B327" s="5" t="s">
        <v>792</v>
      </c>
      <c r="C327" s="45" t="s">
        <v>135</v>
      </c>
      <c r="D327" s="45">
        <v>102501</v>
      </c>
      <c r="E327" s="6" t="s">
        <v>793</v>
      </c>
      <c r="F327" s="45" t="s">
        <v>121</v>
      </c>
      <c r="G327" s="46">
        <f t="shared" si="36"/>
        <v>285</v>
      </c>
      <c r="H327" s="46">
        <f>TRUNC(S327*(1-LOTE_01!$K$10),2)</f>
        <v>14.92</v>
      </c>
      <c r="I327" s="46">
        <f>TRUNC(T327*(1-LOTE_01!$K$10),2)</f>
        <v>13.86</v>
      </c>
      <c r="J327" s="100">
        <f t="shared" si="37"/>
        <v>0.22470000000000001</v>
      </c>
      <c r="K327" s="48">
        <f t="shared" si="31"/>
        <v>18.27</v>
      </c>
      <c r="L327" s="48">
        <f t="shared" si="32"/>
        <v>16.97</v>
      </c>
      <c r="M327" s="48">
        <f t="shared" si="33"/>
        <v>5206.95</v>
      </c>
      <c r="N327" s="48">
        <f t="shared" si="34"/>
        <v>4836.45</v>
      </c>
      <c r="O327" s="50">
        <f t="shared" si="35"/>
        <v>10043.4</v>
      </c>
      <c r="P327" s="50">
        <v>0</v>
      </c>
      <c r="Q327" s="76"/>
      <c r="R327" s="140">
        <f>15*S9+15*S10</f>
        <v>285</v>
      </c>
      <c r="S327" s="79">
        <v>14.920000000000002</v>
      </c>
      <c r="T327" s="80">
        <v>13.86</v>
      </c>
    </row>
    <row r="328" spans="2:20" ht="98">
      <c r="B328" s="5" t="s">
        <v>794</v>
      </c>
      <c r="C328" s="45" t="s">
        <v>135</v>
      </c>
      <c r="D328" s="45">
        <v>100726</v>
      </c>
      <c r="E328" s="6" t="s">
        <v>795</v>
      </c>
      <c r="F328" s="45" t="s">
        <v>121</v>
      </c>
      <c r="G328" s="46">
        <f t="shared" si="36"/>
        <v>5500</v>
      </c>
      <c r="H328" s="46">
        <f>TRUNC(S328*(1-LOTE_01!$K$10),2)</f>
        <v>14.56</v>
      </c>
      <c r="I328" s="46">
        <f>TRUNC(T328*(1-LOTE_01!$K$10),2)</f>
        <v>16.39</v>
      </c>
      <c r="J328" s="100">
        <f t="shared" si="37"/>
        <v>0.22470000000000001</v>
      </c>
      <c r="K328" s="48">
        <f t="shared" si="31"/>
        <v>17.829999999999998</v>
      </c>
      <c r="L328" s="48">
        <f t="shared" si="32"/>
        <v>20.07</v>
      </c>
      <c r="M328" s="48">
        <f t="shared" si="33"/>
        <v>98065</v>
      </c>
      <c r="N328" s="48">
        <f t="shared" si="34"/>
        <v>110385</v>
      </c>
      <c r="O328" s="50">
        <f t="shared" si="35"/>
        <v>208450</v>
      </c>
      <c r="P328" s="50">
        <v>0</v>
      </c>
      <c r="Q328" s="76"/>
      <c r="R328" s="140">
        <f>300*S9+200*S10</f>
        <v>5500</v>
      </c>
      <c r="S328" s="79">
        <v>14.559999999999999</v>
      </c>
      <c r="T328" s="80">
        <v>16.39</v>
      </c>
    </row>
    <row r="329" spans="2:20" ht="28">
      <c r="B329" s="5" t="s">
        <v>796</v>
      </c>
      <c r="C329" s="45" t="s">
        <v>135</v>
      </c>
      <c r="D329" s="45">
        <v>102234</v>
      </c>
      <c r="E329" s="6" t="s">
        <v>797</v>
      </c>
      <c r="F329" s="45" t="s">
        <v>121</v>
      </c>
      <c r="G329" s="46">
        <f t="shared" si="36"/>
        <v>570</v>
      </c>
      <c r="H329" s="46">
        <f>TRUNC(S329*(1-LOTE_01!$K$10),2)</f>
        <v>15.25</v>
      </c>
      <c r="I329" s="46">
        <f>TRUNC(T329*(1-LOTE_01!$K$10),2)</f>
        <v>10.52</v>
      </c>
      <c r="J329" s="100">
        <f t="shared" si="37"/>
        <v>0.22470000000000001</v>
      </c>
      <c r="K329" s="48">
        <f t="shared" si="31"/>
        <v>18.670000000000002</v>
      </c>
      <c r="L329" s="48">
        <f t="shared" si="32"/>
        <v>12.88</v>
      </c>
      <c r="M329" s="48">
        <f t="shared" si="33"/>
        <v>10641.9</v>
      </c>
      <c r="N329" s="48">
        <f t="shared" si="34"/>
        <v>7341.6</v>
      </c>
      <c r="O329" s="50">
        <f t="shared" si="35"/>
        <v>17983.5</v>
      </c>
      <c r="P329" s="50">
        <v>0</v>
      </c>
      <c r="Q329" s="76"/>
      <c r="R329" s="140">
        <f>IF((10*S9+200*S10)&gt;5000,5000,(10*S9+200*S10))</f>
        <v>570</v>
      </c>
      <c r="S329" s="79">
        <v>15.25</v>
      </c>
      <c r="T329" s="80">
        <v>10.52</v>
      </c>
    </row>
    <row r="330" spans="2:20" ht="84">
      <c r="B330" s="5" t="s">
        <v>798</v>
      </c>
      <c r="C330" s="45" t="s">
        <v>135</v>
      </c>
      <c r="D330" s="45">
        <v>100749</v>
      </c>
      <c r="E330" s="6" t="s">
        <v>799</v>
      </c>
      <c r="F330" s="45" t="s">
        <v>121</v>
      </c>
      <c r="G330" s="46">
        <f t="shared" si="36"/>
        <v>5500</v>
      </c>
      <c r="H330" s="46">
        <f>TRUNC(S330*(1-LOTE_01!$K$10),2)</f>
        <v>14.74</v>
      </c>
      <c r="I330" s="46">
        <f>TRUNC(T330*(1-LOTE_01!$K$10),2)</f>
        <v>12.81</v>
      </c>
      <c r="J330" s="100">
        <f t="shared" si="37"/>
        <v>0.22470000000000001</v>
      </c>
      <c r="K330" s="48">
        <f t="shared" si="31"/>
        <v>18.05</v>
      </c>
      <c r="L330" s="48">
        <f t="shared" si="32"/>
        <v>15.68</v>
      </c>
      <c r="M330" s="48">
        <f t="shared" si="33"/>
        <v>99275</v>
      </c>
      <c r="N330" s="48">
        <f t="shared" si="34"/>
        <v>86240</v>
      </c>
      <c r="O330" s="50">
        <f t="shared" si="35"/>
        <v>185515</v>
      </c>
      <c r="P330" s="50">
        <v>0</v>
      </c>
      <c r="Q330" s="76"/>
      <c r="R330" s="140">
        <f>300*S9+200*S10</f>
        <v>5500</v>
      </c>
      <c r="S330" s="79">
        <v>14.74</v>
      </c>
      <c r="T330" s="80">
        <v>12.81</v>
      </c>
    </row>
    <row r="331" spans="2:20" ht="70">
      <c r="B331" s="5" t="s">
        <v>800</v>
      </c>
      <c r="C331" s="45" t="s">
        <v>135</v>
      </c>
      <c r="D331" s="45">
        <v>88429</v>
      </c>
      <c r="E331" s="6" t="s">
        <v>801</v>
      </c>
      <c r="F331" s="45" t="s">
        <v>121</v>
      </c>
      <c r="G331" s="46">
        <f t="shared" si="36"/>
        <v>950</v>
      </c>
      <c r="H331" s="46">
        <f>TRUNC(S331*(1-LOTE_01!$K$10),2)</f>
        <v>26.84</v>
      </c>
      <c r="I331" s="46">
        <f>TRUNC(T331*(1-LOTE_01!$K$10),2)</f>
        <v>14.81</v>
      </c>
      <c r="J331" s="100">
        <f t="shared" si="37"/>
        <v>0.22470000000000001</v>
      </c>
      <c r="K331" s="48">
        <f t="shared" si="31"/>
        <v>32.869999999999997</v>
      </c>
      <c r="L331" s="48">
        <f t="shared" si="32"/>
        <v>18.13</v>
      </c>
      <c r="M331" s="48">
        <f t="shared" si="33"/>
        <v>31226.5</v>
      </c>
      <c r="N331" s="48">
        <f t="shared" si="34"/>
        <v>17223.5</v>
      </c>
      <c r="O331" s="50">
        <f t="shared" si="35"/>
        <v>48450</v>
      </c>
      <c r="P331" s="50">
        <v>0</v>
      </c>
      <c r="Q331" s="76"/>
      <c r="R331" s="140">
        <f>50*(S9+S10)</f>
        <v>950</v>
      </c>
      <c r="S331" s="79">
        <v>26.839999999999996</v>
      </c>
      <c r="T331" s="80">
        <v>14.81</v>
      </c>
    </row>
    <row r="332" spans="2:20" ht="56">
      <c r="B332" s="5" t="s">
        <v>802</v>
      </c>
      <c r="C332" s="45" t="s">
        <v>97</v>
      </c>
      <c r="D332" s="45" t="s">
        <v>803</v>
      </c>
      <c r="E332" s="6" t="s">
        <v>804</v>
      </c>
      <c r="F332" s="45" t="s">
        <v>121</v>
      </c>
      <c r="G332" s="46">
        <f t="shared" si="36"/>
        <v>950</v>
      </c>
      <c r="H332" s="46">
        <f>TRUNC(S332*(1-LOTE_01!$K$10),2)</f>
        <v>51.39</v>
      </c>
      <c r="I332" s="46">
        <f>TRUNC(T332*(1-LOTE_01!$K$10),2)</f>
        <v>15.09</v>
      </c>
      <c r="J332" s="100">
        <f t="shared" si="37"/>
        <v>0.22470000000000001</v>
      </c>
      <c r="K332" s="48">
        <f t="shared" si="31"/>
        <v>62.93</v>
      </c>
      <c r="L332" s="48">
        <f t="shared" si="32"/>
        <v>18.48</v>
      </c>
      <c r="M332" s="48">
        <f t="shared" si="33"/>
        <v>59783.5</v>
      </c>
      <c r="N332" s="48">
        <f t="shared" si="34"/>
        <v>17556</v>
      </c>
      <c r="O332" s="50">
        <f t="shared" si="35"/>
        <v>77339.5</v>
      </c>
      <c r="P332" s="50">
        <v>0</v>
      </c>
      <c r="Q332" s="76"/>
      <c r="R332" s="140">
        <f>50*(S9+S10)</f>
        <v>950</v>
      </c>
      <c r="S332" s="79">
        <v>51.39</v>
      </c>
      <c r="T332" s="80">
        <v>15.09</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5776927.8100000005</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104">
        <v>0</v>
      </c>
      <c r="Q334" s="76"/>
      <c r="R334" s="154"/>
      <c r="S334" s="79" t="s">
        <v>22</v>
      </c>
      <c r="T334" s="80" t="s">
        <v>22</v>
      </c>
    </row>
    <row r="335" spans="2:20" ht="56">
      <c r="B335" s="5" t="s">
        <v>807</v>
      </c>
      <c r="C335" s="45" t="s">
        <v>135</v>
      </c>
      <c r="D335" s="45">
        <v>90443</v>
      </c>
      <c r="E335" s="6" t="s">
        <v>808</v>
      </c>
      <c r="F335" s="45" t="s">
        <v>187</v>
      </c>
      <c r="G335" s="46">
        <f t="shared" si="36"/>
        <v>570</v>
      </c>
      <c r="H335" s="46">
        <f>TRUNC(S335*(1-LOTE_01!$K$10),2)</f>
        <v>2.1</v>
      </c>
      <c r="I335" s="46">
        <f>TRUNC(T335*(1-LOTE_01!$K$10),2)</f>
        <v>6.9</v>
      </c>
      <c r="J335" s="100">
        <f t="shared" si="37"/>
        <v>0.22470000000000001</v>
      </c>
      <c r="K335" s="48">
        <f t="shared" si="31"/>
        <v>2.57</v>
      </c>
      <c r="L335" s="48">
        <f t="shared" si="32"/>
        <v>8.4499999999999993</v>
      </c>
      <c r="M335" s="48">
        <f t="shared" si="33"/>
        <v>1464.9</v>
      </c>
      <c r="N335" s="48">
        <f t="shared" si="34"/>
        <v>4816.5</v>
      </c>
      <c r="O335" s="50">
        <f t="shared" si="35"/>
        <v>6281.4</v>
      </c>
      <c r="P335" s="50">
        <v>0</v>
      </c>
      <c r="Q335" s="76"/>
      <c r="R335" s="140">
        <f>30*S9+30*S10</f>
        <v>570</v>
      </c>
      <c r="S335" s="79">
        <v>2.0999999999999996</v>
      </c>
      <c r="T335" s="80">
        <v>6.9</v>
      </c>
    </row>
    <row r="336" spans="2:20" ht="70">
      <c r="B336" s="5" t="s">
        <v>809</v>
      </c>
      <c r="C336" s="45" t="s">
        <v>135</v>
      </c>
      <c r="D336" s="45">
        <v>90444</v>
      </c>
      <c r="E336" s="6" t="s">
        <v>810</v>
      </c>
      <c r="F336" s="45" t="s">
        <v>187</v>
      </c>
      <c r="G336" s="46">
        <f t="shared" si="36"/>
        <v>100</v>
      </c>
      <c r="H336" s="46">
        <f>TRUNC(S336*(1-LOTE_01!$K$10),2)</f>
        <v>3.8</v>
      </c>
      <c r="I336" s="46">
        <f>TRUNC(T336*(1-LOTE_01!$K$10),2)</f>
        <v>10.68</v>
      </c>
      <c r="J336" s="100">
        <f t="shared" si="37"/>
        <v>0.22470000000000001</v>
      </c>
      <c r="K336" s="48">
        <f t="shared" ref="K336:K399" si="38">TRUNC(H336*(1+J336),2)</f>
        <v>4.6500000000000004</v>
      </c>
      <c r="L336" s="48">
        <f t="shared" ref="L336:L399" si="39">TRUNC(I336*(1+J336),2)</f>
        <v>13.07</v>
      </c>
      <c r="M336" s="48">
        <f t="shared" ref="M336:M399" si="40">TRUNC(K336*G336,2)</f>
        <v>465</v>
      </c>
      <c r="N336" s="48">
        <f t="shared" ref="N336:N399" si="41">TRUNC(L336*G336,2)</f>
        <v>1307</v>
      </c>
      <c r="O336" s="50">
        <f t="shared" ref="O336:O399" si="42">TRUNC(M336+N336,2)</f>
        <v>1772</v>
      </c>
      <c r="P336" s="50">
        <v>0</v>
      </c>
      <c r="Q336" s="76"/>
      <c r="R336" s="140">
        <f>IF((5*S9+30*S10)&gt;100,100,(5*S9+30*S10))</f>
        <v>100</v>
      </c>
      <c r="S336" s="79">
        <v>3.8000000000000007</v>
      </c>
      <c r="T336" s="80">
        <v>10.68</v>
      </c>
    </row>
    <row r="337" spans="2:20" ht="42">
      <c r="B337" s="5" t="s">
        <v>811</v>
      </c>
      <c r="C337" s="45" t="s">
        <v>135</v>
      </c>
      <c r="D337" s="45">
        <v>104795</v>
      </c>
      <c r="E337" s="6" t="s">
        <v>812</v>
      </c>
      <c r="F337" s="45" t="s">
        <v>187</v>
      </c>
      <c r="G337" s="46">
        <f t="shared" si="36"/>
        <v>9500</v>
      </c>
      <c r="H337" s="46">
        <f>TRUNC(S337*(1-LOTE_01!$K$10),2)</f>
        <v>0.44</v>
      </c>
      <c r="I337" s="46">
        <f>TRUNC(T337*(1-LOTE_01!$K$10),2)</f>
        <v>1.22</v>
      </c>
      <c r="J337" s="100">
        <f t="shared" si="37"/>
        <v>0.22470000000000001</v>
      </c>
      <c r="K337" s="48">
        <f t="shared" si="38"/>
        <v>0.53</v>
      </c>
      <c r="L337" s="48">
        <f t="shared" si="39"/>
        <v>1.49</v>
      </c>
      <c r="M337" s="48">
        <f t="shared" si="40"/>
        <v>5035</v>
      </c>
      <c r="N337" s="48">
        <f t="shared" si="41"/>
        <v>14155</v>
      </c>
      <c r="O337" s="50">
        <f t="shared" si="42"/>
        <v>19190</v>
      </c>
      <c r="P337" s="50">
        <v>0</v>
      </c>
      <c r="Q337" s="76"/>
      <c r="R337" s="140">
        <f>500*S9+500*S10</f>
        <v>9500</v>
      </c>
      <c r="S337" s="79">
        <v>0.43999999999999995</v>
      </c>
      <c r="T337" s="80">
        <v>1.22</v>
      </c>
    </row>
    <row r="338" spans="2:20" ht="56">
      <c r="B338" s="5" t="s">
        <v>813</v>
      </c>
      <c r="C338" s="45" t="s">
        <v>135</v>
      </c>
      <c r="D338" s="45">
        <v>104792</v>
      </c>
      <c r="E338" s="6" t="s">
        <v>814</v>
      </c>
      <c r="F338" s="45" t="s">
        <v>187</v>
      </c>
      <c r="G338" s="46">
        <f t="shared" ref="G338:G401" si="43">TRUNC(R338,2)</f>
        <v>9500</v>
      </c>
      <c r="H338" s="46">
        <f>TRUNC(S338*(1-LOTE_01!$K$10),2)</f>
        <v>0.13</v>
      </c>
      <c r="I338" s="46">
        <f>TRUNC(T338*(1-LOTE_01!$K$10),2)</f>
        <v>0.35</v>
      </c>
      <c r="J338" s="100">
        <f t="shared" ref="J338:J401" si="44">$J$4</f>
        <v>0.22470000000000001</v>
      </c>
      <c r="K338" s="48">
        <f t="shared" si="38"/>
        <v>0.15</v>
      </c>
      <c r="L338" s="48">
        <f t="shared" si="39"/>
        <v>0.42</v>
      </c>
      <c r="M338" s="48">
        <f t="shared" si="40"/>
        <v>1425</v>
      </c>
      <c r="N338" s="48">
        <f t="shared" si="41"/>
        <v>3990</v>
      </c>
      <c r="O338" s="50">
        <f t="shared" si="42"/>
        <v>5415</v>
      </c>
      <c r="P338" s="50">
        <v>0</v>
      </c>
      <c r="Q338" s="76"/>
      <c r="R338" s="140">
        <f>500*S9+500*S10</f>
        <v>9500</v>
      </c>
      <c r="S338" s="79">
        <v>0.13</v>
      </c>
      <c r="T338" s="80">
        <v>0.35</v>
      </c>
    </row>
    <row r="339" spans="2:20" ht="42">
      <c r="B339" s="5" t="s">
        <v>815</v>
      </c>
      <c r="C339" s="45" t="s">
        <v>135</v>
      </c>
      <c r="D339" s="45">
        <v>97661</v>
      </c>
      <c r="E339" s="6" t="s">
        <v>816</v>
      </c>
      <c r="F339" s="45" t="s">
        <v>187</v>
      </c>
      <c r="G339" s="46">
        <f t="shared" si="43"/>
        <v>950</v>
      </c>
      <c r="H339" s="46">
        <f>TRUNC(S339*(1-LOTE_01!$K$10),2)</f>
        <v>0.24</v>
      </c>
      <c r="I339" s="46">
        <f>TRUNC(T339*(1-LOTE_01!$K$10),2)</f>
        <v>0.63</v>
      </c>
      <c r="J339" s="100">
        <f t="shared" si="44"/>
        <v>0.22470000000000001</v>
      </c>
      <c r="K339" s="48">
        <f t="shared" si="38"/>
        <v>0.28999999999999998</v>
      </c>
      <c r="L339" s="48">
        <f t="shared" si="39"/>
        <v>0.77</v>
      </c>
      <c r="M339" s="48">
        <f t="shared" si="40"/>
        <v>275.5</v>
      </c>
      <c r="N339" s="48">
        <f t="shared" si="41"/>
        <v>731.5</v>
      </c>
      <c r="O339" s="50">
        <f t="shared" si="42"/>
        <v>1007</v>
      </c>
      <c r="P339" s="50">
        <v>0</v>
      </c>
      <c r="Q339" s="76"/>
      <c r="R339" s="140">
        <f>50*S9+50*S10</f>
        <v>950</v>
      </c>
      <c r="S339" s="79">
        <v>0.24</v>
      </c>
      <c r="T339" s="80">
        <v>0.63</v>
      </c>
    </row>
    <row r="340" spans="2:20" ht="28">
      <c r="B340" s="5" t="s">
        <v>817</v>
      </c>
      <c r="C340" s="45" t="s">
        <v>97</v>
      </c>
      <c r="D340" s="45" t="s">
        <v>818</v>
      </c>
      <c r="E340" s="6" t="s">
        <v>819</v>
      </c>
      <c r="F340" s="45" t="s">
        <v>187</v>
      </c>
      <c r="G340" s="46">
        <f t="shared" si="43"/>
        <v>1900</v>
      </c>
      <c r="H340" s="46">
        <f>TRUNC(S340*(1-LOTE_01!$K$10),2)</f>
        <v>0.28999999999999998</v>
      </c>
      <c r="I340" s="46">
        <f>TRUNC(T340*(1-LOTE_01!$K$10),2)</f>
        <v>0.91</v>
      </c>
      <c r="J340" s="100">
        <f t="shared" si="44"/>
        <v>0.22470000000000001</v>
      </c>
      <c r="K340" s="48">
        <f t="shared" si="38"/>
        <v>0.35</v>
      </c>
      <c r="L340" s="48">
        <f t="shared" si="39"/>
        <v>1.1100000000000001</v>
      </c>
      <c r="M340" s="48">
        <f t="shared" si="40"/>
        <v>665</v>
      </c>
      <c r="N340" s="48">
        <f t="shared" si="41"/>
        <v>2109</v>
      </c>
      <c r="O340" s="50">
        <f t="shared" si="42"/>
        <v>2774</v>
      </c>
      <c r="P340" s="50">
        <v>0</v>
      </c>
      <c r="Q340" s="76"/>
      <c r="R340" s="140">
        <f>100*S9+100*S10</f>
        <v>1900</v>
      </c>
      <c r="S340" s="79">
        <v>0.28999999999999998</v>
      </c>
      <c r="T340" s="80">
        <v>0.91</v>
      </c>
    </row>
    <row r="341" spans="2:20" ht="42">
      <c r="B341" s="5" t="s">
        <v>820</v>
      </c>
      <c r="C341" s="45" t="s">
        <v>97</v>
      </c>
      <c r="D341" s="45" t="s">
        <v>821</v>
      </c>
      <c r="E341" s="6" t="s">
        <v>822</v>
      </c>
      <c r="F341" s="45" t="s">
        <v>104</v>
      </c>
      <c r="G341" s="46">
        <f t="shared" si="43"/>
        <v>57</v>
      </c>
      <c r="H341" s="46">
        <f>TRUNC(S341*(1-LOTE_01!$K$10),2)</f>
        <v>44.55</v>
      </c>
      <c r="I341" s="46">
        <f>TRUNC(T341*(1-LOTE_01!$K$10),2)</f>
        <v>21.9</v>
      </c>
      <c r="J341" s="100">
        <f t="shared" si="44"/>
        <v>0.22470000000000001</v>
      </c>
      <c r="K341" s="48">
        <f t="shared" si="38"/>
        <v>54.56</v>
      </c>
      <c r="L341" s="48">
        <f t="shared" si="39"/>
        <v>26.82</v>
      </c>
      <c r="M341" s="48">
        <f t="shared" si="40"/>
        <v>3109.92</v>
      </c>
      <c r="N341" s="48">
        <f t="shared" si="41"/>
        <v>1528.74</v>
      </c>
      <c r="O341" s="50">
        <f t="shared" si="42"/>
        <v>4638.66</v>
      </c>
      <c r="P341" s="50">
        <v>0</v>
      </c>
      <c r="Q341" s="76"/>
      <c r="R341" s="140">
        <f>3*(S9+S10)</f>
        <v>57</v>
      </c>
      <c r="S341" s="79">
        <v>44.55</v>
      </c>
      <c r="T341" s="80">
        <v>21.9</v>
      </c>
    </row>
    <row r="342" spans="2:20" ht="28">
      <c r="B342" s="5" t="s">
        <v>823</v>
      </c>
      <c r="C342" s="45" t="s">
        <v>165</v>
      </c>
      <c r="D342" s="45" t="s">
        <v>824</v>
      </c>
      <c r="E342" s="6" t="s">
        <v>825</v>
      </c>
      <c r="F342" s="45" t="s">
        <v>559</v>
      </c>
      <c r="G342" s="46">
        <f t="shared" si="43"/>
        <v>210</v>
      </c>
      <c r="H342" s="46">
        <f>TRUNC(S342*(1-LOTE_01!$K$10),2)</f>
        <v>281.57</v>
      </c>
      <c r="I342" s="46">
        <f>TRUNC(T342*(1-LOTE_01!$K$10),2)</f>
        <v>157.63</v>
      </c>
      <c r="J342" s="100">
        <f t="shared" si="44"/>
        <v>0.22470000000000001</v>
      </c>
      <c r="K342" s="48">
        <f t="shared" si="38"/>
        <v>344.83</v>
      </c>
      <c r="L342" s="48">
        <f t="shared" si="39"/>
        <v>193.04</v>
      </c>
      <c r="M342" s="48">
        <f t="shared" si="40"/>
        <v>72414.3</v>
      </c>
      <c r="N342" s="48">
        <f t="shared" si="41"/>
        <v>40538.400000000001</v>
      </c>
      <c r="O342" s="50">
        <f t="shared" si="42"/>
        <v>112952.7</v>
      </c>
      <c r="P342" s="50">
        <v>0</v>
      </c>
      <c r="Q342" s="76"/>
      <c r="R342" s="140">
        <f>IF((10*S9+20*S10)&gt;500,500,(10*S9+20*S10))</f>
        <v>210</v>
      </c>
      <c r="S342" s="79">
        <v>281.57</v>
      </c>
      <c r="T342" s="80">
        <v>157.63</v>
      </c>
    </row>
    <row r="343" spans="2:20" ht="42">
      <c r="B343" s="5" t="s">
        <v>826</v>
      </c>
      <c r="C343" s="45" t="s">
        <v>165</v>
      </c>
      <c r="D343" s="45" t="s">
        <v>827</v>
      </c>
      <c r="E343" s="6" t="s">
        <v>828</v>
      </c>
      <c r="F343" s="45" t="s">
        <v>559</v>
      </c>
      <c r="G343" s="46">
        <f t="shared" si="43"/>
        <v>95</v>
      </c>
      <c r="H343" s="46">
        <f>TRUNC(S343*(1-LOTE_01!$K$10),2)</f>
        <v>165.44</v>
      </c>
      <c r="I343" s="46">
        <f>TRUNC(T343*(1-LOTE_01!$K$10),2)</f>
        <v>93.85</v>
      </c>
      <c r="J343" s="100">
        <f t="shared" si="44"/>
        <v>0.22470000000000001</v>
      </c>
      <c r="K343" s="48">
        <f t="shared" si="38"/>
        <v>202.61</v>
      </c>
      <c r="L343" s="48">
        <f t="shared" si="39"/>
        <v>114.93</v>
      </c>
      <c r="M343" s="48">
        <f t="shared" si="40"/>
        <v>19247.95</v>
      </c>
      <c r="N343" s="48">
        <f t="shared" si="41"/>
        <v>10918.35</v>
      </c>
      <c r="O343" s="50">
        <f t="shared" si="42"/>
        <v>30166.3</v>
      </c>
      <c r="P343" s="50">
        <v>0</v>
      </c>
      <c r="Q343" s="76"/>
      <c r="R343" s="140">
        <f>IF((5*S9+5*S10)&gt;200,200,(5*S9+5*S10))</f>
        <v>95</v>
      </c>
      <c r="S343" s="79">
        <v>165.44</v>
      </c>
      <c r="T343" s="80">
        <v>93.85</v>
      </c>
    </row>
    <row r="344" spans="2:20" ht="28">
      <c r="B344" s="5" t="s">
        <v>829</v>
      </c>
      <c r="C344" s="45" t="s">
        <v>165</v>
      </c>
      <c r="D344" s="45" t="s">
        <v>830</v>
      </c>
      <c r="E344" s="6" t="s">
        <v>831</v>
      </c>
      <c r="F344" s="45" t="s">
        <v>559</v>
      </c>
      <c r="G344" s="46">
        <f t="shared" si="43"/>
        <v>200</v>
      </c>
      <c r="H344" s="46">
        <f>TRUNC(S344*(1-LOTE_01!$K$10),2)</f>
        <v>268.38</v>
      </c>
      <c r="I344" s="46">
        <f>TRUNC(T344*(1-LOTE_01!$K$10),2)</f>
        <v>177.56</v>
      </c>
      <c r="J344" s="100">
        <f t="shared" si="44"/>
        <v>0.22470000000000001</v>
      </c>
      <c r="K344" s="48">
        <f t="shared" si="38"/>
        <v>328.68</v>
      </c>
      <c r="L344" s="48">
        <f t="shared" si="39"/>
        <v>217.45</v>
      </c>
      <c r="M344" s="48">
        <f t="shared" si="40"/>
        <v>65736</v>
      </c>
      <c r="N344" s="48">
        <f t="shared" si="41"/>
        <v>43490</v>
      </c>
      <c r="O344" s="50">
        <f t="shared" si="42"/>
        <v>109226</v>
      </c>
      <c r="P344" s="50">
        <v>0</v>
      </c>
      <c r="Q344" s="76"/>
      <c r="R344" s="140">
        <f>IF((10*S9+20*S10)&gt;200,200,(10*S9+20*S10))</f>
        <v>200</v>
      </c>
      <c r="S344" s="79">
        <v>268.38</v>
      </c>
      <c r="T344" s="80">
        <v>177.56</v>
      </c>
    </row>
    <row r="345" spans="2:20" ht="28">
      <c r="B345" s="5" t="s">
        <v>832</v>
      </c>
      <c r="C345" s="45" t="s">
        <v>97</v>
      </c>
      <c r="D345" s="45" t="s">
        <v>833</v>
      </c>
      <c r="E345" s="6" t="s">
        <v>834</v>
      </c>
      <c r="F345" s="45" t="s">
        <v>104</v>
      </c>
      <c r="G345" s="46">
        <f t="shared" si="43"/>
        <v>190</v>
      </c>
      <c r="H345" s="46">
        <f>TRUNC(S345*(1-LOTE_01!$K$10),2)</f>
        <v>49.8</v>
      </c>
      <c r="I345" s="46">
        <f>TRUNC(T345*(1-LOTE_01!$K$10),2)</f>
        <v>14.1</v>
      </c>
      <c r="J345" s="100">
        <f t="shared" si="44"/>
        <v>0.22470000000000001</v>
      </c>
      <c r="K345" s="48">
        <f t="shared" si="38"/>
        <v>60.99</v>
      </c>
      <c r="L345" s="48">
        <f t="shared" si="39"/>
        <v>17.260000000000002</v>
      </c>
      <c r="M345" s="48">
        <f t="shared" si="40"/>
        <v>11588.1</v>
      </c>
      <c r="N345" s="48">
        <f t="shared" si="41"/>
        <v>3279.4</v>
      </c>
      <c r="O345" s="50">
        <f t="shared" si="42"/>
        <v>14867.5</v>
      </c>
      <c r="P345" s="50">
        <v>0</v>
      </c>
      <c r="Q345" s="76"/>
      <c r="R345" s="140">
        <f>IF((10*S9+10*S10)&gt;200,200,(10*S9+10*S10))</f>
        <v>190</v>
      </c>
      <c r="S345" s="79">
        <v>49.8</v>
      </c>
      <c r="T345" s="80">
        <v>14.1</v>
      </c>
    </row>
    <row r="346" spans="2:20" ht="70">
      <c r="B346" s="5" t="s">
        <v>835</v>
      </c>
      <c r="C346" s="45" t="s">
        <v>135</v>
      </c>
      <c r="D346" s="45">
        <v>91863</v>
      </c>
      <c r="E346" s="6" t="s">
        <v>836</v>
      </c>
      <c r="F346" s="45" t="s">
        <v>187</v>
      </c>
      <c r="G346" s="46">
        <f t="shared" si="43"/>
        <v>540</v>
      </c>
      <c r="H346" s="46">
        <f>TRUNC(S346*(1-LOTE_01!$K$10),2)</f>
        <v>7.34</v>
      </c>
      <c r="I346" s="46">
        <f>TRUNC(T346*(1-LOTE_01!$K$10),2)</f>
        <v>5.48</v>
      </c>
      <c r="J346" s="100">
        <f t="shared" si="44"/>
        <v>0.22470000000000001</v>
      </c>
      <c r="K346" s="48">
        <f t="shared" si="38"/>
        <v>8.98</v>
      </c>
      <c r="L346" s="48">
        <f t="shared" si="39"/>
        <v>6.71</v>
      </c>
      <c r="M346" s="48">
        <f t="shared" si="40"/>
        <v>4849.2</v>
      </c>
      <c r="N346" s="48">
        <f t="shared" si="41"/>
        <v>3623.4</v>
      </c>
      <c r="O346" s="50">
        <f t="shared" si="42"/>
        <v>8472.6</v>
      </c>
      <c r="P346" s="50">
        <v>0</v>
      </c>
      <c r="Q346" s="76"/>
      <c r="R346" s="140">
        <f>IF((20*S9+100*S10)&gt;1000,1000,(20*S9+100*S10))</f>
        <v>540</v>
      </c>
      <c r="S346" s="79">
        <v>7.34</v>
      </c>
      <c r="T346" s="80">
        <v>5.48</v>
      </c>
    </row>
    <row r="347" spans="2:20" ht="70">
      <c r="B347" s="5" t="s">
        <v>837</v>
      </c>
      <c r="C347" s="45" t="s">
        <v>135</v>
      </c>
      <c r="D347" s="45">
        <v>91864</v>
      </c>
      <c r="E347" s="6" t="s">
        <v>838</v>
      </c>
      <c r="F347" s="45" t="s">
        <v>187</v>
      </c>
      <c r="G347" s="46">
        <f t="shared" si="43"/>
        <v>500</v>
      </c>
      <c r="H347" s="46">
        <f>TRUNC(S347*(1-LOTE_01!$K$10),2)</f>
        <v>10.73</v>
      </c>
      <c r="I347" s="46">
        <f>TRUNC(T347*(1-LOTE_01!$K$10),2)</f>
        <v>6.41</v>
      </c>
      <c r="J347" s="100">
        <f t="shared" si="44"/>
        <v>0.22470000000000001</v>
      </c>
      <c r="K347" s="48">
        <f t="shared" si="38"/>
        <v>13.14</v>
      </c>
      <c r="L347" s="48">
        <f t="shared" si="39"/>
        <v>7.85</v>
      </c>
      <c r="M347" s="48">
        <f t="shared" si="40"/>
        <v>6570</v>
      </c>
      <c r="N347" s="48">
        <f t="shared" si="41"/>
        <v>3925</v>
      </c>
      <c r="O347" s="50">
        <f t="shared" si="42"/>
        <v>10495</v>
      </c>
      <c r="P347" s="50">
        <v>0</v>
      </c>
      <c r="Q347" s="76"/>
      <c r="R347" s="140">
        <f>IF((20*S9+100*S10)&gt;500,500,(20*S9+100*S10))</f>
        <v>500</v>
      </c>
      <c r="S347" s="79">
        <v>10.73</v>
      </c>
      <c r="T347" s="80">
        <v>6.41</v>
      </c>
    </row>
    <row r="348" spans="2:20" ht="56">
      <c r="B348" s="5" t="s">
        <v>839</v>
      </c>
      <c r="C348" s="45" t="s">
        <v>135</v>
      </c>
      <c r="D348" s="45">
        <v>91926</v>
      </c>
      <c r="E348" s="6" t="s">
        <v>840</v>
      </c>
      <c r="F348" s="45" t="s">
        <v>187</v>
      </c>
      <c r="G348" s="46">
        <f t="shared" si="43"/>
        <v>11400</v>
      </c>
      <c r="H348" s="46">
        <f>TRUNC(S348*(1-LOTE_01!$K$10),2)</f>
        <v>3.99</v>
      </c>
      <c r="I348" s="46">
        <f>TRUNC(T348*(1-LOTE_01!$K$10),2)</f>
        <v>1.41</v>
      </c>
      <c r="J348" s="100">
        <f t="shared" si="44"/>
        <v>0.22470000000000001</v>
      </c>
      <c r="K348" s="48">
        <f t="shared" si="38"/>
        <v>4.88</v>
      </c>
      <c r="L348" s="48">
        <f t="shared" si="39"/>
        <v>1.72</v>
      </c>
      <c r="M348" s="48">
        <f t="shared" si="40"/>
        <v>55632</v>
      </c>
      <c r="N348" s="48">
        <f t="shared" si="41"/>
        <v>19608</v>
      </c>
      <c r="O348" s="50">
        <f t="shared" si="42"/>
        <v>75240</v>
      </c>
      <c r="P348" s="50">
        <v>0</v>
      </c>
      <c r="Q348" s="76"/>
      <c r="R348" s="140">
        <f>600*S9+600*S10</f>
        <v>11400</v>
      </c>
      <c r="S348" s="79">
        <v>3.99</v>
      </c>
      <c r="T348" s="80">
        <v>1.41</v>
      </c>
    </row>
    <row r="349" spans="2:20" ht="56">
      <c r="B349" s="5" t="s">
        <v>841</v>
      </c>
      <c r="C349" s="45" t="s">
        <v>135</v>
      </c>
      <c r="D349" s="45">
        <v>91924</v>
      </c>
      <c r="E349" s="6" t="s">
        <v>842</v>
      </c>
      <c r="F349" s="45" t="s">
        <v>187</v>
      </c>
      <c r="G349" s="46">
        <f t="shared" si="43"/>
        <v>11400</v>
      </c>
      <c r="H349" s="46">
        <f>TRUNC(S349*(1-LOTE_01!$K$10),2)</f>
        <v>2.61</v>
      </c>
      <c r="I349" s="46">
        <f>TRUNC(T349*(1-LOTE_01!$K$10),2)</f>
        <v>1.1100000000000001</v>
      </c>
      <c r="J349" s="100">
        <f t="shared" si="44"/>
        <v>0.22470000000000001</v>
      </c>
      <c r="K349" s="48">
        <f t="shared" si="38"/>
        <v>3.19</v>
      </c>
      <c r="L349" s="48">
        <f t="shared" si="39"/>
        <v>1.35</v>
      </c>
      <c r="M349" s="48">
        <f t="shared" si="40"/>
        <v>36366</v>
      </c>
      <c r="N349" s="48">
        <f t="shared" si="41"/>
        <v>15390</v>
      </c>
      <c r="O349" s="50">
        <f t="shared" si="42"/>
        <v>51756</v>
      </c>
      <c r="P349" s="50">
        <v>0</v>
      </c>
      <c r="Q349" s="76"/>
      <c r="R349" s="140">
        <f>600*S9+600*S10</f>
        <v>11400</v>
      </c>
      <c r="S349" s="79">
        <v>2.6100000000000003</v>
      </c>
      <c r="T349" s="80">
        <v>1.1100000000000001</v>
      </c>
    </row>
    <row r="350" spans="2:20" ht="56">
      <c r="B350" s="5" t="s">
        <v>843</v>
      </c>
      <c r="C350" s="45" t="s">
        <v>135</v>
      </c>
      <c r="D350" s="45">
        <v>91928</v>
      </c>
      <c r="E350" s="6" t="s">
        <v>844</v>
      </c>
      <c r="F350" s="45" t="s">
        <v>187</v>
      </c>
      <c r="G350" s="46">
        <f t="shared" si="43"/>
        <v>3800</v>
      </c>
      <c r="H350" s="46">
        <f>TRUNC(S350*(1-LOTE_01!$K$10),2)</f>
        <v>6.46</v>
      </c>
      <c r="I350" s="46">
        <f>TRUNC(T350*(1-LOTE_01!$K$10),2)</f>
        <v>1.9</v>
      </c>
      <c r="J350" s="100">
        <f t="shared" si="44"/>
        <v>0.22470000000000001</v>
      </c>
      <c r="K350" s="48">
        <f t="shared" si="38"/>
        <v>7.91</v>
      </c>
      <c r="L350" s="48">
        <f t="shared" si="39"/>
        <v>2.3199999999999998</v>
      </c>
      <c r="M350" s="48">
        <f t="shared" si="40"/>
        <v>30058</v>
      </c>
      <c r="N350" s="48">
        <f t="shared" si="41"/>
        <v>8816</v>
      </c>
      <c r="O350" s="50">
        <f t="shared" si="42"/>
        <v>38874</v>
      </c>
      <c r="P350" s="50">
        <v>0</v>
      </c>
      <c r="Q350" s="76"/>
      <c r="R350" s="140">
        <f>200*S9+200*S10</f>
        <v>3800</v>
      </c>
      <c r="S350" s="79">
        <v>6.4599999999999991</v>
      </c>
      <c r="T350" s="80">
        <v>1.9</v>
      </c>
    </row>
    <row r="351" spans="2:20" ht="56">
      <c r="B351" s="5" t="s">
        <v>845</v>
      </c>
      <c r="C351" s="45" t="s">
        <v>135</v>
      </c>
      <c r="D351" s="45">
        <v>91952</v>
      </c>
      <c r="E351" s="6" t="s">
        <v>846</v>
      </c>
      <c r="F351" s="45" t="s">
        <v>210</v>
      </c>
      <c r="G351" s="46">
        <f t="shared" si="43"/>
        <v>475</v>
      </c>
      <c r="H351" s="46">
        <f>TRUNC(S351*(1-LOTE_01!$K$10),2)</f>
        <v>10.83</v>
      </c>
      <c r="I351" s="46">
        <f>TRUNC(T351*(1-LOTE_01!$K$10),2)</f>
        <v>10.9</v>
      </c>
      <c r="J351" s="100">
        <f t="shared" si="44"/>
        <v>0.22470000000000001</v>
      </c>
      <c r="K351" s="48">
        <f t="shared" si="38"/>
        <v>13.26</v>
      </c>
      <c r="L351" s="48">
        <f t="shared" si="39"/>
        <v>13.34</v>
      </c>
      <c r="M351" s="48">
        <f t="shared" si="40"/>
        <v>6298.5</v>
      </c>
      <c r="N351" s="48">
        <f t="shared" si="41"/>
        <v>6336.5</v>
      </c>
      <c r="O351" s="50">
        <f t="shared" si="42"/>
        <v>12635</v>
      </c>
      <c r="P351" s="50">
        <v>0</v>
      </c>
      <c r="Q351" s="76"/>
      <c r="R351" s="140">
        <f>25*S9+25*S10</f>
        <v>475</v>
      </c>
      <c r="S351" s="79">
        <v>10.83</v>
      </c>
      <c r="T351" s="80">
        <v>10.9</v>
      </c>
    </row>
    <row r="352" spans="2:20" ht="56">
      <c r="B352" s="5" t="s">
        <v>847</v>
      </c>
      <c r="C352" s="45" t="s">
        <v>135</v>
      </c>
      <c r="D352" s="45">
        <v>91959</v>
      </c>
      <c r="E352" s="6" t="s">
        <v>848</v>
      </c>
      <c r="F352" s="45" t="s">
        <v>210</v>
      </c>
      <c r="G352" s="46">
        <f t="shared" si="43"/>
        <v>190</v>
      </c>
      <c r="H352" s="46">
        <f>TRUNC(S352*(1-LOTE_01!$K$10),2)</f>
        <v>27.36</v>
      </c>
      <c r="I352" s="46">
        <f>TRUNC(T352*(1-LOTE_01!$K$10),2)</f>
        <v>24.93</v>
      </c>
      <c r="J352" s="100">
        <f t="shared" si="44"/>
        <v>0.22470000000000001</v>
      </c>
      <c r="K352" s="48">
        <f t="shared" si="38"/>
        <v>33.5</v>
      </c>
      <c r="L352" s="48">
        <f t="shared" si="39"/>
        <v>30.53</v>
      </c>
      <c r="M352" s="48">
        <f t="shared" si="40"/>
        <v>6365</v>
      </c>
      <c r="N352" s="48">
        <f t="shared" si="41"/>
        <v>5800.7</v>
      </c>
      <c r="O352" s="50">
        <f t="shared" si="42"/>
        <v>12165.7</v>
      </c>
      <c r="P352" s="50">
        <v>0</v>
      </c>
      <c r="Q352" s="76"/>
      <c r="R352" s="140">
        <f>10*S9+10*S10</f>
        <v>190</v>
      </c>
      <c r="S352" s="79">
        <v>27.36</v>
      </c>
      <c r="T352" s="80">
        <v>24.93</v>
      </c>
    </row>
    <row r="353" spans="2:20" ht="56">
      <c r="B353" s="5" t="s">
        <v>849</v>
      </c>
      <c r="C353" s="45" t="s">
        <v>135</v>
      </c>
      <c r="D353" s="45">
        <v>91967</v>
      </c>
      <c r="E353" s="6" t="s">
        <v>850</v>
      </c>
      <c r="F353" s="45" t="s">
        <v>210</v>
      </c>
      <c r="G353" s="46">
        <f t="shared" si="43"/>
        <v>190</v>
      </c>
      <c r="H353" s="46">
        <f>TRUNC(S353*(1-LOTE_01!$K$10),2)</f>
        <v>37.25</v>
      </c>
      <c r="I353" s="46">
        <f>TRUNC(T353*(1-LOTE_01!$K$10),2)</f>
        <v>32.94</v>
      </c>
      <c r="J353" s="100">
        <f t="shared" si="44"/>
        <v>0.22470000000000001</v>
      </c>
      <c r="K353" s="48">
        <f t="shared" si="38"/>
        <v>45.62</v>
      </c>
      <c r="L353" s="48">
        <f t="shared" si="39"/>
        <v>40.340000000000003</v>
      </c>
      <c r="M353" s="48">
        <f t="shared" si="40"/>
        <v>8667.7999999999993</v>
      </c>
      <c r="N353" s="48">
        <f t="shared" si="41"/>
        <v>7664.6</v>
      </c>
      <c r="O353" s="50">
        <f t="shared" si="42"/>
        <v>16332.4</v>
      </c>
      <c r="P353" s="50">
        <v>0</v>
      </c>
      <c r="Q353" s="76"/>
      <c r="R353" s="140">
        <f>10*S9+10*S10</f>
        <v>190</v>
      </c>
      <c r="S353" s="79">
        <v>37.25</v>
      </c>
      <c r="T353" s="80">
        <v>32.94</v>
      </c>
    </row>
    <row r="354" spans="2:20" ht="56">
      <c r="B354" s="5" t="s">
        <v>851</v>
      </c>
      <c r="C354" s="45" t="s">
        <v>135</v>
      </c>
      <c r="D354" s="45">
        <v>92005</v>
      </c>
      <c r="E354" s="6" t="s">
        <v>852</v>
      </c>
      <c r="F354" s="45" t="s">
        <v>210</v>
      </c>
      <c r="G354" s="46">
        <f t="shared" si="43"/>
        <v>210</v>
      </c>
      <c r="H354" s="46">
        <f>TRUNC(S354*(1-LOTE_01!$K$10),2)</f>
        <v>36.619999999999997</v>
      </c>
      <c r="I354" s="46">
        <f>TRUNC(T354*(1-LOTE_01!$K$10),2)</f>
        <v>32.93</v>
      </c>
      <c r="J354" s="100">
        <f t="shared" si="44"/>
        <v>0.22470000000000001</v>
      </c>
      <c r="K354" s="48">
        <f t="shared" si="38"/>
        <v>44.84</v>
      </c>
      <c r="L354" s="48">
        <f t="shared" si="39"/>
        <v>40.32</v>
      </c>
      <c r="M354" s="48">
        <f t="shared" si="40"/>
        <v>9416.4</v>
      </c>
      <c r="N354" s="48">
        <f t="shared" si="41"/>
        <v>8467.2000000000007</v>
      </c>
      <c r="O354" s="50">
        <f t="shared" si="42"/>
        <v>17883.599999999999</v>
      </c>
      <c r="P354" s="50">
        <v>0</v>
      </c>
      <c r="Q354" s="76"/>
      <c r="R354" s="140">
        <f>IF((10*S9+20*S10)&gt;500,500,(10*S9+20*S10))</f>
        <v>210</v>
      </c>
      <c r="S354" s="79">
        <v>36.619999999999997</v>
      </c>
      <c r="T354" s="80">
        <v>32.93</v>
      </c>
    </row>
    <row r="355" spans="2:20" ht="56">
      <c r="B355" s="5" t="s">
        <v>853</v>
      </c>
      <c r="C355" s="45" t="s">
        <v>135</v>
      </c>
      <c r="D355" s="45">
        <v>92008</v>
      </c>
      <c r="E355" s="6" t="s">
        <v>854</v>
      </c>
      <c r="F355" s="45" t="s">
        <v>210</v>
      </c>
      <c r="G355" s="46">
        <f t="shared" si="43"/>
        <v>210</v>
      </c>
      <c r="H355" s="46">
        <f>TRUNC(S355*(1-LOTE_01!$K$10),2)</f>
        <v>29.67</v>
      </c>
      <c r="I355" s="46">
        <f>TRUNC(T355*(1-LOTE_01!$K$10),2)</f>
        <v>25.84</v>
      </c>
      <c r="J355" s="100">
        <f t="shared" si="44"/>
        <v>0.22470000000000001</v>
      </c>
      <c r="K355" s="48">
        <f t="shared" si="38"/>
        <v>36.33</v>
      </c>
      <c r="L355" s="48">
        <f t="shared" si="39"/>
        <v>31.64</v>
      </c>
      <c r="M355" s="48">
        <f t="shared" si="40"/>
        <v>7629.3</v>
      </c>
      <c r="N355" s="48">
        <f t="shared" si="41"/>
        <v>6644.4</v>
      </c>
      <c r="O355" s="50">
        <f t="shared" si="42"/>
        <v>14273.7</v>
      </c>
      <c r="P355" s="50">
        <v>0</v>
      </c>
      <c r="Q355" s="76"/>
      <c r="R355" s="140">
        <f>IF((10*S9+20*S10)&gt;500,500,(10*S9+20*S10))</f>
        <v>210</v>
      </c>
      <c r="S355" s="79">
        <v>29.669999999999998</v>
      </c>
      <c r="T355" s="80">
        <v>25.84</v>
      </c>
    </row>
    <row r="356" spans="2:20" ht="56">
      <c r="B356" s="5" t="s">
        <v>855</v>
      </c>
      <c r="C356" s="45" t="s">
        <v>135</v>
      </c>
      <c r="D356" s="45">
        <v>92000</v>
      </c>
      <c r="E356" s="6" t="s">
        <v>856</v>
      </c>
      <c r="F356" s="45" t="s">
        <v>210</v>
      </c>
      <c r="G356" s="46">
        <f t="shared" si="43"/>
        <v>570</v>
      </c>
      <c r="H356" s="46">
        <f>TRUNC(S356*(1-LOTE_01!$K$10),2)</f>
        <v>18.63</v>
      </c>
      <c r="I356" s="46">
        <f>TRUNC(T356*(1-LOTE_01!$K$10),2)</f>
        <v>17.399999999999999</v>
      </c>
      <c r="J356" s="100">
        <f t="shared" si="44"/>
        <v>0.22470000000000001</v>
      </c>
      <c r="K356" s="48">
        <f t="shared" si="38"/>
        <v>22.81</v>
      </c>
      <c r="L356" s="48">
        <f t="shared" si="39"/>
        <v>21.3</v>
      </c>
      <c r="M356" s="48">
        <f t="shared" si="40"/>
        <v>13001.7</v>
      </c>
      <c r="N356" s="48">
        <f t="shared" si="41"/>
        <v>12141</v>
      </c>
      <c r="O356" s="50">
        <f t="shared" si="42"/>
        <v>25142.7</v>
      </c>
      <c r="P356" s="50">
        <v>0</v>
      </c>
      <c r="Q356" s="76"/>
      <c r="R356" s="140">
        <f>30*S9+30*S10</f>
        <v>570</v>
      </c>
      <c r="S356" s="79">
        <v>18.630000000000003</v>
      </c>
      <c r="T356" s="80">
        <v>17.399999999999999</v>
      </c>
    </row>
    <row r="357" spans="2:20" ht="42">
      <c r="B357" s="5" t="s">
        <v>857</v>
      </c>
      <c r="C357" s="45" t="s">
        <v>97</v>
      </c>
      <c r="D357" s="45" t="s">
        <v>858</v>
      </c>
      <c r="E357" s="6" t="s">
        <v>859</v>
      </c>
      <c r="F357" s="45" t="s">
        <v>104</v>
      </c>
      <c r="G357" s="46">
        <f t="shared" si="43"/>
        <v>610</v>
      </c>
      <c r="H357" s="46">
        <f>TRUNC(S357*(1-LOTE_01!$K$10),2)</f>
        <v>11.54</v>
      </c>
      <c r="I357" s="46">
        <f>TRUNC(T357*(1-LOTE_01!$K$10),2)</f>
        <v>27.54</v>
      </c>
      <c r="J357" s="100">
        <f t="shared" si="44"/>
        <v>0.22470000000000001</v>
      </c>
      <c r="K357" s="48">
        <f t="shared" si="38"/>
        <v>14.13</v>
      </c>
      <c r="L357" s="48">
        <f t="shared" si="39"/>
        <v>33.72</v>
      </c>
      <c r="M357" s="48">
        <f t="shared" si="40"/>
        <v>8619.2999999999993</v>
      </c>
      <c r="N357" s="48">
        <f t="shared" si="41"/>
        <v>20569.2</v>
      </c>
      <c r="O357" s="50">
        <f t="shared" si="42"/>
        <v>29188.5</v>
      </c>
      <c r="P357" s="50">
        <v>0</v>
      </c>
      <c r="Q357" s="76"/>
      <c r="R357" s="140">
        <f>30*S9+50*S10</f>
        <v>610</v>
      </c>
      <c r="S357" s="79">
        <v>11.54</v>
      </c>
      <c r="T357" s="80">
        <v>27.54</v>
      </c>
    </row>
    <row r="358" spans="2:20" ht="28">
      <c r="B358" s="5" t="s">
        <v>860</v>
      </c>
      <c r="C358" s="45" t="s">
        <v>97</v>
      </c>
      <c r="D358" s="45" t="s">
        <v>861</v>
      </c>
      <c r="E358" s="6" t="s">
        <v>862</v>
      </c>
      <c r="F358" s="45" t="s">
        <v>104</v>
      </c>
      <c r="G358" s="46">
        <f t="shared" si="43"/>
        <v>50</v>
      </c>
      <c r="H358" s="46">
        <f>TRUNC(S358*(1-LOTE_01!$K$10),2)</f>
        <v>28.49</v>
      </c>
      <c r="I358" s="46">
        <f>TRUNC(T358*(1-LOTE_01!$K$10),2)</f>
        <v>20.65</v>
      </c>
      <c r="J358" s="100">
        <f t="shared" si="44"/>
        <v>0.22470000000000001</v>
      </c>
      <c r="K358" s="48">
        <f t="shared" si="38"/>
        <v>34.89</v>
      </c>
      <c r="L358" s="48">
        <f t="shared" si="39"/>
        <v>25.29</v>
      </c>
      <c r="M358" s="48">
        <f t="shared" si="40"/>
        <v>1744.5</v>
      </c>
      <c r="N358" s="48">
        <f t="shared" si="41"/>
        <v>1264.5</v>
      </c>
      <c r="O358" s="50">
        <f t="shared" si="42"/>
        <v>3009</v>
      </c>
      <c r="P358" s="50">
        <v>0</v>
      </c>
      <c r="Q358" s="76"/>
      <c r="R358" s="140">
        <f>IF((10*S9+10*S10)&gt;50,50,(10*S9+10*S10))</f>
        <v>50</v>
      </c>
      <c r="S358" s="79">
        <v>28.49</v>
      </c>
      <c r="T358" s="80">
        <v>20.65</v>
      </c>
    </row>
    <row r="359" spans="2:20" ht="84">
      <c r="B359" s="5" t="s">
        <v>863</v>
      </c>
      <c r="C359" s="45" t="s">
        <v>97</v>
      </c>
      <c r="D359" s="45" t="s">
        <v>864</v>
      </c>
      <c r="E359" s="6" t="s">
        <v>865</v>
      </c>
      <c r="F359" s="45" t="s">
        <v>104</v>
      </c>
      <c r="G359" s="46">
        <f t="shared" si="43"/>
        <v>200</v>
      </c>
      <c r="H359" s="46">
        <f>TRUNC(S359*(1-LOTE_01!$K$10),2)</f>
        <v>190.83</v>
      </c>
      <c r="I359" s="46">
        <f>TRUNC(T359*(1-LOTE_01!$K$10),2)</f>
        <v>41.31</v>
      </c>
      <c r="J359" s="100">
        <f t="shared" si="44"/>
        <v>0.22470000000000001</v>
      </c>
      <c r="K359" s="48">
        <f t="shared" si="38"/>
        <v>233.7</v>
      </c>
      <c r="L359" s="48">
        <f t="shared" si="39"/>
        <v>50.59</v>
      </c>
      <c r="M359" s="48">
        <f t="shared" si="40"/>
        <v>46740</v>
      </c>
      <c r="N359" s="48">
        <f t="shared" si="41"/>
        <v>10118</v>
      </c>
      <c r="O359" s="50">
        <f t="shared" si="42"/>
        <v>56858</v>
      </c>
      <c r="P359" s="50">
        <v>0</v>
      </c>
      <c r="Q359" s="76"/>
      <c r="R359" s="140">
        <f>IF((20*S9+20*S10)&gt;200,200,(20*S9+20*S10))</f>
        <v>200</v>
      </c>
      <c r="S359" s="79">
        <v>190.83</v>
      </c>
      <c r="T359" s="80">
        <v>41.31</v>
      </c>
    </row>
    <row r="360" spans="2:20" ht="98">
      <c r="B360" s="5" t="s">
        <v>866</v>
      </c>
      <c r="C360" s="45" t="s">
        <v>97</v>
      </c>
      <c r="D360" s="45" t="s">
        <v>867</v>
      </c>
      <c r="E360" s="6" t="s">
        <v>868</v>
      </c>
      <c r="F360" s="45" t="s">
        <v>104</v>
      </c>
      <c r="G360" s="46">
        <f t="shared" si="43"/>
        <v>38</v>
      </c>
      <c r="H360" s="46">
        <f>TRUNC(S360*(1-LOTE_01!$K$10),2)</f>
        <v>265.35000000000002</v>
      </c>
      <c r="I360" s="46">
        <f>TRUNC(T360*(1-LOTE_01!$K$10),2)</f>
        <v>91.11</v>
      </c>
      <c r="J360" s="100">
        <f t="shared" si="44"/>
        <v>0.22470000000000001</v>
      </c>
      <c r="K360" s="48">
        <f t="shared" si="38"/>
        <v>324.97000000000003</v>
      </c>
      <c r="L360" s="48">
        <f t="shared" si="39"/>
        <v>111.58</v>
      </c>
      <c r="M360" s="48">
        <f t="shared" si="40"/>
        <v>12348.86</v>
      </c>
      <c r="N360" s="48">
        <f t="shared" si="41"/>
        <v>4240.04</v>
      </c>
      <c r="O360" s="50">
        <f t="shared" si="42"/>
        <v>16588.900000000001</v>
      </c>
      <c r="P360" s="50">
        <v>0</v>
      </c>
      <c r="Q360" s="76"/>
      <c r="R360" s="140">
        <f>IF((2*S9+2*S10)&gt;50,100,(2*S9+2*S10))</f>
        <v>38</v>
      </c>
      <c r="S360" s="79">
        <v>265.35000000000002</v>
      </c>
      <c r="T360" s="80">
        <v>91.11</v>
      </c>
    </row>
    <row r="361" spans="2:20" ht="56">
      <c r="B361" s="5" t="s">
        <v>869</v>
      </c>
      <c r="C361" s="45" t="s">
        <v>135</v>
      </c>
      <c r="D361" s="45">
        <v>97607</v>
      </c>
      <c r="E361" s="6" t="s">
        <v>870</v>
      </c>
      <c r="F361" s="45" t="s">
        <v>210</v>
      </c>
      <c r="G361" s="46">
        <f t="shared" si="43"/>
        <v>50</v>
      </c>
      <c r="H361" s="46">
        <f>TRUNC(S361*(1-LOTE_01!$K$10),2)</f>
        <v>78.45</v>
      </c>
      <c r="I361" s="46">
        <f>TRUNC(T361*(1-LOTE_01!$K$10),2)</f>
        <v>16.02</v>
      </c>
      <c r="J361" s="100">
        <f t="shared" si="44"/>
        <v>0.22470000000000001</v>
      </c>
      <c r="K361" s="48">
        <f t="shared" si="38"/>
        <v>96.07</v>
      </c>
      <c r="L361" s="48">
        <f t="shared" si="39"/>
        <v>19.61</v>
      </c>
      <c r="M361" s="48">
        <f t="shared" si="40"/>
        <v>4803.5</v>
      </c>
      <c r="N361" s="48">
        <f t="shared" si="41"/>
        <v>980.5</v>
      </c>
      <c r="O361" s="50">
        <f t="shared" si="42"/>
        <v>5784</v>
      </c>
      <c r="P361" s="50">
        <v>0</v>
      </c>
      <c r="Q361" s="76"/>
      <c r="R361" s="140">
        <f>IF((5*S9+5*S10)&gt;50,50,(5*S9+5*S10))</f>
        <v>50</v>
      </c>
      <c r="S361" s="79">
        <v>78.45</v>
      </c>
      <c r="T361" s="80">
        <v>16.02</v>
      </c>
    </row>
    <row r="362" spans="2:20" ht="28">
      <c r="B362" s="5" t="s">
        <v>871</v>
      </c>
      <c r="C362" s="45" t="s">
        <v>165</v>
      </c>
      <c r="D362" s="45" t="s">
        <v>872</v>
      </c>
      <c r="E362" s="6" t="s">
        <v>873</v>
      </c>
      <c r="F362" s="45" t="s">
        <v>559</v>
      </c>
      <c r="G362" s="46">
        <f t="shared" si="43"/>
        <v>50</v>
      </c>
      <c r="H362" s="46">
        <f>TRUNC(S362*(1-LOTE_01!$K$10),2)</f>
        <v>231.93</v>
      </c>
      <c r="I362" s="46">
        <f>TRUNC(T362*(1-LOTE_01!$K$10),2)</f>
        <v>59.79</v>
      </c>
      <c r="J362" s="100">
        <f t="shared" si="44"/>
        <v>0.22470000000000001</v>
      </c>
      <c r="K362" s="48">
        <f t="shared" si="38"/>
        <v>284.04000000000002</v>
      </c>
      <c r="L362" s="48">
        <f t="shared" si="39"/>
        <v>73.22</v>
      </c>
      <c r="M362" s="48">
        <f t="shared" si="40"/>
        <v>14202</v>
      </c>
      <c r="N362" s="48">
        <f t="shared" si="41"/>
        <v>3661</v>
      </c>
      <c r="O362" s="50">
        <f t="shared" si="42"/>
        <v>17863</v>
      </c>
      <c r="P362" s="50">
        <v>0</v>
      </c>
      <c r="Q362" s="76"/>
      <c r="R362" s="140">
        <f>IF((5*S9+5*S10)&gt;50,50,(5*S9+5*S10))</f>
        <v>50</v>
      </c>
      <c r="S362" s="79">
        <v>231.93</v>
      </c>
      <c r="T362" s="80">
        <v>59.79</v>
      </c>
    </row>
    <row r="363" spans="2:20" ht="42">
      <c r="B363" s="5" t="s">
        <v>874</v>
      </c>
      <c r="C363" s="45" t="s">
        <v>135</v>
      </c>
      <c r="D363" s="45">
        <v>100903</v>
      </c>
      <c r="E363" s="6" t="s">
        <v>875</v>
      </c>
      <c r="F363" s="45" t="s">
        <v>210</v>
      </c>
      <c r="G363" s="46">
        <f t="shared" si="43"/>
        <v>500</v>
      </c>
      <c r="H363" s="46">
        <f>TRUNC(S363*(1-LOTE_01!$K$10),2)</f>
        <v>19.88</v>
      </c>
      <c r="I363" s="46">
        <f>TRUNC(T363*(1-LOTE_01!$K$10),2)</f>
        <v>12.35</v>
      </c>
      <c r="J363" s="100">
        <f t="shared" si="44"/>
        <v>0.22470000000000001</v>
      </c>
      <c r="K363" s="48">
        <f t="shared" si="38"/>
        <v>24.34</v>
      </c>
      <c r="L363" s="48">
        <f t="shared" si="39"/>
        <v>15.12</v>
      </c>
      <c r="M363" s="48">
        <f t="shared" si="40"/>
        <v>12170</v>
      </c>
      <c r="N363" s="48">
        <f t="shared" si="41"/>
        <v>7560</v>
      </c>
      <c r="O363" s="50">
        <f t="shared" si="42"/>
        <v>19730</v>
      </c>
      <c r="P363" s="50">
        <v>0</v>
      </c>
      <c r="Q363" s="76"/>
      <c r="R363" s="140">
        <f>IF((100*S9+100*S10)&gt;500,500,(100*S9+100*S10))</f>
        <v>500</v>
      </c>
      <c r="S363" s="79">
        <v>19.879999999999995</v>
      </c>
      <c r="T363" s="80">
        <v>12.35</v>
      </c>
    </row>
    <row r="364" spans="2:20" ht="56">
      <c r="B364" s="5" t="s">
        <v>876</v>
      </c>
      <c r="C364" s="45" t="s">
        <v>135</v>
      </c>
      <c r="D364" s="45">
        <v>97599</v>
      </c>
      <c r="E364" s="6" t="s">
        <v>877</v>
      </c>
      <c r="F364" s="45" t="s">
        <v>210</v>
      </c>
      <c r="G364" s="46">
        <f t="shared" si="43"/>
        <v>100</v>
      </c>
      <c r="H364" s="46">
        <f>TRUNC(S364*(1-LOTE_01!$K$10),2)</f>
        <v>12.64</v>
      </c>
      <c r="I364" s="46">
        <f>TRUNC(T364*(1-LOTE_01!$K$10),2)</f>
        <v>5.21</v>
      </c>
      <c r="J364" s="100">
        <f t="shared" si="44"/>
        <v>0.22470000000000001</v>
      </c>
      <c r="K364" s="48">
        <f t="shared" si="38"/>
        <v>15.48</v>
      </c>
      <c r="L364" s="48">
        <f t="shared" si="39"/>
        <v>6.38</v>
      </c>
      <c r="M364" s="48">
        <f t="shared" si="40"/>
        <v>1548</v>
      </c>
      <c r="N364" s="48">
        <f t="shared" si="41"/>
        <v>638</v>
      </c>
      <c r="O364" s="50">
        <f t="shared" si="42"/>
        <v>2186</v>
      </c>
      <c r="P364" s="50">
        <v>0</v>
      </c>
      <c r="Q364" s="76"/>
      <c r="R364" s="140">
        <f>IF((20*S9+20*S10)&gt;100,100,(20*S9+20*S10))</f>
        <v>100</v>
      </c>
      <c r="S364" s="79">
        <v>12.64</v>
      </c>
      <c r="T364" s="80">
        <v>5.21</v>
      </c>
    </row>
    <row r="365" spans="2:20" ht="28">
      <c r="B365" s="5" t="s">
        <v>878</v>
      </c>
      <c r="C365" s="45" t="s">
        <v>97</v>
      </c>
      <c r="D365" s="45" t="s">
        <v>879</v>
      </c>
      <c r="E365" s="6" t="s">
        <v>880</v>
      </c>
      <c r="F365" s="45" t="s">
        <v>881</v>
      </c>
      <c r="G365" s="46">
        <f t="shared" si="43"/>
        <v>1045</v>
      </c>
      <c r="H365" s="46">
        <f>TRUNC(S365*(1-LOTE_01!$K$10),2)</f>
        <v>114.12</v>
      </c>
      <c r="I365" s="46">
        <f>TRUNC(T365*(1-LOTE_01!$K$10),2)</f>
        <v>41.31</v>
      </c>
      <c r="J365" s="100">
        <f t="shared" si="44"/>
        <v>0.22470000000000001</v>
      </c>
      <c r="K365" s="48">
        <f t="shared" si="38"/>
        <v>139.76</v>
      </c>
      <c r="L365" s="48">
        <f t="shared" si="39"/>
        <v>50.59</v>
      </c>
      <c r="M365" s="48">
        <f t="shared" si="40"/>
        <v>146049.20000000001</v>
      </c>
      <c r="N365" s="48">
        <f t="shared" si="41"/>
        <v>52866.55</v>
      </c>
      <c r="O365" s="50">
        <f t="shared" si="42"/>
        <v>198915.75</v>
      </c>
      <c r="P365" s="50">
        <v>0</v>
      </c>
      <c r="Q365" s="76"/>
      <c r="R365" s="141">
        <f>(6+6+3+2+2+6+4+2+2+4+6+6+6)*(S9+S10)</f>
        <v>1045</v>
      </c>
      <c r="S365" s="79">
        <v>114.12</v>
      </c>
      <c r="T365" s="80">
        <v>41.31</v>
      </c>
    </row>
    <row r="366" spans="2:20" ht="28">
      <c r="B366" s="5" t="s">
        <v>882</v>
      </c>
      <c r="C366" s="45" t="s">
        <v>97</v>
      </c>
      <c r="D366" s="45" t="s">
        <v>883</v>
      </c>
      <c r="E366" s="6" t="s">
        <v>884</v>
      </c>
      <c r="F366" s="45" t="s">
        <v>104</v>
      </c>
      <c r="G366" s="46">
        <f t="shared" si="43"/>
        <v>627</v>
      </c>
      <c r="H366" s="46">
        <f>TRUNC(S366*(1-LOTE_01!$K$10),2)</f>
        <v>113.12</v>
      </c>
      <c r="I366" s="46">
        <f>TRUNC(T366*(1-LOTE_01!$K$10),2)</f>
        <v>41.31</v>
      </c>
      <c r="J366" s="100">
        <f t="shared" si="44"/>
        <v>0.22470000000000001</v>
      </c>
      <c r="K366" s="48">
        <f t="shared" si="38"/>
        <v>138.53</v>
      </c>
      <c r="L366" s="48">
        <f t="shared" si="39"/>
        <v>50.59</v>
      </c>
      <c r="M366" s="48">
        <f t="shared" si="40"/>
        <v>86858.31</v>
      </c>
      <c r="N366" s="48">
        <f t="shared" si="41"/>
        <v>31719.93</v>
      </c>
      <c r="O366" s="50">
        <f t="shared" si="42"/>
        <v>118578.24000000001</v>
      </c>
      <c r="P366" s="50">
        <v>0</v>
      </c>
      <c r="Q366" s="76"/>
      <c r="R366" s="141">
        <f>(3+9+14+7)*(S9+S10)</f>
        <v>627</v>
      </c>
      <c r="S366" s="79">
        <v>113.12</v>
      </c>
      <c r="T366" s="80">
        <v>41.31</v>
      </c>
    </row>
    <row r="367" spans="2:20" ht="42">
      <c r="B367" s="5" t="s">
        <v>885</v>
      </c>
      <c r="C367" s="45" t="s">
        <v>97</v>
      </c>
      <c r="D367" s="45" t="s">
        <v>886</v>
      </c>
      <c r="E367" s="6" t="s">
        <v>887</v>
      </c>
      <c r="F367" s="45" t="s">
        <v>104</v>
      </c>
      <c r="G367" s="46">
        <f t="shared" si="43"/>
        <v>190</v>
      </c>
      <c r="H367" s="46">
        <f>TRUNC(S367*(1-LOTE_01!$K$10),2)</f>
        <v>113.12</v>
      </c>
      <c r="I367" s="46">
        <f>TRUNC(T367*(1-LOTE_01!$K$10),2)</f>
        <v>41.31</v>
      </c>
      <c r="J367" s="100">
        <f t="shared" si="44"/>
        <v>0.22470000000000001</v>
      </c>
      <c r="K367" s="48">
        <f t="shared" si="38"/>
        <v>138.53</v>
      </c>
      <c r="L367" s="48">
        <f t="shared" si="39"/>
        <v>50.59</v>
      </c>
      <c r="M367" s="48">
        <f t="shared" si="40"/>
        <v>26320.7</v>
      </c>
      <c r="N367" s="48">
        <f t="shared" si="41"/>
        <v>9612.1</v>
      </c>
      <c r="O367" s="50">
        <f t="shared" si="42"/>
        <v>35932.800000000003</v>
      </c>
      <c r="P367" s="50">
        <v>0</v>
      </c>
      <c r="Q367" s="76"/>
      <c r="R367" s="141">
        <f>10*(S9+S10)</f>
        <v>190</v>
      </c>
      <c r="S367" s="79">
        <v>113.12</v>
      </c>
      <c r="T367" s="80">
        <v>41.31</v>
      </c>
    </row>
    <row r="368" spans="2:20" ht="28">
      <c r="B368" s="5" t="s">
        <v>888</v>
      </c>
      <c r="C368" s="45" t="s">
        <v>97</v>
      </c>
      <c r="D368" s="45" t="s">
        <v>889</v>
      </c>
      <c r="E368" s="6" t="s">
        <v>890</v>
      </c>
      <c r="F368" s="45" t="s">
        <v>104</v>
      </c>
      <c r="G368" s="46">
        <f t="shared" si="43"/>
        <v>380</v>
      </c>
      <c r="H368" s="46">
        <f>TRUNC(S368*(1-LOTE_01!$K$10),2)</f>
        <v>2030.91</v>
      </c>
      <c r="I368" s="46">
        <f>TRUNC(T368*(1-LOTE_01!$K$10),2)</f>
        <v>45.9</v>
      </c>
      <c r="J368" s="100">
        <f t="shared" si="44"/>
        <v>0.22470000000000001</v>
      </c>
      <c r="K368" s="48">
        <f t="shared" si="38"/>
        <v>2487.25</v>
      </c>
      <c r="L368" s="48">
        <f t="shared" si="39"/>
        <v>56.21</v>
      </c>
      <c r="M368" s="48">
        <f t="shared" si="40"/>
        <v>945155</v>
      </c>
      <c r="N368" s="48">
        <f t="shared" si="41"/>
        <v>21359.8</v>
      </c>
      <c r="O368" s="50">
        <f t="shared" si="42"/>
        <v>966514.8</v>
      </c>
      <c r="P368" s="50">
        <v>0</v>
      </c>
      <c r="Q368" s="76"/>
      <c r="R368" s="141">
        <f>20*(S9+S10)</f>
        <v>380</v>
      </c>
      <c r="S368" s="79">
        <v>2030.91</v>
      </c>
      <c r="T368" s="80">
        <v>45.9</v>
      </c>
    </row>
    <row r="369" spans="2:20" ht="28">
      <c r="B369" s="5" t="s">
        <v>891</v>
      </c>
      <c r="C369" s="45" t="s">
        <v>97</v>
      </c>
      <c r="D369" s="45" t="s">
        <v>892</v>
      </c>
      <c r="E369" s="6" t="s">
        <v>893</v>
      </c>
      <c r="F369" s="45" t="s">
        <v>104</v>
      </c>
      <c r="G369" s="46">
        <f t="shared" si="43"/>
        <v>228</v>
      </c>
      <c r="H369" s="46">
        <f>TRUNC(S369*(1-LOTE_01!$K$10),2)</f>
        <v>1894.23</v>
      </c>
      <c r="I369" s="46">
        <f>TRUNC(T369*(1-LOTE_01!$K$10),2)</f>
        <v>45.9</v>
      </c>
      <c r="J369" s="100">
        <f t="shared" si="44"/>
        <v>0.22470000000000001</v>
      </c>
      <c r="K369" s="48">
        <f t="shared" si="38"/>
        <v>2319.86</v>
      </c>
      <c r="L369" s="48">
        <f t="shared" si="39"/>
        <v>56.21</v>
      </c>
      <c r="M369" s="48">
        <f t="shared" si="40"/>
        <v>528928.07999999996</v>
      </c>
      <c r="N369" s="48">
        <f t="shared" si="41"/>
        <v>12815.88</v>
      </c>
      <c r="O369" s="50">
        <f t="shared" si="42"/>
        <v>541743.96</v>
      </c>
      <c r="P369" s="50">
        <v>0</v>
      </c>
      <c r="Q369" s="76"/>
      <c r="R369" s="141">
        <f>12*(S9+S10)</f>
        <v>228</v>
      </c>
      <c r="S369" s="79">
        <v>1894.23</v>
      </c>
      <c r="T369" s="80">
        <v>45.9</v>
      </c>
    </row>
    <row r="370" spans="2:20" ht="28">
      <c r="B370" s="5" t="s">
        <v>894</v>
      </c>
      <c r="C370" s="45" t="s">
        <v>97</v>
      </c>
      <c r="D370" s="45" t="s">
        <v>895</v>
      </c>
      <c r="E370" s="6" t="s">
        <v>896</v>
      </c>
      <c r="F370" s="45" t="s">
        <v>104</v>
      </c>
      <c r="G370" s="46">
        <f t="shared" si="43"/>
        <v>608</v>
      </c>
      <c r="H370" s="46">
        <f>TRUNC(S370*(1-LOTE_01!$K$10),2)</f>
        <v>864.06</v>
      </c>
      <c r="I370" s="46">
        <f>TRUNC(T370*(1-LOTE_01!$K$10),2)</f>
        <v>45.9</v>
      </c>
      <c r="J370" s="100">
        <f t="shared" si="44"/>
        <v>0.22470000000000001</v>
      </c>
      <c r="K370" s="48">
        <f t="shared" si="38"/>
        <v>1058.21</v>
      </c>
      <c r="L370" s="48">
        <f t="shared" si="39"/>
        <v>56.21</v>
      </c>
      <c r="M370" s="48">
        <f t="shared" si="40"/>
        <v>643391.68000000005</v>
      </c>
      <c r="N370" s="48">
        <f t="shared" si="41"/>
        <v>34175.68</v>
      </c>
      <c r="O370" s="50">
        <f t="shared" si="42"/>
        <v>677567.36</v>
      </c>
      <c r="P370" s="50">
        <v>0</v>
      </c>
      <c r="Q370" s="76"/>
      <c r="R370" s="141">
        <f>(19+13)*(S9+S10)</f>
        <v>608</v>
      </c>
      <c r="S370" s="79">
        <v>864.06</v>
      </c>
      <c r="T370" s="80">
        <v>45.9</v>
      </c>
    </row>
    <row r="371" spans="2:20" ht="56">
      <c r="B371" s="5" t="s">
        <v>897</v>
      </c>
      <c r="C371" s="45" t="s">
        <v>97</v>
      </c>
      <c r="D371" s="45" t="s">
        <v>898</v>
      </c>
      <c r="E371" s="6" t="s">
        <v>899</v>
      </c>
      <c r="F371" s="45" t="s">
        <v>104</v>
      </c>
      <c r="G371" s="46">
        <f t="shared" si="43"/>
        <v>272.64999999999998</v>
      </c>
      <c r="H371" s="46">
        <f>TRUNC(S371*(1-LOTE_01!$K$10),2)</f>
        <v>155.81</v>
      </c>
      <c r="I371" s="46">
        <f>TRUNC(T371*(1-LOTE_01!$K$10),2)</f>
        <v>50.49</v>
      </c>
      <c r="J371" s="100">
        <f t="shared" si="44"/>
        <v>0.22470000000000001</v>
      </c>
      <c r="K371" s="48">
        <f t="shared" si="38"/>
        <v>190.82</v>
      </c>
      <c r="L371" s="48">
        <f t="shared" si="39"/>
        <v>61.83</v>
      </c>
      <c r="M371" s="48">
        <f t="shared" si="40"/>
        <v>52027.07</v>
      </c>
      <c r="N371" s="48">
        <f t="shared" si="41"/>
        <v>16857.939999999999</v>
      </c>
      <c r="O371" s="50">
        <f t="shared" si="42"/>
        <v>68885.009999999995</v>
      </c>
      <c r="P371" s="50">
        <v>0</v>
      </c>
      <c r="Q371" s="76"/>
      <c r="R371" s="141">
        <f>(4+4.85+5.5)*(S9+S10)</f>
        <v>272.64999999999998</v>
      </c>
      <c r="S371" s="79">
        <v>155.81</v>
      </c>
      <c r="T371" s="80">
        <v>50.49</v>
      </c>
    </row>
    <row r="372" spans="2:20" ht="28">
      <c r="B372" s="5" t="s">
        <v>900</v>
      </c>
      <c r="C372" s="45" t="s">
        <v>97</v>
      </c>
      <c r="D372" s="45" t="s">
        <v>901</v>
      </c>
      <c r="E372" s="6" t="s">
        <v>902</v>
      </c>
      <c r="F372" s="45" t="s">
        <v>187</v>
      </c>
      <c r="G372" s="46">
        <f t="shared" si="43"/>
        <v>272.64999999999998</v>
      </c>
      <c r="H372" s="46">
        <f>TRUNC(S372*(1-LOTE_01!$K$10),2)</f>
        <v>56.53</v>
      </c>
      <c r="I372" s="46">
        <f>TRUNC(T372*(1-LOTE_01!$K$10),2)</f>
        <v>21.4</v>
      </c>
      <c r="J372" s="100">
        <f t="shared" si="44"/>
        <v>0.22470000000000001</v>
      </c>
      <c r="K372" s="48">
        <f t="shared" si="38"/>
        <v>69.23</v>
      </c>
      <c r="L372" s="48">
        <f t="shared" si="39"/>
        <v>26.2</v>
      </c>
      <c r="M372" s="48">
        <f t="shared" si="40"/>
        <v>18875.55</v>
      </c>
      <c r="N372" s="48">
        <f t="shared" si="41"/>
        <v>7143.43</v>
      </c>
      <c r="O372" s="50">
        <f t="shared" si="42"/>
        <v>26018.98</v>
      </c>
      <c r="P372" s="50">
        <v>0</v>
      </c>
      <c r="Q372" s="76"/>
      <c r="R372" s="141">
        <f>R371</f>
        <v>272.64999999999998</v>
      </c>
      <c r="S372" s="79">
        <v>56.53</v>
      </c>
      <c r="T372" s="80">
        <v>21.4</v>
      </c>
    </row>
    <row r="373" spans="2:20" ht="42">
      <c r="B373" s="5" t="s">
        <v>903</v>
      </c>
      <c r="C373" s="45" t="s">
        <v>97</v>
      </c>
      <c r="D373" s="45" t="s">
        <v>904</v>
      </c>
      <c r="E373" s="6" t="s">
        <v>905</v>
      </c>
      <c r="F373" s="45" t="s">
        <v>104</v>
      </c>
      <c r="G373" s="46">
        <f t="shared" si="43"/>
        <v>76</v>
      </c>
      <c r="H373" s="46">
        <f>TRUNC(S373*(1-LOTE_01!$K$10),2)</f>
        <v>261.98</v>
      </c>
      <c r="I373" s="46">
        <f>TRUNC(T373*(1-LOTE_01!$K$10),2)</f>
        <v>9.18</v>
      </c>
      <c r="J373" s="100">
        <f t="shared" si="44"/>
        <v>0.22470000000000001</v>
      </c>
      <c r="K373" s="48">
        <f t="shared" si="38"/>
        <v>320.83999999999997</v>
      </c>
      <c r="L373" s="48">
        <f t="shared" si="39"/>
        <v>11.24</v>
      </c>
      <c r="M373" s="48">
        <f t="shared" si="40"/>
        <v>24383.84</v>
      </c>
      <c r="N373" s="48">
        <f t="shared" si="41"/>
        <v>854.24</v>
      </c>
      <c r="O373" s="50">
        <f t="shared" si="42"/>
        <v>25238.080000000002</v>
      </c>
      <c r="P373" s="50">
        <v>0</v>
      </c>
      <c r="Q373" s="76"/>
      <c r="R373" s="140">
        <f>4*S9+4*S10</f>
        <v>76</v>
      </c>
      <c r="S373" s="79">
        <v>261.98</v>
      </c>
      <c r="T373" s="80">
        <v>9.18</v>
      </c>
    </row>
    <row r="374" spans="2:20" ht="28">
      <c r="B374" s="5" t="s">
        <v>906</v>
      </c>
      <c r="C374" s="45" t="s">
        <v>97</v>
      </c>
      <c r="D374" s="45" t="s">
        <v>907</v>
      </c>
      <c r="E374" s="6" t="s">
        <v>908</v>
      </c>
      <c r="F374" s="45" t="s">
        <v>104</v>
      </c>
      <c r="G374" s="46">
        <f t="shared" si="43"/>
        <v>76</v>
      </c>
      <c r="H374" s="46">
        <f>TRUNC(S374*(1-LOTE_01!$K$10),2)</f>
        <v>234.98</v>
      </c>
      <c r="I374" s="46">
        <f>TRUNC(T374*(1-LOTE_01!$K$10),2)</f>
        <v>9.18</v>
      </c>
      <c r="J374" s="100">
        <f t="shared" si="44"/>
        <v>0.22470000000000001</v>
      </c>
      <c r="K374" s="48">
        <f t="shared" si="38"/>
        <v>287.77999999999997</v>
      </c>
      <c r="L374" s="48">
        <f t="shared" si="39"/>
        <v>11.24</v>
      </c>
      <c r="M374" s="48">
        <f t="shared" si="40"/>
        <v>21871.279999999999</v>
      </c>
      <c r="N374" s="48">
        <f t="shared" si="41"/>
        <v>854.24</v>
      </c>
      <c r="O374" s="50">
        <f t="shared" si="42"/>
        <v>22725.52</v>
      </c>
      <c r="P374" s="50">
        <v>0</v>
      </c>
      <c r="Q374" s="76"/>
      <c r="R374" s="140">
        <f>4*S9+4*S10</f>
        <v>76</v>
      </c>
      <c r="S374" s="79">
        <v>234.98</v>
      </c>
      <c r="T374" s="80">
        <v>9.18</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104">
        <v>0</v>
      </c>
      <c r="Q375" s="76"/>
      <c r="R375" s="154"/>
      <c r="S375" s="79" t="s">
        <v>22</v>
      </c>
      <c r="T375" s="80" t="s">
        <v>22</v>
      </c>
    </row>
    <row r="376" spans="2:20" ht="56">
      <c r="B376" s="5" t="s">
        <v>911</v>
      </c>
      <c r="C376" s="45" t="s">
        <v>135</v>
      </c>
      <c r="D376" s="45">
        <v>93661</v>
      </c>
      <c r="E376" s="6" t="s">
        <v>912</v>
      </c>
      <c r="F376" s="45" t="s">
        <v>210</v>
      </c>
      <c r="G376" s="46">
        <f t="shared" si="43"/>
        <v>38</v>
      </c>
      <c r="H376" s="46">
        <f>TRUNC(S376*(1-LOTE_01!$K$10),2)</f>
        <v>52.06</v>
      </c>
      <c r="I376" s="46">
        <f>TRUNC(T376*(1-LOTE_01!$K$10),2)</f>
        <v>3.23</v>
      </c>
      <c r="J376" s="100">
        <f t="shared" si="44"/>
        <v>0.22470000000000001</v>
      </c>
      <c r="K376" s="48">
        <f t="shared" si="38"/>
        <v>63.75</v>
      </c>
      <c r="L376" s="48">
        <f t="shared" si="39"/>
        <v>3.95</v>
      </c>
      <c r="M376" s="48">
        <f t="shared" si="40"/>
        <v>2422.5</v>
      </c>
      <c r="N376" s="48">
        <f t="shared" si="41"/>
        <v>150.1</v>
      </c>
      <c r="O376" s="50">
        <f t="shared" si="42"/>
        <v>2572.6</v>
      </c>
      <c r="P376" s="50">
        <v>0</v>
      </c>
      <c r="Q376" s="76"/>
      <c r="R376" s="140">
        <f>2*S9+2*S10</f>
        <v>38</v>
      </c>
      <c r="S376" s="79">
        <v>52.06</v>
      </c>
      <c r="T376" s="80">
        <v>3.23</v>
      </c>
    </row>
    <row r="377" spans="2:20" ht="56">
      <c r="B377" s="5" t="s">
        <v>913</v>
      </c>
      <c r="C377" s="45" t="s">
        <v>135</v>
      </c>
      <c r="D377" s="45">
        <v>93662</v>
      </c>
      <c r="E377" s="6" t="s">
        <v>914</v>
      </c>
      <c r="F377" s="45" t="s">
        <v>210</v>
      </c>
      <c r="G377" s="46">
        <f t="shared" si="43"/>
        <v>38</v>
      </c>
      <c r="H377" s="46">
        <f>TRUNC(S377*(1-LOTE_01!$K$10),2)</f>
        <v>53.13</v>
      </c>
      <c r="I377" s="46">
        <f>TRUNC(T377*(1-LOTE_01!$K$10),2)</f>
        <v>4.3</v>
      </c>
      <c r="J377" s="100">
        <f t="shared" si="44"/>
        <v>0.22470000000000001</v>
      </c>
      <c r="K377" s="48">
        <f t="shared" si="38"/>
        <v>65.06</v>
      </c>
      <c r="L377" s="48">
        <f t="shared" si="39"/>
        <v>5.26</v>
      </c>
      <c r="M377" s="48">
        <f t="shared" si="40"/>
        <v>2472.2800000000002</v>
      </c>
      <c r="N377" s="48">
        <f t="shared" si="41"/>
        <v>199.88</v>
      </c>
      <c r="O377" s="50">
        <f t="shared" si="42"/>
        <v>2672.16</v>
      </c>
      <c r="P377" s="50">
        <v>0</v>
      </c>
      <c r="Q377" s="76"/>
      <c r="R377" s="140">
        <f>2*S9+2*S10</f>
        <v>38</v>
      </c>
      <c r="S377" s="79">
        <v>53.13</v>
      </c>
      <c r="T377" s="80">
        <v>4.3</v>
      </c>
    </row>
    <row r="378" spans="2:20" ht="56">
      <c r="B378" s="5" t="s">
        <v>915</v>
      </c>
      <c r="C378" s="45" t="s">
        <v>135</v>
      </c>
      <c r="D378" s="45">
        <v>93663</v>
      </c>
      <c r="E378" s="6" t="s">
        <v>916</v>
      </c>
      <c r="F378" s="45" t="s">
        <v>210</v>
      </c>
      <c r="G378" s="46">
        <f t="shared" si="43"/>
        <v>50</v>
      </c>
      <c r="H378" s="46">
        <f>TRUNC(S378*(1-LOTE_01!$K$10),2)</f>
        <v>53.68</v>
      </c>
      <c r="I378" s="46">
        <f>TRUNC(T378*(1-LOTE_01!$K$10),2)</f>
        <v>5.88</v>
      </c>
      <c r="J378" s="100">
        <f t="shared" si="44"/>
        <v>0.22470000000000001</v>
      </c>
      <c r="K378" s="48">
        <f t="shared" si="38"/>
        <v>65.739999999999995</v>
      </c>
      <c r="L378" s="48">
        <f t="shared" si="39"/>
        <v>7.2</v>
      </c>
      <c r="M378" s="48">
        <f t="shared" si="40"/>
        <v>3287</v>
      </c>
      <c r="N378" s="48">
        <f t="shared" si="41"/>
        <v>360</v>
      </c>
      <c r="O378" s="50">
        <f t="shared" si="42"/>
        <v>3647</v>
      </c>
      <c r="P378" s="50">
        <v>0</v>
      </c>
      <c r="Q378" s="76"/>
      <c r="R378" s="140">
        <f>IF((10*S9+10*S10)&gt;50,50,(10*S9+10*S10))</f>
        <v>50</v>
      </c>
      <c r="S378" s="79">
        <v>53.68</v>
      </c>
      <c r="T378" s="80">
        <v>5.88</v>
      </c>
    </row>
    <row r="379" spans="2:20" ht="56">
      <c r="B379" s="5" t="s">
        <v>917</v>
      </c>
      <c r="C379" s="45" t="s">
        <v>135</v>
      </c>
      <c r="D379" s="45">
        <v>101896</v>
      </c>
      <c r="E379" s="6" t="s">
        <v>918</v>
      </c>
      <c r="F379" s="45" t="s">
        <v>210</v>
      </c>
      <c r="G379" s="46">
        <f t="shared" si="43"/>
        <v>5</v>
      </c>
      <c r="H379" s="46">
        <f>TRUNC(S379*(1-LOTE_01!$K$10),2)</f>
        <v>565.44000000000005</v>
      </c>
      <c r="I379" s="46">
        <f>TRUNC(T379*(1-LOTE_01!$K$10),2)</f>
        <v>56.26</v>
      </c>
      <c r="J379" s="100">
        <f t="shared" si="44"/>
        <v>0.22470000000000001</v>
      </c>
      <c r="K379" s="48">
        <f t="shared" si="38"/>
        <v>692.49</v>
      </c>
      <c r="L379" s="48">
        <f t="shared" si="39"/>
        <v>68.900000000000006</v>
      </c>
      <c r="M379" s="48">
        <f t="shared" si="40"/>
        <v>3462.45</v>
      </c>
      <c r="N379" s="48">
        <f t="shared" si="41"/>
        <v>344.5</v>
      </c>
      <c r="O379" s="50">
        <f t="shared" si="42"/>
        <v>3806.95</v>
      </c>
      <c r="P379" s="50">
        <v>0</v>
      </c>
      <c r="Q379" s="76"/>
      <c r="R379" s="140">
        <f>IF((1*S9+1*S10)&gt;5,5,(1*S9+1*S10))</f>
        <v>5</v>
      </c>
      <c r="S379" s="79">
        <v>565.44000000000005</v>
      </c>
      <c r="T379" s="80">
        <v>56.26</v>
      </c>
    </row>
    <row r="380" spans="2:20" ht="42">
      <c r="B380" s="5" t="s">
        <v>919</v>
      </c>
      <c r="C380" s="45" t="s">
        <v>165</v>
      </c>
      <c r="D380" s="45" t="s">
        <v>920</v>
      </c>
      <c r="E380" s="6" t="s">
        <v>921</v>
      </c>
      <c r="F380" s="45" t="s">
        <v>559</v>
      </c>
      <c r="G380" s="46">
        <f t="shared" si="43"/>
        <v>5</v>
      </c>
      <c r="H380" s="46">
        <f>TRUNC(S380*(1-LOTE_01!$K$10),2)</f>
        <v>1395.79</v>
      </c>
      <c r="I380" s="46">
        <f>TRUNC(T380*(1-LOTE_01!$K$10),2)</f>
        <v>79.72</v>
      </c>
      <c r="J380" s="100">
        <f t="shared" si="44"/>
        <v>0.22470000000000001</v>
      </c>
      <c r="K380" s="48">
        <f t="shared" si="38"/>
        <v>1709.42</v>
      </c>
      <c r="L380" s="48">
        <f t="shared" si="39"/>
        <v>97.63</v>
      </c>
      <c r="M380" s="48">
        <f t="shared" si="40"/>
        <v>8547.1</v>
      </c>
      <c r="N380" s="48">
        <f t="shared" si="41"/>
        <v>488.15</v>
      </c>
      <c r="O380" s="50">
        <f t="shared" si="42"/>
        <v>9035.25</v>
      </c>
      <c r="P380" s="50">
        <v>0</v>
      </c>
      <c r="Q380" s="76"/>
      <c r="R380" s="140">
        <f>IF((1*S9+1*S10)&gt;5,5,(1*S9+1*S10))</f>
        <v>5</v>
      </c>
      <c r="S380" s="79">
        <v>1395.79</v>
      </c>
      <c r="T380" s="80">
        <v>79.72</v>
      </c>
    </row>
    <row r="381" spans="2:20" ht="56">
      <c r="B381" s="5" t="s">
        <v>922</v>
      </c>
      <c r="C381" s="45" t="s">
        <v>97</v>
      </c>
      <c r="D381" s="45" t="s">
        <v>923</v>
      </c>
      <c r="E381" s="6" t="s">
        <v>924</v>
      </c>
      <c r="F381" s="45" t="s">
        <v>925</v>
      </c>
      <c r="G381" s="46">
        <f t="shared" si="43"/>
        <v>200</v>
      </c>
      <c r="H381" s="46">
        <f>TRUNC(S381*(1-LOTE_01!$K$10),2)</f>
        <v>51.5</v>
      </c>
      <c r="I381" s="46">
        <f>TRUNC(T381*(1-LOTE_01!$K$10),2)</f>
        <v>13.77</v>
      </c>
      <c r="J381" s="100">
        <f t="shared" si="44"/>
        <v>0.22470000000000001</v>
      </c>
      <c r="K381" s="48">
        <f t="shared" si="38"/>
        <v>63.07</v>
      </c>
      <c r="L381" s="48">
        <f t="shared" si="39"/>
        <v>16.86</v>
      </c>
      <c r="M381" s="48">
        <f t="shared" si="40"/>
        <v>12614</v>
      </c>
      <c r="N381" s="48">
        <f t="shared" si="41"/>
        <v>3372</v>
      </c>
      <c r="O381" s="50">
        <f t="shared" si="42"/>
        <v>15986</v>
      </c>
      <c r="P381" s="50">
        <v>0</v>
      </c>
      <c r="Q381" s="76"/>
      <c r="R381" s="140">
        <f>IF((20*S9+20*S10)&gt;200,200,(20*S9+20*S10))</f>
        <v>200</v>
      </c>
      <c r="S381" s="79">
        <v>51.5</v>
      </c>
      <c r="T381" s="80">
        <v>13.77</v>
      </c>
    </row>
    <row r="382" spans="2:20" ht="70">
      <c r="B382" s="5" t="s">
        <v>926</v>
      </c>
      <c r="C382" s="45" t="s">
        <v>135</v>
      </c>
      <c r="D382" s="45">
        <v>91867</v>
      </c>
      <c r="E382" s="6" t="s">
        <v>927</v>
      </c>
      <c r="F382" s="45" t="s">
        <v>187</v>
      </c>
      <c r="G382" s="46">
        <f t="shared" si="43"/>
        <v>500</v>
      </c>
      <c r="H382" s="46">
        <f>TRUNC(S382*(1-LOTE_01!$K$10),2)</f>
        <v>6.99</v>
      </c>
      <c r="I382" s="46">
        <f>TRUNC(T382*(1-LOTE_01!$K$10),2)</f>
        <v>4.32</v>
      </c>
      <c r="J382" s="100">
        <f t="shared" si="44"/>
        <v>0.22470000000000001</v>
      </c>
      <c r="K382" s="48">
        <f t="shared" si="38"/>
        <v>8.56</v>
      </c>
      <c r="L382" s="48">
        <f t="shared" si="39"/>
        <v>5.29</v>
      </c>
      <c r="M382" s="48">
        <f t="shared" si="40"/>
        <v>4280</v>
      </c>
      <c r="N382" s="48">
        <f t="shared" si="41"/>
        <v>2645</v>
      </c>
      <c r="O382" s="50">
        <f t="shared" si="42"/>
        <v>6925</v>
      </c>
      <c r="P382" s="50">
        <v>0</v>
      </c>
      <c r="Q382" s="76"/>
      <c r="R382" s="140">
        <f>IF((50*S9+50*S10)&gt;500,500,(50*S9+50*S10))</f>
        <v>500</v>
      </c>
      <c r="S382" s="79">
        <v>6.99</v>
      </c>
      <c r="T382" s="80">
        <v>4.32</v>
      </c>
    </row>
    <row r="383" spans="2:20" ht="70">
      <c r="B383" s="5" t="s">
        <v>928</v>
      </c>
      <c r="C383" s="45" t="s">
        <v>135</v>
      </c>
      <c r="D383" s="45">
        <v>91864</v>
      </c>
      <c r="E383" s="6" t="s">
        <v>838</v>
      </c>
      <c r="F383" s="45" t="s">
        <v>187</v>
      </c>
      <c r="G383" s="46">
        <f t="shared" si="43"/>
        <v>100</v>
      </c>
      <c r="H383" s="46">
        <f>TRUNC(S383*(1-LOTE_01!$K$10),2)</f>
        <v>10.73</v>
      </c>
      <c r="I383" s="46">
        <f>TRUNC(T383*(1-LOTE_01!$K$10),2)</f>
        <v>6.41</v>
      </c>
      <c r="J383" s="100">
        <f t="shared" si="44"/>
        <v>0.22470000000000001</v>
      </c>
      <c r="K383" s="48">
        <f t="shared" si="38"/>
        <v>13.14</v>
      </c>
      <c r="L383" s="48">
        <f t="shared" si="39"/>
        <v>7.85</v>
      </c>
      <c r="M383" s="48">
        <f t="shared" si="40"/>
        <v>1314</v>
      </c>
      <c r="N383" s="48">
        <f t="shared" si="41"/>
        <v>785</v>
      </c>
      <c r="O383" s="50">
        <f t="shared" si="42"/>
        <v>2099</v>
      </c>
      <c r="P383" s="50">
        <v>0</v>
      </c>
      <c r="Q383" s="76"/>
      <c r="R383" s="140">
        <f>IF((20*S9+20*S10)&gt;100,100,(20*S9+20*S10))</f>
        <v>100</v>
      </c>
      <c r="S383" s="79">
        <v>10.73</v>
      </c>
      <c r="T383" s="80">
        <v>6.41</v>
      </c>
    </row>
    <row r="384" spans="2:20" ht="42">
      <c r="B384" s="5" t="s">
        <v>929</v>
      </c>
      <c r="C384" s="45" t="s">
        <v>165</v>
      </c>
      <c r="D384" s="45" t="s">
        <v>930</v>
      </c>
      <c r="E384" s="6" t="s">
        <v>931</v>
      </c>
      <c r="F384" s="45" t="s">
        <v>531</v>
      </c>
      <c r="G384" s="46">
        <f t="shared" si="43"/>
        <v>200</v>
      </c>
      <c r="H384" s="46">
        <f>TRUNC(S384*(1-LOTE_01!$K$10),2)</f>
        <v>54.08</v>
      </c>
      <c r="I384" s="46">
        <f>TRUNC(T384*(1-LOTE_01!$K$10),2)</f>
        <v>19.27</v>
      </c>
      <c r="J384" s="100">
        <f t="shared" si="44"/>
        <v>0.22470000000000001</v>
      </c>
      <c r="K384" s="48">
        <f t="shared" si="38"/>
        <v>66.23</v>
      </c>
      <c r="L384" s="48">
        <f t="shared" si="39"/>
        <v>23.59</v>
      </c>
      <c r="M384" s="48">
        <f t="shared" si="40"/>
        <v>13246</v>
      </c>
      <c r="N384" s="48">
        <f t="shared" si="41"/>
        <v>4718</v>
      </c>
      <c r="O384" s="50">
        <f t="shared" si="42"/>
        <v>17964</v>
      </c>
      <c r="P384" s="50">
        <v>0</v>
      </c>
      <c r="Q384" s="76"/>
      <c r="R384" s="140">
        <f>IF((20*S9+20*S10)&gt;200,200,(20*S9+20*S10))</f>
        <v>200</v>
      </c>
      <c r="S384" s="79">
        <v>54.08</v>
      </c>
      <c r="T384" s="80">
        <v>19.27</v>
      </c>
    </row>
    <row r="385" spans="2:20" ht="56">
      <c r="B385" s="5" t="s">
        <v>932</v>
      </c>
      <c r="C385" s="45" t="s">
        <v>135</v>
      </c>
      <c r="D385" s="45">
        <v>95778</v>
      </c>
      <c r="E385" s="6" t="s">
        <v>1814</v>
      </c>
      <c r="F385" s="45" t="s">
        <v>210</v>
      </c>
      <c r="G385" s="46">
        <f t="shared" si="43"/>
        <v>100</v>
      </c>
      <c r="H385" s="46">
        <f>TRUNC(S385*(1-LOTE_01!$K$10),2)</f>
        <v>17.989999999999998</v>
      </c>
      <c r="I385" s="46">
        <f>TRUNC(T385*(1-LOTE_01!$K$10),2)</f>
        <v>12.08</v>
      </c>
      <c r="J385" s="100">
        <f t="shared" si="44"/>
        <v>0.22470000000000001</v>
      </c>
      <c r="K385" s="48">
        <f t="shared" si="38"/>
        <v>22.03</v>
      </c>
      <c r="L385" s="48">
        <f t="shared" si="39"/>
        <v>14.79</v>
      </c>
      <c r="M385" s="48">
        <f t="shared" si="40"/>
        <v>2203</v>
      </c>
      <c r="N385" s="48">
        <f t="shared" si="41"/>
        <v>1479</v>
      </c>
      <c r="O385" s="50">
        <f t="shared" si="42"/>
        <v>3682</v>
      </c>
      <c r="P385" s="50">
        <v>0</v>
      </c>
      <c r="Q385" s="76"/>
      <c r="R385" s="140">
        <f>IF((10*S9+15*S10)&gt;100,100,(10*S9+15*S10))</f>
        <v>100</v>
      </c>
      <c r="S385" s="79">
        <v>17.990000000000002</v>
      </c>
      <c r="T385" s="80">
        <v>12.08</v>
      </c>
    </row>
    <row r="386" spans="2:20" ht="56">
      <c r="B386" s="5" t="s">
        <v>933</v>
      </c>
      <c r="C386" s="45" t="s">
        <v>135</v>
      </c>
      <c r="D386" s="45">
        <v>95780</v>
      </c>
      <c r="E386" s="6" t="s">
        <v>1815</v>
      </c>
      <c r="F386" s="45" t="s">
        <v>210</v>
      </c>
      <c r="G386" s="46">
        <f t="shared" si="43"/>
        <v>100</v>
      </c>
      <c r="H386" s="46">
        <f>TRUNC(S386*(1-LOTE_01!$K$10),2)</f>
        <v>19.18</v>
      </c>
      <c r="I386" s="46">
        <f>TRUNC(T386*(1-LOTE_01!$K$10),2)</f>
        <v>10.53</v>
      </c>
      <c r="J386" s="100">
        <f t="shared" si="44"/>
        <v>0.22470000000000001</v>
      </c>
      <c r="K386" s="48">
        <f t="shared" si="38"/>
        <v>23.48</v>
      </c>
      <c r="L386" s="48">
        <f t="shared" si="39"/>
        <v>12.89</v>
      </c>
      <c r="M386" s="48">
        <f t="shared" si="40"/>
        <v>2348</v>
      </c>
      <c r="N386" s="48">
        <f t="shared" si="41"/>
        <v>1289</v>
      </c>
      <c r="O386" s="50">
        <f t="shared" si="42"/>
        <v>3637</v>
      </c>
      <c r="P386" s="50">
        <v>0</v>
      </c>
      <c r="Q386" s="76"/>
      <c r="R386" s="140">
        <f>IF((10*S9+15*S10)&gt;100,100,(10*S9+15*S10))</f>
        <v>100</v>
      </c>
      <c r="S386" s="79">
        <v>19.18</v>
      </c>
      <c r="T386" s="80">
        <v>10.53</v>
      </c>
    </row>
    <row r="387" spans="2:20" ht="56">
      <c r="B387" s="5" t="s">
        <v>934</v>
      </c>
      <c r="C387" s="45" t="s">
        <v>135</v>
      </c>
      <c r="D387" s="45">
        <v>91944</v>
      </c>
      <c r="E387" s="6" t="s">
        <v>935</v>
      </c>
      <c r="F387" s="45" t="s">
        <v>210</v>
      </c>
      <c r="G387" s="46">
        <f t="shared" si="43"/>
        <v>100</v>
      </c>
      <c r="H387" s="46">
        <f>TRUNC(S387*(1-LOTE_01!$K$10),2)</f>
        <v>7.7</v>
      </c>
      <c r="I387" s="46">
        <f>TRUNC(T387*(1-LOTE_01!$K$10),2)</f>
        <v>8.3000000000000007</v>
      </c>
      <c r="J387" s="100">
        <f t="shared" si="44"/>
        <v>0.22470000000000001</v>
      </c>
      <c r="K387" s="48">
        <f t="shared" si="38"/>
        <v>9.43</v>
      </c>
      <c r="L387" s="48">
        <f t="shared" si="39"/>
        <v>10.16</v>
      </c>
      <c r="M387" s="48">
        <f t="shared" si="40"/>
        <v>943</v>
      </c>
      <c r="N387" s="48">
        <f t="shared" si="41"/>
        <v>1016</v>
      </c>
      <c r="O387" s="50">
        <f t="shared" si="42"/>
        <v>1959</v>
      </c>
      <c r="P387" s="50">
        <v>0</v>
      </c>
      <c r="Q387" s="76"/>
      <c r="R387" s="140">
        <f>IF((10*S9+15*S10)&gt;100,100,(10*S9+15*S10))</f>
        <v>100</v>
      </c>
      <c r="S387" s="79">
        <v>7.6999999999999993</v>
      </c>
      <c r="T387" s="80">
        <v>8.3000000000000007</v>
      </c>
    </row>
    <row r="388" spans="2:20" ht="56">
      <c r="B388" s="5" t="s">
        <v>936</v>
      </c>
      <c r="C388" s="45" t="s">
        <v>135</v>
      </c>
      <c r="D388" s="45">
        <v>91926</v>
      </c>
      <c r="E388" s="6" t="s">
        <v>840</v>
      </c>
      <c r="F388" s="45" t="s">
        <v>187</v>
      </c>
      <c r="G388" s="46">
        <f t="shared" si="43"/>
        <v>2500</v>
      </c>
      <c r="H388" s="46">
        <f>TRUNC(S388*(1-LOTE_01!$K$10),2)</f>
        <v>3.99</v>
      </c>
      <c r="I388" s="46">
        <f>TRUNC(T388*(1-LOTE_01!$K$10),2)</f>
        <v>1.41</v>
      </c>
      <c r="J388" s="100">
        <f t="shared" si="44"/>
        <v>0.22470000000000001</v>
      </c>
      <c r="K388" s="48">
        <f t="shared" si="38"/>
        <v>4.88</v>
      </c>
      <c r="L388" s="48">
        <f t="shared" si="39"/>
        <v>1.72</v>
      </c>
      <c r="M388" s="48">
        <f t="shared" si="40"/>
        <v>12200</v>
      </c>
      <c r="N388" s="48">
        <f t="shared" si="41"/>
        <v>4300</v>
      </c>
      <c r="O388" s="50">
        <f t="shared" si="42"/>
        <v>16500</v>
      </c>
      <c r="P388" s="50">
        <v>0</v>
      </c>
      <c r="Q388" s="76"/>
      <c r="R388" s="140">
        <f>100*S9+400*S10</f>
        <v>2500</v>
      </c>
      <c r="S388" s="79">
        <v>3.99</v>
      </c>
      <c r="T388" s="80">
        <v>1.41</v>
      </c>
    </row>
    <row r="389" spans="2:20" ht="56">
      <c r="B389" s="5" t="s">
        <v>937</v>
      </c>
      <c r="C389" s="45" t="s">
        <v>135</v>
      </c>
      <c r="D389" s="45">
        <v>91928</v>
      </c>
      <c r="E389" s="6" t="s">
        <v>844</v>
      </c>
      <c r="F389" s="45" t="s">
        <v>187</v>
      </c>
      <c r="G389" s="46">
        <f t="shared" si="43"/>
        <v>2100</v>
      </c>
      <c r="H389" s="46">
        <f>TRUNC(S389*(1-LOTE_01!$K$10),2)</f>
        <v>6.46</v>
      </c>
      <c r="I389" s="46">
        <f>TRUNC(T389*(1-LOTE_01!$K$10),2)</f>
        <v>1.9</v>
      </c>
      <c r="J389" s="100">
        <f t="shared" si="44"/>
        <v>0.22470000000000001</v>
      </c>
      <c r="K389" s="48">
        <f t="shared" si="38"/>
        <v>7.91</v>
      </c>
      <c r="L389" s="48">
        <f t="shared" si="39"/>
        <v>2.3199999999999998</v>
      </c>
      <c r="M389" s="48">
        <f t="shared" si="40"/>
        <v>16611</v>
      </c>
      <c r="N389" s="48">
        <f t="shared" si="41"/>
        <v>4872</v>
      </c>
      <c r="O389" s="50">
        <f t="shared" si="42"/>
        <v>21483</v>
      </c>
      <c r="P389" s="50">
        <v>0</v>
      </c>
      <c r="Q389" s="76"/>
      <c r="R389" s="140">
        <f>100*S9+200*S10</f>
        <v>2100</v>
      </c>
      <c r="S389" s="79">
        <v>6.4599999999999991</v>
      </c>
      <c r="T389" s="80">
        <v>1.9</v>
      </c>
    </row>
    <row r="390" spans="2:20" ht="56">
      <c r="B390" s="5" t="s">
        <v>938</v>
      </c>
      <c r="C390" s="45" t="s">
        <v>135</v>
      </c>
      <c r="D390" s="45">
        <v>91930</v>
      </c>
      <c r="E390" s="6" t="s">
        <v>939</v>
      </c>
      <c r="F390" s="45" t="s">
        <v>187</v>
      </c>
      <c r="G390" s="46">
        <f t="shared" si="43"/>
        <v>1250</v>
      </c>
      <c r="H390" s="46">
        <f>TRUNC(S390*(1-LOTE_01!$K$10),2)</f>
        <v>9.19</v>
      </c>
      <c r="I390" s="46">
        <f>TRUNC(T390*(1-LOTE_01!$K$10),2)</f>
        <v>2.5099999999999998</v>
      </c>
      <c r="J390" s="100">
        <f t="shared" si="44"/>
        <v>0.22470000000000001</v>
      </c>
      <c r="K390" s="48">
        <f t="shared" si="38"/>
        <v>11.25</v>
      </c>
      <c r="L390" s="48">
        <f t="shared" si="39"/>
        <v>3.07</v>
      </c>
      <c r="M390" s="48">
        <f t="shared" si="40"/>
        <v>14062.5</v>
      </c>
      <c r="N390" s="48">
        <f t="shared" si="41"/>
        <v>3837.5</v>
      </c>
      <c r="O390" s="50">
        <f t="shared" si="42"/>
        <v>17900</v>
      </c>
      <c r="P390" s="50">
        <v>0</v>
      </c>
      <c r="Q390" s="76"/>
      <c r="R390" s="140">
        <f>50*S9+200*S10</f>
        <v>1250</v>
      </c>
      <c r="S390" s="79">
        <v>9.19</v>
      </c>
      <c r="T390" s="80">
        <v>2.5099999999999998</v>
      </c>
    </row>
    <row r="391" spans="2:20" ht="42">
      <c r="B391" s="5" t="s">
        <v>940</v>
      </c>
      <c r="C391" s="45" t="s">
        <v>97</v>
      </c>
      <c r="D391" s="45" t="s">
        <v>904</v>
      </c>
      <c r="E391" s="6" t="s">
        <v>905</v>
      </c>
      <c r="F391" s="45" t="s">
        <v>104</v>
      </c>
      <c r="G391" s="46">
        <f t="shared" si="43"/>
        <v>76</v>
      </c>
      <c r="H391" s="46">
        <f>TRUNC(S391*(1-LOTE_01!$K$10),2)</f>
        <v>261.98</v>
      </c>
      <c r="I391" s="46">
        <f>TRUNC(T391*(1-LOTE_01!$K$10),2)</f>
        <v>9.18</v>
      </c>
      <c r="J391" s="100">
        <f t="shared" si="44"/>
        <v>0.22470000000000001</v>
      </c>
      <c r="K391" s="48">
        <f t="shared" si="38"/>
        <v>320.83999999999997</v>
      </c>
      <c r="L391" s="48">
        <f t="shared" si="39"/>
        <v>11.24</v>
      </c>
      <c r="M391" s="48">
        <f t="shared" si="40"/>
        <v>24383.84</v>
      </c>
      <c r="N391" s="48">
        <f t="shared" si="41"/>
        <v>854.24</v>
      </c>
      <c r="O391" s="50">
        <f t="shared" si="42"/>
        <v>25238.080000000002</v>
      </c>
      <c r="P391" s="50">
        <v>0</v>
      </c>
      <c r="Q391" s="76"/>
      <c r="R391" s="140">
        <f>4*S9+4*S10</f>
        <v>76</v>
      </c>
      <c r="S391" s="79">
        <v>261.98</v>
      </c>
      <c r="T391" s="80">
        <v>9.18</v>
      </c>
    </row>
    <row r="392" spans="2:20" ht="28">
      <c r="B392" s="5" t="s">
        <v>941</v>
      </c>
      <c r="C392" s="45" t="s">
        <v>97</v>
      </c>
      <c r="D392" s="45" t="s">
        <v>907</v>
      </c>
      <c r="E392" s="6" t="s">
        <v>908</v>
      </c>
      <c r="F392" s="45" t="s">
        <v>104</v>
      </c>
      <c r="G392" s="46">
        <f t="shared" si="43"/>
        <v>38</v>
      </c>
      <c r="H392" s="46">
        <f>TRUNC(S392*(1-LOTE_01!$K$10),2)</f>
        <v>234.98</v>
      </c>
      <c r="I392" s="46">
        <f>TRUNC(T392*(1-LOTE_01!$K$10),2)</f>
        <v>9.18</v>
      </c>
      <c r="J392" s="100">
        <f t="shared" si="44"/>
        <v>0.22470000000000001</v>
      </c>
      <c r="K392" s="48">
        <f t="shared" si="38"/>
        <v>287.77999999999997</v>
      </c>
      <c r="L392" s="48">
        <f t="shared" si="39"/>
        <v>11.24</v>
      </c>
      <c r="M392" s="48">
        <f t="shared" si="40"/>
        <v>10935.64</v>
      </c>
      <c r="N392" s="48">
        <f t="shared" si="41"/>
        <v>427.12</v>
      </c>
      <c r="O392" s="50">
        <f t="shared" si="42"/>
        <v>11362.76</v>
      </c>
      <c r="P392" s="50">
        <v>0</v>
      </c>
      <c r="Q392" s="76"/>
      <c r="R392" s="140">
        <f>2*S9+2*S10</f>
        <v>38</v>
      </c>
      <c r="S392" s="79">
        <v>234.98</v>
      </c>
      <c r="T392" s="80">
        <v>9.18</v>
      </c>
    </row>
    <row r="393" spans="2:20" ht="42">
      <c r="B393" s="5" t="s">
        <v>942</v>
      </c>
      <c r="C393" s="45" t="s">
        <v>135</v>
      </c>
      <c r="D393" s="45">
        <v>101903</v>
      </c>
      <c r="E393" s="6" t="s">
        <v>943</v>
      </c>
      <c r="F393" s="45" t="s">
        <v>210</v>
      </c>
      <c r="G393" s="46">
        <f t="shared" si="43"/>
        <v>38</v>
      </c>
      <c r="H393" s="46">
        <f>TRUNC(S393*(1-LOTE_01!$K$10),2)</f>
        <v>369.26</v>
      </c>
      <c r="I393" s="46">
        <f>TRUNC(T393*(1-LOTE_01!$K$10),2)</f>
        <v>11.34</v>
      </c>
      <c r="J393" s="100">
        <f t="shared" si="44"/>
        <v>0.22470000000000001</v>
      </c>
      <c r="K393" s="48">
        <f t="shared" si="38"/>
        <v>452.23</v>
      </c>
      <c r="L393" s="48">
        <f t="shared" si="39"/>
        <v>13.88</v>
      </c>
      <c r="M393" s="48">
        <f t="shared" si="40"/>
        <v>17184.740000000002</v>
      </c>
      <c r="N393" s="48">
        <f t="shared" si="41"/>
        <v>527.44000000000005</v>
      </c>
      <c r="O393" s="50">
        <f t="shared" si="42"/>
        <v>17712.18</v>
      </c>
      <c r="P393" s="50">
        <v>0</v>
      </c>
      <c r="Q393" s="76"/>
      <c r="R393" s="140">
        <f>2*S9+2*S10</f>
        <v>38</v>
      </c>
      <c r="S393" s="79">
        <v>369.26000000000005</v>
      </c>
      <c r="T393" s="80">
        <v>11.34</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104">
        <v>0</v>
      </c>
      <c r="Q394" s="76"/>
      <c r="R394" s="154"/>
      <c r="S394" s="79" t="s">
        <v>22</v>
      </c>
      <c r="T394" s="80" t="s">
        <v>22</v>
      </c>
    </row>
    <row r="395" spans="2:20" ht="56">
      <c r="B395" s="5" t="s">
        <v>946</v>
      </c>
      <c r="C395" s="45" t="s">
        <v>135</v>
      </c>
      <c r="D395" s="45">
        <v>96984</v>
      </c>
      <c r="E395" s="6" t="s">
        <v>947</v>
      </c>
      <c r="F395" s="45" t="s">
        <v>210</v>
      </c>
      <c r="G395" s="46">
        <f t="shared" si="43"/>
        <v>190</v>
      </c>
      <c r="H395" s="46">
        <f>TRUNC(S395*(1-LOTE_01!$K$10),2)</f>
        <v>31.82</v>
      </c>
      <c r="I395" s="46">
        <f>TRUNC(T395*(1-LOTE_01!$K$10),2)</f>
        <v>34.520000000000003</v>
      </c>
      <c r="J395" s="100">
        <f t="shared" si="44"/>
        <v>0.22470000000000001</v>
      </c>
      <c r="K395" s="48">
        <f t="shared" si="38"/>
        <v>38.96</v>
      </c>
      <c r="L395" s="48">
        <f t="shared" si="39"/>
        <v>42.27</v>
      </c>
      <c r="M395" s="48">
        <f t="shared" si="40"/>
        <v>7402.4</v>
      </c>
      <c r="N395" s="48">
        <f t="shared" si="41"/>
        <v>8031.3</v>
      </c>
      <c r="O395" s="50">
        <f t="shared" si="42"/>
        <v>15433.7</v>
      </c>
      <c r="P395" s="50">
        <v>0</v>
      </c>
      <c r="Q395" s="76"/>
      <c r="R395" s="140">
        <f>10*S9+10*S10</f>
        <v>190</v>
      </c>
      <c r="S395" s="79">
        <v>31.82</v>
      </c>
      <c r="T395" s="80">
        <v>34.520000000000003</v>
      </c>
    </row>
    <row r="396" spans="2:20" ht="42">
      <c r="B396" s="5" t="s">
        <v>948</v>
      </c>
      <c r="C396" s="45" t="s">
        <v>97</v>
      </c>
      <c r="D396" s="45" t="s">
        <v>949</v>
      </c>
      <c r="E396" s="6" t="s">
        <v>950</v>
      </c>
      <c r="F396" s="45" t="s">
        <v>104</v>
      </c>
      <c r="G396" s="46">
        <f t="shared" si="43"/>
        <v>114</v>
      </c>
      <c r="H396" s="46">
        <f>TRUNC(S396*(1-LOTE_01!$K$10),2)</f>
        <v>3.63</v>
      </c>
      <c r="I396" s="46">
        <f>TRUNC(T396*(1-LOTE_01!$K$10),2)</f>
        <v>1.1399999999999999</v>
      </c>
      <c r="J396" s="100">
        <f t="shared" si="44"/>
        <v>0.22470000000000001</v>
      </c>
      <c r="K396" s="48">
        <f t="shared" si="38"/>
        <v>4.4400000000000004</v>
      </c>
      <c r="L396" s="48">
        <f t="shared" si="39"/>
        <v>1.39</v>
      </c>
      <c r="M396" s="48">
        <f t="shared" si="40"/>
        <v>506.16</v>
      </c>
      <c r="N396" s="48">
        <f t="shared" si="41"/>
        <v>158.46</v>
      </c>
      <c r="O396" s="50">
        <f t="shared" si="42"/>
        <v>664.62</v>
      </c>
      <c r="P396" s="50">
        <v>0</v>
      </c>
      <c r="Q396" s="76"/>
      <c r="R396" s="140">
        <f>6*S9+6*S10</f>
        <v>114</v>
      </c>
      <c r="S396" s="79">
        <v>3.63</v>
      </c>
      <c r="T396" s="80">
        <v>1.1399999999999999</v>
      </c>
    </row>
    <row r="397" spans="2:20" ht="42">
      <c r="B397" s="5" t="s">
        <v>951</v>
      </c>
      <c r="C397" s="45" t="s">
        <v>135</v>
      </c>
      <c r="D397" s="45">
        <v>96985</v>
      </c>
      <c r="E397" s="6" t="s">
        <v>952</v>
      </c>
      <c r="F397" s="45" t="s">
        <v>210</v>
      </c>
      <c r="G397" s="46">
        <f t="shared" si="43"/>
        <v>190</v>
      </c>
      <c r="H397" s="46">
        <f>TRUNC(S397*(1-LOTE_01!$K$10),2)</f>
        <v>60.68</v>
      </c>
      <c r="I397" s="46">
        <f>TRUNC(T397*(1-LOTE_01!$K$10),2)</f>
        <v>11.72</v>
      </c>
      <c r="J397" s="100">
        <f t="shared" si="44"/>
        <v>0.22470000000000001</v>
      </c>
      <c r="K397" s="48">
        <f t="shared" si="38"/>
        <v>74.31</v>
      </c>
      <c r="L397" s="48">
        <f t="shared" si="39"/>
        <v>14.35</v>
      </c>
      <c r="M397" s="48">
        <f t="shared" si="40"/>
        <v>14118.9</v>
      </c>
      <c r="N397" s="48">
        <f t="shared" si="41"/>
        <v>2726.5</v>
      </c>
      <c r="O397" s="50">
        <f t="shared" si="42"/>
        <v>16845.400000000001</v>
      </c>
      <c r="P397" s="50">
        <v>0</v>
      </c>
      <c r="Q397" s="76"/>
      <c r="R397" s="140">
        <f>10*S9+10*S10</f>
        <v>190</v>
      </c>
      <c r="S397" s="79">
        <v>60.680000000000007</v>
      </c>
      <c r="T397" s="80">
        <v>11.72</v>
      </c>
    </row>
    <row r="398" spans="2:20" ht="56">
      <c r="B398" s="5" t="s">
        <v>953</v>
      </c>
      <c r="C398" s="45" t="s">
        <v>135</v>
      </c>
      <c r="D398" s="45">
        <v>98111</v>
      </c>
      <c r="E398" s="6" t="s">
        <v>954</v>
      </c>
      <c r="F398" s="45" t="s">
        <v>210</v>
      </c>
      <c r="G398" s="46">
        <f t="shared" si="43"/>
        <v>57</v>
      </c>
      <c r="H398" s="46">
        <f>TRUNC(S398*(1-LOTE_01!$K$10),2)</f>
        <v>49.67</v>
      </c>
      <c r="I398" s="46">
        <f>TRUNC(T398*(1-LOTE_01!$K$10),2)</f>
        <v>7.28</v>
      </c>
      <c r="J398" s="100">
        <f t="shared" si="44"/>
        <v>0.22470000000000001</v>
      </c>
      <c r="K398" s="48">
        <f t="shared" si="38"/>
        <v>60.83</v>
      </c>
      <c r="L398" s="48">
        <f t="shared" si="39"/>
        <v>8.91</v>
      </c>
      <c r="M398" s="48">
        <f t="shared" si="40"/>
        <v>3467.31</v>
      </c>
      <c r="N398" s="48">
        <f t="shared" si="41"/>
        <v>507.87</v>
      </c>
      <c r="O398" s="50">
        <f t="shared" si="42"/>
        <v>3975.18</v>
      </c>
      <c r="P398" s="50">
        <v>0</v>
      </c>
      <c r="Q398" s="76"/>
      <c r="R398" s="140">
        <f>3*S9+3*S10</f>
        <v>57</v>
      </c>
      <c r="S398" s="79">
        <v>49.67</v>
      </c>
      <c r="T398" s="80">
        <v>7.28</v>
      </c>
    </row>
    <row r="399" spans="2:20" ht="28">
      <c r="B399" s="5" t="s">
        <v>955</v>
      </c>
      <c r="C399" s="45" t="s">
        <v>97</v>
      </c>
      <c r="D399" s="45" t="s">
        <v>956</v>
      </c>
      <c r="E399" s="6" t="s">
        <v>957</v>
      </c>
      <c r="F399" s="45" t="s">
        <v>187</v>
      </c>
      <c r="G399" s="46">
        <f t="shared" si="43"/>
        <v>950</v>
      </c>
      <c r="H399" s="46">
        <f>TRUNC(S399*(1-LOTE_01!$K$10),2)</f>
        <v>68.989999999999995</v>
      </c>
      <c r="I399" s="46">
        <f>TRUNC(T399*(1-LOTE_01!$K$10),2)</f>
        <v>4.59</v>
      </c>
      <c r="J399" s="100">
        <f t="shared" si="44"/>
        <v>0.22470000000000001</v>
      </c>
      <c r="K399" s="48">
        <f t="shared" si="38"/>
        <v>84.49</v>
      </c>
      <c r="L399" s="48">
        <f t="shared" si="39"/>
        <v>5.62</v>
      </c>
      <c r="M399" s="48">
        <f t="shared" si="40"/>
        <v>80265.5</v>
      </c>
      <c r="N399" s="48">
        <f t="shared" si="41"/>
        <v>5339</v>
      </c>
      <c r="O399" s="50">
        <f t="shared" si="42"/>
        <v>85604.5</v>
      </c>
      <c r="P399" s="50">
        <v>0</v>
      </c>
      <c r="Q399" s="76"/>
      <c r="R399" s="140">
        <f>50*S9+50*S10</f>
        <v>950</v>
      </c>
      <c r="S399" s="79">
        <v>68.989999999999995</v>
      </c>
      <c r="T399" s="80">
        <v>4.59</v>
      </c>
    </row>
    <row r="400" spans="2:20" ht="42">
      <c r="B400" s="5" t="s">
        <v>958</v>
      </c>
      <c r="C400" s="45" t="s">
        <v>135</v>
      </c>
      <c r="D400" s="45">
        <v>96977</v>
      </c>
      <c r="E400" s="6" t="s">
        <v>959</v>
      </c>
      <c r="F400" s="45" t="s">
        <v>187</v>
      </c>
      <c r="G400" s="46">
        <f t="shared" si="43"/>
        <v>950</v>
      </c>
      <c r="H400" s="46">
        <f>TRUNC(S400*(1-LOTE_01!$K$10),2)</f>
        <v>71.260000000000005</v>
      </c>
      <c r="I400" s="46">
        <f>TRUNC(T400*(1-LOTE_01!$K$10),2)</f>
        <v>1.65</v>
      </c>
      <c r="J400" s="100">
        <f t="shared" si="44"/>
        <v>0.22470000000000001</v>
      </c>
      <c r="K400" s="48">
        <f t="shared" ref="K400:K463" si="45">TRUNC(H400*(1+J400),2)</f>
        <v>87.27</v>
      </c>
      <c r="L400" s="48">
        <f t="shared" ref="L400:L463" si="46">TRUNC(I400*(1+J400),2)</f>
        <v>2.02</v>
      </c>
      <c r="M400" s="48">
        <f t="shared" ref="M400:M463" si="47">TRUNC(K400*G400,2)</f>
        <v>82906.5</v>
      </c>
      <c r="N400" s="48">
        <f t="shared" ref="N400:N463" si="48">TRUNC(L400*G400,2)</f>
        <v>1919</v>
      </c>
      <c r="O400" s="50">
        <f t="shared" ref="O400:O463" si="49">TRUNC(M400+N400,2)</f>
        <v>84825.5</v>
      </c>
      <c r="P400" s="50">
        <v>0</v>
      </c>
      <c r="Q400" s="76"/>
      <c r="R400" s="140">
        <f>50*S9+50*S10</f>
        <v>950</v>
      </c>
      <c r="S400" s="79">
        <v>71.259999999999991</v>
      </c>
      <c r="T400" s="80">
        <v>1.65</v>
      </c>
    </row>
    <row r="401" spans="2:20" ht="28">
      <c r="B401" s="5" t="s">
        <v>960</v>
      </c>
      <c r="C401" s="45" t="s">
        <v>97</v>
      </c>
      <c r="D401" s="45" t="s">
        <v>961</v>
      </c>
      <c r="E401" s="6" t="s">
        <v>962</v>
      </c>
      <c r="F401" s="45" t="s">
        <v>187</v>
      </c>
      <c r="G401" s="46">
        <f t="shared" si="43"/>
        <v>3420</v>
      </c>
      <c r="H401" s="46">
        <f>TRUNC(S401*(1-LOTE_01!$K$10),2)</f>
        <v>13.66</v>
      </c>
      <c r="I401" s="46">
        <f>TRUNC(T401*(1-LOTE_01!$K$10),2)</f>
        <v>4.5199999999999996</v>
      </c>
      <c r="J401" s="100">
        <f t="shared" si="44"/>
        <v>0.22470000000000001</v>
      </c>
      <c r="K401" s="48">
        <f t="shared" si="45"/>
        <v>16.72</v>
      </c>
      <c r="L401" s="48">
        <f t="shared" si="46"/>
        <v>5.53</v>
      </c>
      <c r="M401" s="48">
        <f t="shared" si="47"/>
        <v>57182.400000000001</v>
      </c>
      <c r="N401" s="48">
        <f t="shared" si="48"/>
        <v>18912.599999999999</v>
      </c>
      <c r="O401" s="50">
        <f t="shared" si="49"/>
        <v>76095</v>
      </c>
      <c r="P401" s="50">
        <v>0</v>
      </c>
      <c r="Q401" s="76"/>
      <c r="R401" s="140">
        <f>60*3*S9+180*S10</f>
        <v>3420</v>
      </c>
      <c r="S401" s="79">
        <v>13.66</v>
      </c>
      <c r="T401" s="80">
        <v>4.5199999999999996</v>
      </c>
    </row>
    <row r="402" spans="2:20" ht="42">
      <c r="B402" s="5" t="s">
        <v>963</v>
      </c>
      <c r="C402" s="45" t="s">
        <v>97</v>
      </c>
      <c r="D402" s="45" t="s">
        <v>964</v>
      </c>
      <c r="E402" s="6" t="s">
        <v>965</v>
      </c>
      <c r="F402" s="45" t="s">
        <v>104</v>
      </c>
      <c r="G402" s="46">
        <f t="shared" ref="G402:G465" si="50">TRUNC(R402,2)</f>
        <v>95</v>
      </c>
      <c r="H402" s="46">
        <f>TRUNC(S402*(1-LOTE_01!$K$10),2)</f>
        <v>18.510000000000002</v>
      </c>
      <c r="I402" s="46">
        <f>TRUNC(T402*(1-LOTE_01!$K$10),2)</f>
        <v>2.13</v>
      </c>
      <c r="J402" s="100">
        <f t="shared" ref="J402:J465" si="51">$J$4</f>
        <v>0.22470000000000001</v>
      </c>
      <c r="K402" s="48">
        <f t="shared" si="45"/>
        <v>22.66</v>
      </c>
      <c r="L402" s="48">
        <f t="shared" si="46"/>
        <v>2.6</v>
      </c>
      <c r="M402" s="48">
        <f t="shared" si="47"/>
        <v>2152.6999999999998</v>
      </c>
      <c r="N402" s="48">
        <f t="shared" si="48"/>
        <v>247</v>
      </c>
      <c r="O402" s="50">
        <f t="shared" si="49"/>
        <v>2399.6999999999998</v>
      </c>
      <c r="P402" s="50">
        <v>0</v>
      </c>
      <c r="Q402" s="76"/>
      <c r="R402" s="140">
        <f>5*S9+5*S10</f>
        <v>95</v>
      </c>
      <c r="S402" s="79">
        <v>18.510000000000002</v>
      </c>
      <c r="T402" s="80">
        <v>2.13</v>
      </c>
    </row>
    <row r="403" spans="2:20" ht="28">
      <c r="B403" s="5" t="s">
        <v>966</v>
      </c>
      <c r="C403" s="45" t="s">
        <v>97</v>
      </c>
      <c r="D403" s="45" t="s">
        <v>967</v>
      </c>
      <c r="E403" s="6" t="s">
        <v>968</v>
      </c>
      <c r="F403" s="45" t="s">
        <v>104</v>
      </c>
      <c r="G403" s="46">
        <f t="shared" si="50"/>
        <v>190</v>
      </c>
      <c r="H403" s="46">
        <f>TRUNC(S403*(1-LOTE_01!$K$10),2)</f>
        <v>25.19</v>
      </c>
      <c r="I403" s="46">
        <f>TRUNC(T403*(1-LOTE_01!$K$10),2)</f>
        <v>36.72</v>
      </c>
      <c r="J403" s="100">
        <f t="shared" si="51"/>
        <v>0.22470000000000001</v>
      </c>
      <c r="K403" s="48">
        <f t="shared" si="45"/>
        <v>30.85</v>
      </c>
      <c r="L403" s="48">
        <f t="shared" si="46"/>
        <v>44.97</v>
      </c>
      <c r="M403" s="48">
        <f t="shared" si="47"/>
        <v>5861.5</v>
      </c>
      <c r="N403" s="48">
        <f t="shared" si="48"/>
        <v>8544.2999999999993</v>
      </c>
      <c r="O403" s="50">
        <f t="shared" si="49"/>
        <v>14405.8</v>
      </c>
      <c r="P403" s="50">
        <v>0</v>
      </c>
      <c r="Q403" s="76"/>
      <c r="R403" s="140">
        <f>10*S9+10*S10</f>
        <v>190</v>
      </c>
      <c r="S403" s="79">
        <v>25.19</v>
      </c>
      <c r="T403" s="80">
        <v>36.72</v>
      </c>
    </row>
    <row r="404" spans="2:20" ht="56">
      <c r="B404" s="5" t="s">
        <v>969</v>
      </c>
      <c r="C404" s="45" t="s">
        <v>97</v>
      </c>
      <c r="D404" s="45" t="s">
        <v>970</v>
      </c>
      <c r="E404" s="6" t="s">
        <v>971</v>
      </c>
      <c r="F404" s="45" t="s">
        <v>104</v>
      </c>
      <c r="G404" s="46">
        <f t="shared" si="50"/>
        <v>95</v>
      </c>
      <c r="H404" s="46">
        <f>TRUNC(S404*(1-LOTE_01!$K$10),2)</f>
        <v>107.11</v>
      </c>
      <c r="I404" s="46">
        <f>TRUNC(T404*(1-LOTE_01!$K$10),2)</f>
        <v>12.84</v>
      </c>
      <c r="J404" s="100">
        <f t="shared" si="51"/>
        <v>0.22470000000000001</v>
      </c>
      <c r="K404" s="48">
        <f t="shared" si="45"/>
        <v>131.16999999999999</v>
      </c>
      <c r="L404" s="48">
        <f t="shared" si="46"/>
        <v>15.72</v>
      </c>
      <c r="M404" s="48">
        <f t="shared" si="47"/>
        <v>12461.15</v>
      </c>
      <c r="N404" s="48">
        <f t="shared" si="48"/>
        <v>1493.4</v>
      </c>
      <c r="O404" s="50">
        <f t="shared" si="49"/>
        <v>13954.55</v>
      </c>
      <c r="P404" s="50">
        <v>0</v>
      </c>
      <c r="Q404" s="76"/>
      <c r="R404" s="140">
        <f>5*S9+5*S10</f>
        <v>95</v>
      </c>
      <c r="S404" s="79">
        <v>107.11</v>
      </c>
      <c r="T404" s="80">
        <v>12.84</v>
      </c>
    </row>
    <row r="405" spans="2:20" ht="56">
      <c r="B405" s="5" t="s">
        <v>972</v>
      </c>
      <c r="C405" s="45" t="s">
        <v>97</v>
      </c>
      <c r="D405" s="45" t="s">
        <v>973</v>
      </c>
      <c r="E405" s="6" t="s">
        <v>974</v>
      </c>
      <c r="F405" s="45" t="s">
        <v>104</v>
      </c>
      <c r="G405" s="46">
        <f t="shared" si="50"/>
        <v>19</v>
      </c>
      <c r="H405" s="46">
        <f>TRUNC(S405*(1-LOTE_01!$K$10),2)</f>
        <v>83.02</v>
      </c>
      <c r="I405" s="46">
        <f>TRUNC(T405*(1-LOTE_01!$K$10),2)</f>
        <v>292.63</v>
      </c>
      <c r="J405" s="100">
        <f t="shared" si="51"/>
        <v>0.22470000000000001</v>
      </c>
      <c r="K405" s="48">
        <f t="shared" si="45"/>
        <v>101.67</v>
      </c>
      <c r="L405" s="48">
        <f t="shared" si="46"/>
        <v>358.38</v>
      </c>
      <c r="M405" s="48">
        <f t="shared" si="47"/>
        <v>1931.73</v>
      </c>
      <c r="N405" s="48">
        <f t="shared" si="48"/>
        <v>6809.22</v>
      </c>
      <c r="O405" s="50">
        <f t="shared" si="49"/>
        <v>8740.9500000000007</v>
      </c>
      <c r="P405" s="50">
        <v>0</v>
      </c>
      <c r="Q405" s="76"/>
      <c r="R405" s="140">
        <f>1*S9+1*S10</f>
        <v>19</v>
      </c>
      <c r="S405" s="79">
        <v>83.02</v>
      </c>
      <c r="T405" s="80">
        <v>292.63</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104">
        <v>0</v>
      </c>
      <c r="Q406" s="76"/>
      <c r="R406" s="154"/>
      <c r="S406" s="79" t="s">
        <v>22</v>
      </c>
      <c r="T406" s="80" t="s">
        <v>22</v>
      </c>
    </row>
    <row r="407" spans="2:20" ht="98">
      <c r="B407" s="5" t="s">
        <v>977</v>
      </c>
      <c r="C407" s="45" t="s">
        <v>97</v>
      </c>
      <c r="D407" s="45" t="s">
        <v>978</v>
      </c>
      <c r="E407" s="6" t="s">
        <v>979</v>
      </c>
      <c r="F407" s="45" t="s">
        <v>104</v>
      </c>
      <c r="G407" s="46">
        <f t="shared" si="50"/>
        <v>5</v>
      </c>
      <c r="H407" s="46">
        <f>TRUNC(S407*(1-LOTE_01!$K$10),2)</f>
        <v>3302.32</v>
      </c>
      <c r="I407" s="46">
        <f>TRUNC(T407*(1-LOTE_01!$K$10),2)</f>
        <v>550.79999999999995</v>
      </c>
      <c r="J407" s="100">
        <f t="shared" si="51"/>
        <v>0.22470000000000001</v>
      </c>
      <c r="K407" s="48">
        <f t="shared" si="45"/>
        <v>4044.35</v>
      </c>
      <c r="L407" s="48">
        <f t="shared" si="46"/>
        <v>674.56</v>
      </c>
      <c r="M407" s="48">
        <f t="shared" si="47"/>
        <v>20221.75</v>
      </c>
      <c r="N407" s="48">
        <f t="shared" si="48"/>
        <v>3372.8</v>
      </c>
      <c r="O407" s="50">
        <f t="shared" si="49"/>
        <v>23594.55</v>
      </c>
      <c r="P407" s="50">
        <v>0</v>
      </c>
      <c r="Q407" s="76"/>
      <c r="R407" s="140">
        <f>IF((1*S9+1*S10)&gt;5,5,(1*S9+1*S10))</f>
        <v>5</v>
      </c>
      <c r="S407" s="79">
        <v>3302.32</v>
      </c>
      <c r="T407" s="80">
        <v>550.79999999999995</v>
      </c>
    </row>
    <row r="408" spans="2:20" ht="56">
      <c r="B408" s="5" t="s">
        <v>980</v>
      </c>
      <c r="C408" s="45" t="s">
        <v>97</v>
      </c>
      <c r="D408" s="45" t="s">
        <v>981</v>
      </c>
      <c r="E408" s="6" t="s">
        <v>982</v>
      </c>
      <c r="F408" s="45" t="s">
        <v>104</v>
      </c>
      <c r="G408" s="46">
        <f t="shared" si="50"/>
        <v>19</v>
      </c>
      <c r="H408" s="46">
        <f>TRUNC(S408*(1-LOTE_01!$K$10),2)</f>
        <v>119.28</v>
      </c>
      <c r="I408" s="46">
        <f>TRUNC(T408*(1-LOTE_01!$K$10),2)</f>
        <v>367.2</v>
      </c>
      <c r="J408" s="100">
        <f t="shared" si="51"/>
        <v>0.22470000000000001</v>
      </c>
      <c r="K408" s="48">
        <f t="shared" si="45"/>
        <v>146.08000000000001</v>
      </c>
      <c r="L408" s="48">
        <f t="shared" si="46"/>
        <v>449.7</v>
      </c>
      <c r="M408" s="48">
        <f t="shared" si="47"/>
        <v>2775.52</v>
      </c>
      <c r="N408" s="48">
        <f t="shared" si="48"/>
        <v>8544.2999999999993</v>
      </c>
      <c r="O408" s="50">
        <f t="shared" si="49"/>
        <v>11319.82</v>
      </c>
      <c r="P408" s="50">
        <v>0</v>
      </c>
      <c r="Q408" s="76"/>
      <c r="R408" s="140">
        <f>1*S9+1*S10</f>
        <v>19</v>
      </c>
      <c r="S408" s="79">
        <v>119.28</v>
      </c>
      <c r="T408" s="80">
        <v>367.2</v>
      </c>
    </row>
    <row r="409" spans="2:20" ht="28">
      <c r="B409" s="5" t="s">
        <v>983</v>
      </c>
      <c r="C409" s="45" t="s">
        <v>97</v>
      </c>
      <c r="D409" s="45" t="s">
        <v>984</v>
      </c>
      <c r="E409" s="6" t="s">
        <v>985</v>
      </c>
      <c r="F409" s="45" t="s">
        <v>104</v>
      </c>
      <c r="G409" s="46">
        <f t="shared" si="50"/>
        <v>10</v>
      </c>
      <c r="H409" s="46">
        <f>TRUNC(S409*(1-LOTE_01!$K$10),2)</f>
        <v>119.28</v>
      </c>
      <c r="I409" s="46">
        <f>TRUNC(T409*(1-LOTE_01!$K$10),2)</f>
        <v>367.2</v>
      </c>
      <c r="J409" s="100">
        <f t="shared" si="51"/>
        <v>0.22470000000000001</v>
      </c>
      <c r="K409" s="48">
        <f t="shared" si="45"/>
        <v>146.08000000000001</v>
      </c>
      <c r="L409" s="48">
        <f t="shared" si="46"/>
        <v>449.7</v>
      </c>
      <c r="M409" s="48">
        <f t="shared" si="47"/>
        <v>1460.8</v>
      </c>
      <c r="N409" s="48">
        <f t="shared" si="48"/>
        <v>4497</v>
      </c>
      <c r="O409" s="50">
        <f t="shared" si="49"/>
        <v>5957.8</v>
      </c>
      <c r="P409" s="50">
        <v>0</v>
      </c>
      <c r="Q409" s="76"/>
      <c r="R409" s="140">
        <f>IF((1*S9+1*S10)&gt;10,10,(1*S9+1*S10))</f>
        <v>10</v>
      </c>
      <c r="S409" s="79">
        <v>119.28</v>
      </c>
      <c r="T409" s="80">
        <v>367.2</v>
      </c>
    </row>
    <row r="410" spans="2:20" ht="28">
      <c r="B410" s="5" t="s">
        <v>986</v>
      </c>
      <c r="C410" s="45" t="s">
        <v>97</v>
      </c>
      <c r="D410" s="45" t="s">
        <v>987</v>
      </c>
      <c r="E410" s="6" t="s">
        <v>988</v>
      </c>
      <c r="F410" s="45" t="s">
        <v>104</v>
      </c>
      <c r="G410" s="46">
        <f t="shared" si="50"/>
        <v>95</v>
      </c>
      <c r="H410" s="46">
        <f>TRUNC(S410*(1-LOTE_01!$K$10),2)</f>
        <v>165.51</v>
      </c>
      <c r="I410" s="46">
        <f>TRUNC(T410*(1-LOTE_01!$K$10),2)</f>
        <v>4.63</v>
      </c>
      <c r="J410" s="100">
        <f t="shared" si="51"/>
        <v>0.22470000000000001</v>
      </c>
      <c r="K410" s="48">
        <f t="shared" si="45"/>
        <v>202.7</v>
      </c>
      <c r="L410" s="48">
        <f t="shared" si="46"/>
        <v>5.67</v>
      </c>
      <c r="M410" s="48">
        <f t="shared" si="47"/>
        <v>19256.5</v>
      </c>
      <c r="N410" s="48">
        <f t="shared" si="48"/>
        <v>538.65</v>
      </c>
      <c r="O410" s="50">
        <f t="shared" si="49"/>
        <v>19795.150000000001</v>
      </c>
      <c r="P410" s="50">
        <v>0</v>
      </c>
      <c r="Q410" s="76"/>
      <c r="R410" s="140">
        <f>5*S9+5*S10</f>
        <v>95</v>
      </c>
      <c r="S410" s="79">
        <v>165.51</v>
      </c>
      <c r="T410" s="80">
        <v>4.63</v>
      </c>
    </row>
    <row r="411" spans="2:20" ht="28">
      <c r="B411" s="5" t="s">
        <v>989</v>
      </c>
      <c r="C411" s="45" t="s">
        <v>97</v>
      </c>
      <c r="D411" s="45" t="s">
        <v>990</v>
      </c>
      <c r="E411" s="6" t="s">
        <v>991</v>
      </c>
      <c r="F411" s="45" t="s">
        <v>104</v>
      </c>
      <c r="G411" s="46">
        <f t="shared" si="50"/>
        <v>95</v>
      </c>
      <c r="H411" s="46">
        <f>TRUNC(S411*(1-LOTE_01!$K$10),2)</f>
        <v>40.36</v>
      </c>
      <c r="I411" s="46">
        <f>TRUNC(T411*(1-LOTE_01!$K$10),2)</f>
        <v>35.75</v>
      </c>
      <c r="J411" s="100">
        <f t="shared" si="51"/>
        <v>0.22470000000000001</v>
      </c>
      <c r="K411" s="48">
        <f t="shared" si="45"/>
        <v>49.42</v>
      </c>
      <c r="L411" s="48">
        <f t="shared" si="46"/>
        <v>43.78</v>
      </c>
      <c r="M411" s="48">
        <f t="shared" si="47"/>
        <v>4694.8999999999996</v>
      </c>
      <c r="N411" s="48">
        <f t="shared" si="48"/>
        <v>4159.1000000000004</v>
      </c>
      <c r="O411" s="50">
        <f t="shared" si="49"/>
        <v>8854</v>
      </c>
      <c r="P411" s="50">
        <v>0</v>
      </c>
      <c r="Q411" s="76"/>
      <c r="R411" s="140">
        <f>5*S9+5*S10</f>
        <v>95</v>
      </c>
      <c r="S411" s="79">
        <v>40.36</v>
      </c>
      <c r="T411" s="80">
        <v>35.75</v>
      </c>
    </row>
    <row r="412" spans="2:20" ht="84">
      <c r="B412" s="5" t="s">
        <v>992</v>
      </c>
      <c r="C412" s="45" t="s">
        <v>135</v>
      </c>
      <c r="D412" s="45">
        <v>100561</v>
      </c>
      <c r="E412" s="6" t="s">
        <v>993</v>
      </c>
      <c r="F412" s="45" t="s">
        <v>210</v>
      </c>
      <c r="G412" s="46">
        <f t="shared" si="50"/>
        <v>10</v>
      </c>
      <c r="H412" s="46">
        <f>TRUNC(S412*(1-LOTE_01!$K$10),2)</f>
        <v>157.84</v>
      </c>
      <c r="I412" s="46">
        <f>TRUNC(T412*(1-LOTE_01!$K$10),2)</f>
        <v>39.53</v>
      </c>
      <c r="J412" s="100">
        <f t="shared" si="51"/>
        <v>0.22470000000000001</v>
      </c>
      <c r="K412" s="48">
        <f t="shared" si="45"/>
        <v>193.3</v>
      </c>
      <c r="L412" s="48">
        <f t="shared" si="46"/>
        <v>48.41</v>
      </c>
      <c r="M412" s="48">
        <f t="shared" si="47"/>
        <v>1933</v>
      </c>
      <c r="N412" s="48">
        <f t="shared" si="48"/>
        <v>484.1</v>
      </c>
      <c r="O412" s="50">
        <f t="shared" si="49"/>
        <v>2417.1</v>
      </c>
      <c r="P412" s="50">
        <v>0</v>
      </c>
      <c r="Q412" s="76"/>
      <c r="R412" s="140">
        <f>IF((1*S9+1*S10)&gt;10,10,(1*S9+1*S10))</f>
        <v>10</v>
      </c>
      <c r="S412" s="79">
        <v>157.84</v>
      </c>
      <c r="T412" s="80">
        <v>39.53</v>
      </c>
    </row>
    <row r="413" spans="2:20" ht="84">
      <c r="B413" s="5" t="s">
        <v>994</v>
      </c>
      <c r="C413" s="45" t="s">
        <v>135</v>
      </c>
      <c r="D413" s="45">
        <v>101875</v>
      </c>
      <c r="E413" s="6" t="s">
        <v>995</v>
      </c>
      <c r="F413" s="45" t="s">
        <v>210</v>
      </c>
      <c r="G413" s="46">
        <f t="shared" si="50"/>
        <v>10</v>
      </c>
      <c r="H413" s="46">
        <f>TRUNC(S413*(1-LOTE_01!$K$10),2)</f>
        <v>452.06</v>
      </c>
      <c r="I413" s="46">
        <f>TRUNC(T413*(1-LOTE_01!$K$10),2)</f>
        <v>67.239999999999995</v>
      </c>
      <c r="J413" s="100">
        <f t="shared" si="51"/>
        <v>0.22470000000000001</v>
      </c>
      <c r="K413" s="48">
        <f t="shared" si="45"/>
        <v>553.63</v>
      </c>
      <c r="L413" s="48">
        <f t="shared" si="46"/>
        <v>82.34</v>
      </c>
      <c r="M413" s="48">
        <f t="shared" si="47"/>
        <v>5536.3</v>
      </c>
      <c r="N413" s="48">
        <f t="shared" si="48"/>
        <v>823.4</v>
      </c>
      <c r="O413" s="50">
        <f t="shared" si="49"/>
        <v>6359.7</v>
      </c>
      <c r="P413" s="50">
        <v>0</v>
      </c>
      <c r="Q413" s="76"/>
      <c r="R413" s="140">
        <f>IF((1*S10+1*S9)&gt;10,10,(1*S10+1*S9))</f>
        <v>10</v>
      </c>
      <c r="S413" s="79">
        <v>452.05999999999995</v>
      </c>
      <c r="T413" s="80">
        <v>67.239999999999995</v>
      </c>
    </row>
    <row r="414" spans="2:20" ht="56">
      <c r="B414" s="5" t="s">
        <v>996</v>
      </c>
      <c r="C414" s="45" t="s">
        <v>97</v>
      </c>
      <c r="D414" s="45" t="s">
        <v>997</v>
      </c>
      <c r="E414" s="6" t="s">
        <v>998</v>
      </c>
      <c r="F414" s="45" t="s">
        <v>999</v>
      </c>
      <c r="G414" s="46">
        <f t="shared" si="50"/>
        <v>100</v>
      </c>
      <c r="H414" s="46">
        <f>TRUNC(S414*(1-LOTE_01!$K$10),2)</f>
        <v>342.71</v>
      </c>
      <c r="I414" s="46">
        <f>TRUNC(T414*(1-LOTE_01!$K$10),2)</f>
        <v>381.26</v>
      </c>
      <c r="J414" s="100">
        <f t="shared" si="51"/>
        <v>0.22470000000000001</v>
      </c>
      <c r="K414" s="48">
        <f t="shared" si="45"/>
        <v>419.71</v>
      </c>
      <c r="L414" s="48">
        <f t="shared" si="46"/>
        <v>466.92</v>
      </c>
      <c r="M414" s="48">
        <f t="shared" si="47"/>
        <v>41971</v>
      </c>
      <c r="N414" s="48">
        <f t="shared" si="48"/>
        <v>46692</v>
      </c>
      <c r="O414" s="50">
        <f t="shared" si="49"/>
        <v>88663</v>
      </c>
      <c r="P414" s="50">
        <v>0</v>
      </c>
      <c r="Q414" s="76"/>
      <c r="R414" s="140">
        <f>IF((5*S9+20*S10)&gt;100,100,(5*S9+20*S10))</f>
        <v>100</v>
      </c>
      <c r="S414" s="79">
        <v>342.71</v>
      </c>
      <c r="T414" s="80">
        <v>381.26</v>
      </c>
    </row>
    <row r="415" spans="2:20" ht="56">
      <c r="B415" s="5" t="s">
        <v>1000</v>
      </c>
      <c r="C415" s="45" t="s">
        <v>135</v>
      </c>
      <c r="D415" s="45">
        <v>98295</v>
      </c>
      <c r="E415" s="6" t="s">
        <v>1001</v>
      </c>
      <c r="F415" s="45" t="s">
        <v>187</v>
      </c>
      <c r="G415" s="46">
        <f t="shared" si="50"/>
        <v>10500</v>
      </c>
      <c r="H415" s="46">
        <f>TRUNC(S415*(1-LOTE_01!$K$10),2)</f>
        <v>4.75</v>
      </c>
      <c r="I415" s="46">
        <f>TRUNC(T415*(1-LOTE_01!$K$10),2)</f>
        <v>0.13</v>
      </c>
      <c r="J415" s="100">
        <f t="shared" si="51"/>
        <v>0.22470000000000001</v>
      </c>
      <c r="K415" s="48">
        <f t="shared" si="45"/>
        <v>5.81</v>
      </c>
      <c r="L415" s="48">
        <f t="shared" si="46"/>
        <v>0.15</v>
      </c>
      <c r="M415" s="48">
        <f t="shared" si="47"/>
        <v>61005</v>
      </c>
      <c r="N415" s="48">
        <f t="shared" si="48"/>
        <v>1575</v>
      </c>
      <c r="O415" s="50">
        <f t="shared" si="49"/>
        <v>62580</v>
      </c>
      <c r="P415" s="50">
        <v>0</v>
      </c>
      <c r="Q415" s="76"/>
      <c r="R415" s="140">
        <f>IF((500*S9+1000*S10)&gt;15000,15000,(500*S9+1000*S10))</f>
        <v>10500</v>
      </c>
      <c r="S415" s="79">
        <v>4.75</v>
      </c>
      <c r="T415" s="80">
        <v>0.13</v>
      </c>
    </row>
    <row r="416" spans="2:20" ht="42">
      <c r="B416" s="5" t="s">
        <v>1002</v>
      </c>
      <c r="C416" s="45" t="s">
        <v>135</v>
      </c>
      <c r="D416" s="45">
        <v>98301</v>
      </c>
      <c r="E416" s="6" t="s">
        <v>1003</v>
      </c>
      <c r="F416" s="45" t="s">
        <v>210</v>
      </c>
      <c r="G416" s="46">
        <f t="shared" si="50"/>
        <v>95</v>
      </c>
      <c r="H416" s="46">
        <f>TRUNC(S416*(1-LOTE_01!$K$10),2)</f>
        <v>390.23</v>
      </c>
      <c r="I416" s="46">
        <f>TRUNC(T416*(1-LOTE_01!$K$10),2)</f>
        <v>260.69</v>
      </c>
      <c r="J416" s="100">
        <f t="shared" si="51"/>
        <v>0.22470000000000001</v>
      </c>
      <c r="K416" s="48">
        <f t="shared" si="45"/>
        <v>477.91</v>
      </c>
      <c r="L416" s="48">
        <f t="shared" si="46"/>
        <v>319.26</v>
      </c>
      <c r="M416" s="48">
        <f t="shared" si="47"/>
        <v>45401.45</v>
      </c>
      <c r="N416" s="48">
        <f t="shared" si="48"/>
        <v>30329.7</v>
      </c>
      <c r="O416" s="50">
        <f t="shared" si="49"/>
        <v>75731.149999999994</v>
      </c>
      <c r="P416" s="50">
        <v>0</v>
      </c>
      <c r="Q416" s="76"/>
      <c r="R416" s="140">
        <f>5*S9+5*S10</f>
        <v>95</v>
      </c>
      <c r="S416" s="79">
        <v>390.22999999999996</v>
      </c>
      <c r="T416" s="80">
        <v>260.69</v>
      </c>
    </row>
    <row r="417" spans="2:20" ht="28">
      <c r="B417" s="5" t="s">
        <v>1004</v>
      </c>
      <c r="C417" s="45" t="s">
        <v>97</v>
      </c>
      <c r="D417" s="45" t="s">
        <v>1005</v>
      </c>
      <c r="E417" s="6" t="s">
        <v>1006</v>
      </c>
      <c r="F417" s="45" t="s">
        <v>104</v>
      </c>
      <c r="G417" s="46">
        <f t="shared" si="50"/>
        <v>650</v>
      </c>
      <c r="H417" s="46">
        <f>TRUNC(S417*(1-LOTE_01!$K$10),2)</f>
        <v>28.64</v>
      </c>
      <c r="I417" s="46">
        <f>TRUNC(T417*(1-LOTE_01!$K$10),2)</f>
        <v>17.760000000000002</v>
      </c>
      <c r="J417" s="100">
        <f t="shared" si="51"/>
        <v>0.22470000000000001</v>
      </c>
      <c r="K417" s="48">
        <f t="shared" si="45"/>
        <v>35.07</v>
      </c>
      <c r="L417" s="48">
        <f t="shared" si="46"/>
        <v>21.75</v>
      </c>
      <c r="M417" s="48">
        <f t="shared" si="47"/>
        <v>22795.5</v>
      </c>
      <c r="N417" s="48">
        <f t="shared" si="48"/>
        <v>14137.5</v>
      </c>
      <c r="O417" s="50">
        <f t="shared" si="49"/>
        <v>36933</v>
      </c>
      <c r="P417" s="50">
        <v>0</v>
      </c>
      <c r="Q417" s="76"/>
      <c r="R417" s="140">
        <f>30*S9+70*S10</f>
        <v>650</v>
      </c>
      <c r="S417" s="79">
        <v>28.64</v>
      </c>
      <c r="T417" s="80">
        <v>17.760000000000002</v>
      </c>
    </row>
    <row r="418" spans="2:20" ht="28">
      <c r="B418" s="5" t="s">
        <v>1007</v>
      </c>
      <c r="C418" s="45" t="s">
        <v>97</v>
      </c>
      <c r="D418" s="45" t="s">
        <v>1008</v>
      </c>
      <c r="E418" s="6" t="s">
        <v>1009</v>
      </c>
      <c r="F418" s="45" t="s">
        <v>104</v>
      </c>
      <c r="G418" s="46">
        <f t="shared" si="50"/>
        <v>650</v>
      </c>
      <c r="H418" s="46">
        <f>TRUNC(S418*(1-LOTE_01!$K$10),2)</f>
        <v>51.65</v>
      </c>
      <c r="I418" s="46">
        <f>TRUNC(T418*(1-LOTE_01!$K$10),2)</f>
        <v>17.760000000000002</v>
      </c>
      <c r="J418" s="100">
        <f t="shared" si="51"/>
        <v>0.22470000000000001</v>
      </c>
      <c r="K418" s="48">
        <f t="shared" si="45"/>
        <v>63.25</v>
      </c>
      <c r="L418" s="48">
        <f t="shared" si="46"/>
        <v>21.75</v>
      </c>
      <c r="M418" s="48">
        <f t="shared" si="47"/>
        <v>41112.5</v>
      </c>
      <c r="N418" s="48">
        <f t="shared" si="48"/>
        <v>14137.5</v>
      </c>
      <c r="O418" s="50">
        <f t="shared" si="49"/>
        <v>55250</v>
      </c>
      <c r="P418" s="50">
        <v>0</v>
      </c>
      <c r="Q418" s="76"/>
      <c r="R418" s="140">
        <f>30*S9+70*S10</f>
        <v>650</v>
      </c>
      <c r="S418" s="79">
        <v>51.65</v>
      </c>
      <c r="T418" s="80">
        <v>17.760000000000002</v>
      </c>
    </row>
    <row r="419" spans="2:20" ht="28">
      <c r="B419" s="5" t="s">
        <v>1010</v>
      </c>
      <c r="C419" s="45" t="s">
        <v>97</v>
      </c>
      <c r="D419" s="45" t="s">
        <v>1011</v>
      </c>
      <c r="E419" s="6" t="s">
        <v>1012</v>
      </c>
      <c r="F419" s="45" t="s">
        <v>999</v>
      </c>
      <c r="G419" s="46">
        <f t="shared" si="50"/>
        <v>380</v>
      </c>
      <c r="H419" s="46">
        <f>TRUNC(S419*(1-LOTE_01!$K$10),2)</f>
        <v>27.22</v>
      </c>
      <c r="I419" s="46">
        <f>TRUNC(T419*(1-LOTE_01!$K$10),2)</f>
        <v>0.5</v>
      </c>
      <c r="J419" s="100">
        <f t="shared" si="51"/>
        <v>0.22470000000000001</v>
      </c>
      <c r="K419" s="48">
        <f t="shared" si="45"/>
        <v>33.33</v>
      </c>
      <c r="L419" s="48">
        <f t="shared" si="46"/>
        <v>0.61</v>
      </c>
      <c r="M419" s="48">
        <f t="shared" si="47"/>
        <v>12665.4</v>
      </c>
      <c r="N419" s="48">
        <f t="shared" si="48"/>
        <v>231.8</v>
      </c>
      <c r="O419" s="50">
        <f t="shared" si="49"/>
        <v>12897.2</v>
      </c>
      <c r="P419" s="50">
        <v>0</v>
      </c>
      <c r="Q419" s="76"/>
      <c r="R419" s="140">
        <f>20*S9+20*S10</f>
        <v>380</v>
      </c>
      <c r="S419" s="79">
        <v>27.22</v>
      </c>
      <c r="T419" s="80">
        <v>0.5</v>
      </c>
    </row>
    <row r="420" spans="2:20" ht="56">
      <c r="B420" s="5" t="s">
        <v>1013</v>
      </c>
      <c r="C420" s="45" t="s">
        <v>135</v>
      </c>
      <c r="D420" s="45">
        <v>98268</v>
      </c>
      <c r="E420" s="6" t="s">
        <v>1014</v>
      </c>
      <c r="F420" s="45" t="s">
        <v>187</v>
      </c>
      <c r="G420" s="46">
        <f t="shared" si="50"/>
        <v>250</v>
      </c>
      <c r="H420" s="46">
        <f>TRUNC(S420*(1-LOTE_01!$K$10),2)</f>
        <v>10.01</v>
      </c>
      <c r="I420" s="46">
        <f>TRUNC(T420*(1-LOTE_01!$K$10),2)</f>
        <v>4.43</v>
      </c>
      <c r="J420" s="100">
        <f t="shared" si="51"/>
        <v>0.22470000000000001</v>
      </c>
      <c r="K420" s="48">
        <f t="shared" si="45"/>
        <v>12.25</v>
      </c>
      <c r="L420" s="48">
        <f t="shared" si="46"/>
        <v>5.42</v>
      </c>
      <c r="M420" s="48">
        <f t="shared" si="47"/>
        <v>3062.5</v>
      </c>
      <c r="N420" s="48">
        <f t="shared" si="48"/>
        <v>1355</v>
      </c>
      <c r="O420" s="50">
        <f t="shared" si="49"/>
        <v>4417.5</v>
      </c>
      <c r="P420" s="50">
        <v>0</v>
      </c>
      <c r="Q420" s="76"/>
      <c r="R420" s="140">
        <f>10*S9+40*S10</f>
        <v>250</v>
      </c>
      <c r="S420" s="79">
        <v>10.01</v>
      </c>
      <c r="T420" s="80">
        <v>4.43</v>
      </c>
    </row>
    <row r="421" spans="2:20" ht="28">
      <c r="B421" s="5" t="s">
        <v>1015</v>
      </c>
      <c r="C421" s="45" t="s">
        <v>135</v>
      </c>
      <c r="D421" s="45">
        <v>98307</v>
      </c>
      <c r="E421" s="6" t="s">
        <v>1016</v>
      </c>
      <c r="F421" s="45" t="s">
        <v>210</v>
      </c>
      <c r="G421" s="46">
        <f t="shared" si="50"/>
        <v>650</v>
      </c>
      <c r="H421" s="46">
        <f>TRUNC(S421*(1-LOTE_01!$K$10),2)</f>
        <v>50.16</v>
      </c>
      <c r="I421" s="46">
        <f>TRUNC(T421*(1-LOTE_01!$K$10),2)</f>
        <v>11.88</v>
      </c>
      <c r="J421" s="100">
        <f t="shared" si="51"/>
        <v>0.22470000000000001</v>
      </c>
      <c r="K421" s="48">
        <f t="shared" si="45"/>
        <v>61.43</v>
      </c>
      <c r="L421" s="48">
        <f t="shared" si="46"/>
        <v>14.54</v>
      </c>
      <c r="M421" s="48">
        <f t="shared" si="47"/>
        <v>39929.5</v>
      </c>
      <c r="N421" s="48">
        <f t="shared" si="48"/>
        <v>9451</v>
      </c>
      <c r="O421" s="50">
        <f t="shared" si="49"/>
        <v>49380.5</v>
      </c>
      <c r="P421" s="50">
        <v>0</v>
      </c>
      <c r="Q421" s="76"/>
      <c r="R421" s="140">
        <f>30*S9+70*S10</f>
        <v>650</v>
      </c>
      <c r="S421" s="79">
        <v>50.16</v>
      </c>
      <c r="T421" s="80">
        <v>11.88</v>
      </c>
    </row>
    <row r="422" spans="2:20" ht="28">
      <c r="B422" s="5" t="s">
        <v>1017</v>
      </c>
      <c r="C422" s="45" t="s">
        <v>97</v>
      </c>
      <c r="D422" s="45" t="s">
        <v>1018</v>
      </c>
      <c r="E422" s="6" t="s">
        <v>1019</v>
      </c>
      <c r="F422" s="45" t="s">
        <v>104</v>
      </c>
      <c r="G422" s="46">
        <f t="shared" si="50"/>
        <v>95</v>
      </c>
      <c r="H422" s="46">
        <f>TRUNC(S422*(1-LOTE_01!$K$10),2)</f>
        <v>210.36</v>
      </c>
      <c r="I422" s="46">
        <f>TRUNC(T422*(1-LOTE_01!$K$10),2)</f>
        <v>9.27</v>
      </c>
      <c r="J422" s="100">
        <f t="shared" si="51"/>
        <v>0.22470000000000001</v>
      </c>
      <c r="K422" s="48">
        <f t="shared" si="45"/>
        <v>257.62</v>
      </c>
      <c r="L422" s="48">
        <f t="shared" si="46"/>
        <v>11.35</v>
      </c>
      <c r="M422" s="48">
        <f t="shared" si="47"/>
        <v>24473.9</v>
      </c>
      <c r="N422" s="48">
        <f t="shared" si="48"/>
        <v>1078.25</v>
      </c>
      <c r="O422" s="50">
        <f t="shared" si="49"/>
        <v>25552.15</v>
      </c>
      <c r="P422" s="50">
        <v>0</v>
      </c>
      <c r="Q422" s="76"/>
      <c r="R422" s="140">
        <f>5*S9+5*S10</f>
        <v>95</v>
      </c>
      <c r="S422" s="79">
        <v>210.36</v>
      </c>
      <c r="T422" s="80">
        <v>9.27</v>
      </c>
    </row>
    <row r="423" spans="2:20" ht="56">
      <c r="B423" s="5" t="s">
        <v>1020</v>
      </c>
      <c r="C423" s="45" t="s">
        <v>135</v>
      </c>
      <c r="D423" s="45">
        <v>91941</v>
      </c>
      <c r="E423" s="6" t="s">
        <v>1021</v>
      </c>
      <c r="F423" s="45" t="s">
        <v>210</v>
      </c>
      <c r="G423" s="46">
        <f t="shared" si="50"/>
        <v>200</v>
      </c>
      <c r="H423" s="46">
        <f>TRUNC(S423*(1-LOTE_01!$K$10),2)</f>
        <v>5.29</v>
      </c>
      <c r="I423" s="46">
        <f>TRUNC(T423*(1-LOTE_01!$K$10),2)</f>
        <v>7.92</v>
      </c>
      <c r="J423" s="100">
        <f t="shared" si="51"/>
        <v>0.22470000000000001</v>
      </c>
      <c r="K423" s="48">
        <f t="shared" si="45"/>
        <v>6.47</v>
      </c>
      <c r="L423" s="48">
        <f t="shared" si="46"/>
        <v>9.69</v>
      </c>
      <c r="M423" s="48">
        <f t="shared" si="47"/>
        <v>1294</v>
      </c>
      <c r="N423" s="48">
        <f t="shared" si="48"/>
        <v>1938</v>
      </c>
      <c r="O423" s="50">
        <f t="shared" si="49"/>
        <v>3232</v>
      </c>
      <c r="P423" s="50">
        <v>0</v>
      </c>
      <c r="Q423" s="76"/>
      <c r="R423" s="140">
        <f>IF((10*S9+50*S10)&gt;200,200,(10*S9+50*S10))</f>
        <v>200</v>
      </c>
      <c r="S423" s="79">
        <v>5.2900000000000009</v>
      </c>
      <c r="T423" s="80">
        <v>7.92</v>
      </c>
    </row>
    <row r="424" spans="2:20" ht="56">
      <c r="B424" s="5" t="s">
        <v>1022</v>
      </c>
      <c r="C424" s="45" t="s">
        <v>135</v>
      </c>
      <c r="D424" s="45">
        <v>91944</v>
      </c>
      <c r="E424" s="6" t="s">
        <v>935</v>
      </c>
      <c r="F424" s="45" t="s">
        <v>210</v>
      </c>
      <c r="G424" s="46">
        <f t="shared" si="50"/>
        <v>200</v>
      </c>
      <c r="H424" s="46">
        <f>TRUNC(S424*(1-LOTE_01!$K$10),2)</f>
        <v>7.7</v>
      </c>
      <c r="I424" s="46">
        <f>TRUNC(T424*(1-LOTE_01!$K$10),2)</f>
        <v>8.3000000000000007</v>
      </c>
      <c r="J424" s="100">
        <f t="shared" si="51"/>
        <v>0.22470000000000001</v>
      </c>
      <c r="K424" s="48">
        <f t="shared" si="45"/>
        <v>9.43</v>
      </c>
      <c r="L424" s="48">
        <f t="shared" si="46"/>
        <v>10.16</v>
      </c>
      <c r="M424" s="48">
        <f t="shared" si="47"/>
        <v>1886</v>
      </c>
      <c r="N424" s="48">
        <f t="shared" si="48"/>
        <v>2032</v>
      </c>
      <c r="O424" s="50">
        <f t="shared" si="49"/>
        <v>3918</v>
      </c>
      <c r="P424" s="50">
        <v>0</v>
      </c>
      <c r="Q424" s="76"/>
      <c r="R424" s="140">
        <f>IF((10*S9+50*S10)&gt;200,200,(10*S9+50*S10))</f>
        <v>200</v>
      </c>
      <c r="S424" s="79">
        <v>7.6999999999999993</v>
      </c>
      <c r="T424" s="80">
        <v>8.3000000000000007</v>
      </c>
    </row>
    <row r="425" spans="2:20" ht="70">
      <c r="B425" s="5" t="s">
        <v>1023</v>
      </c>
      <c r="C425" s="45" t="s">
        <v>135</v>
      </c>
      <c r="D425" s="45">
        <v>97887</v>
      </c>
      <c r="E425" s="6" t="s">
        <v>1024</v>
      </c>
      <c r="F425" s="45" t="s">
        <v>210</v>
      </c>
      <c r="G425" s="46">
        <f t="shared" si="50"/>
        <v>95</v>
      </c>
      <c r="H425" s="46">
        <f>TRUNC(S425*(1-LOTE_01!$K$10),2)</f>
        <v>183.18</v>
      </c>
      <c r="I425" s="46">
        <f>TRUNC(T425*(1-LOTE_01!$K$10),2)</f>
        <v>140.44999999999999</v>
      </c>
      <c r="J425" s="100">
        <f t="shared" si="51"/>
        <v>0.22470000000000001</v>
      </c>
      <c r="K425" s="48">
        <f t="shared" si="45"/>
        <v>224.34</v>
      </c>
      <c r="L425" s="48">
        <f t="shared" si="46"/>
        <v>172</v>
      </c>
      <c r="M425" s="48">
        <f t="shared" si="47"/>
        <v>21312.3</v>
      </c>
      <c r="N425" s="48">
        <f t="shared" si="48"/>
        <v>16340</v>
      </c>
      <c r="O425" s="50">
        <f t="shared" si="49"/>
        <v>37652.300000000003</v>
      </c>
      <c r="P425" s="50">
        <v>0</v>
      </c>
      <c r="Q425" s="76"/>
      <c r="R425" s="140">
        <f>5*S9+5*S10</f>
        <v>95</v>
      </c>
      <c r="S425" s="79">
        <v>183.18</v>
      </c>
      <c r="T425" s="80">
        <v>140.44999999999999</v>
      </c>
    </row>
    <row r="426" spans="2:20" ht="70">
      <c r="B426" s="5" t="s">
        <v>1025</v>
      </c>
      <c r="C426" s="45" t="s">
        <v>135</v>
      </c>
      <c r="D426" s="45">
        <v>93009</v>
      </c>
      <c r="E426" s="6" t="s">
        <v>1026</v>
      </c>
      <c r="F426" s="45" t="s">
        <v>187</v>
      </c>
      <c r="G426" s="46">
        <f t="shared" si="50"/>
        <v>270</v>
      </c>
      <c r="H426" s="46">
        <f>TRUNC(S426*(1-LOTE_01!$K$10),2)</f>
        <v>24.2</v>
      </c>
      <c r="I426" s="46">
        <f>TRUNC(T426*(1-LOTE_01!$K$10),2)</f>
        <v>5.92</v>
      </c>
      <c r="J426" s="100">
        <f t="shared" si="51"/>
        <v>0.22470000000000001</v>
      </c>
      <c r="K426" s="48">
        <f t="shared" si="45"/>
        <v>29.63</v>
      </c>
      <c r="L426" s="48">
        <f t="shared" si="46"/>
        <v>7.25</v>
      </c>
      <c r="M426" s="48">
        <f t="shared" si="47"/>
        <v>8000.1</v>
      </c>
      <c r="N426" s="48">
        <f t="shared" si="48"/>
        <v>1957.5</v>
      </c>
      <c r="O426" s="50">
        <f t="shared" si="49"/>
        <v>9957.6</v>
      </c>
      <c r="P426" s="50">
        <v>0</v>
      </c>
      <c r="Q426" s="76"/>
      <c r="R426" s="140">
        <f>10*S9+50*S10</f>
        <v>270</v>
      </c>
      <c r="S426" s="79">
        <v>24.200000000000003</v>
      </c>
      <c r="T426" s="80">
        <v>5.92</v>
      </c>
    </row>
    <row r="427" spans="2:20" ht="42">
      <c r="B427" s="5" t="s">
        <v>1027</v>
      </c>
      <c r="C427" s="45" t="s">
        <v>165</v>
      </c>
      <c r="D427" s="45" t="s">
        <v>1028</v>
      </c>
      <c r="E427" s="6" t="s">
        <v>1029</v>
      </c>
      <c r="F427" s="45" t="s">
        <v>531</v>
      </c>
      <c r="G427" s="46">
        <f t="shared" si="50"/>
        <v>105</v>
      </c>
      <c r="H427" s="46">
        <f>TRUNC(S427*(1-LOTE_01!$K$10),2)</f>
        <v>21.87</v>
      </c>
      <c r="I427" s="46">
        <f>TRUNC(T427*(1-LOTE_01!$K$10),2)</f>
        <v>29.9</v>
      </c>
      <c r="J427" s="100">
        <f t="shared" si="51"/>
        <v>0.22470000000000001</v>
      </c>
      <c r="K427" s="48">
        <f t="shared" si="45"/>
        <v>26.78</v>
      </c>
      <c r="L427" s="48">
        <f t="shared" si="46"/>
        <v>36.61</v>
      </c>
      <c r="M427" s="48">
        <f t="shared" si="47"/>
        <v>2811.9</v>
      </c>
      <c r="N427" s="48">
        <f t="shared" si="48"/>
        <v>3844.05</v>
      </c>
      <c r="O427" s="50">
        <f t="shared" si="49"/>
        <v>6655.95</v>
      </c>
      <c r="P427" s="50">
        <v>0</v>
      </c>
      <c r="Q427" s="76"/>
      <c r="R427" s="140">
        <f>5*S9+10*S10</f>
        <v>105</v>
      </c>
      <c r="S427" s="79">
        <v>21.87</v>
      </c>
      <c r="T427" s="80">
        <v>29.9</v>
      </c>
    </row>
    <row r="428" spans="2:20" ht="70">
      <c r="B428" s="5" t="s">
        <v>1030</v>
      </c>
      <c r="C428" s="45" t="s">
        <v>135</v>
      </c>
      <c r="D428" s="45">
        <v>91864</v>
      </c>
      <c r="E428" s="6" t="s">
        <v>838</v>
      </c>
      <c r="F428" s="45" t="s">
        <v>187</v>
      </c>
      <c r="G428" s="46">
        <f t="shared" si="50"/>
        <v>420</v>
      </c>
      <c r="H428" s="46">
        <f>TRUNC(S428*(1-LOTE_01!$K$10),2)</f>
        <v>10.73</v>
      </c>
      <c r="I428" s="46">
        <f>TRUNC(T428*(1-LOTE_01!$K$10),2)</f>
        <v>6.41</v>
      </c>
      <c r="J428" s="100">
        <f t="shared" si="51"/>
        <v>0.22470000000000001</v>
      </c>
      <c r="K428" s="48">
        <f t="shared" si="45"/>
        <v>13.14</v>
      </c>
      <c r="L428" s="48">
        <f t="shared" si="46"/>
        <v>7.85</v>
      </c>
      <c r="M428" s="48">
        <f t="shared" si="47"/>
        <v>5518.8</v>
      </c>
      <c r="N428" s="48">
        <f t="shared" si="48"/>
        <v>3297</v>
      </c>
      <c r="O428" s="50">
        <f t="shared" si="49"/>
        <v>8815.7999999999993</v>
      </c>
      <c r="P428" s="50">
        <v>0</v>
      </c>
      <c r="Q428" s="76"/>
      <c r="R428" s="140">
        <f>20*S9+40*S10</f>
        <v>420</v>
      </c>
      <c r="S428" s="79">
        <v>10.73</v>
      </c>
      <c r="T428" s="80">
        <v>6.41</v>
      </c>
    </row>
    <row r="429" spans="2:20" ht="70">
      <c r="B429" s="5" t="s">
        <v>1031</v>
      </c>
      <c r="C429" s="45" t="s">
        <v>135</v>
      </c>
      <c r="D429" s="45">
        <v>91867</v>
      </c>
      <c r="E429" s="6" t="s">
        <v>927</v>
      </c>
      <c r="F429" s="45" t="s">
        <v>187</v>
      </c>
      <c r="G429" s="46">
        <f t="shared" si="50"/>
        <v>95</v>
      </c>
      <c r="H429" s="46">
        <f>TRUNC(S429*(1-LOTE_01!$K$10),2)</f>
        <v>6.99</v>
      </c>
      <c r="I429" s="46">
        <f>TRUNC(T429*(1-LOTE_01!$K$10),2)</f>
        <v>4.32</v>
      </c>
      <c r="J429" s="100">
        <f t="shared" si="51"/>
        <v>0.22470000000000001</v>
      </c>
      <c r="K429" s="48">
        <f t="shared" si="45"/>
        <v>8.56</v>
      </c>
      <c r="L429" s="48">
        <f t="shared" si="46"/>
        <v>5.29</v>
      </c>
      <c r="M429" s="48">
        <f t="shared" si="47"/>
        <v>813.2</v>
      </c>
      <c r="N429" s="48">
        <f t="shared" si="48"/>
        <v>502.55</v>
      </c>
      <c r="O429" s="50">
        <f t="shared" si="49"/>
        <v>1315.75</v>
      </c>
      <c r="P429" s="50">
        <v>0</v>
      </c>
      <c r="Q429" s="76"/>
      <c r="R429" s="140">
        <f>5*S9+5*S10</f>
        <v>95</v>
      </c>
      <c r="S429" s="79">
        <v>6.99</v>
      </c>
      <c r="T429" s="80">
        <v>4.32</v>
      </c>
    </row>
    <row r="430" spans="2:20" ht="42">
      <c r="B430" s="5" t="s">
        <v>1032</v>
      </c>
      <c r="C430" s="45" t="s">
        <v>165</v>
      </c>
      <c r="D430" s="45" t="s">
        <v>1033</v>
      </c>
      <c r="E430" s="6" t="s">
        <v>1034</v>
      </c>
      <c r="F430" s="45" t="s">
        <v>531</v>
      </c>
      <c r="G430" s="46">
        <f>IF($S$11=0,0,TRUNC(R430,2))</f>
        <v>145</v>
      </c>
      <c r="H430" s="46">
        <f>TRUNC(S430*(1-LOTE_01!$K$10),2)</f>
        <v>25.9</v>
      </c>
      <c r="I430" s="46">
        <f>TRUNC(T430*(1-LOTE_01!$K$10),2)</f>
        <v>19.93</v>
      </c>
      <c r="J430" s="100">
        <f t="shared" si="51"/>
        <v>0.22470000000000001</v>
      </c>
      <c r="K430" s="48">
        <f t="shared" si="45"/>
        <v>31.71</v>
      </c>
      <c r="L430" s="48">
        <f t="shared" si="46"/>
        <v>24.4</v>
      </c>
      <c r="M430" s="48">
        <f t="shared" si="47"/>
        <v>4597.95</v>
      </c>
      <c r="N430" s="48">
        <f t="shared" si="48"/>
        <v>3538</v>
      </c>
      <c r="O430" s="50">
        <f t="shared" si="49"/>
        <v>8135.95</v>
      </c>
      <c r="P430" s="50">
        <v>0</v>
      </c>
      <c r="Q430" s="76"/>
      <c r="R430" s="140">
        <f>5*S9+25*S10+10</f>
        <v>145</v>
      </c>
      <c r="S430" s="79">
        <v>25.9</v>
      </c>
      <c r="T430" s="80">
        <v>19.93</v>
      </c>
    </row>
    <row r="431" spans="2:20" ht="42">
      <c r="B431" s="5" t="s">
        <v>1035</v>
      </c>
      <c r="C431" s="45" t="s">
        <v>165</v>
      </c>
      <c r="D431" s="45" t="s">
        <v>1036</v>
      </c>
      <c r="E431" s="6" t="s">
        <v>1037</v>
      </c>
      <c r="F431" s="45" t="s">
        <v>531</v>
      </c>
      <c r="G431" s="46">
        <f t="shared" si="50"/>
        <v>105</v>
      </c>
      <c r="H431" s="46">
        <f>TRUNC(S431*(1-LOTE_01!$K$10),2)</f>
        <v>19.43</v>
      </c>
      <c r="I431" s="46">
        <f>TRUNC(T431*(1-LOTE_01!$K$10),2)</f>
        <v>19.93</v>
      </c>
      <c r="J431" s="100">
        <f t="shared" si="51"/>
        <v>0.22470000000000001</v>
      </c>
      <c r="K431" s="48">
        <f t="shared" si="45"/>
        <v>23.79</v>
      </c>
      <c r="L431" s="48">
        <f t="shared" si="46"/>
        <v>24.4</v>
      </c>
      <c r="M431" s="48">
        <f t="shared" si="47"/>
        <v>2497.9499999999998</v>
      </c>
      <c r="N431" s="48">
        <f t="shared" si="48"/>
        <v>2562</v>
      </c>
      <c r="O431" s="50">
        <f t="shared" si="49"/>
        <v>5059.95</v>
      </c>
      <c r="P431" s="50">
        <v>0</v>
      </c>
      <c r="Q431" s="76"/>
      <c r="R431" s="140">
        <f>5*S9+10*S10</f>
        <v>105</v>
      </c>
      <c r="S431" s="79">
        <v>19.43</v>
      </c>
      <c r="T431" s="80">
        <v>19.93</v>
      </c>
    </row>
    <row r="432" spans="2:20" ht="56">
      <c r="B432" s="5" t="s">
        <v>1038</v>
      </c>
      <c r="C432" s="45" t="s">
        <v>97</v>
      </c>
      <c r="D432" s="45" t="s">
        <v>1039</v>
      </c>
      <c r="E432" s="6" t="s">
        <v>1040</v>
      </c>
      <c r="F432" s="45" t="s">
        <v>925</v>
      </c>
      <c r="G432" s="46">
        <f t="shared" si="50"/>
        <v>125</v>
      </c>
      <c r="H432" s="46">
        <f>TRUNC(S432*(1-LOTE_01!$K$10),2)</f>
        <v>33.450000000000003</v>
      </c>
      <c r="I432" s="46">
        <f>TRUNC(T432*(1-LOTE_01!$K$10),2)</f>
        <v>22.95</v>
      </c>
      <c r="J432" s="100">
        <f t="shared" si="51"/>
        <v>0.22470000000000001</v>
      </c>
      <c r="K432" s="48">
        <f t="shared" si="45"/>
        <v>40.96</v>
      </c>
      <c r="L432" s="48">
        <f t="shared" si="46"/>
        <v>28.1</v>
      </c>
      <c r="M432" s="48">
        <f t="shared" si="47"/>
        <v>5120</v>
      </c>
      <c r="N432" s="48">
        <f t="shared" si="48"/>
        <v>3512.5</v>
      </c>
      <c r="O432" s="50">
        <f t="shared" si="49"/>
        <v>8632.5</v>
      </c>
      <c r="P432" s="50">
        <v>0</v>
      </c>
      <c r="Q432" s="76"/>
      <c r="R432" s="140">
        <f>5*S9+20*S10</f>
        <v>125</v>
      </c>
      <c r="S432" s="79">
        <v>33.450000000000003</v>
      </c>
      <c r="T432" s="80">
        <v>22.95</v>
      </c>
    </row>
    <row r="433" spans="2:20" ht="42">
      <c r="B433" s="5" t="s">
        <v>1041</v>
      </c>
      <c r="C433" s="45" t="s">
        <v>165</v>
      </c>
      <c r="D433" s="45" t="s">
        <v>1042</v>
      </c>
      <c r="E433" s="6" t="s">
        <v>1043</v>
      </c>
      <c r="F433" s="45" t="s">
        <v>531</v>
      </c>
      <c r="G433" s="46">
        <f t="shared" si="50"/>
        <v>95</v>
      </c>
      <c r="H433" s="46">
        <f>TRUNC(S433*(1-LOTE_01!$K$10),2)</f>
        <v>55.42</v>
      </c>
      <c r="I433" s="46">
        <f>TRUNC(T433*(1-LOTE_01!$K$10),2)</f>
        <v>19.27</v>
      </c>
      <c r="J433" s="100">
        <f t="shared" si="51"/>
        <v>0.22470000000000001</v>
      </c>
      <c r="K433" s="48">
        <f t="shared" si="45"/>
        <v>67.87</v>
      </c>
      <c r="L433" s="48">
        <f t="shared" si="46"/>
        <v>23.59</v>
      </c>
      <c r="M433" s="48">
        <f t="shared" si="47"/>
        <v>6447.65</v>
      </c>
      <c r="N433" s="48">
        <f t="shared" si="48"/>
        <v>2241.0500000000002</v>
      </c>
      <c r="O433" s="50">
        <f t="shared" si="49"/>
        <v>8688.7000000000007</v>
      </c>
      <c r="P433" s="50">
        <v>0</v>
      </c>
      <c r="Q433" s="76"/>
      <c r="R433" s="140">
        <f>5*S9+5*S10</f>
        <v>95</v>
      </c>
      <c r="S433" s="79">
        <v>55.42</v>
      </c>
      <c r="T433" s="80">
        <v>19.27</v>
      </c>
    </row>
    <row r="434" spans="2:20" ht="28">
      <c r="B434" s="5" t="s">
        <v>1044</v>
      </c>
      <c r="C434" s="45" t="s">
        <v>97</v>
      </c>
      <c r="D434" s="45" t="s">
        <v>1045</v>
      </c>
      <c r="E434" s="6" t="s">
        <v>1046</v>
      </c>
      <c r="F434" s="45" t="s">
        <v>187</v>
      </c>
      <c r="G434" s="46">
        <f t="shared" si="50"/>
        <v>570</v>
      </c>
      <c r="H434" s="46">
        <f>TRUNC(S434*(1-LOTE_01!$K$10),2)</f>
        <v>52.66</v>
      </c>
      <c r="I434" s="46">
        <f>TRUNC(T434*(1-LOTE_01!$K$10),2)</f>
        <v>34.76</v>
      </c>
      <c r="J434" s="100">
        <f t="shared" si="51"/>
        <v>0.22470000000000001</v>
      </c>
      <c r="K434" s="48">
        <f t="shared" si="45"/>
        <v>64.489999999999995</v>
      </c>
      <c r="L434" s="48">
        <f t="shared" si="46"/>
        <v>42.57</v>
      </c>
      <c r="M434" s="48">
        <f t="shared" si="47"/>
        <v>36759.300000000003</v>
      </c>
      <c r="N434" s="48">
        <f t="shared" si="48"/>
        <v>24264.9</v>
      </c>
      <c r="O434" s="50">
        <f t="shared" si="49"/>
        <v>61024.2</v>
      </c>
      <c r="P434" s="50">
        <v>0</v>
      </c>
      <c r="Q434" s="76"/>
      <c r="R434" s="140">
        <f>30*S9+30*S10</f>
        <v>570</v>
      </c>
      <c r="S434" s="79">
        <v>52.66</v>
      </c>
      <c r="T434" s="80">
        <v>34.76</v>
      </c>
    </row>
    <row r="435" spans="2:20">
      <c r="B435" s="5" t="s">
        <v>1047</v>
      </c>
      <c r="C435" s="45" t="s">
        <v>97</v>
      </c>
      <c r="D435" s="45" t="s">
        <v>1048</v>
      </c>
      <c r="E435" s="6" t="s">
        <v>1049</v>
      </c>
      <c r="F435" s="45" t="s">
        <v>104</v>
      </c>
      <c r="G435" s="46">
        <f t="shared" si="50"/>
        <v>95</v>
      </c>
      <c r="H435" s="46">
        <f>TRUNC(S435*(1-LOTE_01!$K$10),2)</f>
        <v>98.98</v>
      </c>
      <c r="I435" s="46">
        <f>TRUNC(T435*(1-LOTE_01!$K$10),2)</f>
        <v>10.97</v>
      </c>
      <c r="J435" s="100">
        <f t="shared" si="51"/>
        <v>0.22470000000000001</v>
      </c>
      <c r="K435" s="48">
        <f t="shared" si="45"/>
        <v>121.22</v>
      </c>
      <c r="L435" s="48">
        <f t="shared" si="46"/>
        <v>13.43</v>
      </c>
      <c r="M435" s="48">
        <f t="shared" si="47"/>
        <v>11515.9</v>
      </c>
      <c r="N435" s="48">
        <f t="shared" si="48"/>
        <v>1275.8499999999999</v>
      </c>
      <c r="O435" s="50">
        <f t="shared" si="49"/>
        <v>12791.75</v>
      </c>
      <c r="P435" s="50">
        <v>0</v>
      </c>
      <c r="Q435" s="76"/>
      <c r="R435" s="140">
        <f>5*S9+5*S10</f>
        <v>95</v>
      </c>
      <c r="S435" s="79">
        <v>98.98</v>
      </c>
      <c r="T435" s="80">
        <v>10.97</v>
      </c>
    </row>
    <row r="436" spans="2:20">
      <c r="B436" s="5" t="s">
        <v>1050</v>
      </c>
      <c r="C436" s="45" t="s">
        <v>97</v>
      </c>
      <c r="D436" s="45" t="s">
        <v>1051</v>
      </c>
      <c r="E436" s="6" t="s">
        <v>1052</v>
      </c>
      <c r="F436" s="45" t="s">
        <v>104</v>
      </c>
      <c r="G436" s="46">
        <f t="shared" si="50"/>
        <v>95</v>
      </c>
      <c r="H436" s="46">
        <f>TRUNC(S436*(1-LOTE_01!$K$10),2)</f>
        <v>18.079999999999998</v>
      </c>
      <c r="I436" s="46">
        <f>TRUNC(T436*(1-LOTE_01!$K$10),2)</f>
        <v>10.97</v>
      </c>
      <c r="J436" s="100">
        <f t="shared" si="51"/>
        <v>0.22470000000000001</v>
      </c>
      <c r="K436" s="48">
        <f t="shared" si="45"/>
        <v>22.14</v>
      </c>
      <c r="L436" s="48">
        <f t="shared" si="46"/>
        <v>13.43</v>
      </c>
      <c r="M436" s="48">
        <f t="shared" si="47"/>
        <v>2103.3000000000002</v>
      </c>
      <c r="N436" s="48">
        <f t="shared" si="48"/>
        <v>1275.8499999999999</v>
      </c>
      <c r="O436" s="50">
        <f t="shared" si="49"/>
        <v>3379.15</v>
      </c>
      <c r="P436" s="50">
        <v>0</v>
      </c>
      <c r="Q436" s="76"/>
      <c r="R436" s="140">
        <f>5*S9+5*S10</f>
        <v>95</v>
      </c>
      <c r="S436" s="79">
        <v>18.079999999999998</v>
      </c>
      <c r="T436" s="80">
        <v>10.97</v>
      </c>
    </row>
    <row r="437" spans="2:20">
      <c r="B437" s="5" t="s">
        <v>1053</v>
      </c>
      <c r="C437" s="45" t="s">
        <v>97</v>
      </c>
      <c r="D437" s="45" t="s">
        <v>1054</v>
      </c>
      <c r="E437" s="6" t="s">
        <v>1055</v>
      </c>
      <c r="F437" s="45" t="s">
        <v>104</v>
      </c>
      <c r="G437" s="46">
        <f t="shared" si="50"/>
        <v>95</v>
      </c>
      <c r="H437" s="46">
        <f>TRUNC(S437*(1-LOTE_01!$K$10),2)</f>
        <v>105.48</v>
      </c>
      <c r="I437" s="46">
        <f>TRUNC(T437*(1-LOTE_01!$K$10),2)</f>
        <v>10.97</v>
      </c>
      <c r="J437" s="100">
        <f t="shared" si="51"/>
        <v>0.22470000000000001</v>
      </c>
      <c r="K437" s="48">
        <f t="shared" si="45"/>
        <v>129.18</v>
      </c>
      <c r="L437" s="48">
        <f t="shared" si="46"/>
        <v>13.43</v>
      </c>
      <c r="M437" s="48">
        <f t="shared" si="47"/>
        <v>12272.1</v>
      </c>
      <c r="N437" s="48">
        <f t="shared" si="48"/>
        <v>1275.8499999999999</v>
      </c>
      <c r="O437" s="50">
        <f t="shared" si="49"/>
        <v>13547.95</v>
      </c>
      <c r="P437" s="50">
        <v>0</v>
      </c>
      <c r="Q437" s="76"/>
      <c r="R437" s="140">
        <f>5*S9+5*S10</f>
        <v>95</v>
      </c>
      <c r="S437" s="79">
        <v>105.48</v>
      </c>
      <c r="T437" s="80">
        <v>10.97</v>
      </c>
    </row>
    <row r="438" spans="2:20">
      <c r="B438" s="5" t="s">
        <v>1056</v>
      </c>
      <c r="C438" s="45" t="s">
        <v>97</v>
      </c>
      <c r="D438" s="45" t="s">
        <v>1057</v>
      </c>
      <c r="E438" s="6" t="s">
        <v>1058</v>
      </c>
      <c r="F438" s="45" t="s">
        <v>1059</v>
      </c>
      <c r="G438" s="46">
        <f t="shared" si="50"/>
        <v>44</v>
      </c>
      <c r="H438" s="46">
        <f>TRUNC(S438*(1-LOTE_01!$K$10),2)</f>
        <v>28.68</v>
      </c>
      <c r="I438" s="46">
        <f>TRUNC(T438*(1-LOTE_01!$K$10),2)</f>
        <v>9.18</v>
      </c>
      <c r="J438" s="100">
        <f t="shared" si="51"/>
        <v>0.22470000000000001</v>
      </c>
      <c r="K438" s="48">
        <f t="shared" si="45"/>
        <v>35.119999999999997</v>
      </c>
      <c r="L438" s="48">
        <f t="shared" si="46"/>
        <v>11.24</v>
      </c>
      <c r="M438" s="48">
        <f t="shared" si="47"/>
        <v>1545.28</v>
      </c>
      <c r="N438" s="48">
        <f t="shared" si="48"/>
        <v>494.56</v>
      </c>
      <c r="O438" s="50">
        <f t="shared" si="49"/>
        <v>2039.84</v>
      </c>
      <c r="P438" s="50">
        <v>0</v>
      </c>
      <c r="Q438" s="76"/>
      <c r="R438" s="140">
        <f>2*S9+5*S10</f>
        <v>44</v>
      </c>
      <c r="S438" s="79">
        <v>28.68</v>
      </c>
      <c r="T438" s="80">
        <v>9.18</v>
      </c>
    </row>
    <row r="439" spans="2:20" ht="28">
      <c r="B439" s="5" t="s">
        <v>1060</v>
      </c>
      <c r="C439" s="45" t="s">
        <v>97</v>
      </c>
      <c r="D439" s="45" t="s">
        <v>1061</v>
      </c>
      <c r="E439" s="6" t="s">
        <v>1062</v>
      </c>
      <c r="F439" s="45" t="s">
        <v>104</v>
      </c>
      <c r="G439" s="46">
        <f t="shared" si="50"/>
        <v>380</v>
      </c>
      <c r="H439" s="46">
        <f>TRUNC(S439*(1-LOTE_01!$K$10),2)</f>
        <v>48.7</v>
      </c>
      <c r="I439" s="46">
        <f>TRUNC(T439*(1-LOTE_01!$K$10),2)</f>
        <v>35.520000000000003</v>
      </c>
      <c r="J439" s="100">
        <f t="shared" si="51"/>
        <v>0.22470000000000001</v>
      </c>
      <c r="K439" s="48">
        <f t="shared" si="45"/>
        <v>59.64</v>
      </c>
      <c r="L439" s="48">
        <f t="shared" si="46"/>
        <v>43.5</v>
      </c>
      <c r="M439" s="48">
        <f t="shared" si="47"/>
        <v>22663.200000000001</v>
      </c>
      <c r="N439" s="48">
        <f t="shared" si="48"/>
        <v>16530</v>
      </c>
      <c r="O439" s="50">
        <f t="shared" si="49"/>
        <v>39193.199999999997</v>
      </c>
      <c r="P439" s="50">
        <v>0</v>
      </c>
      <c r="Q439" s="76"/>
      <c r="R439" s="140">
        <f>20*S9+20*S10</f>
        <v>380</v>
      </c>
      <c r="S439" s="79">
        <v>48.7</v>
      </c>
      <c r="T439" s="80">
        <v>35.520000000000003</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104">
        <v>0</v>
      </c>
      <c r="Q440" s="76"/>
      <c r="R440" s="154"/>
      <c r="S440" s="79" t="s">
        <v>22</v>
      </c>
      <c r="T440" s="80" t="s">
        <v>22</v>
      </c>
    </row>
    <row r="441" spans="2:20" ht="84">
      <c r="B441" s="5" t="s">
        <v>1065</v>
      </c>
      <c r="C441" s="45" t="s">
        <v>135</v>
      </c>
      <c r="D441" s="45">
        <v>101878</v>
      </c>
      <c r="E441" s="6" t="s">
        <v>1066</v>
      </c>
      <c r="F441" s="45" t="s">
        <v>210</v>
      </c>
      <c r="G441" s="46">
        <f t="shared" si="50"/>
        <v>10</v>
      </c>
      <c r="H441" s="46">
        <f>TRUNC(S441*(1-LOTE_01!$K$10),2)</f>
        <v>548.16</v>
      </c>
      <c r="I441" s="46">
        <f>TRUNC(T441*(1-LOTE_01!$K$10),2)</f>
        <v>14.05</v>
      </c>
      <c r="J441" s="100">
        <f t="shared" si="51"/>
        <v>0.22470000000000001</v>
      </c>
      <c r="K441" s="48">
        <f t="shared" si="45"/>
        <v>671.33</v>
      </c>
      <c r="L441" s="48">
        <f t="shared" si="46"/>
        <v>17.2</v>
      </c>
      <c r="M441" s="48">
        <f t="shared" si="47"/>
        <v>6713.3</v>
      </c>
      <c r="N441" s="48">
        <f t="shared" si="48"/>
        <v>172</v>
      </c>
      <c r="O441" s="50">
        <f t="shared" si="49"/>
        <v>6885.3</v>
      </c>
      <c r="P441" s="50">
        <v>0</v>
      </c>
      <c r="Q441" s="76"/>
      <c r="R441" s="140">
        <f>IF((1*S9+1*S10)&gt;10,10,(1*S9+1*S10))</f>
        <v>10</v>
      </c>
      <c r="S441" s="79">
        <v>548.16000000000008</v>
      </c>
      <c r="T441" s="80">
        <v>14.05</v>
      </c>
    </row>
    <row r="442" spans="2:20" ht="84">
      <c r="B442" s="5" t="s">
        <v>1067</v>
      </c>
      <c r="C442" s="45" t="s">
        <v>135</v>
      </c>
      <c r="D442" s="45">
        <v>101879</v>
      </c>
      <c r="E442" s="6" t="s">
        <v>1068</v>
      </c>
      <c r="F442" s="45" t="s">
        <v>210</v>
      </c>
      <c r="G442" s="46">
        <f t="shared" si="50"/>
        <v>10</v>
      </c>
      <c r="H442" s="46">
        <f>TRUNC(S442*(1-LOTE_01!$K$10),2)</f>
        <v>655.49</v>
      </c>
      <c r="I442" s="46">
        <f>TRUNC(T442*(1-LOTE_01!$K$10),2)</f>
        <v>76.89</v>
      </c>
      <c r="J442" s="100">
        <f t="shared" si="51"/>
        <v>0.22470000000000001</v>
      </c>
      <c r="K442" s="48">
        <f t="shared" si="45"/>
        <v>802.77</v>
      </c>
      <c r="L442" s="48">
        <f t="shared" si="46"/>
        <v>94.16</v>
      </c>
      <c r="M442" s="48">
        <f t="shared" si="47"/>
        <v>8027.7</v>
      </c>
      <c r="N442" s="48">
        <f t="shared" si="48"/>
        <v>941.6</v>
      </c>
      <c r="O442" s="50">
        <f t="shared" si="49"/>
        <v>8969.2999999999993</v>
      </c>
      <c r="P442" s="50">
        <v>0</v>
      </c>
      <c r="Q442" s="76"/>
      <c r="R442" s="140">
        <f>IF((1*S9+1*S10)&gt;10,10,(1*S9+1*S10))</f>
        <v>10</v>
      </c>
      <c r="S442" s="79">
        <v>655.49</v>
      </c>
      <c r="T442" s="80">
        <v>76.89</v>
      </c>
    </row>
    <row r="443" spans="2:20" ht="84">
      <c r="B443" s="5" t="s">
        <v>1069</v>
      </c>
      <c r="C443" s="45" t="s">
        <v>135</v>
      </c>
      <c r="D443" s="45">
        <v>101880</v>
      </c>
      <c r="E443" s="6" t="s">
        <v>1070</v>
      </c>
      <c r="F443" s="45" t="s">
        <v>210</v>
      </c>
      <c r="G443" s="46">
        <f t="shared" si="50"/>
        <v>10</v>
      </c>
      <c r="H443" s="46">
        <f>TRUNC(S443*(1-LOTE_01!$K$10),2)</f>
        <v>756.1</v>
      </c>
      <c r="I443" s="46">
        <f>TRUNC(T443*(1-LOTE_01!$K$10),2)</f>
        <v>94.88</v>
      </c>
      <c r="J443" s="100">
        <f t="shared" si="51"/>
        <v>0.22470000000000001</v>
      </c>
      <c r="K443" s="48">
        <f t="shared" si="45"/>
        <v>925.99</v>
      </c>
      <c r="L443" s="48">
        <f t="shared" si="46"/>
        <v>116.19</v>
      </c>
      <c r="M443" s="48">
        <f t="shared" si="47"/>
        <v>9259.9</v>
      </c>
      <c r="N443" s="48">
        <f t="shared" si="48"/>
        <v>1161.9000000000001</v>
      </c>
      <c r="O443" s="50">
        <f t="shared" si="49"/>
        <v>10421.799999999999</v>
      </c>
      <c r="P443" s="50">
        <v>0</v>
      </c>
      <c r="Q443" s="76"/>
      <c r="R443" s="140">
        <f>IF((1*S9+1*S10)&gt;10,10,(1*S9+1*S10))</f>
        <v>10</v>
      </c>
      <c r="S443" s="79">
        <v>756.1</v>
      </c>
      <c r="T443" s="80">
        <v>94.88</v>
      </c>
    </row>
    <row r="444" spans="2:20" ht="84">
      <c r="B444" s="5" t="s">
        <v>1071</v>
      </c>
      <c r="C444" s="45" t="s">
        <v>135</v>
      </c>
      <c r="D444" s="45">
        <v>101882</v>
      </c>
      <c r="E444" s="6" t="s">
        <v>1072</v>
      </c>
      <c r="F444" s="45" t="s">
        <v>210</v>
      </c>
      <c r="G444" s="46">
        <f t="shared" si="50"/>
        <v>10</v>
      </c>
      <c r="H444" s="46">
        <f>TRUNC(S444*(1-LOTE_01!$K$10),2)</f>
        <v>1541.96</v>
      </c>
      <c r="I444" s="46">
        <f>TRUNC(T444*(1-LOTE_01!$K$10),2)</f>
        <v>94.59</v>
      </c>
      <c r="J444" s="100">
        <f t="shared" si="51"/>
        <v>0.22470000000000001</v>
      </c>
      <c r="K444" s="48">
        <f t="shared" si="45"/>
        <v>1888.43</v>
      </c>
      <c r="L444" s="48">
        <f t="shared" si="46"/>
        <v>115.84</v>
      </c>
      <c r="M444" s="48">
        <f t="shared" si="47"/>
        <v>18884.3</v>
      </c>
      <c r="N444" s="48">
        <f t="shared" si="48"/>
        <v>1158.4000000000001</v>
      </c>
      <c r="O444" s="50">
        <f t="shared" si="49"/>
        <v>20042.7</v>
      </c>
      <c r="P444" s="50">
        <v>0</v>
      </c>
      <c r="Q444" s="76"/>
      <c r="R444" s="140">
        <f>IF((1*S9+1*S10)&gt;10,10,(1*S9+1*S10))</f>
        <v>10</v>
      </c>
      <c r="S444" s="79">
        <v>1541.96</v>
      </c>
      <c r="T444" s="80">
        <v>94.59</v>
      </c>
    </row>
    <row r="445" spans="2:20" ht="84">
      <c r="B445" s="5" t="s">
        <v>1073</v>
      </c>
      <c r="C445" s="45" t="s">
        <v>135</v>
      </c>
      <c r="D445" s="45">
        <v>101881</v>
      </c>
      <c r="E445" s="6" t="s">
        <v>1074</v>
      </c>
      <c r="F445" s="45" t="s">
        <v>210</v>
      </c>
      <c r="G445" s="46">
        <f t="shared" si="50"/>
        <v>10</v>
      </c>
      <c r="H445" s="46">
        <f>TRUNC(S445*(1-LOTE_01!$K$10),2)</f>
        <v>1086.6500000000001</v>
      </c>
      <c r="I445" s="46">
        <f>TRUNC(T445*(1-LOTE_01!$K$10),2)</f>
        <v>95.38</v>
      </c>
      <c r="J445" s="100">
        <f t="shared" si="51"/>
        <v>0.22470000000000001</v>
      </c>
      <c r="K445" s="48">
        <f t="shared" si="45"/>
        <v>1330.82</v>
      </c>
      <c r="L445" s="48">
        <f t="shared" si="46"/>
        <v>116.81</v>
      </c>
      <c r="M445" s="48">
        <f t="shared" si="47"/>
        <v>13308.2</v>
      </c>
      <c r="N445" s="48">
        <f t="shared" si="48"/>
        <v>1168.0999999999999</v>
      </c>
      <c r="O445" s="50">
        <f t="shared" si="49"/>
        <v>14476.3</v>
      </c>
      <c r="P445" s="50">
        <v>0</v>
      </c>
      <c r="Q445" s="76"/>
      <c r="R445" s="140">
        <f>IF((1*S9+1*S10)&gt;10,10,(1*S9+1*S10))</f>
        <v>10</v>
      </c>
      <c r="S445" s="79">
        <v>1086.6500000000001</v>
      </c>
      <c r="T445" s="80">
        <v>95.38</v>
      </c>
    </row>
    <row r="446" spans="2:20" ht="56">
      <c r="B446" s="5" t="s">
        <v>1075</v>
      </c>
      <c r="C446" s="45" t="s">
        <v>135</v>
      </c>
      <c r="D446" s="45">
        <v>93653</v>
      </c>
      <c r="E446" s="6" t="s">
        <v>1076</v>
      </c>
      <c r="F446" s="45" t="s">
        <v>210</v>
      </c>
      <c r="G446" s="46">
        <f t="shared" si="50"/>
        <v>230</v>
      </c>
      <c r="H446" s="46">
        <f>TRUNC(S446*(1-LOTE_01!$K$10),2)</f>
        <v>10.25</v>
      </c>
      <c r="I446" s="46">
        <f>TRUNC(T446*(1-LOTE_01!$K$10),2)</f>
        <v>1.62</v>
      </c>
      <c r="J446" s="100">
        <f t="shared" si="51"/>
        <v>0.22470000000000001</v>
      </c>
      <c r="K446" s="48">
        <f t="shared" si="45"/>
        <v>12.55</v>
      </c>
      <c r="L446" s="48">
        <f t="shared" si="46"/>
        <v>1.98</v>
      </c>
      <c r="M446" s="48">
        <f t="shared" si="47"/>
        <v>2886.5</v>
      </c>
      <c r="N446" s="48">
        <f t="shared" si="48"/>
        <v>455.4</v>
      </c>
      <c r="O446" s="50">
        <f t="shared" si="49"/>
        <v>3341.9</v>
      </c>
      <c r="P446" s="50">
        <v>0</v>
      </c>
      <c r="Q446" s="76"/>
      <c r="R446" s="140">
        <f>10*S9+30*S10</f>
        <v>230</v>
      </c>
      <c r="S446" s="79">
        <v>10.25</v>
      </c>
      <c r="T446" s="80">
        <v>1.62</v>
      </c>
    </row>
    <row r="447" spans="2:20" ht="56">
      <c r="B447" s="5" t="s">
        <v>1077</v>
      </c>
      <c r="C447" s="45" t="s">
        <v>135</v>
      </c>
      <c r="D447" s="45">
        <v>93654</v>
      </c>
      <c r="E447" s="6" t="s">
        <v>1078</v>
      </c>
      <c r="F447" s="45" t="s">
        <v>210</v>
      </c>
      <c r="G447" s="46">
        <f t="shared" si="50"/>
        <v>230</v>
      </c>
      <c r="H447" s="46">
        <f>TRUNC(S447*(1-LOTE_01!$K$10),2)</f>
        <v>10.25</v>
      </c>
      <c r="I447" s="46">
        <f>TRUNC(T447*(1-LOTE_01!$K$10),2)</f>
        <v>1.62</v>
      </c>
      <c r="J447" s="100">
        <f t="shared" si="51"/>
        <v>0.22470000000000001</v>
      </c>
      <c r="K447" s="48">
        <f t="shared" si="45"/>
        <v>12.55</v>
      </c>
      <c r="L447" s="48">
        <f t="shared" si="46"/>
        <v>1.98</v>
      </c>
      <c r="M447" s="48">
        <f t="shared" si="47"/>
        <v>2886.5</v>
      </c>
      <c r="N447" s="48">
        <f t="shared" si="48"/>
        <v>455.4</v>
      </c>
      <c r="O447" s="50">
        <f t="shared" si="49"/>
        <v>3341.9</v>
      </c>
      <c r="P447" s="50">
        <v>0</v>
      </c>
      <c r="Q447" s="76"/>
      <c r="R447" s="140">
        <f>10*S9+30*S10</f>
        <v>230</v>
      </c>
      <c r="S447" s="79">
        <v>10.25</v>
      </c>
      <c r="T447" s="80">
        <v>1.62</v>
      </c>
    </row>
    <row r="448" spans="2:20" ht="56">
      <c r="B448" s="5" t="s">
        <v>1079</v>
      </c>
      <c r="C448" s="45" t="s">
        <v>135</v>
      </c>
      <c r="D448" s="45">
        <v>93655</v>
      </c>
      <c r="E448" s="6" t="s">
        <v>1080</v>
      </c>
      <c r="F448" s="45" t="s">
        <v>210</v>
      </c>
      <c r="G448" s="46">
        <f t="shared" si="50"/>
        <v>95</v>
      </c>
      <c r="H448" s="46">
        <f>TRUNC(S448*(1-LOTE_01!$K$10),2)</f>
        <v>10.78</v>
      </c>
      <c r="I448" s="46">
        <f>TRUNC(T448*(1-LOTE_01!$K$10),2)</f>
        <v>2.16</v>
      </c>
      <c r="J448" s="100">
        <f t="shared" si="51"/>
        <v>0.22470000000000001</v>
      </c>
      <c r="K448" s="48">
        <f t="shared" si="45"/>
        <v>13.2</v>
      </c>
      <c r="L448" s="48">
        <f t="shared" si="46"/>
        <v>2.64</v>
      </c>
      <c r="M448" s="48">
        <f t="shared" si="47"/>
        <v>1254</v>
      </c>
      <c r="N448" s="48">
        <f t="shared" si="48"/>
        <v>250.8</v>
      </c>
      <c r="O448" s="50">
        <f t="shared" si="49"/>
        <v>1504.8</v>
      </c>
      <c r="P448" s="50">
        <v>0</v>
      </c>
      <c r="Q448" s="76"/>
      <c r="R448" s="140">
        <f>5*S9+5*S10</f>
        <v>95</v>
      </c>
      <c r="S448" s="79">
        <v>10.78</v>
      </c>
      <c r="T448" s="80">
        <v>2.16</v>
      </c>
    </row>
    <row r="449" spans="2:20" ht="56">
      <c r="B449" s="5" t="s">
        <v>1081</v>
      </c>
      <c r="C449" s="45" t="s">
        <v>135</v>
      </c>
      <c r="D449" s="45">
        <v>93661</v>
      </c>
      <c r="E449" s="6" t="s">
        <v>912</v>
      </c>
      <c r="F449" s="45" t="s">
        <v>210</v>
      </c>
      <c r="G449" s="46">
        <f t="shared" si="50"/>
        <v>19</v>
      </c>
      <c r="H449" s="46">
        <f>TRUNC(S449*(1-LOTE_01!$K$10),2)</f>
        <v>52.06</v>
      </c>
      <c r="I449" s="46">
        <f>TRUNC(T449*(1-LOTE_01!$K$10),2)</f>
        <v>3.23</v>
      </c>
      <c r="J449" s="100">
        <f t="shared" si="51"/>
        <v>0.22470000000000001</v>
      </c>
      <c r="K449" s="48">
        <f t="shared" si="45"/>
        <v>63.75</v>
      </c>
      <c r="L449" s="48">
        <f t="shared" si="46"/>
        <v>3.95</v>
      </c>
      <c r="M449" s="48">
        <f t="shared" si="47"/>
        <v>1211.25</v>
      </c>
      <c r="N449" s="48">
        <f t="shared" si="48"/>
        <v>75.05</v>
      </c>
      <c r="O449" s="50">
        <f t="shared" si="49"/>
        <v>1286.3</v>
      </c>
      <c r="P449" s="50">
        <v>0</v>
      </c>
      <c r="Q449" s="76"/>
      <c r="R449" s="140">
        <f>1*S9+1*S10</f>
        <v>19</v>
      </c>
      <c r="S449" s="79">
        <v>52.06</v>
      </c>
      <c r="T449" s="80">
        <v>3.23</v>
      </c>
    </row>
    <row r="450" spans="2:20" ht="56">
      <c r="B450" s="5" t="s">
        <v>1082</v>
      </c>
      <c r="C450" s="45" t="s">
        <v>135</v>
      </c>
      <c r="D450" s="45">
        <v>93666</v>
      </c>
      <c r="E450" s="6" t="s">
        <v>1083</v>
      </c>
      <c r="F450" s="45" t="s">
        <v>210</v>
      </c>
      <c r="G450" s="46">
        <f t="shared" si="50"/>
        <v>19</v>
      </c>
      <c r="H450" s="46">
        <f>TRUNC(S450*(1-LOTE_01!$K$10),2)</f>
        <v>58.12</v>
      </c>
      <c r="I450" s="46">
        <f>TRUNC(T450*(1-LOTE_01!$K$10),2)</f>
        <v>16.329999999999998</v>
      </c>
      <c r="J450" s="100">
        <f t="shared" si="51"/>
        <v>0.22470000000000001</v>
      </c>
      <c r="K450" s="48">
        <f t="shared" si="45"/>
        <v>71.17</v>
      </c>
      <c r="L450" s="48">
        <f t="shared" si="46"/>
        <v>19.989999999999998</v>
      </c>
      <c r="M450" s="48">
        <f t="shared" si="47"/>
        <v>1352.23</v>
      </c>
      <c r="N450" s="48">
        <f t="shared" si="48"/>
        <v>379.81</v>
      </c>
      <c r="O450" s="50">
        <f t="shared" si="49"/>
        <v>1732.04</v>
      </c>
      <c r="P450" s="50">
        <v>0</v>
      </c>
      <c r="Q450" s="76"/>
      <c r="R450" s="140">
        <f>1*S9+1*S10</f>
        <v>19</v>
      </c>
      <c r="S450" s="79">
        <v>58.120000000000005</v>
      </c>
      <c r="T450" s="80">
        <v>16.329999999999998</v>
      </c>
    </row>
    <row r="451" spans="2:20" ht="56">
      <c r="B451" s="5" t="s">
        <v>1084</v>
      </c>
      <c r="C451" s="45" t="s">
        <v>135</v>
      </c>
      <c r="D451" s="45">
        <v>93672</v>
      </c>
      <c r="E451" s="6" t="s">
        <v>1085</v>
      </c>
      <c r="F451" s="45" t="s">
        <v>210</v>
      </c>
      <c r="G451" s="46">
        <f t="shared" si="50"/>
        <v>19</v>
      </c>
      <c r="H451" s="46">
        <f>TRUNC(S451*(1-LOTE_01!$K$10),2)</f>
        <v>71.5</v>
      </c>
      <c r="I451" s="46">
        <f>TRUNC(T451*(1-LOTE_01!$K$10),2)</f>
        <v>17.64</v>
      </c>
      <c r="J451" s="100">
        <f t="shared" si="51"/>
        <v>0.22470000000000001</v>
      </c>
      <c r="K451" s="48">
        <f t="shared" si="45"/>
        <v>87.56</v>
      </c>
      <c r="L451" s="48">
        <f t="shared" si="46"/>
        <v>21.6</v>
      </c>
      <c r="M451" s="48">
        <f t="shared" si="47"/>
        <v>1663.64</v>
      </c>
      <c r="N451" s="48">
        <f t="shared" si="48"/>
        <v>410.4</v>
      </c>
      <c r="O451" s="50">
        <f t="shared" si="49"/>
        <v>2074.04</v>
      </c>
      <c r="P451" s="50">
        <v>0</v>
      </c>
      <c r="Q451" s="76"/>
      <c r="R451" s="140">
        <f>1*S9+1*S10</f>
        <v>19</v>
      </c>
      <c r="S451" s="79">
        <v>71.5</v>
      </c>
      <c r="T451" s="80">
        <v>17.64</v>
      </c>
    </row>
    <row r="452" spans="2:20" ht="56">
      <c r="B452" s="5" t="s">
        <v>1086</v>
      </c>
      <c r="C452" s="45" t="s">
        <v>135</v>
      </c>
      <c r="D452" s="45">
        <v>101894</v>
      </c>
      <c r="E452" s="6" t="s">
        <v>1087</v>
      </c>
      <c r="F452" s="45" t="s">
        <v>210</v>
      </c>
      <c r="G452" s="46">
        <f t="shared" si="50"/>
        <v>19</v>
      </c>
      <c r="H452" s="46">
        <f>TRUNC(S452*(1-LOTE_01!$K$10),2)</f>
        <v>125.08</v>
      </c>
      <c r="I452" s="46">
        <f>TRUNC(T452*(1-LOTE_01!$K$10),2)</f>
        <v>33.630000000000003</v>
      </c>
      <c r="J452" s="100">
        <f t="shared" si="51"/>
        <v>0.22470000000000001</v>
      </c>
      <c r="K452" s="48">
        <f t="shared" si="45"/>
        <v>153.18</v>
      </c>
      <c r="L452" s="48">
        <f t="shared" si="46"/>
        <v>41.18</v>
      </c>
      <c r="M452" s="48">
        <f t="shared" si="47"/>
        <v>2910.42</v>
      </c>
      <c r="N452" s="48">
        <f t="shared" si="48"/>
        <v>782.42</v>
      </c>
      <c r="O452" s="50">
        <f t="shared" si="49"/>
        <v>3692.84</v>
      </c>
      <c r="P452" s="50">
        <v>0</v>
      </c>
      <c r="Q452" s="76"/>
      <c r="R452" s="140">
        <f>1*S9+1*S10</f>
        <v>19</v>
      </c>
      <c r="S452" s="79">
        <v>125.08000000000001</v>
      </c>
      <c r="T452" s="80">
        <v>33.630000000000003</v>
      </c>
    </row>
    <row r="453" spans="2:20" ht="56">
      <c r="B453" s="5" t="s">
        <v>1088</v>
      </c>
      <c r="C453" s="45" t="s">
        <v>135</v>
      </c>
      <c r="D453" s="45">
        <v>91932</v>
      </c>
      <c r="E453" s="6" t="s">
        <v>1089</v>
      </c>
      <c r="F453" s="45" t="s">
        <v>187</v>
      </c>
      <c r="G453" s="46">
        <f t="shared" si="50"/>
        <v>400</v>
      </c>
      <c r="H453" s="46">
        <f>TRUNC(S453*(1-LOTE_01!$K$10),2)</f>
        <v>17.22</v>
      </c>
      <c r="I453" s="46">
        <f>TRUNC(T453*(1-LOTE_01!$K$10),2)</f>
        <v>3.74</v>
      </c>
      <c r="J453" s="100">
        <f t="shared" si="51"/>
        <v>0.22470000000000001</v>
      </c>
      <c r="K453" s="48">
        <f t="shared" si="45"/>
        <v>21.08</v>
      </c>
      <c r="L453" s="48">
        <f t="shared" si="46"/>
        <v>4.58</v>
      </c>
      <c r="M453" s="48">
        <f t="shared" si="47"/>
        <v>8432</v>
      </c>
      <c r="N453" s="48">
        <f t="shared" si="48"/>
        <v>1832</v>
      </c>
      <c r="O453" s="50">
        <f t="shared" si="49"/>
        <v>10264</v>
      </c>
      <c r="P453" s="50">
        <v>0</v>
      </c>
      <c r="Q453" s="76"/>
      <c r="R453" s="140">
        <f>20*S9+30*S10</f>
        <v>400</v>
      </c>
      <c r="S453" s="79">
        <v>17.22</v>
      </c>
      <c r="T453" s="80">
        <v>3.74</v>
      </c>
    </row>
    <row r="454" spans="2:20" ht="56">
      <c r="B454" s="5" t="s">
        <v>1090</v>
      </c>
      <c r="C454" s="45" t="s">
        <v>135</v>
      </c>
      <c r="D454" s="45">
        <v>91928</v>
      </c>
      <c r="E454" s="6" t="s">
        <v>844</v>
      </c>
      <c r="F454" s="45" t="s">
        <v>187</v>
      </c>
      <c r="G454" s="46">
        <f t="shared" si="50"/>
        <v>400</v>
      </c>
      <c r="H454" s="46">
        <f>TRUNC(S454*(1-LOTE_01!$K$10),2)</f>
        <v>6.46</v>
      </c>
      <c r="I454" s="46">
        <f>TRUNC(T454*(1-LOTE_01!$K$10),2)</f>
        <v>1.9</v>
      </c>
      <c r="J454" s="100">
        <f t="shared" si="51"/>
        <v>0.22470000000000001</v>
      </c>
      <c r="K454" s="48">
        <f t="shared" si="45"/>
        <v>7.91</v>
      </c>
      <c r="L454" s="48">
        <f t="shared" si="46"/>
        <v>2.3199999999999998</v>
      </c>
      <c r="M454" s="48">
        <f t="shared" si="47"/>
        <v>3164</v>
      </c>
      <c r="N454" s="48">
        <f t="shared" si="48"/>
        <v>928</v>
      </c>
      <c r="O454" s="50">
        <f t="shared" si="49"/>
        <v>4092</v>
      </c>
      <c r="P454" s="50">
        <v>0</v>
      </c>
      <c r="Q454" s="76"/>
      <c r="R454" s="140">
        <f>20*S9+30*S10</f>
        <v>400</v>
      </c>
      <c r="S454" s="79">
        <v>6.4599999999999991</v>
      </c>
      <c r="T454" s="80">
        <v>1.9</v>
      </c>
    </row>
    <row r="455" spans="2:20" ht="56">
      <c r="B455" s="5" t="s">
        <v>1091</v>
      </c>
      <c r="C455" s="45" t="s">
        <v>135</v>
      </c>
      <c r="D455" s="45">
        <v>91926</v>
      </c>
      <c r="E455" s="6" t="s">
        <v>840</v>
      </c>
      <c r="F455" s="45" t="s">
        <v>187</v>
      </c>
      <c r="G455" s="46">
        <f t="shared" si="50"/>
        <v>5400</v>
      </c>
      <c r="H455" s="46">
        <f>TRUNC(S455*(1-LOTE_01!$K$10),2)</f>
        <v>3.99</v>
      </c>
      <c r="I455" s="46">
        <f>TRUNC(T455*(1-LOTE_01!$K$10),2)</f>
        <v>1.41</v>
      </c>
      <c r="J455" s="100">
        <f t="shared" si="51"/>
        <v>0.22470000000000001</v>
      </c>
      <c r="K455" s="48">
        <f t="shared" si="45"/>
        <v>4.88</v>
      </c>
      <c r="L455" s="48">
        <f t="shared" si="46"/>
        <v>1.72</v>
      </c>
      <c r="M455" s="48">
        <f t="shared" si="47"/>
        <v>26352</v>
      </c>
      <c r="N455" s="48">
        <f t="shared" si="48"/>
        <v>9288</v>
      </c>
      <c r="O455" s="50">
        <f t="shared" si="49"/>
        <v>35640</v>
      </c>
      <c r="P455" s="50">
        <v>0</v>
      </c>
      <c r="Q455" s="76"/>
      <c r="R455" s="140">
        <f>1000*S10+200*S9</f>
        <v>5400</v>
      </c>
      <c r="S455" s="79">
        <v>3.99</v>
      </c>
      <c r="T455" s="80">
        <v>1.41</v>
      </c>
    </row>
    <row r="456" spans="2:20" ht="56">
      <c r="B456" s="5" t="s">
        <v>1092</v>
      </c>
      <c r="C456" s="45" t="s">
        <v>135</v>
      </c>
      <c r="D456" s="45">
        <v>91927</v>
      </c>
      <c r="E456" s="6" t="s">
        <v>1093</v>
      </c>
      <c r="F456" s="45" t="s">
        <v>187</v>
      </c>
      <c r="G456" s="46">
        <f t="shared" si="50"/>
        <v>5400</v>
      </c>
      <c r="H456" s="46">
        <f>TRUNC(S456*(1-LOTE_01!$K$10),2)</f>
        <v>4.6500000000000004</v>
      </c>
      <c r="I456" s="46">
        <f>TRUNC(T456*(1-LOTE_01!$K$10),2)</f>
        <v>1.42</v>
      </c>
      <c r="J456" s="100">
        <f t="shared" si="51"/>
        <v>0.22470000000000001</v>
      </c>
      <c r="K456" s="48">
        <f t="shared" si="45"/>
        <v>5.69</v>
      </c>
      <c r="L456" s="48">
        <f t="shared" si="46"/>
        <v>1.73</v>
      </c>
      <c r="M456" s="48">
        <f t="shared" si="47"/>
        <v>30726</v>
      </c>
      <c r="N456" s="48">
        <f t="shared" si="48"/>
        <v>9342</v>
      </c>
      <c r="O456" s="50">
        <f t="shared" si="49"/>
        <v>40068</v>
      </c>
      <c r="P456" s="50">
        <v>0</v>
      </c>
      <c r="Q456" s="76"/>
      <c r="R456" s="140">
        <f>1000*S10+200*S9</f>
        <v>5400</v>
      </c>
      <c r="S456" s="79">
        <v>4.6500000000000004</v>
      </c>
      <c r="T456" s="80">
        <v>1.42</v>
      </c>
    </row>
    <row r="457" spans="2:20" ht="28">
      <c r="B457" s="5" t="s">
        <v>1094</v>
      </c>
      <c r="C457" s="45" t="s">
        <v>97</v>
      </c>
      <c r="D457" s="45" t="s">
        <v>1095</v>
      </c>
      <c r="E457" s="6" t="s">
        <v>1096</v>
      </c>
      <c r="F457" s="45" t="s">
        <v>104</v>
      </c>
      <c r="G457" s="46">
        <f t="shared" si="50"/>
        <v>10</v>
      </c>
      <c r="H457" s="46">
        <f>TRUNC(S457*(1-LOTE_01!$K$10),2)</f>
        <v>17.89</v>
      </c>
      <c r="I457" s="46">
        <f>TRUNC(T457*(1-LOTE_01!$K$10),2)</f>
        <v>55.08</v>
      </c>
      <c r="J457" s="100">
        <f t="shared" si="51"/>
        <v>0.22470000000000001</v>
      </c>
      <c r="K457" s="48">
        <f t="shared" si="45"/>
        <v>21.9</v>
      </c>
      <c r="L457" s="48">
        <f t="shared" si="46"/>
        <v>67.45</v>
      </c>
      <c r="M457" s="48">
        <f t="shared" si="47"/>
        <v>219</v>
      </c>
      <c r="N457" s="48">
        <f t="shared" si="48"/>
        <v>674.5</v>
      </c>
      <c r="O457" s="50">
        <f t="shared" si="49"/>
        <v>893.5</v>
      </c>
      <c r="P457" s="50">
        <v>0</v>
      </c>
      <c r="Q457" s="76"/>
      <c r="R457" s="140">
        <f>IF((1*S9+1*S10)&gt;10,10,(1*S9+1*S10))</f>
        <v>10</v>
      </c>
      <c r="S457" s="79">
        <v>17.89</v>
      </c>
      <c r="T457" s="80">
        <v>55.08</v>
      </c>
    </row>
    <row r="458" spans="2:20" ht="42">
      <c r="B458" s="5" t="s">
        <v>1097</v>
      </c>
      <c r="C458" s="45" t="s">
        <v>165</v>
      </c>
      <c r="D458" s="45" t="s">
        <v>1098</v>
      </c>
      <c r="E458" s="6" t="s">
        <v>1099</v>
      </c>
      <c r="F458" s="45" t="s">
        <v>559</v>
      </c>
      <c r="G458" s="46">
        <f t="shared" si="50"/>
        <v>10</v>
      </c>
      <c r="H458" s="46">
        <f>TRUNC(S458*(1-LOTE_01!$K$10),2)</f>
        <v>266.07</v>
      </c>
      <c r="I458" s="46">
        <f>TRUNC(T458*(1-LOTE_01!$K$10),2)</f>
        <v>123.57</v>
      </c>
      <c r="J458" s="100">
        <f t="shared" si="51"/>
        <v>0.22470000000000001</v>
      </c>
      <c r="K458" s="48">
        <f t="shared" si="45"/>
        <v>325.85000000000002</v>
      </c>
      <c r="L458" s="48">
        <f t="shared" si="46"/>
        <v>151.33000000000001</v>
      </c>
      <c r="M458" s="48">
        <f t="shared" si="47"/>
        <v>3258.5</v>
      </c>
      <c r="N458" s="48">
        <f t="shared" si="48"/>
        <v>1513.3</v>
      </c>
      <c r="O458" s="50">
        <f t="shared" si="49"/>
        <v>4771.8</v>
      </c>
      <c r="P458" s="50">
        <v>0</v>
      </c>
      <c r="Q458" s="76"/>
      <c r="R458" s="140">
        <f>IF((1*S9+1*S10)&gt;10,10,(1*S9+1*S10))</f>
        <v>10</v>
      </c>
      <c r="S458" s="79">
        <v>266.07</v>
      </c>
      <c r="T458" s="80">
        <v>123.57</v>
      </c>
    </row>
    <row r="459" spans="2:20" ht="42">
      <c r="B459" s="5" t="s">
        <v>1100</v>
      </c>
      <c r="C459" s="45" t="s">
        <v>165</v>
      </c>
      <c r="D459" s="45" t="s">
        <v>1101</v>
      </c>
      <c r="E459" s="6" t="s">
        <v>1102</v>
      </c>
      <c r="F459" s="45" t="s">
        <v>559</v>
      </c>
      <c r="G459" s="46">
        <f t="shared" si="50"/>
        <v>10</v>
      </c>
      <c r="H459" s="46">
        <f>TRUNC(S459*(1-LOTE_01!$K$10),2)</f>
        <v>192.55</v>
      </c>
      <c r="I459" s="46">
        <f>TRUNC(T459*(1-LOTE_01!$K$10),2)</f>
        <v>115.6</v>
      </c>
      <c r="J459" s="100">
        <f t="shared" si="51"/>
        <v>0.22470000000000001</v>
      </c>
      <c r="K459" s="48">
        <f t="shared" si="45"/>
        <v>235.81</v>
      </c>
      <c r="L459" s="48">
        <f t="shared" si="46"/>
        <v>141.57</v>
      </c>
      <c r="M459" s="48">
        <f t="shared" si="47"/>
        <v>2358.1</v>
      </c>
      <c r="N459" s="48">
        <f t="shared" si="48"/>
        <v>1415.7</v>
      </c>
      <c r="O459" s="50">
        <f t="shared" si="49"/>
        <v>3773.8</v>
      </c>
      <c r="P459" s="50">
        <v>0</v>
      </c>
      <c r="Q459" s="76"/>
      <c r="R459" s="140">
        <f>IF((1*S9+1*S10)&gt;10,10,(1*S9+1*S10))</f>
        <v>10</v>
      </c>
      <c r="S459" s="79">
        <v>192.55</v>
      </c>
      <c r="T459" s="80">
        <v>115.6</v>
      </c>
    </row>
    <row r="460" spans="2:20" ht="42">
      <c r="B460" s="5" t="s">
        <v>1103</v>
      </c>
      <c r="C460" s="45" t="s">
        <v>165</v>
      </c>
      <c r="D460" s="45" t="s">
        <v>1104</v>
      </c>
      <c r="E460" s="6" t="s">
        <v>1105</v>
      </c>
      <c r="F460" s="45" t="s">
        <v>559</v>
      </c>
      <c r="G460" s="46">
        <f t="shared" si="50"/>
        <v>10</v>
      </c>
      <c r="H460" s="46">
        <f>TRUNC(S460*(1-LOTE_01!$K$10),2)</f>
        <v>102.97</v>
      </c>
      <c r="I460" s="46">
        <f>TRUNC(T460*(1-LOTE_01!$K$10),2)</f>
        <v>103.64</v>
      </c>
      <c r="J460" s="100">
        <f t="shared" si="51"/>
        <v>0.22470000000000001</v>
      </c>
      <c r="K460" s="48">
        <f t="shared" si="45"/>
        <v>126.1</v>
      </c>
      <c r="L460" s="48">
        <f t="shared" si="46"/>
        <v>126.92</v>
      </c>
      <c r="M460" s="48">
        <f t="shared" si="47"/>
        <v>1261</v>
      </c>
      <c r="N460" s="48">
        <f t="shared" si="48"/>
        <v>1269.2</v>
      </c>
      <c r="O460" s="50">
        <f t="shared" si="49"/>
        <v>2530.1999999999998</v>
      </c>
      <c r="P460" s="50">
        <v>0</v>
      </c>
      <c r="Q460" s="76"/>
      <c r="R460" s="140">
        <f>IF((1*S9+1*S10)&gt;10,10,(1*S9+1*S10))</f>
        <v>10</v>
      </c>
      <c r="S460" s="79">
        <v>102.97</v>
      </c>
      <c r="T460" s="80">
        <v>103.64</v>
      </c>
    </row>
    <row r="461" spans="2:20" ht="28">
      <c r="B461" s="5" t="s">
        <v>1106</v>
      </c>
      <c r="C461" s="45" t="s">
        <v>97</v>
      </c>
      <c r="D461" s="45" t="s">
        <v>1107</v>
      </c>
      <c r="E461" s="6" t="s">
        <v>1108</v>
      </c>
      <c r="F461" s="45" t="s">
        <v>104</v>
      </c>
      <c r="G461" s="46">
        <f t="shared" si="50"/>
        <v>19</v>
      </c>
      <c r="H461" s="46">
        <f>TRUNC(S461*(1-LOTE_01!$K$10),2)</f>
        <v>199.15</v>
      </c>
      <c r="I461" s="46">
        <f>TRUNC(T461*(1-LOTE_01!$K$10),2)</f>
        <v>13.77</v>
      </c>
      <c r="J461" s="100">
        <f t="shared" si="51"/>
        <v>0.22470000000000001</v>
      </c>
      <c r="K461" s="48">
        <f t="shared" si="45"/>
        <v>243.89</v>
      </c>
      <c r="L461" s="48">
        <f t="shared" si="46"/>
        <v>16.86</v>
      </c>
      <c r="M461" s="48">
        <f t="shared" si="47"/>
        <v>4633.91</v>
      </c>
      <c r="N461" s="48">
        <f t="shared" si="48"/>
        <v>320.33999999999997</v>
      </c>
      <c r="O461" s="50">
        <f t="shared" si="49"/>
        <v>4954.25</v>
      </c>
      <c r="P461" s="50">
        <v>0</v>
      </c>
      <c r="Q461" s="76"/>
      <c r="R461" s="140">
        <f>1*S9+1*S10</f>
        <v>19</v>
      </c>
      <c r="S461" s="79">
        <v>199.15</v>
      </c>
      <c r="T461" s="80">
        <v>13.77</v>
      </c>
    </row>
    <row r="462" spans="2:20" ht="42">
      <c r="B462" s="5" t="s">
        <v>1109</v>
      </c>
      <c r="C462" s="45" t="s">
        <v>97</v>
      </c>
      <c r="D462" s="45" t="s">
        <v>1110</v>
      </c>
      <c r="E462" s="6" t="s">
        <v>1111</v>
      </c>
      <c r="F462" s="45" t="s">
        <v>104</v>
      </c>
      <c r="G462" s="46">
        <f t="shared" si="50"/>
        <v>42</v>
      </c>
      <c r="H462" s="46">
        <f>TRUNC(S462*(1-LOTE_01!$K$10),2)</f>
        <v>98.41</v>
      </c>
      <c r="I462" s="46">
        <f>TRUNC(T462*(1-LOTE_01!$K$10),2)</f>
        <v>22.95</v>
      </c>
      <c r="J462" s="100">
        <f t="shared" si="51"/>
        <v>0.22470000000000001</v>
      </c>
      <c r="K462" s="48">
        <f t="shared" si="45"/>
        <v>120.52</v>
      </c>
      <c r="L462" s="48">
        <f t="shared" si="46"/>
        <v>28.1</v>
      </c>
      <c r="M462" s="48">
        <f t="shared" si="47"/>
        <v>5061.84</v>
      </c>
      <c r="N462" s="48">
        <f t="shared" si="48"/>
        <v>1180.2</v>
      </c>
      <c r="O462" s="50">
        <f t="shared" si="49"/>
        <v>6242.04</v>
      </c>
      <c r="P462" s="50">
        <v>0</v>
      </c>
      <c r="Q462" s="76"/>
      <c r="R462" s="140">
        <f>IF((2*S9+4*S10)&gt;50,50,(2*S9+4*S10))</f>
        <v>42</v>
      </c>
      <c r="S462" s="79">
        <v>98.41</v>
      </c>
      <c r="T462" s="80">
        <v>22.95</v>
      </c>
    </row>
    <row r="463" spans="2:20" ht="42">
      <c r="B463" s="5" t="s">
        <v>1112</v>
      </c>
      <c r="C463" s="45" t="s">
        <v>97</v>
      </c>
      <c r="D463" s="45" t="s">
        <v>1113</v>
      </c>
      <c r="E463" s="6" t="s">
        <v>1114</v>
      </c>
      <c r="F463" s="45" t="s">
        <v>104</v>
      </c>
      <c r="G463" s="46">
        <f t="shared" si="50"/>
        <v>19</v>
      </c>
      <c r="H463" s="46">
        <f>TRUNC(S463*(1-LOTE_01!$K$10),2)</f>
        <v>272.45</v>
      </c>
      <c r="I463" s="46">
        <f>TRUNC(T463*(1-LOTE_01!$K$10),2)</f>
        <v>22.95</v>
      </c>
      <c r="J463" s="100">
        <f t="shared" si="51"/>
        <v>0.22470000000000001</v>
      </c>
      <c r="K463" s="48">
        <f t="shared" si="45"/>
        <v>333.66</v>
      </c>
      <c r="L463" s="48">
        <f t="shared" si="46"/>
        <v>28.1</v>
      </c>
      <c r="M463" s="48">
        <f t="shared" si="47"/>
        <v>6339.54</v>
      </c>
      <c r="N463" s="48">
        <f t="shared" si="48"/>
        <v>533.9</v>
      </c>
      <c r="O463" s="50">
        <f t="shared" si="49"/>
        <v>6873.44</v>
      </c>
      <c r="P463" s="50">
        <v>0</v>
      </c>
      <c r="Q463" s="76"/>
      <c r="R463" s="140">
        <f>1*S9+1*S10</f>
        <v>19</v>
      </c>
      <c r="S463" s="79">
        <v>272.45</v>
      </c>
      <c r="T463" s="80">
        <v>22.95</v>
      </c>
    </row>
    <row r="464" spans="2:20" ht="42">
      <c r="B464" s="5" t="s">
        <v>1115</v>
      </c>
      <c r="C464" s="45" t="s">
        <v>97</v>
      </c>
      <c r="D464" s="45" t="s">
        <v>1116</v>
      </c>
      <c r="E464" s="6" t="s">
        <v>1117</v>
      </c>
      <c r="F464" s="45" t="s">
        <v>104</v>
      </c>
      <c r="G464" s="46">
        <f t="shared" si="50"/>
        <v>19</v>
      </c>
      <c r="H464" s="46">
        <f>TRUNC(S464*(1-LOTE_01!$K$10),2)</f>
        <v>241.9</v>
      </c>
      <c r="I464" s="46">
        <f>TRUNC(T464*(1-LOTE_01!$K$10),2)</f>
        <v>16.059999999999999</v>
      </c>
      <c r="J464" s="100">
        <f t="shared" si="51"/>
        <v>0.22470000000000001</v>
      </c>
      <c r="K464" s="48">
        <f t="shared" ref="K464:K527" si="52">TRUNC(H464*(1+J464),2)</f>
        <v>296.25</v>
      </c>
      <c r="L464" s="48">
        <f t="shared" ref="L464:L527" si="53">TRUNC(I464*(1+J464),2)</f>
        <v>19.66</v>
      </c>
      <c r="M464" s="48">
        <f t="shared" ref="M464:M527" si="54">TRUNC(K464*G464,2)</f>
        <v>5628.75</v>
      </c>
      <c r="N464" s="48">
        <f t="shared" ref="N464:N527" si="55">TRUNC(L464*G464,2)</f>
        <v>373.54</v>
      </c>
      <c r="O464" s="50">
        <f t="shared" ref="O464:O527" si="56">TRUNC(M464+N464,2)</f>
        <v>6002.29</v>
      </c>
      <c r="P464" s="50">
        <v>0</v>
      </c>
      <c r="Q464" s="76"/>
      <c r="R464" s="140">
        <f>1*S9+1*S10</f>
        <v>19</v>
      </c>
      <c r="S464" s="79">
        <v>241.9</v>
      </c>
      <c r="T464" s="80">
        <v>16.059999999999999</v>
      </c>
    </row>
    <row r="465" spans="2:20">
      <c r="B465" s="5" t="s">
        <v>1118</v>
      </c>
      <c r="C465" s="45" t="s">
        <v>97</v>
      </c>
      <c r="D465" s="45" t="s">
        <v>1119</v>
      </c>
      <c r="E465" s="6" t="s">
        <v>1120</v>
      </c>
      <c r="F465" s="45" t="s">
        <v>104</v>
      </c>
      <c r="G465" s="46">
        <f t="shared" si="50"/>
        <v>19</v>
      </c>
      <c r="H465" s="46">
        <f>TRUNC(S465*(1-LOTE_01!$K$10),2)</f>
        <v>130.21</v>
      </c>
      <c r="I465" s="46">
        <f>TRUNC(T465*(1-LOTE_01!$K$10),2)</f>
        <v>16.059999999999999</v>
      </c>
      <c r="J465" s="100">
        <f t="shared" si="51"/>
        <v>0.22470000000000001</v>
      </c>
      <c r="K465" s="48">
        <f t="shared" si="52"/>
        <v>159.46</v>
      </c>
      <c r="L465" s="48">
        <f t="shared" si="53"/>
        <v>19.66</v>
      </c>
      <c r="M465" s="48">
        <f t="shared" si="54"/>
        <v>3029.74</v>
      </c>
      <c r="N465" s="48">
        <f t="shared" si="55"/>
        <v>373.54</v>
      </c>
      <c r="O465" s="50">
        <f t="shared" si="56"/>
        <v>3403.28</v>
      </c>
      <c r="P465" s="50">
        <v>0</v>
      </c>
      <c r="Q465" s="76"/>
      <c r="R465" s="140">
        <f>1*S9+1*S10</f>
        <v>19</v>
      </c>
      <c r="S465" s="79">
        <v>130.21</v>
      </c>
      <c r="T465" s="80">
        <v>16.059999999999999</v>
      </c>
    </row>
    <row r="466" spans="2:20">
      <c r="B466" s="5" t="s">
        <v>1121</v>
      </c>
      <c r="C466" s="45" t="s">
        <v>97</v>
      </c>
      <c r="D466" s="45" t="s">
        <v>1122</v>
      </c>
      <c r="E466" s="6" t="s">
        <v>1123</v>
      </c>
      <c r="F466" s="45" t="s">
        <v>104</v>
      </c>
      <c r="G466" s="46">
        <f t="shared" ref="G466:G529" si="57">TRUNC(R466,2)</f>
        <v>19</v>
      </c>
      <c r="H466" s="46">
        <f>TRUNC(S466*(1-LOTE_01!$K$10),2)</f>
        <v>345.71</v>
      </c>
      <c r="I466" s="46">
        <f>TRUNC(T466*(1-LOTE_01!$K$10),2)</f>
        <v>42.22</v>
      </c>
      <c r="J466" s="100">
        <f t="shared" ref="J466:J529" si="58">$J$4</f>
        <v>0.22470000000000001</v>
      </c>
      <c r="K466" s="48">
        <f t="shared" si="52"/>
        <v>423.39</v>
      </c>
      <c r="L466" s="48">
        <f t="shared" si="53"/>
        <v>51.7</v>
      </c>
      <c r="M466" s="48">
        <f t="shared" si="54"/>
        <v>8044.41</v>
      </c>
      <c r="N466" s="48">
        <f t="shared" si="55"/>
        <v>982.3</v>
      </c>
      <c r="O466" s="50">
        <f t="shared" si="56"/>
        <v>9026.7099999999991</v>
      </c>
      <c r="P466" s="50">
        <v>0</v>
      </c>
      <c r="Q466" s="76"/>
      <c r="R466" s="140">
        <f>1*S9+1*S10</f>
        <v>19</v>
      </c>
      <c r="S466" s="79">
        <v>345.71</v>
      </c>
      <c r="T466" s="80">
        <v>42.22</v>
      </c>
    </row>
    <row r="467" spans="2:20" ht="56">
      <c r="B467" s="5" t="s">
        <v>1124</v>
      </c>
      <c r="C467" s="45" t="s">
        <v>97</v>
      </c>
      <c r="D467" s="45" t="s">
        <v>1039</v>
      </c>
      <c r="E467" s="6" t="s">
        <v>1040</v>
      </c>
      <c r="F467" s="45" t="s">
        <v>925</v>
      </c>
      <c r="G467" s="46">
        <f t="shared" si="57"/>
        <v>950</v>
      </c>
      <c r="H467" s="46">
        <f>TRUNC(S467*(1-LOTE_01!$K$10),2)</f>
        <v>33.450000000000003</v>
      </c>
      <c r="I467" s="46">
        <f>TRUNC(T467*(1-LOTE_01!$K$10),2)</f>
        <v>22.95</v>
      </c>
      <c r="J467" s="100">
        <f t="shared" si="58"/>
        <v>0.22470000000000001</v>
      </c>
      <c r="K467" s="48">
        <f t="shared" si="52"/>
        <v>40.96</v>
      </c>
      <c r="L467" s="48">
        <f t="shared" si="53"/>
        <v>28.1</v>
      </c>
      <c r="M467" s="48">
        <f t="shared" si="54"/>
        <v>38912</v>
      </c>
      <c r="N467" s="48">
        <f t="shared" si="55"/>
        <v>26695</v>
      </c>
      <c r="O467" s="50">
        <f t="shared" si="56"/>
        <v>65607</v>
      </c>
      <c r="P467" s="50">
        <v>0</v>
      </c>
      <c r="Q467" s="76"/>
      <c r="R467" s="140">
        <f>50*S9+50*S10</f>
        <v>950</v>
      </c>
      <c r="S467" s="79">
        <v>33.450000000000003</v>
      </c>
      <c r="T467" s="80">
        <v>22.95</v>
      </c>
    </row>
    <row r="468" spans="2:20" ht="70">
      <c r="B468" s="5" t="s">
        <v>1125</v>
      </c>
      <c r="C468" s="45" t="s">
        <v>135</v>
      </c>
      <c r="D468" s="45">
        <v>91867</v>
      </c>
      <c r="E468" s="6" t="s">
        <v>927</v>
      </c>
      <c r="F468" s="45" t="s">
        <v>187</v>
      </c>
      <c r="G468" s="46">
        <f t="shared" si="57"/>
        <v>950</v>
      </c>
      <c r="H468" s="46">
        <f>TRUNC(S468*(1-LOTE_01!$K$10),2)</f>
        <v>6.99</v>
      </c>
      <c r="I468" s="46">
        <f>TRUNC(T468*(1-LOTE_01!$K$10),2)</f>
        <v>4.32</v>
      </c>
      <c r="J468" s="100">
        <f t="shared" si="58"/>
        <v>0.22470000000000001</v>
      </c>
      <c r="K468" s="48">
        <f t="shared" si="52"/>
        <v>8.56</v>
      </c>
      <c r="L468" s="48">
        <f t="shared" si="53"/>
        <v>5.29</v>
      </c>
      <c r="M468" s="48">
        <f t="shared" si="54"/>
        <v>8132</v>
      </c>
      <c r="N468" s="48">
        <f t="shared" si="55"/>
        <v>5025.5</v>
      </c>
      <c r="O468" s="50">
        <f t="shared" si="56"/>
        <v>13157.5</v>
      </c>
      <c r="P468" s="50">
        <v>0</v>
      </c>
      <c r="Q468" s="76"/>
      <c r="R468" s="140">
        <f>50*S9+50*S10</f>
        <v>950</v>
      </c>
      <c r="S468" s="79">
        <v>6.99</v>
      </c>
      <c r="T468" s="80">
        <v>4.32</v>
      </c>
    </row>
    <row r="469" spans="2:20" ht="70">
      <c r="B469" s="5" t="s">
        <v>1126</v>
      </c>
      <c r="C469" s="45" t="s">
        <v>135</v>
      </c>
      <c r="D469" s="45">
        <v>91864</v>
      </c>
      <c r="E469" s="6" t="s">
        <v>838</v>
      </c>
      <c r="F469" s="45" t="s">
        <v>187</v>
      </c>
      <c r="G469" s="46">
        <f t="shared" si="57"/>
        <v>95</v>
      </c>
      <c r="H469" s="46">
        <f>TRUNC(S469*(1-LOTE_01!$K$10),2)</f>
        <v>10.73</v>
      </c>
      <c r="I469" s="46">
        <f>TRUNC(T469*(1-LOTE_01!$K$10),2)</f>
        <v>6.41</v>
      </c>
      <c r="J469" s="100">
        <f t="shared" si="58"/>
        <v>0.22470000000000001</v>
      </c>
      <c r="K469" s="48">
        <f t="shared" si="52"/>
        <v>13.14</v>
      </c>
      <c r="L469" s="48">
        <f t="shared" si="53"/>
        <v>7.85</v>
      </c>
      <c r="M469" s="48">
        <f t="shared" si="54"/>
        <v>1248.3</v>
      </c>
      <c r="N469" s="48">
        <f t="shared" si="55"/>
        <v>745.75</v>
      </c>
      <c r="O469" s="50">
        <f t="shared" si="56"/>
        <v>1994.05</v>
      </c>
      <c r="P469" s="50">
        <v>0</v>
      </c>
      <c r="Q469" s="76"/>
      <c r="R469" s="140">
        <f>5*S9+5*S10</f>
        <v>95</v>
      </c>
      <c r="S469" s="79">
        <v>10.73</v>
      </c>
      <c r="T469" s="80">
        <v>6.41</v>
      </c>
    </row>
    <row r="470" spans="2:20" ht="42">
      <c r="B470" s="5" t="s">
        <v>1127</v>
      </c>
      <c r="C470" s="45" t="s">
        <v>165</v>
      </c>
      <c r="D470" s="45" t="s">
        <v>1036</v>
      </c>
      <c r="E470" s="6" t="s">
        <v>1037</v>
      </c>
      <c r="F470" s="45" t="s">
        <v>531</v>
      </c>
      <c r="G470" s="46">
        <f t="shared" si="57"/>
        <v>95</v>
      </c>
      <c r="H470" s="46">
        <f>TRUNC(S470*(1-LOTE_01!$K$10),2)</f>
        <v>19.43</v>
      </c>
      <c r="I470" s="46">
        <f>TRUNC(T470*(1-LOTE_01!$K$10),2)</f>
        <v>19.93</v>
      </c>
      <c r="J470" s="100">
        <f t="shared" si="58"/>
        <v>0.22470000000000001</v>
      </c>
      <c r="K470" s="48">
        <f t="shared" si="52"/>
        <v>23.79</v>
      </c>
      <c r="L470" s="48">
        <f t="shared" si="53"/>
        <v>24.4</v>
      </c>
      <c r="M470" s="48">
        <f t="shared" si="54"/>
        <v>2260.0500000000002</v>
      </c>
      <c r="N470" s="48">
        <f t="shared" si="55"/>
        <v>2318</v>
      </c>
      <c r="O470" s="50">
        <f t="shared" si="56"/>
        <v>4578.05</v>
      </c>
      <c r="P470" s="50">
        <v>0</v>
      </c>
      <c r="Q470" s="76"/>
      <c r="R470" s="140">
        <f>5*S9+5*S10</f>
        <v>95</v>
      </c>
      <c r="S470" s="79">
        <v>19.43</v>
      </c>
      <c r="T470" s="80">
        <v>19.93</v>
      </c>
    </row>
    <row r="471" spans="2:20" ht="28">
      <c r="B471" s="5" t="s">
        <v>1128</v>
      </c>
      <c r="C471" s="45" t="s">
        <v>165</v>
      </c>
      <c r="D471" s="45" t="s">
        <v>1129</v>
      </c>
      <c r="E471" s="6" t="s">
        <v>1130</v>
      </c>
      <c r="F471" s="45" t="s">
        <v>531</v>
      </c>
      <c r="G471" s="46">
        <f t="shared" si="57"/>
        <v>190</v>
      </c>
      <c r="H471" s="46">
        <f>TRUNC(S471*(1-LOTE_01!$K$10),2)</f>
        <v>39.340000000000003</v>
      </c>
      <c r="I471" s="46">
        <f>TRUNC(T471*(1-LOTE_01!$K$10),2)</f>
        <v>7.18</v>
      </c>
      <c r="J471" s="100">
        <f t="shared" si="58"/>
        <v>0.22470000000000001</v>
      </c>
      <c r="K471" s="48">
        <f t="shared" si="52"/>
        <v>48.17</v>
      </c>
      <c r="L471" s="48">
        <f t="shared" si="53"/>
        <v>8.7899999999999991</v>
      </c>
      <c r="M471" s="48">
        <f t="shared" si="54"/>
        <v>9152.2999999999993</v>
      </c>
      <c r="N471" s="48">
        <f t="shared" si="55"/>
        <v>1670.1</v>
      </c>
      <c r="O471" s="50">
        <f t="shared" si="56"/>
        <v>10822.4</v>
      </c>
      <c r="P471" s="50">
        <v>0</v>
      </c>
      <c r="Q471" s="76"/>
      <c r="R471" s="140">
        <f>10*S9+10*S10</f>
        <v>190</v>
      </c>
      <c r="S471" s="79">
        <v>39.340000000000003</v>
      </c>
      <c r="T471" s="80">
        <v>7.18</v>
      </c>
    </row>
    <row r="472" spans="2:20" ht="28">
      <c r="B472" s="5" t="s">
        <v>1131</v>
      </c>
      <c r="C472" s="45" t="s">
        <v>97</v>
      </c>
      <c r="D472" s="45" t="s">
        <v>1132</v>
      </c>
      <c r="E472" s="6" t="s">
        <v>1133</v>
      </c>
      <c r="F472" s="45" t="s">
        <v>187</v>
      </c>
      <c r="G472" s="46">
        <f t="shared" si="57"/>
        <v>190</v>
      </c>
      <c r="H472" s="46">
        <f>TRUNC(S472*(1-LOTE_01!$K$10),2)</f>
        <v>10.210000000000001</v>
      </c>
      <c r="I472" s="46">
        <f>TRUNC(T472*(1-LOTE_01!$K$10),2)</f>
        <v>1.83</v>
      </c>
      <c r="J472" s="100">
        <f t="shared" si="58"/>
        <v>0.22470000000000001</v>
      </c>
      <c r="K472" s="48">
        <f t="shared" si="52"/>
        <v>12.5</v>
      </c>
      <c r="L472" s="48">
        <f t="shared" si="53"/>
        <v>2.2400000000000002</v>
      </c>
      <c r="M472" s="48">
        <f t="shared" si="54"/>
        <v>2375</v>
      </c>
      <c r="N472" s="48">
        <f t="shared" si="55"/>
        <v>425.6</v>
      </c>
      <c r="O472" s="50">
        <f t="shared" si="56"/>
        <v>2800.6</v>
      </c>
      <c r="P472" s="50">
        <v>0</v>
      </c>
      <c r="Q472" s="76"/>
      <c r="R472" s="140">
        <f>10*S9+10*S10</f>
        <v>190</v>
      </c>
      <c r="S472" s="79">
        <v>10.210000000000001</v>
      </c>
      <c r="T472" s="80">
        <v>1.83</v>
      </c>
    </row>
    <row r="473" spans="2:20" ht="56">
      <c r="B473" s="5" t="s">
        <v>1134</v>
      </c>
      <c r="C473" s="45" t="s">
        <v>135</v>
      </c>
      <c r="D473" s="45">
        <v>95778</v>
      </c>
      <c r="E473" s="6" t="s">
        <v>1814</v>
      </c>
      <c r="F473" s="45" t="s">
        <v>210</v>
      </c>
      <c r="G473" s="46">
        <f t="shared" si="57"/>
        <v>95</v>
      </c>
      <c r="H473" s="46">
        <f>TRUNC(S473*(1-LOTE_01!$K$10),2)</f>
        <v>17.989999999999998</v>
      </c>
      <c r="I473" s="46">
        <f>TRUNC(T473*(1-LOTE_01!$K$10),2)</f>
        <v>12.08</v>
      </c>
      <c r="J473" s="100">
        <f t="shared" si="58"/>
        <v>0.22470000000000001</v>
      </c>
      <c r="K473" s="48">
        <f t="shared" si="52"/>
        <v>22.03</v>
      </c>
      <c r="L473" s="48">
        <f t="shared" si="53"/>
        <v>14.79</v>
      </c>
      <c r="M473" s="48">
        <f t="shared" si="54"/>
        <v>2092.85</v>
      </c>
      <c r="N473" s="48">
        <f t="shared" si="55"/>
        <v>1405.05</v>
      </c>
      <c r="O473" s="50">
        <f t="shared" si="56"/>
        <v>3497.9</v>
      </c>
      <c r="P473" s="50">
        <v>0</v>
      </c>
      <c r="Q473" s="76"/>
      <c r="R473" s="140">
        <f>5*S9+5*S10</f>
        <v>95</v>
      </c>
      <c r="S473" s="79">
        <v>17.990000000000002</v>
      </c>
      <c r="T473" s="80">
        <v>12.08</v>
      </c>
    </row>
    <row r="474" spans="2:20" ht="56">
      <c r="B474" s="5" t="s">
        <v>1135</v>
      </c>
      <c r="C474" s="45" t="s">
        <v>135</v>
      </c>
      <c r="D474" s="45">
        <v>91941</v>
      </c>
      <c r="E474" s="6" t="s">
        <v>1021</v>
      </c>
      <c r="F474" s="45" t="s">
        <v>210</v>
      </c>
      <c r="G474" s="46">
        <f t="shared" si="57"/>
        <v>95</v>
      </c>
      <c r="H474" s="46">
        <f>TRUNC(S474*(1-LOTE_01!$K$10),2)</f>
        <v>5.29</v>
      </c>
      <c r="I474" s="46">
        <f>TRUNC(T474*(1-LOTE_01!$K$10),2)</f>
        <v>7.92</v>
      </c>
      <c r="J474" s="100">
        <f t="shared" si="58"/>
        <v>0.22470000000000001</v>
      </c>
      <c r="K474" s="48">
        <f t="shared" si="52"/>
        <v>6.47</v>
      </c>
      <c r="L474" s="48">
        <f t="shared" si="53"/>
        <v>9.69</v>
      </c>
      <c r="M474" s="48">
        <f t="shared" si="54"/>
        <v>614.65</v>
      </c>
      <c r="N474" s="48">
        <f t="shared" si="55"/>
        <v>920.55</v>
      </c>
      <c r="O474" s="50">
        <f t="shared" si="56"/>
        <v>1535.2</v>
      </c>
      <c r="P474" s="50">
        <v>0</v>
      </c>
      <c r="Q474" s="76"/>
      <c r="R474" s="140">
        <f>5*S9+5*S10</f>
        <v>95</v>
      </c>
      <c r="S474" s="79">
        <v>5.2900000000000009</v>
      </c>
      <c r="T474" s="80">
        <v>7.92</v>
      </c>
    </row>
    <row r="475" spans="2:20" ht="56">
      <c r="B475" s="5" t="s">
        <v>1136</v>
      </c>
      <c r="C475" s="45" t="s">
        <v>135</v>
      </c>
      <c r="D475" s="45">
        <v>91944</v>
      </c>
      <c r="E475" s="6" t="s">
        <v>935</v>
      </c>
      <c r="F475" s="45" t="s">
        <v>210</v>
      </c>
      <c r="G475" s="46">
        <f t="shared" si="57"/>
        <v>172</v>
      </c>
      <c r="H475" s="46">
        <f>TRUNC(S475*(1-LOTE_01!$K$10),2)</f>
        <v>7.7</v>
      </c>
      <c r="I475" s="46">
        <f>TRUNC(T475*(1-LOTE_01!$K$10),2)</f>
        <v>8.3000000000000007</v>
      </c>
      <c r="J475" s="100">
        <f t="shared" si="58"/>
        <v>0.22470000000000001</v>
      </c>
      <c r="K475" s="48">
        <f t="shared" si="52"/>
        <v>9.43</v>
      </c>
      <c r="L475" s="48">
        <f t="shared" si="53"/>
        <v>10.16</v>
      </c>
      <c r="M475" s="48">
        <f t="shared" si="54"/>
        <v>1621.96</v>
      </c>
      <c r="N475" s="48">
        <f t="shared" si="55"/>
        <v>1747.52</v>
      </c>
      <c r="O475" s="50">
        <f t="shared" si="56"/>
        <v>3369.48</v>
      </c>
      <c r="P475" s="50">
        <v>0</v>
      </c>
      <c r="Q475" s="76"/>
      <c r="R475" s="140">
        <f>10*S9+1*S10</f>
        <v>172</v>
      </c>
      <c r="S475" s="79">
        <v>7.6999999999999993</v>
      </c>
      <c r="T475" s="80">
        <v>8.3000000000000007</v>
      </c>
    </row>
    <row r="476" spans="2:20" ht="56">
      <c r="B476" s="5" t="s">
        <v>1137</v>
      </c>
      <c r="C476" s="45" t="s">
        <v>135</v>
      </c>
      <c r="D476" s="45">
        <v>92000</v>
      </c>
      <c r="E476" s="6" t="s">
        <v>856</v>
      </c>
      <c r="F476" s="45" t="s">
        <v>210</v>
      </c>
      <c r="G476" s="46">
        <f t="shared" si="57"/>
        <v>380</v>
      </c>
      <c r="H476" s="46">
        <f>TRUNC(S476*(1-LOTE_01!$K$10),2)</f>
        <v>18.63</v>
      </c>
      <c r="I476" s="46">
        <f>TRUNC(T476*(1-LOTE_01!$K$10),2)</f>
        <v>17.399999999999999</v>
      </c>
      <c r="J476" s="100">
        <f t="shared" si="58"/>
        <v>0.22470000000000001</v>
      </c>
      <c r="K476" s="48">
        <f t="shared" si="52"/>
        <v>22.81</v>
      </c>
      <c r="L476" s="48">
        <f t="shared" si="53"/>
        <v>21.3</v>
      </c>
      <c r="M476" s="48">
        <f t="shared" si="54"/>
        <v>8667.7999999999993</v>
      </c>
      <c r="N476" s="48">
        <f t="shared" si="55"/>
        <v>8094</v>
      </c>
      <c r="O476" s="50">
        <f t="shared" si="56"/>
        <v>16761.8</v>
      </c>
      <c r="P476" s="50">
        <v>0</v>
      </c>
      <c r="Q476" s="76"/>
      <c r="R476" s="140">
        <f>20*S9+20*S10</f>
        <v>380</v>
      </c>
      <c r="S476" s="79">
        <v>18.630000000000003</v>
      </c>
      <c r="T476" s="80">
        <v>17.399999999999999</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104">
        <v>0</v>
      </c>
      <c r="Q477" s="76"/>
      <c r="R477" s="154"/>
      <c r="S477" s="79" t="s">
        <v>22</v>
      </c>
      <c r="T477" s="80" t="s">
        <v>22</v>
      </c>
    </row>
    <row r="478" spans="2:20" ht="56">
      <c r="B478" s="5" t="s">
        <v>1139</v>
      </c>
      <c r="C478" s="45" t="s">
        <v>97</v>
      </c>
      <c r="D478" s="45" t="s">
        <v>1140</v>
      </c>
      <c r="E478" s="6" t="s">
        <v>1141</v>
      </c>
      <c r="F478" s="45" t="s">
        <v>104</v>
      </c>
      <c r="G478" s="46">
        <f t="shared" si="57"/>
        <v>19</v>
      </c>
      <c r="H478" s="46">
        <f>TRUNC(S478*(1-LOTE_01!$K$10),2)</f>
        <v>153.5</v>
      </c>
      <c r="I478" s="46">
        <f>TRUNC(T478*(1-LOTE_01!$K$10),2)</f>
        <v>302.94</v>
      </c>
      <c r="J478" s="100">
        <f t="shared" si="58"/>
        <v>0.22470000000000001</v>
      </c>
      <c r="K478" s="48">
        <f t="shared" si="52"/>
        <v>187.99</v>
      </c>
      <c r="L478" s="48">
        <f t="shared" si="53"/>
        <v>371.01</v>
      </c>
      <c r="M478" s="48">
        <f t="shared" si="54"/>
        <v>3571.81</v>
      </c>
      <c r="N478" s="48">
        <f t="shared" si="55"/>
        <v>7049.19</v>
      </c>
      <c r="O478" s="50">
        <f t="shared" si="56"/>
        <v>10621</v>
      </c>
      <c r="P478" s="50">
        <v>0</v>
      </c>
      <c r="Q478" s="76"/>
      <c r="R478" s="140">
        <f>1*S9+1*S10</f>
        <v>19</v>
      </c>
      <c r="S478" s="79">
        <v>153.5</v>
      </c>
      <c r="T478" s="80">
        <v>302.94</v>
      </c>
    </row>
    <row r="479" spans="2:20" ht="28">
      <c r="B479" s="5" t="s">
        <v>1142</v>
      </c>
      <c r="C479" s="45" t="s">
        <v>97</v>
      </c>
      <c r="D479" s="45" t="s">
        <v>1143</v>
      </c>
      <c r="E479" s="6" t="s">
        <v>1144</v>
      </c>
      <c r="F479" s="45" t="s">
        <v>104</v>
      </c>
      <c r="G479" s="46">
        <f t="shared" si="57"/>
        <v>10</v>
      </c>
      <c r="H479" s="46">
        <f>TRUNC(S479*(1-LOTE_01!$K$10),2)</f>
        <v>14.91</v>
      </c>
      <c r="I479" s="46">
        <f>TRUNC(T479*(1-LOTE_01!$K$10),2)</f>
        <v>45.9</v>
      </c>
      <c r="J479" s="100">
        <f t="shared" si="58"/>
        <v>0.22470000000000001</v>
      </c>
      <c r="K479" s="48">
        <f t="shared" si="52"/>
        <v>18.260000000000002</v>
      </c>
      <c r="L479" s="48">
        <f t="shared" si="53"/>
        <v>56.21</v>
      </c>
      <c r="M479" s="48">
        <f t="shared" si="54"/>
        <v>182.6</v>
      </c>
      <c r="N479" s="48">
        <f t="shared" si="55"/>
        <v>562.1</v>
      </c>
      <c r="O479" s="50">
        <f t="shared" si="56"/>
        <v>744.7</v>
      </c>
      <c r="P479" s="50">
        <v>0</v>
      </c>
      <c r="Q479" s="76"/>
      <c r="R479" s="140">
        <f>IF((1*S9+1*S10)&gt;10,10,(1*S9+1*S10))</f>
        <v>10</v>
      </c>
      <c r="S479" s="79">
        <v>14.91</v>
      </c>
      <c r="T479" s="80">
        <v>45.9</v>
      </c>
    </row>
    <row r="480" spans="2:20">
      <c r="B480" s="5" t="s">
        <v>1145</v>
      </c>
      <c r="C480" s="45" t="s">
        <v>97</v>
      </c>
      <c r="D480" s="45" t="s">
        <v>1146</v>
      </c>
      <c r="E480" s="6" t="s">
        <v>1147</v>
      </c>
      <c r="F480" s="45" t="s">
        <v>104</v>
      </c>
      <c r="G480" s="46">
        <f t="shared" si="57"/>
        <v>10</v>
      </c>
      <c r="H480" s="46">
        <f>TRUNC(S480*(1-LOTE_01!$K$10),2)</f>
        <v>119.28</v>
      </c>
      <c r="I480" s="46">
        <f>TRUNC(T480*(1-LOTE_01!$K$10),2)</f>
        <v>367.2</v>
      </c>
      <c r="J480" s="100">
        <f t="shared" si="58"/>
        <v>0.22470000000000001</v>
      </c>
      <c r="K480" s="48">
        <f t="shared" si="52"/>
        <v>146.08000000000001</v>
      </c>
      <c r="L480" s="48">
        <f t="shared" si="53"/>
        <v>449.7</v>
      </c>
      <c r="M480" s="48">
        <f t="shared" si="54"/>
        <v>1460.8</v>
      </c>
      <c r="N480" s="48">
        <f t="shared" si="55"/>
        <v>4497</v>
      </c>
      <c r="O480" s="50">
        <f t="shared" si="56"/>
        <v>5957.8</v>
      </c>
      <c r="P480" s="50">
        <v>0</v>
      </c>
      <c r="Q480" s="76"/>
      <c r="R480" s="140">
        <f>IF((1*S9+1*S10)&gt;10,10,(1*S9+1*S10))</f>
        <v>10</v>
      </c>
      <c r="S480" s="79">
        <v>119.28</v>
      </c>
      <c r="T480" s="80">
        <v>367.2</v>
      </c>
    </row>
    <row r="481" spans="2:20" ht="28">
      <c r="B481" s="5" t="s">
        <v>1148</v>
      </c>
      <c r="C481" s="45" t="s">
        <v>97</v>
      </c>
      <c r="D481" s="45" t="s">
        <v>1149</v>
      </c>
      <c r="E481" s="6" t="s">
        <v>1150</v>
      </c>
      <c r="F481" s="45" t="s">
        <v>104</v>
      </c>
      <c r="G481" s="46">
        <f t="shared" si="57"/>
        <v>10</v>
      </c>
      <c r="H481" s="46">
        <f>TRUNC(S481*(1-LOTE_01!$K$10),2)</f>
        <v>181.68</v>
      </c>
      <c r="I481" s="46">
        <f>TRUNC(T481*(1-LOTE_01!$K$10),2)</f>
        <v>600.32000000000005</v>
      </c>
      <c r="J481" s="100">
        <f t="shared" si="58"/>
        <v>0.22470000000000001</v>
      </c>
      <c r="K481" s="48">
        <f t="shared" si="52"/>
        <v>222.5</v>
      </c>
      <c r="L481" s="48">
        <f t="shared" si="53"/>
        <v>735.21</v>
      </c>
      <c r="M481" s="48">
        <f t="shared" si="54"/>
        <v>2225</v>
      </c>
      <c r="N481" s="48">
        <f t="shared" si="55"/>
        <v>7352.1</v>
      </c>
      <c r="O481" s="50">
        <f t="shared" si="56"/>
        <v>9577.1</v>
      </c>
      <c r="P481" s="50">
        <v>0</v>
      </c>
      <c r="Q481" s="76"/>
      <c r="R481" s="140">
        <f>IF((1*S9+1*S10)&gt;10,10,(1*S9+1*S10))</f>
        <v>10</v>
      </c>
      <c r="S481" s="79">
        <v>181.68</v>
      </c>
      <c r="T481" s="80">
        <v>600.32000000000005</v>
      </c>
    </row>
    <row r="482" spans="2:20">
      <c r="B482" s="5" t="s">
        <v>1151</v>
      </c>
      <c r="C482" s="45" t="s">
        <v>97</v>
      </c>
      <c r="D482" s="45" t="s">
        <v>1152</v>
      </c>
      <c r="E482" s="6" t="s">
        <v>1153</v>
      </c>
      <c r="F482" s="45" t="s">
        <v>104</v>
      </c>
      <c r="G482" s="46">
        <f t="shared" si="57"/>
        <v>10</v>
      </c>
      <c r="H482" s="46">
        <f>TRUNC(S482*(1-LOTE_01!$K$10),2)</f>
        <v>29.82</v>
      </c>
      <c r="I482" s="46">
        <f>TRUNC(T482*(1-LOTE_01!$K$10),2)</f>
        <v>91.8</v>
      </c>
      <c r="J482" s="100">
        <f t="shared" si="58"/>
        <v>0.22470000000000001</v>
      </c>
      <c r="K482" s="48">
        <f t="shared" si="52"/>
        <v>36.520000000000003</v>
      </c>
      <c r="L482" s="48">
        <f t="shared" si="53"/>
        <v>112.42</v>
      </c>
      <c r="M482" s="48">
        <f t="shared" si="54"/>
        <v>365.2</v>
      </c>
      <c r="N482" s="48">
        <f t="shared" si="55"/>
        <v>1124.2</v>
      </c>
      <c r="O482" s="50">
        <f t="shared" si="56"/>
        <v>1489.4</v>
      </c>
      <c r="P482" s="50">
        <v>0</v>
      </c>
      <c r="Q482" s="76"/>
      <c r="R482" s="140">
        <f>IF((1*S9+1*S10)&gt;10,10,(1*S9+1*S10))</f>
        <v>10</v>
      </c>
      <c r="S482" s="79">
        <v>29.82</v>
      </c>
      <c r="T482" s="80">
        <v>91.8</v>
      </c>
    </row>
    <row r="483" spans="2:20" ht="56">
      <c r="B483" s="5" t="s">
        <v>1154</v>
      </c>
      <c r="C483" s="45" t="s">
        <v>97</v>
      </c>
      <c r="D483" s="45" t="s">
        <v>1155</v>
      </c>
      <c r="E483" s="6" t="s">
        <v>1156</v>
      </c>
      <c r="F483" s="45" t="s">
        <v>104</v>
      </c>
      <c r="G483" s="46">
        <f t="shared" si="57"/>
        <v>10</v>
      </c>
      <c r="H483" s="46">
        <f>TRUNC(S483*(1-LOTE_01!$K$10),2)</f>
        <v>126.73</v>
      </c>
      <c r="I483" s="46">
        <f>TRUNC(T483*(1-LOTE_01!$K$10),2)</f>
        <v>390.15</v>
      </c>
      <c r="J483" s="100">
        <f t="shared" si="58"/>
        <v>0.22470000000000001</v>
      </c>
      <c r="K483" s="48">
        <f t="shared" si="52"/>
        <v>155.19999999999999</v>
      </c>
      <c r="L483" s="48">
        <f t="shared" si="53"/>
        <v>477.81</v>
      </c>
      <c r="M483" s="48">
        <f t="shared" si="54"/>
        <v>1552</v>
      </c>
      <c r="N483" s="48">
        <f t="shared" si="55"/>
        <v>4778.1000000000004</v>
      </c>
      <c r="O483" s="50">
        <f t="shared" si="56"/>
        <v>6330.1</v>
      </c>
      <c r="P483" s="50">
        <v>0</v>
      </c>
      <c r="Q483" s="76"/>
      <c r="R483" s="140">
        <f>IF((1*S9+1*S10)&gt;10,10,(1*S9+1*S10))</f>
        <v>10</v>
      </c>
      <c r="S483" s="79">
        <v>126.73</v>
      </c>
      <c r="T483" s="80">
        <v>390.15</v>
      </c>
    </row>
    <row r="484" spans="2:20" ht="56">
      <c r="B484" s="5" t="s">
        <v>1157</v>
      </c>
      <c r="C484" s="45" t="s">
        <v>97</v>
      </c>
      <c r="D484" s="45" t="s">
        <v>1158</v>
      </c>
      <c r="E484" s="6" t="s">
        <v>1159</v>
      </c>
      <c r="F484" s="45" t="s">
        <v>104</v>
      </c>
      <c r="G484" s="46">
        <f t="shared" si="57"/>
        <v>10</v>
      </c>
      <c r="H484" s="46">
        <f>TRUNC(S484*(1-LOTE_01!$K$10),2)</f>
        <v>1792.04</v>
      </c>
      <c r="I484" s="46">
        <f>TRUNC(T484*(1-LOTE_01!$K$10),2)</f>
        <v>5198.72</v>
      </c>
      <c r="J484" s="100">
        <f t="shared" si="58"/>
        <v>0.22470000000000001</v>
      </c>
      <c r="K484" s="48">
        <f t="shared" si="52"/>
        <v>2194.71</v>
      </c>
      <c r="L484" s="48">
        <f t="shared" si="53"/>
        <v>6366.87</v>
      </c>
      <c r="M484" s="48">
        <f t="shared" si="54"/>
        <v>21947.1</v>
      </c>
      <c r="N484" s="48">
        <f t="shared" si="55"/>
        <v>63668.7</v>
      </c>
      <c r="O484" s="50">
        <f t="shared" si="56"/>
        <v>85615.8</v>
      </c>
      <c r="P484" s="50">
        <v>0</v>
      </c>
      <c r="Q484" s="76"/>
      <c r="R484" s="140">
        <f>IF((1*S9+1*S10)&gt;10,10,(1*S9+1*S10))</f>
        <v>10</v>
      </c>
      <c r="S484" s="79">
        <v>1792.04</v>
      </c>
      <c r="T484" s="80">
        <v>5198.72</v>
      </c>
    </row>
    <row r="485" spans="2:20" ht="70">
      <c r="B485" s="5" t="s">
        <v>1160</v>
      </c>
      <c r="C485" s="45" t="s">
        <v>97</v>
      </c>
      <c r="D485" s="45" t="s">
        <v>1161</v>
      </c>
      <c r="E485" s="6" t="s">
        <v>1162</v>
      </c>
      <c r="F485" s="45" t="s">
        <v>104</v>
      </c>
      <c r="G485" s="46">
        <f t="shared" si="57"/>
        <v>10</v>
      </c>
      <c r="H485" s="46">
        <f>TRUNC(S485*(1-LOTE_01!$K$10),2)</f>
        <v>1967.72</v>
      </c>
      <c r="I485" s="46">
        <f>TRUNC(T485*(1-LOTE_01!$K$10),2)</f>
        <v>1256.97</v>
      </c>
      <c r="J485" s="100">
        <f t="shared" si="58"/>
        <v>0.22470000000000001</v>
      </c>
      <c r="K485" s="48">
        <f t="shared" si="52"/>
        <v>2409.86</v>
      </c>
      <c r="L485" s="48">
        <f t="shared" si="53"/>
        <v>1539.41</v>
      </c>
      <c r="M485" s="48">
        <f t="shared" si="54"/>
        <v>24098.6</v>
      </c>
      <c r="N485" s="48">
        <f t="shared" si="55"/>
        <v>15394.1</v>
      </c>
      <c r="O485" s="50">
        <f t="shared" si="56"/>
        <v>39492.699999999997</v>
      </c>
      <c r="P485" s="50">
        <v>0</v>
      </c>
      <c r="Q485" s="76"/>
      <c r="R485" s="140">
        <f>IF((1*S9+1*S10)&gt;10,10,(1*S9+1*S10))</f>
        <v>10</v>
      </c>
      <c r="S485" s="79">
        <v>1967.72</v>
      </c>
      <c r="T485" s="80">
        <v>1256.97</v>
      </c>
    </row>
    <row r="486" spans="2:20" ht="28">
      <c r="B486" s="5" t="s">
        <v>1163</v>
      </c>
      <c r="C486" s="45" t="s">
        <v>97</v>
      </c>
      <c r="D486" s="45" t="s">
        <v>1164</v>
      </c>
      <c r="E486" s="6" t="s">
        <v>1165</v>
      </c>
      <c r="F486" s="45" t="s">
        <v>104</v>
      </c>
      <c r="G486" s="46">
        <f t="shared" si="57"/>
        <v>304</v>
      </c>
      <c r="H486" s="46">
        <f>TRUNC(S486*(1-LOTE_01!$K$10),2)</f>
        <v>163.69999999999999</v>
      </c>
      <c r="I486" s="46">
        <f>TRUNC(T486*(1-LOTE_01!$K$10),2)</f>
        <v>14.34</v>
      </c>
      <c r="J486" s="100">
        <f t="shared" si="58"/>
        <v>0.22470000000000001</v>
      </c>
      <c r="K486" s="48">
        <f t="shared" si="52"/>
        <v>200.48</v>
      </c>
      <c r="L486" s="48">
        <f t="shared" si="53"/>
        <v>17.559999999999999</v>
      </c>
      <c r="M486" s="48">
        <f t="shared" si="54"/>
        <v>60945.919999999998</v>
      </c>
      <c r="N486" s="48">
        <f t="shared" si="55"/>
        <v>5338.24</v>
      </c>
      <c r="O486" s="50">
        <f t="shared" si="56"/>
        <v>66284.160000000003</v>
      </c>
      <c r="P486" s="50">
        <v>0</v>
      </c>
      <c r="Q486" s="76"/>
      <c r="R486" s="140">
        <f>16*S10+16*S9</f>
        <v>304</v>
      </c>
      <c r="S486" s="79">
        <v>163.69999999999999</v>
      </c>
      <c r="T486" s="80">
        <v>14.34</v>
      </c>
    </row>
    <row r="487" spans="2:20" ht="28">
      <c r="B487" s="5" t="s">
        <v>1166</v>
      </c>
      <c r="C487" s="45" t="s">
        <v>97</v>
      </c>
      <c r="D487" s="45" t="s">
        <v>1167</v>
      </c>
      <c r="E487" s="6" t="s">
        <v>1168</v>
      </c>
      <c r="F487" s="45" t="s">
        <v>104</v>
      </c>
      <c r="G487" s="46">
        <f t="shared" si="57"/>
        <v>304</v>
      </c>
      <c r="H487" s="46">
        <f>TRUNC(S487*(1-LOTE_01!$K$10),2)</f>
        <v>179.3</v>
      </c>
      <c r="I487" s="46">
        <f>TRUNC(T487*(1-LOTE_01!$K$10),2)</f>
        <v>14.34</v>
      </c>
      <c r="J487" s="100">
        <f t="shared" si="58"/>
        <v>0.22470000000000001</v>
      </c>
      <c r="K487" s="48">
        <f t="shared" si="52"/>
        <v>219.58</v>
      </c>
      <c r="L487" s="48">
        <f t="shared" si="53"/>
        <v>17.559999999999999</v>
      </c>
      <c r="M487" s="48">
        <f t="shared" si="54"/>
        <v>66752.320000000007</v>
      </c>
      <c r="N487" s="48">
        <f t="shared" si="55"/>
        <v>5338.24</v>
      </c>
      <c r="O487" s="50">
        <f t="shared" si="56"/>
        <v>72090.559999999998</v>
      </c>
      <c r="P487" s="50">
        <v>0</v>
      </c>
      <c r="Q487" s="76"/>
      <c r="R487" s="140">
        <f>16*S10+16*S9</f>
        <v>304</v>
      </c>
      <c r="S487" s="79">
        <v>179.3</v>
      </c>
      <c r="T487" s="80">
        <v>14.34</v>
      </c>
    </row>
    <row r="488" spans="2:20" ht="28">
      <c r="B488" s="5" t="s">
        <v>1169</v>
      </c>
      <c r="C488" s="45" t="s">
        <v>97</v>
      </c>
      <c r="D488" s="45" t="s">
        <v>1170</v>
      </c>
      <c r="E488" s="6" t="s">
        <v>1171</v>
      </c>
      <c r="F488" s="45" t="s">
        <v>104</v>
      </c>
      <c r="G488" s="46">
        <f t="shared" si="57"/>
        <v>304</v>
      </c>
      <c r="H488" s="46">
        <f>TRUNC(S488*(1-LOTE_01!$K$10),2)</f>
        <v>332.8</v>
      </c>
      <c r="I488" s="46">
        <f>TRUNC(T488*(1-LOTE_01!$K$10),2)</f>
        <v>14.34</v>
      </c>
      <c r="J488" s="100">
        <f t="shared" si="58"/>
        <v>0.22470000000000001</v>
      </c>
      <c r="K488" s="48">
        <f t="shared" si="52"/>
        <v>407.58</v>
      </c>
      <c r="L488" s="48">
        <f t="shared" si="53"/>
        <v>17.559999999999999</v>
      </c>
      <c r="M488" s="48">
        <f t="shared" si="54"/>
        <v>123904.32000000001</v>
      </c>
      <c r="N488" s="48">
        <f t="shared" si="55"/>
        <v>5338.24</v>
      </c>
      <c r="O488" s="50">
        <f t="shared" si="56"/>
        <v>129242.56</v>
      </c>
      <c r="P488" s="50">
        <v>0</v>
      </c>
      <c r="Q488" s="76"/>
      <c r="R488" s="140">
        <f>16*S10+16*S9</f>
        <v>304</v>
      </c>
      <c r="S488" s="79">
        <v>332.8</v>
      </c>
      <c r="T488" s="80">
        <v>14.34</v>
      </c>
    </row>
    <row r="489" spans="2:20" ht="56">
      <c r="B489" s="5" t="s">
        <v>1172</v>
      </c>
      <c r="C489" s="45" t="s">
        <v>97</v>
      </c>
      <c r="D489" s="45" t="s">
        <v>1173</v>
      </c>
      <c r="E489" s="6" t="s">
        <v>1174</v>
      </c>
      <c r="F489" s="45" t="s">
        <v>104</v>
      </c>
      <c r="G489" s="46">
        <f t="shared" si="57"/>
        <v>19</v>
      </c>
      <c r="H489" s="46">
        <f>TRUNC(S489*(1-LOTE_01!$K$10),2)</f>
        <v>751.54</v>
      </c>
      <c r="I489" s="46">
        <f>TRUNC(T489*(1-LOTE_01!$K$10),2)</f>
        <v>143.44999999999999</v>
      </c>
      <c r="J489" s="100">
        <f t="shared" si="58"/>
        <v>0.22470000000000001</v>
      </c>
      <c r="K489" s="48">
        <f t="shared" si="52"/>
        <v>920.41</v>
      </c>
      <c r="L489" s="48">
        <f t="shared" si="53"/>
        <v>175.68</v>
      </c>
      <c r="M489" s="48">
        <f t="shared" si="54"/>
        <v>17487.79</v>
      </c>
      <c r="N489" s="48">
        <f t="shared" si="55"/>
        <v>3337.92</v>
      </c>
      <c r="O489" s="50">
        <f t="shared" si="56"/>
        <v>20825.71</v>
      </c>
      <c r="P489" s="50">
        <v>0</v>
      </c>
      <c r="Q489" s="76"/>
      <c r="R489" s="140">
        <f>S10+S9</f>
        <v>19</v>
      </c>
      <c r="S489" s="79">
        <v>751.54</v>
      </c>
      <c r="T489" s="80">
        <v>143.44999999999999</v>
      </c>
    </row>
    <row r="490" spans="2:20" ht="56">
      <c r="B490" s="5" t="s">
        <v>1175</v>
      </c>
      <c r="C490" s="45" t="s">
        <v>97</v>
      </c>
      <c r="D490" s="45" t="s">
        <v>1176</v>
      </c>
      <c r="E490" s="6" t="s">
        <v>1177</v>
      </c>
      <c r="F490" s="45" t="s">
        <v>104</v>
      </c>
      <c r="G490" s="46">
        <f t="shared" si="57"/>
        <v>19</v>
      </c>
      <c r="H490" s="46">
        <f>TRUNC(S490*(1-LOTE_01!$K$10),2)</f>
        <v>1971.6</v>
      </c>
      <c r="I490" s="46">
        <f>TRUNC(T490*(1-LOTE_01!$K$10),2)</f>
        <v>459.04</v>
      </c>
      <c r="J490" s="100">
        <f t="shared" si="58"/>
        <v>0.22470000000000001</v>
      </c>
      <c r="K490" s="48">
        <f t="shared" si="52"/>
        <v>2414.61</v>
      </c>
      <c r="L490" s="48">
        <f t="shared" si="53"/>
        <v>562.17999999999995</v>
      </c>
      <c r="M490" s="48">
        <f t="shared" si="54"/>
        <v>45877.59</v>
      </c>
      <c r="N490" s="48">
        <f t="shared" si="55"/>
        <v>10681.42</v>
      </c>
      <c r="O490" s="50">
        <f t="shared" si="56"/>
        <v>56559.01</v>
      </c>
      <c r="P490" s="50">
        <v>0</v>
      </c>
      <c r="Q490" s="76"/>
      <c r="R490" s="140">
        <f>S10+S9</f>
        <v>19</v>
      </c>
      <c r="S490" s="79">
        <v>1971.6</v>
      </c>
      <c r="T490" s="80">
        <v>459.04</v>
      </c>
    </row>
    <row r="491" spans="2:20" ht="56">
      <c r="B491" s="5" t="s">
        <v>1178</v>
      </c>
      <c r="C491" s="45" t="s">
        <v>97</v>
      </c>
      <c r="D491" s="45" t="s">
        <v>1179</v>
      </c>
      <c r="E491" s="6" t="s">
        <v>1180</v>
      </c>
      <c r="F491" s="45" t="s">
        <v>104</v>
      </c>
      <c r="G491" s="46">
        <f t="shared" si="57"/>
        <v>19</v>
      </c>
      <c r="H491" s="46">
        <f>TRUNC(S491*(1-LOTE_01!$K$10),2)</f>
        <v>2221.6</v>
      </c>
      <c r="I491" s="46">
        <f>TRUNC(T491*(1-LOTE_01!$K$10),2)</f>
        <v>459.04</v>
      </c>
      <c r="J491" s="100">
        <f t="shared" si="58"/>
        <v>0.22470000000000001</v>
      </c>
      <c r="K491" s="48">
        <f t="shared" si="52"/>
        <v>2720.79</v>
      </c>
      <c r="L491" s="48">
        <f t="shared" si="53"/>
        <v>562.17999999999995</v>
      </c>
      <c r="M491" s="48">
        <f t="shared" si="54"/>
        <v>51695.01</v>
      </c>
      <c r="N491" s="48">
        <f t="shared" si="55"/>
        <v>10681.42</v>
      </c>
      <c r="O491" s="50">
        <f t="shared" si="56"/>
        <v>62376.43</v>
      </c>
      <c r="P491" s="50">
        <v>0</v>
      </c>
      <c r="Q491" s="76"/>
      <c r="R491" s="140">
        <f>S10+S9</f>
        <v>19</v>
      </c>
      <c r="S491" s="79">
        <v>2221.6</v>
      </c>
      <c r="T491" s="80">
        <v>459.04</v>
      </c>
    </row>
    <row r="492" spans="2:20" ht="56">
      <c r="B492" s="5" t="s">
        <v>1181</v>
      </c>
      <c r="C492" s="45" t="s">
        <v>97</v>
      </c>
      <c r="D492" s="45" t="s">
        <v>1182</v>
      </c>
      <c r="E492" s="6" t="s">
        <v>1183</v>
      </c>
      <c r="F492" s="45" t="s">
        <v>104</v>
      </c>
      <c r="G492" s="46">
        <f t="shared" si="57"/>
        <v>19</v>
      </c>
      <c r="H492" s="46">
        <f>TRUNC(S492*(1-LOTE_01!$K$10),2)</f>
        <v>3702</v>
      </c>
      <c r="I492" s="46">
        <f>TRUNC(T492*(1-LOTE_01!$K$10),2)</f>
        <v>573.79999999999995</v>
      </c>
      <c r="J492" s="100">
        <f t="shared" si="58"/>
        <v>0.22470000000000001</v>
      </c>
      <c r="K492" s="48">
        <f t="shared" si="52"/>
        <v>4533.83</v>
      </c>
      <c r="L492" s="48">
        <f t="shared" si="53"/>
        <v>702.73</v>
      </c>
      <c r="M492" s="48">
        <f t="shared" si="54"/>
        <v>86142.77</v>
      </c>
      <c r="N492" s="48">
        <f t="shared" si="55"/>
        <v>13351.87</v>
      </c>
      <c r="O492" s="50">
        <f t="shared" si="56"/>
        <v>99494.64</v>
      </c>
      <c r="P492" s="50">
        <v>0</v>
      </c>
      <c r="Q492" s="76"/>
      <c r="R492" s="140">
        <f>S10+S9</f>
        <v>19</v>
      </c>
      <c r="S492" s="79">
        <v>3702</v>
      </c>
      <c r="T492" s="80">
        <v>573.79999999999995</v>
      </c>
    </row>
    <row r="493" spans="2:20" ht="56">
      <c r="B493" s="5" t="s">
        <v>1184</v>
      </c>
      <c r="C493" s="45" t="s">
        <v>97</v>
      </c>
      <c r="D493" s="45" t="s">
        <v>1185</v>
      </c>
      <c r="E493" s="6" t="s">
        <v>1186</v>
      </c>
      <c r="F493" s="45" t="s">
        <v>104</v>
      </c>
      <c r="G493" s="46">
        <f t="shared" si="57"/>
        <v>19</v>
      </c>
      <c r="H493" s="46">
        <f>TRUNC(S493*(1-LOTE_01!$K$10),2)</f>
        <v>4002</v>
      </c>
      <c r="I493" s="46">
        <f>TRUNC(T493*(1-LOTE_01!$K$10),2)</f>
        <v>573.79999999999995</v>
      </c>
      <c r="J493" s="100">
        <f t="shared" si="58"/>
        <v>0.22470000000000001</v>
      </c>
      <c r="K493" s="48">
        <f t="shared" si="52"/>
        <v>4901.24</v>
      </c>
      <c r="L493" s="48">
        <f t="shared" si="53"/>
        <v>702.73</v>
      </c>
      <c r="M493" s="48">
        <f t="shared" si="54"/>
        <v>93123.56</v>
      </c>
      <c r="N493" s="48">
        <f t="shared" si="55"/>
        <v>13351.87</v>
      </c>
      <c r="O493" s="50">
        <f t="shared" si="56"/>
        <v>106475.43</v>
      </c>
      <c r="P493" s="50">
        <v>0</v>
      </c>
      <c r="Q493" s="76"/>
      <c r="R493" s="140">
        <f>S10+S9</f>
        <v>19</v>
      </c>
      <c r="S493" s="79">
        <v>4002</v>
      </c>
      <c r="T493" s="80">
        <v>573.79999999999995</v>
      </c>
    </row>
    <row r="494" spans="2:20" ht="28">
      <c r="B494" s="5" t="s">
        <v>1187</v>
      </c>
      <c r="C494" s="45" t="s">
        <v>97</v>
      </c>
      <c r="D494" s="45" t="s">
        <v>1188</v>
      </c>
      <c r="E494" s="6" t="s">
        <v>1189</v>
      </c>
      <c r="F494" s="45" t="s">
        <v>104</v>
      </c>
      <c r="G494" s="46">
        <f t="shared" si="57"/>
        <v>95</v>
      </c>
      <c r="H494" s="46">
        <f>TRUNC(S494*(1-LOTE_01!$K$10),2)</f>
        <v>29.49</v>
      </c>
      <c r="I494" s="46">
        <f>TRUNC(T494*(1-LOTE_01!$K$10),2)</f>
        <v>35.520000000000003</v>
      </c>
      <c r="J494" s="100">
        <f t="shared" si="58"/>
        <v>0.22470000000000001</v>
      </c>
      <c r="K494" s="48">
        <f t="shared" si="52"/>
        <v>36.11</v>
      </c>
      <c r="L494" s="48">
        <f t="shared" si="53"/>
        <v>43.5</v>
      </c>
      <c r="M494" s="48">
        <f t="shared" si="54"/>
        <v>3430.45</v>
      </c>
      <c r="N494" s="48">
        <f t="shared" si="55"/>
        <v>4132.5</v>
      </c>
      <c r="O494" s="50">
        <f t="shared" si="56"/>
        <v>7562.95</v>
      </c>
      <c r="P494" s="50">
        <v>0</v>
      </c>
      <c r="Q494" s="76"/>
      <c r="R494" s="140">
        <f>5*S9+5*S10</f>
        <v>95</v>
      </c>
      <c r="S494" s="79">
        <v>29.49</v>
      </c>
      <c r="T494" s="80">
        <v>35.520000000000003</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575753.38000000012</v>
      </c>
      <c r="Q495" s="76"/>
      <c r="R495" s="154"/>
      <c r="S495" s="79" t="s">
        <v>22</v>
      </c>
      <c r="T495" s="80" t="s">
        <v>22</v>
      </c>
    </row>
    <row r="496" spans="2:20" ht="42">
      <c r="B496" s="5" t="s">
        <v>1190</v>
      </c>
      <c r="C496" s="45" t="s">
        <v>135</v>
      </c>
      <c r="D496" s="45">
        <v>90447</v>
      </c>
      <c r="E496" s="6" t="s">
        <v>1191</v>
      </c>
      <c r="F496" s="45" t="s">
        <v>187</v>
      </c>
      <c r="G496" s="46">
        <f t="shared" si="57"/>
        <v>950</v>
      </c>
      <c r="H496" s="46">
        <f>TRUNC(S496*(1-LOTE_01!$K$10),2)</f>
        <v>2.2999999999999998</v>
      </c>
      <c r="I496" s="46">
        <f>TRUNC(T496*(1-LOTE_01!$K$10),2)</f>
        <v>7.3</v>
      </c>
      <c r="J496" s="100">
        <f t="shared" si="58"/>
        <v>0.22470000000000001</v>
      </c>
      <c r="K496" s="48">
        <f t="shared" si="52"/>
        <v>2.81</v>
      </c>
      <c r="L496" s="48">
        <f t="shared" si="53"/>
        <v>8.94</v>
      </c>
      <c r="M496" s="48">
        <f t="shared" si="54"/>
        <v>2669.5</v>
      </c>
      <c r="N496" s="48">
        <f t="shared" si="55"/>
        <v>8493</v>
      </c>
      <c r="O496" s="50">
        <f t="shared" si="56"/>
        <v>11162.5</v>
      </c>
      <c r="P496" s="50">
        <v>0</v>
      </c>
      <c r="Q496" s="76"/>
      <c r="R496" s="140">
        <f>50*S9+50*S10</f>
        <v>950</v>
      </c>
      <c r="S496" s="79">
        <v>2.2999999999999998</v>
      </c>
      <c r="T496" s="80">
        <v>7.3</v>
      </c>
    </row>
    <row r="497" spans="2:20" ht="70">
      <c r="B497" s="5" t="s">
        <v>1192</v>
      </c>
      <c r="C497" s="45" t="s">
        <v>135</v>
      </c>
      <c r="D497" s="45">
        <v>91222</v>
      </c>
      <c r="E497" s="6" t="s">
        <v>1193</v>
      </c>
      <c r="F497" s="45" t="s">
        <v>187</v>
      </c>
      <c r="G497" s="46">
        <f t="shared" si="57"/>
        <v>145</v>
      </c>
      <c r="H497" s="46">
        <f>TRUNC(S497*(1-LOTE_01!$K$10),2)</f>
        <v>2.33</v>
      </c>
      <c r="I497" s="46">
        <f>TRUNC(T497*(1-LOTE_01!$K$10),2)</f>
        <v>7.68</v>
      </c>
      <c r="J497" s="100">
        <f t="shared" si="58"/>
        <v>0.22470000000000001</v>
      </c>
      <c r="K497" s="48">
        <f t="shared" si="52"/>
        <v>2.85</v>
      </c>
      <c r="L497" s="48">
        <f t="shared" si="53"/>
        <v>9.4</v>
      </c>
      <c r="M497" s="48">
        <f t="shared" si="54"/>
        <v>413.25</v>
      </c>
      <c r="N497" s="48">
        <f t="shared" si="55"/>
        <v>1363</v>
      </c>
      <c r="O497" s="50">
        <f t="shared" si="56"/>
        <v>1776.25</v>
      </c>
      <c r="P497" s="50">
        <v>0</v>
      </c>
      <c r="Q497" s="76"/>
      <c r="R497" s="140">
        <f>IF((5*S9+30*S10)&gt;200,200,(5*S9+30*S10))</f>
        <v>145</v>
      </c>
      <c r="S497" s="79">
        <v>2.33</v>
      </c>
      <c r="T497" s="80">
        <v>7.68</v>
      </c>
    </row>
    <row r="498" spans="2:20" ht="84">
      <c r="B498" s="5" t="s">
        <v>1194</v>
      </c>
      <c r="C498" s="45" t="s">
        <v>135</v>
      </c>
      <c r="D498" s="45">
        <v>90445</v>
      </c>
      <c r="E498" s="6" t="s">
        <v>1195</v>
      </c>
      <c r="F498" s="45" t="s">
        <v>187</v>
      </c>
      <c r="G498" s="46">
        <f t="shared" si="57"/>
        <v>100</v>
      </c>
      <c r="H498" s="46">
        <f>TRUNC(S498*(1-LOTE_01!$K$10),2)</f>
        <v>5.01</v>
      </c>
      <c r="I498" s="46">
        <f>TRUNC(T498*(1-LOTE_01!$K$10),2)</f>
        <v>14.2</v>
      </c>
      <c r="J498" s="100">
        <f t="shared" si="58"/>
        <v>0.22470000000000001</v>
      </c>
      <c r="K498" s="48">
        <f t="shared" si="52"/>
        <v>6.13</v>
      </c>
      <c r="L498" s="48">
        <f t="shared" si="53"/>
        <v>17.39</v>
      </c>
      <c r="M498" s="48">
        <f t="shared" si="54"/>
        <v>613</v>
      </c>
      <c r="N498" s="48">
        <f t="shared" si="55"/>
        <v>1739</v>
      </c>
      <c r="O498" s="50">
        <f t="shared" si="56"/>
        <v>2352</v>
      </c>
      <c r="P498" s="50">
        <v>0</v>
      </c>
      <c r="Q498" s="76"/>
      <c r="R498" s="140">
        <f>IF((5*S9+30*S10)&gt;100,100,(5*S9+30*S10))</f>
        <v>100</v>
      </c>
      <c r="S498" s="79">
        <v>5.0100000000000016</v>
      </c>
      <c r="T498" s="80">
        <v>14.2</v>
      </c>
    </row>
    <row r="499" spans="2:20" ht="28">
      <c r="B499" s="5" t="s">
        <v>1196</v>
      </c>
      <c r="C499" s="45" t="s">
        <v>97</v>
      </c>
      <c r="D499" s="45" t="s">
        <v>1197</v>
      </c>
      <c r="E499" s="6" t="s">
        <v>1198</v>
      </c>
      <c r="F499" s="45" t="s">
        <v>999</v>
      </c>
      <c r="G499" s="46">
        <f t="shared" si="57"/>
        <v>50</v>
      </c>
      <c r="H499" s="46">
        <f>TRUNC(S499*(1-LOTE_01!$K$10),2)</f>
        <v>274.38</v>
      </c>
      <c r="I499" s="46">
        <f>TRUNC(T499*(1-LOTE_01!$K$10),2)</f>
        <v>417.27</v>
      </c>
      <c r="J499" s="100">
        <f t="shared" si="58"/>
        <v>0.22470000000000001</v>
      </c>
      <c r="K499" s="48">
        <f t="shared" si="52"/>
        <v>336.03</v>
      </c>
      <c r="L499" s="48">
        <f t="shared" si="53"/>
        <v>511.03</v>
      </c>
      <c r="M499" s="48">
        <f t="shared" si="54"/>
        <v>16801.5</v>
      </c>
      <c r="N499" s="48">
        <f t="shared" si="55"/>
        <v>25551.5</v>
      </c>
      <c r="O499" s="50">
        <f t="shared" si="56"/>
        <v>42353</v>
      </c>
      <c r="P499" s="50">
        <v>0</v>
      </c>
      <c r="Q499" s="76"/>
      <c r="R499" s="140">
        <f>IF((5*S9+10*S10)&gt;50,50,(5*S9+10*S10))</f>
        <v>50</v>
      </c>
      <c r="S499" s="79">
        <v>274.38</v>
      </c>
      <c r="T499" s="80">
        <v>417.27</v>
      </c>
    </row>
    <row r="500" spans="2:20" ht="28">
      <c r="B500" s="5" t="s">
        <v>1199</v>
      </c>
      <c r="C500" s="45" t="s">
        <v>97</v>
      </c>
      <c r="D500" s="45" t="s">
        <v>1200</v>
      </c>
      <c r="E500" s="6" t="s">
        <v>1201</v>
      </c>
      <c r="F500" s="45" t="s">
        <v>999</v>
      </c>
      <c r="G500" s="46">
        <f t="shared" si="57"/>
        <v>50</v>
      </c>
      <c r="H500" s="46">
        <f>TRUNC(S500*(1-LOTE_01!$K$10),2)</f>
        <v>131.29</v>
      </c>
      <c r="I500" s="46">
        <f>TRUNC(T500*(1-LOTE_01!$K$10),2)</f>
        <v>89.8</v>
      </c>
      <c r="J500" s="100">
        <f t="shared" si="58"/>
        <v>0.22470000000000001</v>
      </c>
      <c r="K500" s="48">
        <f t="shared" si="52"/>
        <v>160.79</v>
      </c>
      <c r="L500" s="48">
        <f t="shared" si="53"/>
        <v>109.97</v>
      </c>
      <c r="M500" s="48">
        <f t="shared" si="54"/>
        <v>8039.5</v>
      </c>
      <c r="N500" s="48">
        <f t="shared" si="55"/>
        <v>5498.5</v>
      </c>
      <c r="O500" s="50">
        <f t="shared" si="56"/>
        <v>13538</v>
      </c>
      <c r="P500" s="50">
        <v>0</v>
      </c>
      <c r="Q500" s="76"/>
      <c r="R500" s="140">
        <f>IF((5*S9+10*S10)&gt;50,50,(5*S9+10*S10))</f>
        <v>50</v>
      </c>
      <c r="S500" s="79">
        <v>131.29</v>
      </c>
      <c r="T500" s="80">
        <v>89.8</v>
      </c>
    </row>
    <row r="501" spans="2:20" ht="84">
      <c r="B501" s="5" t="s">
        <v>1202</v>
      </c>
      <c r="C501" s="45" t="s">
        <v>97</v>
      </c>
      <c r="D501" s="45" t="s">
        <v>1203</v>
      </c>
      <c r="E501" s="6" t="s">
        <v>1204</v>
      </c>
      <c r="F501" s="45" t="s">
        <v>104</v>
      </c>
      <c r="G501" s="46">
        <f t="shared" si="57"/>
        <v>50</v>
      </c>
      <c r="H501" s="46">
        <f>TRUNC(S501*(1-LOTE_01!$K$10),2)</f>
        <v>752.61</v>
      </c>
      <c r="I501" s="46">
        <f>TRUNC(T501*(1-LOTE_01!$K$10),2)</f>
        <v>747.24</v>
      </c>
      <c r="J501" s="100">
        <f t="shared" si="58"/>
        <v>0.22470000000000001</v>
      </c>
      <c r="K501" s="48">
        <f t="shared" si="52"/>
        <v>921.72</v>
      </c>
      <c r="L501" s="48">
        <f t="shared" si="53"/>
        <v>915.14</v>
      </c>
      <c r="M501" s="48">
        <f t="shared" si="54"/>
        <v>46086</v>
      </c>
      <c r="N501" s="48">
        <f t="shared" si="55"/>
        <v>45757</v>
      </c>
      <c r="O501" s="50">
        <f t="shared" si="56"/>
        <v>91843</v>
      </c>
      <c r="P501" s="50">
        <v>0</v>
      </c>
      <c r="Q501" s="76"/>
      <c r="R501" s="140">
        <f>IF((5*S9+10*S10)&gt;50,50,(5*S9+10*S10))</f>
        <v>50</v>
      </c>
      <c r="S501" s="79">
        <v>752.61</v>
      </c>
      <c r="T501" s="80">
        <v>747.24</v>
      </c>
    </row>
    <row r="502" spans="2:20" ht="42">
      <c r="B502" s="5" t="s">
        <v>1205</v>
      </c>
      <c r="C502" s="45" t="s">
        <v>135</v>
      </c>
      <c r="D502" s="45">
        <v>86886</v>
      </c>
      <c r="E502" s="6" t="s">
        <v>1816</v>
      </c>
      <c r="F502" s="45" t="s">
        <v>210</v>
      </c>
      <c r="G502" s="46">
        <f t="shared" si="57"/>
        <v>50</v>
      </c>
      <c r="H502" s="46">
        <f>TRUNC(S502*(1-LOTE_01!$K$10),2)</f>
        <v>48.26</v>
      </c>
      <c r="I502" s="46">
        <f>TRUNC(T502*(1-LOTE_01!$K$10),2)</f>
        <v>4.5</v>
      </c>
      <c r="J502" s="100">
        <f t="shared" si="58"/>
        <v>0.22470000000000001</v>
      </c>
      <c r="K502" s="48">
        <f t="shared" si="52"/>
        <v>59.1</v>
      </c>
      <c r="L502" s="48">
        <f t="shared" si="53"/>
        <v>5.51</v>
      </c>
      <c r="M502" s="48">
        <f t="shared" si="54"/>
        <v>2955</v>
      </c>
      <c r="N502" s="48">
        <f t="shared" si="55"/>
        <v>275.5</v>
      </c>
      <c r="O502" s="50">
        <f t="shared" si="56"/>
        <v>3230.5</v>
      </c>
      <c r="P502" s="50">
        <v>0</v>
      </c>
      <c r="Q502" s="76"/>
      <c r="R502" s="140">
        <f>IF((5*S9+10*S10)&gt;50,50,(5*S9+10*S10))</f>
        <v>50</v>
      </c>
      <c r="S502" s="79">
        <v>48.26</v>
      </c>
      <c r="T502" s="80">
        <v>4.5</v>
      </c>
    </row>
    <row r="503" spans="2:20" ht="28">
      <c r="B503" s="5" t="s">
        <v>1206</v>
      </c>
      <c r="C503" s="45" t="s">
        <v>165</v>
      </c>
      <c r="D503" s="45" t="s">
        <v>1207</v>
      </c>
      <c r="E503" s="6" t="s">
        <v>1208</v>
      </c>
      <c r="F503" s="45" t="s">
        <v>559</v>
      </c>
      <c r="G503" s="46">
        <f t="shared" si="57"/>
        <v>50</v>
      </c>
      <c r="H503" s="46">
        <f>TRUNC(S503*(1-LOTE_01!$K$10),2)</f>
        <v>193.37</v>
      </c>
      <c r="I503" s="46">
        <f>TRUNC(T503*(1-LOTE_01!$K$10),2)</f>
        <v>23.63</v>
      </c>
      <c r="J503" s="100">
        <f t="shared" si="58"/>
        <v>0.22470000000000001</v>
      </c>
      <c r="K503" s="48">
        <f t="shared" si="52"/>
        <v>236.82</v>
      </c>
      <c r="L503" s="48">
        <f t="shared" si="53"/>
        <v>28.93</v>
      </c>
      <c r="M503" s="48">
        <f t="shared" si="54"/>
        <v>11841</v>
      </c>
      <c r="N503" s="48">
        <f t="shared" si="55"/>
        <v>1446.5</v>
      </c>
      <c r="O503" s="50">
        <f t="shared" si="56"/>
        <v>13287.5</v>
      </c>
      <c r="P503" s="50">
        <v>0</v>
      </c>
      <c r="Q503" s="76"/>
      <c r="R503" s="140">
        <f>IF((5*S9+10*S10)&gt;50,50,(5*S9+10*S10))</f>
        <v>50</v>
      </c>
      <c r="S503" s="79">
        <v>193.37</v>
      </c>
      <c r="T503" s="80">
        <v>23.63</v>
      </c>
    </row>
    <row r="504" spans="2:20" ht="28">
      <c r="B504" s="5" t="s">
        <v>1209</v>
      </c>
      <c r="C504" s="45" t="s">
        <v>165</v>
      </c>
      <c r="D504" s="45" t="s">
        <v>1210</v>
      </c>
      <c r="E504" s="6" t="s">
        <v>1211</v>
      </c>
      <c r="F504" s="45" t="s">
        <v>559</v>
      </c>
      <c r="G504" s="46">
        <f t="shared" si="57"/>
        <v>50</v>
      </c>
      <c r="H504" s="46">
        <f>TRUNC(S504*(1-LOTE_01!$K$10),2)</f>
        <v>126.25</v>
      </c>
      <c r="I504" s="46">
        <f>TRUNC(T504*(1-LOTE_01!$K$10),2)</f>
        <v>23.63</v>
      </c>
      <c r="J504" s="100">
        <f t="shared" si="58"/>
        <v>0.22470000000000001</v>
      </c>
      <c r="K504" s="48">
        <f t="shared" si="52"/>
        <v>154.61000000000001</v>
      </c>
      <c r="L504" s="48">
        <f t="shared" si="53"/>
        <v>28.93</v>
      </c>
      <c r="M504" s="48">
        <f t="shared" si="54"/>
        <v>7730.5</v>
      </c>
      <c r="N504" s="48">
        <f t="shared" si="55"/>
        <v>1446.5</v>
      </c>
      <c r="O504" s="50">
        <f t="shared" si="56"/>
        <v>9177</v>
      </c>
      <c r="P504" s="50">
        <v>0</v>
      </c>
      <c r="Q504" s="76"/>
      <c r="R504" s="140">
        <f>IF((5*S9+10*S10)&gt;50,50,(5*S9+10*S10))</f>
        <v>50</v>
      </c>
      <c r="S504" s="79">
        <v>126.25</v>
      </c>
      <c r="T504" s="80">
        <v>23.63</v>
      </c>
    </row>
    <row r="505" spans="2:20" ht="56">
      <c r="B505" s="5" t="s">
        <v>1212</v>
      </c>
      <c r="C505" s="45" t="s">
        <v>135</v>
      </c>
      <c r="D505" s="45">
        <v>89358</v>
      </c>
      <c r="E505" s="6" t="s">
        <v>1213</v>
      </c>
      <c r="F505" s="45" t="s">
        <v>210</v>
      </c>
      <c r="G505" s="46">
        <f t="shared" si="57"/>
        <v>50</v>
      </c>
      <c r="H505" s="46">
        <f>TRUNC(S505*(1-LOTE_01!$K$10),2)</f>
        <v>3.39</v>
      </c>
      <c r="I505" s="46">
        <f>TRUNC(T505*(1-LOTE_01!$K$10),2)</f>
        <v>5.95</v>
      </c>
      <c r="J505" s="100">
        <f t="shared" si="58"/>
        <v>0.22470000000000001</v>
      </c>
      <c r="K505" s="48">
        <f t="shared" si="52"/>
        <v>4.1500000000000004</v>
      </c>
      <c r="L505" s="48">
        <f t="shared" si="53"/>
        <v>7.28</v>
      </c>
      <c r="M505" s="48">
        <f t="shared" si="54"/>
        <v>207.5</v>
      </c>
      <c r="N505" s="48">
        <f t="shared" si="55"/>
        <v>364</v>
      </c>
      <c r="O505" s="50">
        <f t="shared" si="56"/>
        <v>571.5</v>
      </c>
      <c r="P505" s="50">
        <v>0</v>
      </c>
      <c r="Q505" s="76"/>
      <c r="R505" s="140">
        <f>IF((5*S9+10*S10)&gt;50,50,(5*S9+10*S10))</f>
        <v>50</v>
      </c>
      <c r="S505" s="79">
        <v>3.3899999999999997</v>
      </c>
      <c r="T505" s="80">
        <v>5.95</v>
      </c>
    </row>
    <row r="506" spans="2:20" ht="56">
      <c r="B506" s="5" t="s">
        <v>1214</v>
      </c>
      <c r="C506" s="45" t="s">
        <v>135</v>
      </c>
      <c r="D506" s="45">
        <v>89362</v>
      </c>
      <c r="E506" s="6" t="s">
        <v>1215</v>
      </c>
      <c r="F506" s="45" t="s">
        <v>210</v>
      </c>
      <c r="G506" s="46">
        <f t="shared" si="57"/>
        <v>50</v>
      </c>
      <c r="H506" s="46">
        <f>TRUNC(S506*(1-LOTE_01!$K$10),2)</f>
        <v>4.17</v>
      </c>
      <c r="I506" s="46">
        <f>TRUNC(T506*(1-LOTE_01!$K$10),2)</f>
        <v>6.95</v>
      </c>
      <c r="J506" s="100">
        <f t="shared" si="58"/>
        <v>0.22470000000000001</v>
      </c>
      <c r="K506" s="48">
        <f t="shared" si="52"/>
        <v>5.0999999999999996</v>
      </c>
      <c r="L506" s="48">
        <f t="shared" si="53"/>
        <v>8.51</v>
      </c>
      <c r="M506" s="48">
        <f t="shared" si="54"/>
        <v>255</v>
      </c>
      <c r="N506" s="48">
        <f t="shared" si="55"/>
        <v>425.5</v>
      </c>
      <c r="O506" s="50">
        <f t="shared" si="56"/>
        <v>680.5</v>
      </c>
      <c r="P506" s="50">
        <v>0</v>
      </c>
      <c r="Q506" s="76"/>
      <c r="R506" s="140">
        <f>IF((5*S9+10*S10)&gt;50,50,(5*S9+10*S10))</f>
        <v>50</v>
      </c>
      <c r="S506" s="79">
        <v>4.169999999999999</v>
      </c>
      <c r="T506" s="80">
        <v>6.95</v>
      </c>
    </row>
    <row r="507" spans="2:20" ht="70">
      <c r="B507" s="5" t="s">
        <v>1216</v>
      </c>
      <c r="C507" s="45" t="s">
        <v>135</v>
      </c>
      <c r="D507" s="45">
        <v>89366</v>
      </c>
      <c r="E507" s="6" t="s">
        <v>1217</v>
      </c>
      <c r="F507" s="45" t="s">
        <v>210</v>
      </c>
      <c r="G507" s="46">
        <f t="shared" si="57"/>
        <v>50</v>
      </c>
      <c r="H507" s="46">
        <f>TRUNC(S507*(1-LOTE_01!$K$10),2)</f>
        <v>12.06</v>
      </c>
      <c r="I507" s="46">
        <f>TRUNC(T507*(1-LOTE_01!$K$10),2)</f>
        <v>6.7</v>
      </c>
      <c r="J507" s="100">
        <f t="shared" si="58"/>
        <v>0.22470000000000001</v>
      </c>
      <c r="K507" s="48">
        <f t="shared" si="52"/>
        <v>14.76</v>
      </c>
      <c r="L507" s="48">
        <f t="shared" si="53"/>
        <v>8.1999999999999993</v>
      </c>
      <c r="M507" s="48">
        <f t="shared" si="54"/>
        <v>738</v>
      </c>
      <c r="N507" s="48">
        <f t="shared" si="55"/>
        <v>410</v>
      </c>
      <c r="O507" s="50">
        <f t="shared" si="56"/>
        <v>1148</v>
      </c>
      <c r="P507" s="50">
        <v>0</v>
      </c>
      <c r="Q507" s="76"/>
      <c r="R507" s="140">
        <f>IF((5*S9+10*S10)&gt;50,50,(5*S9+10*S10))</f>
        <v>50</v>
      </c>
      <c r="S507" s="79">
        <v>12.060000000000002</v>
      </c>
      <c r="T507" s="80">
        <v>6.7</v>
      </c>
    </row>
    <row r="508" spans="2:20" ht="70">
      <c r="B508" s="5" t="s">
        <v>1218</v>
      </c>
      <c r="C508" s="45" t="s">
        <v>135</v>
      </c>
      <c r="D508" s="45">
        <v>89366</v>
      </c>
      <c r="E508" s="6" t="s">
        <v>1217</v>
      </c>
      <c r="F508" s="45" t="s">
        <v>210</v>
      </c>
      <c r="G508" s="46">
        <f t="shared" si="57"/>
        <v>50</v>
      </c>
      <c r="H508" s="46">
        <f>TRUNC(S508*(1-LOTE_01!$K$10),2)</f>
        <v>12.06</v>
      </c>
      <c r="I508" s="46">
        <f>TRUNC(T508*(1-LOTE_01!$K$10),2)</f>
        <v>6.7</v>
      </c>
      <c r="J508" s="100">
        <f t="shared" si="58"/>
        <v>0.22470000000000001</v>
      </c>
      <c r="K508" s="48">
        <f t="shared" si="52"/>
        <v>14.76</v>
      </c>
      <c r="L508" s="48">
        <f t="shared" si="53"/>
        <v>8.1999999999999993</v>
      </c>
      <c r="M508" s="48">
        <f t="shared" si="54"/>
        <v>738</v>
      </c>
      <c r="N508" s="48">
        <f t="shared" si="55"/>
        <v>410</v>
      </c>
      <c r="O508" s="50">
        <f t="shared" si="56"/>
        <v>1148</v>
      </c>
      <c r="P508" s="50">
        <v>0</v>
      </c>
      <c r="Q508" s="76"/>
      <c r="R508" s="140">
        <f>IF((5*S9+10*S10)&gt;50,50,(5*S9+10*S10))</f>
        <v>50</v>
      </c>
      <c r="S508" s="79">
        <v>12.060000000000002</v>
      </c>
      <c r="T508" s="80">
        <v>6.7</v>
      </c>
    </row>
    <row r="509" spans="2:20" ht="56">
      <c r="B509" s="5" t="s">
        <v>1219</v>
      </c>
      <c r="C509" s="45" t="s">
        <v>135</v>
      </c>
      <c r="D509" s="45">
        <v>89367</v>
      </c>
      <c r="E509" s="6" t="s">
        <v>1220</v>
      </c>
      <c r="F509" s="45" t="s">
        <v>210</v>
      </c>
      <c r="G509" s="46">
        <f t="shared" si="57"/>
        <v>50</v>
      </c>
      <c r="H509" s="46">
        <f>TRUNC(S509*(1-LOTE_01!$K$10),2)</f>
        <v>6.9</v>
      </c>
      <c r="I509" s="46">
        <f>TRUNC(T509*(1-LOTE_01!$K$10),2)</f>
        <v>8.35</v>
      </c>
      <c r="J509" s="100">
        <f t="shared" si="58"/>
        <v>0.22470000000000001</v>
      </c>
      <c r="K509" s="48">
        <f t="shared" si="52"/>
        <v>8.4499999999999993</v>
      </c>
      <c r="L509" s="48">
        <f t="shared" si="53"/>
        <v>10.220000000000001</v>
      </c>
      <c r="M509" s="48">
        <f t="shared" si="54"/>
        <v>422.5</v>
      </c>
      <c r="N509" s="48">
        <f t="shared" si="55"/>
        <v>511</v>
      </c>
      <c r="O509" s="50">
        <f t="shared" si="56"/>
        <v>933.5</v>
      </c>
      <c r="P509" s="50">
        <v>0</v>
      </c>
      <c r="Q509" s="76"/>
      <c r="R509" s="140">
        <f>IF((5*S9+10*S10)&gt;50,50,(5*S9+10*S10))</f>
        <v>50</v>
      </c>
      <c r="S509" s="79">
        <v>6.9</v>
      </c>
      <c r="T509" s="80">
        <v>8.35</v>
      </c>
    </row>
    <row r="510" spans="2:20" ht="56">
      <c r="B510" s="5" t="s">
        <v>1221</v>
      </c>
      <c r="C510" s="45" t="s">
        <v>135</v>
      </c>
      <c r="D510" s="45">
        <v>89497</v>
      </c>
      <c r="E510" s="6" t="s">
        <v>1222</v>
      </c>
      <c r="F510" s="45" t="s">
        <v>210</v>
      </c>
      <c r="G510" s="46">
        <f t="shared" si="57"/>
        <v>50</v>
      </c>
      <c r="H510" s="46">
        <f>TRUNC(S510*(1-LOTE_01!$K$10),2)</f>
        <v>10.210000000000001</v>
      </c>
      <c r="I510" s="46">
        <f>TRUNC(T510*(1-LOTE_01!$K$10),2)</f>
        <v>4.9800000000000004</v>
      </c>
      <c r="J510" s="100">
        <f t="shared" si="58"/>
        <v>0.22470000000000001</v>
      </c>
      <c r="K510" s="48">
        <f t="shared" si="52"/>
        <v>12.5</v>
      </c>
      <c r="L510" s="48">
        <f t="shared" si="53"/>
        <v>6.09</v>
      </c>
      <c r="M510" s="48">
        <f t="shared" si="54"/>
        <v>625</v>
      </c>
      <c r="N510" s="48">
        <f t="shared" si="55"/>
        <v>304.5</v>
      </c>
      <c r="O510" s="50">
        <f t="shared" si="56"/>
        <v>929.5</v>
      </c>
      <c r="P510" s="50">
        <v>0</v>
      </c>
      <c r="Q510" s="76"/>
      <c r="R510" s="140">
        <f>IF((5*S9+10*S10)&gt;50,50,(5*S9+10*S10))</f>
        <v>50</v>
      </c>
      <c r="S510" s="79">
        <v>10.209999999999999</v>
      </c>
      <c r="T510" s="80">
        <v>4.9800000000000004</v>
      </c>
    </row>
    <row r="511" spans="2:20" ht="70">
      <c r="B511" s="5" t="s">
        <v>1223</v>
      </c>
      <c r="C511" s="45" t="s">
        <v>135</v>
      </c>
      <c r="D511" s="45">
        <v>96853</v>
      </c>
      <c r="E511" s="6" t="s">
        <v>1224</v>
      </c>
      <c r="F511" s="45" t="s">
        <v>210</v>
      </c>
      <c r="G511" s="46">
        <f t="shared" si="57"/>
        <v>50</v>
      </c>
      <c r="H511" s="46">
        <f>TRUNC(S511*(1-LOTE_01!$K$10),2)</f>
        <v>16.07</v>
      </c>
      <c r="I511" s="46">
        <f>TRUNC(T511*(1-LOTE_01!$K$10),2)</f>
        <v>10.78</v>
      </c>
      <c r="J511" s="100">
        <f t="shared" si="58"/>
        <v>0.22470000000000001</v>
      </c>
      <c r="K511" s="48">
        <f t="shared" si="52"/>
        <v>19.68</v>
      </c>
      <c r="L511" s="48">
        <f t="shared" si="53"/>
        <v>13.2</v>
      </c>
      <c r="M511" s="48">
        <f t="shared" si="54"/>
        <v>984</v>
      </c>
      <c r="N511" s="48">
        <f t="shared" si="55"/>
        <v>660</v>
      </c>
      <c r="O511" s="50">
        <f t="shared" si="56"/>
        <v>1644</v>
      </c>
      <c r="P511" s="50">
        <v>0</v>
      </c>
      <c r="Q511" s="76"/>
      <c r="R511" s="140">
        <f>IF((5*S9+10*S10)&gt;50,50,(5*S9+10*S10))</f>
        <v>50</v>
      </c>
      <c r="S511" s="79">
        <v>16.07</v>
      </c>
      <c r="T511" s="80">
        <v>10.78</v>
      </c>
    </row>
    <row r="512" spans="2:20" ht="70">
      <c r="B512" s="5" t="s">
        <v>1225</v>
      </c>
      <c r="C512" s="45" t="s">
        <v>135</v>
      </c>
      <c r="D512" s="45">
        <v>90373</v>
      </c>
      <c r="E512" s="6" t="s">
        <v>1226</v>
      </c>
      <c r="F512" s="45" t="s">
        <v>210</v>
      </c>
      <c r="G512" s="46">
        <f t="shared" si="57"/>
        <v>50</v>
      </c>
      <c r="H512" s="46">
        <f>TRUNC(S512*(1-LOTE_01!$K$10),2)</f>
        <v>8.85</v>
      </c>
      <c r="I512" s="46">
        <f>TRUNC(T512*(1-LOTE_01!$K$10),2)</f>
        <v>6.17</v>
      </c>
      <c r="J512" s="100">
        <f t="shared" si="58"/>
        <v>0.22470000000000001</v>
      </c>
      <c r="K512" s="48">
        <f t="shared" si="52"/>
        <v>10.83</v>
      </c>
      <c r="L512" s="48">
        <f t="shared" si="53"/>
        <v>7.55</v>
      </c>
      <c r="M512" s="48">
        <f t="shared" si="54"/>
        <v>541.5</v>
      </c>
      <c r="N512" s="48">
        <f t="shared" si="55"/>
        <v>377.5</v>
      </c>
      <c r="O512" s="50">
        <f t="shared" si="56"/>
        <v>919</v>
      </c>
      <c r="P512" s="50">
        <v>0</v>
      </c>
      <c r="Q512" s="76"/>
      <c r="R512" s="140">
        <f>IF((5*S9+10*S10)&gt;50,50,(5*S9+10*S10))</f>
        <v>50</v>
      </c>
      <c r="S512" s="79">
        <v>8.85</v>
      </c>
      <c r="T512" s="80">
        <v>6.17</v>
      </c>
    </row>
    <row r="513" spans="2:20" ht="56">
      <c r="B513" s="5" t="s">
        <v>1227</v>
      </c>
      <c r="C513" s="45" t="s">
        <v>135</v>
      </c>
      <c r="D513" s="45">
        <v>89369</v>
      </c>
      <c r="E513" s="6" t="s">
        <v>1228</v>
      </c>
      <c r="F513" s="45" t="s">
        <v>210</v>
      </c>
      <c r="G513" s="46">
        <f t="shared" si="57"/>
        <v>50</v>
      </c>
      <c r="H513" s="46">
        <f>TRUNC(S513*(1-LOTE_01!$K$10),2)</f>
        <v>11.4</v>
      </c>
      <c r="I513" s="46">
        <f>TRUNC(T513*(1-LOTE_01!$K$10),2)</f>
        <v>8.49</v>
      </c>
      <c r="J513" s="100">
        <f t="shared" si="58"/>
        <v>0.22470000000000001</v>
      </c>
      <c r="K513" s="48">
        <f t="shared" si="52"/>
        <v>13.96</v>
      </c>
      <c r="L513" s="48">
        <f t="shared" si="53"/>
        <v>10.39</v>
      </c>
      <c r="M513" s="48">
        <f t="shared" si="54"/>
        <v>698</v>
      </c>
      <c r="N513" s="48">
        <f t="shared" si="55"/>
        <v>519.5</v>
      </c>
      <c r="O513" s="50">
        <f t="shared" si="56"/>
        <v>1217.5</v>
      </c>
      <c r="P513" s="50">
        <v>0</v>
      </c>
      <c r="Q513" s="76"/>
      <c r="R513" s="140">
        <f>IF((5*S9+10*S10)&gt;50,50,(5*S9+10*S10))</f>
        <v>50</v>
      </c>
      <c r="S513" s="79">
        <v>11.4</v>
      </c>
      <c r="T513" s="80">
        <v>8.49</v>
      </c>
    </row>
    <row r="514" spans="2:20" ht="84">
      <c r="B514" s="5" t="s">
        <v>1229</v>
      </c>
      <c r="C514" s="45" t="s">
        <v>135</v>
      </c>
      <c r="D514" s="45">
        <v>89391</v>
      </c>
      <c r="E514" s="6" t="s">
        <v>1230</v>
      </c>
      <c r="F514" s="45" t="s">
        <v>210</v>
      </c>
      <c r="G514" s="46">
        <f t="shared" si="57"/>
        <v>50</v>
      </c>
      <c r="H514" s="46">
        <f>TRUNC(S514*(1-LOTE_01!$K$10),2)</f>
        <v>5.0199999999999996</v>
      </c>
      <c r="I514" s="46">
        <f>TRUNC(T514*(1-LOTE_01!$K$10),2)</f>
        <v>5.16</v>
      </c>
      <c r="J514" s="100">
        <f t="shared" si="58"/>
        <v>0.22470000000000001</v>
      </c>
      <c r="K514" s="48">
        <f t="shared" si="52"/>
        <v>6.14</v>
      </c>
      <c r="L514" s="48">
        <f t="shared" si="53"/>
        <v>6.31</v>
      </c>
      <c r="M514" s="48">
        <f t="shared" si="54"/>
        <v>307</v>
      </c>
      <c r="N514" s="48">
        <f t="shared" si="55"/>
        <v>315.5</v>
      </c>
      <c r="O514" s="50">
        <f t="shared" si="56"/>
        <v>622.5</v>
      </c>
      <c r="P514" s="50">
        <v>0</v>
      </c>
      <c r="Q514" s="76"/>
      <c r="R514" s="140">
        <f>IF((5*S9+10*S10)&gt;50,50,(5*S9+10*S10))</f>
        <v>50</v>
      </c>
      <c r="S514" s="79">
        <v>5.0199999999999996</v>
      </c>
      <c r="T514" s="80">
        <v>5.16</v>
      </c>
    </row>
    <row r="515" spans="2:20" ht="56">
      <c r="B515" s="5" t="s">
        <v>1231</v>
      </c>
      <c r="C515" s="45" t="s">
        <v>135</v>
      </c>
      <c r="D515" s="45">
        <v>89401</v>
      </c>
      <c r="E515" s="6" t="s">
        <v>1232</v>
      </c>
      <c r="F515" s="45" t="s">
        <v>187</v>
      </c>
      <c r="G515" s="46">
        <f t="shared" si="57"/>
        <v>100</v>
      </c>
      <c r="H515" s="46">
        <f>TRUNC(S515*(1-LOTE_01!$K$10),2)</f>
        <v>6.19</v>
      </c>
      <c r="I515" s="46">
        <f>TRUNC(T515*(1-LOTE_01!$K$10),2)</f>
        <v>6.31</v>
      </c>
      <c r="J515" s="100">
        <f t="shared" si="58"/>
        <v>0.22470000000000001</v>
      </c>
      <c r="K515" s="48">
        <f t="shared" si="52"/>
        <v>7.58</v>
      </c>
      <c r="L515" s="48">
        <f t="shared" si="53"/>
        <v>7.72</v>
      </c>
      <c r="M515" s="48">
        <f t="shared" si="54"/>
        <v>758</v>
      </c>
      <c r="N515" s="48">
        <f t="shared" si="55"/>
        <v>772</v>
      </c>
      <c r="O515" s="50">
        <f t="shared" si="56"/>
        <v>1530</v>
      </c>
      <c r="P515" s="50">
        <v>0</v>
      </c>
      <c r="Q515" s="76"/>
      <c r="R515" s="140">
        <f>IF((10*S9+20*S10)&gt;100,100,(10*S9+20*S10))</f>
        <v>100</v>
      </c>
      <c r="S515" s="79">
        <v>6.19</v>
      </c>
      <c r="T515" s="80">
        <v>6.31</v>
      </c>
    </row>
    <row r="516" spans="2:20" ht="56">
      <c r="B516" s="5" t="s">
        <v>1233</v>
      </c>
      <c r="C516" s="45" t="s">
        <v>135</v>
      </c>
      <c r="D516" s="45">
        <v>89402</v>
      </c>
      <c r="E516" s="6" t="s">
        <v>1234</v>
      </c>
      <c r="F516" s="45" t="s">
        <v>187</v>
      </c>
      <c r="G516" s="46">
        <f t="shared" si="57"/>
        <v>100</v>
      </c>
      <c r="H516" s="46">
        <f>TRUNC(S516*(1-LOTE_01!$K$10),2)</f>
        <v>7.04</v>
      </c>
      <c r="I516" s="46">
        <f>TRUNC(T516*(1-LOTE_01!$K$10),2)</f>
        <v>7.33</v>
      </c>
      <c r="J516" s="100">
        <f t="shared" si="58"/>
        <v>0.22470000000000001</v>
      </c>
      <c r="K516" s="48">
        <f t="shared" si="52"/>
        <v>8.6199999999999992</v>
      </c>
      <c r="L516" s="48">
        <f t="shared" si="53"/>
        <v>8.9700000000000006</v>
      </c>
      <c r="M516" s="48">
        <f t="shared" si="54"/>
        <v>862</v>
      </c>
      <c r="N516" s="48">
        <f t="shared" si="55"/>
        <v>897</v>
      </c>
      <c r="O516" s="50">
        <f t="shared" si="56"/>
        <v>1759</v>
      </c>
      <c r="P516" s="50">
        <v>0</v>
      </c>
      <c r="Q516" s="76"/>
      <c r="R516" s="140">
        <f>IF((10*S9+20*S10)&gt;100,100,(10*S9+20*S10))</f>
        <v>100</v>
      </c>
      <c r="S516" s="79">
        <v>7.0399999999999991</v>
      </c>
      <c r="T516" s="80">
        <v>7.33</v>
      </c>
    </row>
    <row r="517" spans="2:20" ht="56">
      <c r="B517" s="5" t="s">
        <v>1235</v>
      </c>
      <c r="C517" s="45" t="s">
        <v>135</v>
      </c>
      <c r="D517" s="45">
        <v>89403</v>
      </c>
      <c r="E517" s="6" t="s">
        <v>1236</v>
      </c>
      <c r="F517" s="45" t="s">
        <v>187</v>
      </c>
      <c r="G517" s="46">
        <f t="shared" si="57"/>
        <v>100</v>
      </c>
      <c r="H517" s="46">
        <f>TRUNC(S517*(1-LOTE_01!$K$10),2)</f>
        <v>13.11</v>
      </c>
      <c r="I517" s="46">
        <f>TRUNC(T517*(1-LOTE_01!$K$10),2)</f>
        <v>8.86</v>
      </c>
      <c r="J517" s="100">
        <f t="shared" si="58"/>
        <v>0.22470000000000001</v>
      </c>
      <c r="K517" s="48">
        <f t="shared" si="52"/>
        <v>16.05</v>
      </c>
      <c r="L517" s="48">
        <f t="shared" si="53"/>
        <v>10.85</v>
      </c>
      <c r="M517" s="48">
        <f t="shared" si="54"/>
        <v>1605</v>
      </c>
      <c r="N517" s="48">
        <f t="shared" si="55"/>
        <v>1085</v>
      </c>
      <c r="O517" s="50">
        <f t="shared" si="56"/>
        <v>2690</v>
      </c>
      <c r="P517" s="50">
        <v>0</v>
      </c>
      <c r="Q517" s="76"/>
      <c r="R517" s="140">
        <f>IF((10*S9+20*S10)&gt;100,100,(10*S9+20*S10))</f>
        <v>100</v>
      </c>
      <c r="S517" s="79">
        <v>13.11</v>
      </c>
      <c r="T517" s="80">
        <v>8.86</v>
      </c>
    </row>
    <row r="518" spans="2:20" ht="56">
      <c r="B518" s="5" t="s">
        <v>1237</v>
      </c>
      <c r="C518" s="45" t="s">
        <v>135</v>
      </c>
      <c r="D518" s="45">
        <v>89448</v>
      </c>
      <c r="E518" s="6" t="s">
        <v>1238</v>
      </c>
      <c r="F518" s="45" t="s">
        <v>187</v>
      </c>
      <c r="G518" s="46">
        <f t="shared" si="57"/>
        <v>100</v>
      </c>
      <c r="H518" s="46">
        <f>TRUNC(S518*(1-LOTE_01!$K$10),2)</f>
        <v>17.28</v>
      </c>
      <c r="I518" s="46">
        <f>TRUNC(T518*(1-LOTE_01!$K$10),2)</f>
        <v>1.36</v>
      </c>
      <c r="J518" s="100">
        <f t="shared" si="58"/>
        <v>0.22470000000000001</v>
      </c>
      <c r="K518" s="48">
        <f t="shared" si="52"/>
        <v>21.16</v>
      </c>
      <c r="L518" s="48">
        <f t="shared" si="53"/>
        <v>1.66</v>
      </c>
      <c r="M518" s="48">
        <f t="shared" si="54"/>
        <v>2116</v>
      </c>
      <c r="N518" s="48">
        <f t="shared" si="55"/>
        <v>166</v>
      </c>
      <c r="O518" s="50">
        <f t="shared" si="56"/>
        <v>2282</v>
      </c>
      <c r="P518" s="50">
        <v>0</v>
      </c>
      <c r="Q518" s="76"/>
      <c r="R518" s="140">
        <f>IF((10*S9+20*S10)&gt;100,100,(10*S9+20*S10))</f>
        <v>100</v>
      </c>
      <c r="S518" s="79">
        <v>17.28</v>
      </c>
      <c r="T518" s="80">
        <v>1.36</v>
      </c>
    </row>
    <row r="519" spans="2:20" ht="70">
      <c r="B519" s="5" t="s">
        <v>1239</v>
      </c>
      <c r="C519" s="45" t="s">
        <v>135</v>
      </c>
      <c r="D519" s="45">
        <v>89711</v>
      </c>
      <c r="E519" s="6" t="s">
        <v>1240</v>
      </c>
      <c r="F519" s="45" t="s">
        <v>187</v>
      </c>
      <c r="G519" s="46">
        <f t="shared" si="57"/>
        <v>100</v>
      </c>
      <c r="H519" s="46">
        <f>TRUNC(S519*(1-LOTE_01!$K$10),2)</f>
        <v>12.02</v>
      </c>
      <c r="I519" s="46">
        <f>TRUNC(T519*(1-LOTE_01!$K$10),2)</f>
        <v>12.82</v>
      </c>
      <c r="J519" s="100">
        <f t="shared" si="58"/>
        <v>0.22470000000000001</v>
      </c>
      <c r="K519" s="48">
        <f t="shared" si="52"/>
        <v>14.72</v>
      </c>
      <c r="L519" s="48">
        <f t="shared" si="53"/>
        <v>15.7</v>
      </c>
      <c r="M519" s="48">
        <f t="shared" si="54"/>
        <v>1472</v>
      </c>
      <c r="N519" s="48">
        <f t="shared" si="55"/>
        <v>1570</v>
      </c>
      <c r="O519" s="50">
        <f t="shared" si="56"/>
        <v>3042</v>
      </c>
      <c r="P519" s="50">
        <v>0</v>
      </c>
      <c r="Q519" s="76"/>
      <c r="R519" s="140">
        <f>IF((10*S9+20*S10)&gt;100,100,(10*S9+20*S10))</f>
        <v>100</v>
      </c>
      <c r="S519" s="79">
        <v>12.02</v>
      </c>
      <c r="T519" s="80">
        <v>12.82</v>
      </c>
    </row>
    <row r="520" spans="2:20" ht="70">
      <c r="B520" s="5" t="s">
        <v>1241</v>
      </c>
      <c r="C520" s="45" t="s">
        <v>135</v>
      </c>
      <c r="D520" s="45">
        <v>89712</v>
      </c>
      <c r="E520" s="6" t="s">
        <v>1242</v>
      </c>
      <c r="F520" s="45" t="s">
        <v>187</v>
      </c>
      <c r="G520" s="46">
        <f t="shared" si="57"/>
        <v>100</v>
      </c>
      <c r="H520" s="46">
        <f>TRUNC(S520*(1-LOTE_01!$K$10),2)</f>
        <v>17.489999999999998</v>
      </c>
      <c r="I520" s="46">
        <f>TRUNC(T520*(1-LOTE_01!$K$10),2)</f>
        <v>13.86</v>
      </c>
      <c r="J520" s="100">
        <f t="shared" si="58"/>
        <v>0.22470000000000001</v>
      </c>
      <c r="K520" s="48">
        <f t="shared" si="52"/>
        <v>21.42</v>
      </c>
      <c r="L520" s="48">
        <f t="shared" si="53"/>
        <v>16.97</v>
      </c>
      <c r="M520" s="48">
        <f t="shared" si="54"/>
        <v>2142</v>
      </c>
      <c r="N520" s="48">
        <f t="shared" si="55"/>
        <v>1697</v>
      </c>
      <c r="O520" s="50">
        <f t="shared" si="56"/>
        <v>3839</v>
      </c>
      <c r="P520" s="50">
        <v>0</v>
      </c>
      <c r="Q520" s="76"/>
      <c r="R520" s="140">
        <f>IF((10*S9+20*S10)&gt;100,100,(10*S9+20*S10))</f>
        <v>100</v>
      </c>
      <c r="S520" s="79">
        <v>17.490000000000002</v>
      </c>
      <c r="T520" s="80">
        <v>13.86</v>
      </c>
    </row>
    <row r="521" spans="2:20" ht="70">
      <c r="B521" s="5" t="s">
        <v>1243</v>
      </c>
      <c r="C521" s="45" t="s">
        <v>135</v>
      </c>
      <c r="D521" s="45">
        <v>89714</v>
      </c>
      <c r="E521" s="6" t="s">
        <v>1244</v>
      </c>
      <c r="F521" s="45" t="s">
        <v>187</v>
      </c>
      <c r="G521" s="46">
        <f t="shared" si="57"/>
        <v>200</v>
      </c>
      <c r="H521" s="46">
        <f>TRUNC(S521*(1-LOTE_01!$K$10),2)</f>
        <v>24.26</v>
      </c>
      <c r="I521" s="46">
        <f>TRUNC(T521*(1-LOTE_01!$K$10),2)</f>
        <v>19.37</v>
      </c>
      <c r="J521" s="100">
        <f t="shared" si="58"/>
        <v>0.22470000000000001</v>
      </c>
      <c r="K521" s="48">
        <f t="shared" si="52"/>
        <v>29.71</v>
      </c>
      <c r="L521" s="48">
        <f t="shared" si="53"/>
        <v>23.72</v>
      </c>
      <c r="M521" s="48">
        <f t="shared" si="54"/>
        <v>5942</v>
      </c>
      <c r="N521" s="48">
        <f t="shared" si="55"/>
        <v>4744</v>
      </c>
      <c r="O521" s="50">
        <f t="shared" si="56"/>
        <v>10686</v>
      </c>
      <c r="P521" s="50">
        <v>0</v>
      </c>
      <c r="Q521" s="76"/>
      <c r="R521" s="140">
        <f>IF((10*S9+30*S10)&gt;200,200,(10*S9+30*S10))</f>
        <v>200</v>
      </c>
      <c r="S521" s="79">
        <v>24.26</v>
      </c>
      <c r="T521" s="80">
        <v>19.37</v>
      </c>
    </row>
    <row r="522" spans="2:20" ht="70">
      <c r="B522" s="5" t="s">
        <v>1245</v>
      </c>
      <c r="C522" s="45" t="s">
        <v>135</v>
      </c>
      <c r="D522" s="45">
        <v>89689</v>
      </c>
      <c r="E522" s="6" t="s">
        <v>1246</v>
      </c>
      <c r="F522" s="45" t="s">
        <v>210</v>
      </c>
      <c r="G522" s="46">
        <f t="shared" si="57"/>
        <v>50</v>
      </c>
      <c r="H522" s="46">
        <f>TRUNC(S522*(1-LOTE_01!$K$10),2)</f>
        <v>36.17</v>
      </c>
      <c r="I522" s="46">
        <f>TRUNC(T522*(1-LOTE_01!$K$10),2)</f>
        <v>4.9400000000000004</v>
      </c>
      <c r="J522" s="100">
        <f t="shared" si="58"/>
        <v>0.22470000000000001</v>
      </c>
      <c r="K522" s="48">
        <f t="shared" si="52"/>
        <v>44.29</v>
      </c>
      <c r="L522" s="48">
        <f t="shared" si="53"/>
        <v>6.05</v>
      </c>
      <c r="M522" s="48">
        <f t="shared" si="54"/>
        <v>2214.5</v>
      </c>
      <c r="N522" s="48">
        <f t="shared" si="55"/>
        <v>302.5</v>
      </c>
      <c r="O522" s="50">
        <f t="shared" si="56"/>
        <v>2517</v>
      </c>
      <c r="P522" s="50">
        <v>0</v>
      </c>
      <c r="Q522" s="76"/>
      <c r="R522" s="140">
        <f>IF((5*S9+10*S10)&gt;50,50,(5*S9+10*S10))</f>
        <v>50</v>
      </c>
      <c r="S522" s="79">
        <v>36.17</v>
      </c>
      <c r="T522" s="80">
        <v>4.9400000000000004</v>
      </c>
    </row>
    <row r="523" spans="2:20" ht="70">
      <c r="B523" s="5" t="s">
        <v>1247</v>
      </c>
      <c r="C523" s="45" t="s">
        <v>135</v>
      </c>
      <c r="D523" s="45">
        <v>89759</v>
      </c>
      <c r="E523" s="6" t="s">
        <v>1248</v>
      </c>
      <c r="F523" s="45" t="s">
        <v>210</v>
      </c>
      <c r="G523" s="46">
        <f t="shared" si="57"/>
        <v>50</v>
      </c>
      <c r="H523" s="46">
        <f>TRUNC(S523*(1-LOTE_01!$K$10),2)</f>
        <v>9.44</v>
      </c>
      <c r="I523" s="46">
        <f>TRUNC(T523*(1-LOTE_01!$K$10),2)</f>
        <v>4.01</v>
      </c>
      <c r="J523" s="100">
        <f t="shared" si="58"/>
        <v>0.22470000000000001</v>
      </c>
      <c r="K523" s="48">
        <f t="shared" si="52"/>
        <v>11.56</v>
      </c>
      <c r="L523" s="48">
        <f t="shared" si="53"/>
        <v>4.91</v>
      </c>
      <c r="M523" s="48">
        <f t="shared" si="54"/>
        <v>578</v>
      </c>
      <c r="N523" s="48">
        <f t="shared" si="55"/>
        <v>245.5</v>
      </c>
      <c r="O523" s="50">
        <f t="shared" si="56"/>
        <v>823.5</v>
      </c>
      <c r="P523" s="50">
        <v>0</v>
      </c>
      <c r="Q523" s="76"/>
      <c r="R523" s="140">
        <f>IF((5*S9+10*S10)&gt;50,50,(5*S9+10*S10))</f>
        <v>50</v>
      </c>
      <c r="S523" s="79">
        <v>9.44</v>
      </c>
      <c r="T523" s="80">
        <v>4.01</v>
      </c>
    </row>
    <row r="524" spans="2:20" ht="56">
      <c r="B524" s="5" t="s">
        <v>1249</v>
      </c>
      <c r="C524" s="45" t="s">
        <v>135</v>
      </c>
      <c r="D524" s="45">
        <v>103964</v>
      </c>
      <c r="E524" s="6" t="s">
        <v>1250</v>
      </c>
      <c r="F524" s="45" t="s">
        <v>210</v>
      </c>
      <c r="G524" s="46">
        <f t="shared" si="57"/>
        <v>50</v>
      </c>
      <c r="H524" s="46">
        <f>TRUNC(S524*(1-LOTE_01!$K$10),2)</f>
        <v>6.61</v>
      </c>
      <c r="I524" s="46">
        <f>TRUNC(T524*(1-LOTE_01!$K$10),2)</f>
        <v>2.78</v>
      </c>
      <c r="J524" s="100">
        <f t="shared" si="58"/>
        <v>0.22470000000000001</v>
      </c>
      <c r="K524" s="48">
        <f t="shared" si="52"/>
        <v>8.09</v>
      </c>
      <c r="L524" s="48">
        <f t="shared" si="53"/>
        <v>3.4</v>
      </c>
      <c r="M524" s="48">
        <f t="shared" si="54"/>
        <v>404.5</v>
      </c>
      <c r="N524" s="48">
        <f t="shared" si="55"/>
        <v>170</v>
      </c>
      <c r="O524" s="50">
        <f t="shared" si="56"/>
        <v>574.5</v>
      </c>
      <c r="P524" s="50">
        <v>0</v>
      </c>
      <c r="Q524" s="76"/>
      <c r="R524" s="140">
        <f>IF((5*S9+10*S10)&gt;50,50,(5*S9+10*S10))</f>
        <v>50</v>
      </c>
      <c r="S524" s="79">
        <v>6.6100000000000012</v>
      </c>
      <c r="T524" s="80">
        <v>2.78</v>
      </c>
    </row>
    <row r="525" spans="2:20" ht="70">
      <c r="B525" s="5" t="s">
        <v>1251</v>
      </c>
      <c r="C525" s="45" t="s">
        <v>135</v>
      </c>
      <c r="D525" s="45">
        <v>89709</v>
      </c>
      <c r="E525" s="6" t="s">
        <v>1252</v>
      </c>
      <c r="F525" s="45" t="s">
        <v>210</v>
      </c>
      <c r="G525" s="46">
        <f t="shared" si="57"/>
        <v>44</v>
      </c>
      <c r="H525" s="46">
        <f>TRUNC(S525*(1-LOTE_01!$K$10),2)</f>
        <v>15.65</v>
      </c>
      <c r="I525" s="46">
        <f>TRUNC(T525*(1-LOTE_01!$K$10),2)</f>
        <v>7.69</v>
      </c>
      <c r="J525" s="100">
        <f t="shared" si="58"/>
        <v>0.22470000000000001</v>
      </c>
      <c r="K525" s="48">
        <f t="shared" si="52"/>
        <v>19.16</v>
      </c>
      <c r="L525" s="48">
        <f t="shared" si="53"/>
        <v>9.41</v>
      </c>
      <c r="M525" s="48">
        <f t="shared" si="54"/>
        <v>843.04</v>
      </c>
      <c r="N525" s="48">
        <f t="shared" si="55"/>
        <v>414.04</v>
      </c>
      <c r="O525" s="50">
        <f t="shared" si="56"/>
        <v>1257.08</v>
      </c>
      <c r="P525" s="50">
        <v>0</v>
      </c>
      <c r="Q525" s="76"/>
      <c r="R525" s="140">
        <f>IF((2*S9+5*S10)&gt;50,50,(2*S9+5*S10))</f>
        <v>44</v>
      </c>
      <c r="S525" s="79">
        <v>15.649999999999999</v>
      </c>
      <c r="T525" s="80">
        <v>7.69</v>
      </c>
    </row>
    <row r="526" spans="2:20" ht="56">
      <c r="B526" s="5" t="s">
        <v>1253</v>
      </c>
      <c r="C526" s="45" t="s">
        <v>135</v>
      </c>
      <c r="D526" s="45">
        <v>89491</v>
      </c>
      <c r="E526" s="6" t="s">
        <v>1254</v>
      </c>
      <c r="F526" s="45" t="s">
        <v>210</v>
      </c>
      <c r="G526" s="46">
        <f t="shared" si="57"/>
        <v>44</v>
      </c>
      <c r="H526" s="46">
        <f>TRUNC(S526*(1-LOTE_01!$K$10),2)</f>
        <v>94.35</v>
      </c>
      <c r="I526" s="46">
        <f>TRUNC(T526*(1-LOTE_01!$K$10),2)</f>
        <v>16.059999999999999</v>
      </c>
      <c r="J526" s="100">
        <f t="shared" si="58"/>
        <v>0.22470000000000001</v>
      </c>
      <c r="K526" s="48">
        <f t="shared" si="52"/>
        <v>115.55</v>
      </c>
      <c r="L526" s="48">
        <f t="shared" si="53"/>
        <v>19.66</v>
      </c>
      <c r="M526" s="48">
        <f t="shared" si="54"/>
        <v>5084.2</v>
      </c>
      <c r="N526" s="48">
        <f t="shared" si="55"/>
        <v>865.04</v>
      </c>
      <c r="O526" s="50">
        <f t="shared" si="56"/>
        <v>5949.24</v>
      </c>
      <c r="P526" s="50">
        <v>0</v>
      </c>
      <c r="Q526" s="76"/>
      <c r="R526" s="140">
        <f>IF((2*S9+5*S10)&gt;50,50,(2*S9+5*S10))</f>
        <v>44</v>
      </c>
      <c r="S526" s="79">
        <v>94.35</v>
      </c>
      <c r="T526" s="80">
        <v>16.059999999999999</v>
      </c>
    </row>
    <row r="527" spans="2:20" ht="28">
      <c r="B527" s="5" t="s">
        <v>1255</v>
      </c>
      <c r="C527" s="45" t="s">
        <v>165</v>
      </c>
      <c r="D527" s="45" t="s">
        <v>1210</v>
      </c>
      <c r="E527" s="6" t="s">
        <v>1211</v>
      </c>
      <c r="F527" s="45" t="s">
        <v>559</v>
      </c>
      <c r="G527" s="46">
        <f t="shared" si="57"/>
        <v>50</v>
      </c>
      <c r="H527" s="46">
        <f>TRUNC(S527*(1-LOTE_01!$K$10),2)</f>
        <v>126.25</v>
      </c>
      <c r="I527" s="46">
        <f>TRUNC(T527*(1-LOTE_01!$K$10),2)</f>
        <v>23.63</v>
      </c>
      <c r="J527" s="100">
        <f t="shared" si="58"/>
        <v>0.22470000000000001</v>
      </c>
      <c r="K527" s="48">
        <f t="shared" si="52"/>
        <v>154.61000000000001</v>
      </c>
      <c r="L527" s="48">
        <f t="shared" si="53"/>
        <v>28.93</v>
      </c>
      <c r="M527" s="48">
        <f t="shared" si="54"/>
        <v>7730.5</v>
      </c>
      <c r="N527" s="48">
        <f t="shared" si="55"/>
        <v>1446.5</v>
      </c>
      <c r="O527" s="50">
        <f t="shared" si="56"/>
        <v>9177</v>
      </c>
      <c r="P527" s="50">
        <v>0</v>
      </c>
      <c r="Q527" s="76"/>
      <c r="R527" s="140">
        <f>IF((5*S9+10*S10)&gt;50,50,(5*S9+10*S10))</f>
        <v>50</v>
      </c>
      <c r="S527" s="79">
        <v>126.25</v>
      </c>
      <c r="T527" s="80">
        <v>23.63</v>
      </c>
    </row>
    <row r="528" spans="2:20" ht="56">
      <c r="B528" s="5" t="s">
        <v>1256</v>
      </c>
      <c r="C528" s="45" t="s">
        <v>135</v>
      </c>
      <c r="D528" s="45">
        <v>89986</v>
      </c>
      <c r="E528" s="6" t="s">
        <v>1257</v>
      </c>
      <c r="F528" s="45" t="s">
        <v>210</v>
      </c>
      <c r="G528" s="46">
        <f t="shared" si="57"/>
        <v>50</v>
      </c>
      <c r="H528" s="46">
        <f>TRUNC(S528*(1-LOTE_01!$K$10),2)</f>
        <v>59.52</v>
      </c>
      <c r="I528" s="46">
        <f>TRUNC(T528*(1-LOTE_01!$K$10),2)</f>
        <v>8.09</v>
      </c>
      <c r="J528" s="100">
        <f t="shared" si="58"/>
        <v>0.22470000000000001</v>
      </c>
      <c r="K528" s="48">
        <f t="shared" ref="K528:K591" si="59">TRUNC(H528*(1+J528),2)</f>
        <v>72.89</v>
      </c>
      <c r="L528" s="48">
        <f t="shared" ref="L528:L591" si="60">TRUNC(I528*(1+J528),2)</f>
        <v>9.9</v>
      </c>
      <c r="M528" s="48">
        <f t="shared" ref="M528:M591" si="61">TRUNC(K528*G528,2)</f>
        <v>3644.5</v>
      </c>
      <c r="N528" s="48">
        <f t="shared" ref="N528:N591" si="62">TRUNC(L528*G528,2)</f>
        <v>495</v>
      </c>
      <c r="O528" s="50">
        <f t="shared" ref="O528:O591" si="63">TRUNC(M528+N528,2)</f>
        <v>4139.5</v>
      </c>
      <c r="P528" s="50">
        <v>0</v>
      </c>
      <c r="Q528" s="76"/>
      <c r="R528" s="140">
        <f>IF((5*S9+10*S10)&gt;50,50,(5*S9+10*S10))</f>
        <v>50</v>
      </c>
      <c r="S528" s="79">
        <v>59.519999999999996</v>
      </c>
      <c r="T528" s="80">
        <v>8.09</v>
      </c>
    </row>
    <row r="529" spans="2:20" ht="28">
      <c r="B529" s="5" t="s">
        <v>1258</v>
      </c>
      <c r="C529" s="45" t="s">
        <v>165</v>
      </c>
      <c r="D529" s="45" t="s">
        <v>1259</v>
      </c>
      <c r="E529" s="6" t="s">
        <v>1260</v>
      </c>
      <c r="F529" s="45" t="s">
        <v>559</v>
      </c>
      <c r="G529" s="46">
        <f t="shared" si="57"/>
        <v>50</v>
      </c>
      <c r="H529" s="46">
        <f>TRUNC(S529*(1-LOTE_01!$K$10),2)</f>
        <v>101.36</v>
      </c>
      <c r="I529" s="46">
        <f>TRUNC(T529*(1-LOTE_01!$K$10),2)</f>
        <v>23.63</v>
      </c>
      <c r="J529" s="100">
        <f t="shared" si="58"/>
        <v>0.22470000000000001</v>
      </c>
      <c r="K529" s="48">
        <f t="shared" si="59"/>
        <v>124.13</v>
      </c>
      <c r="L529" s="48">
        <f t="shared" si="60"/>
        <v>28.93</v>
      </c>
      <c r="M529" s="48">
        <f t="shared" si="61"/>
        <v>6206.5</v>
      </c>
      <c r="N529" s="48">
        <f t="shared" si="62"/>
        <v>1446.5</v>
      </c>
      <c r="O529" s="50">
        <f t="shared" si="63"/>
        <v>7653</v>
      </c>
      <c r="P529" s="50">
        <v>0</v>
      </c>
      <c r="Q529" s="76"/>
      <c r="R529" s="140">
        <f>IF((5*S9+10*S10)&gt;50,50,(5*S9+10*S10))</f>
        <v>50</v>
      </c>
      <c r="S529" s="79">
        <v>101.36</v>
      </c>
      <c r="T529" s="80">
        <v>23.63</v>
      </c>
    </row>
    <row r="530" spans="2:20" ht="42">
      <c r="B530" s="5" t="s">
        <v>1261</v>
      </c>
      <c r="C530" s="45" t="s">
        <v>135</v>
      </c>
      <c r="D530" s="45">
        <v>94496</v>
      </c>
      <c r="E530" s="6" t="s">
        <v>1262</v>
      </c>
      <c r="F530" s="45" t="s">
        <v>210</v>
      </c>
      <c r="G530" s="46">
        <f t="shared" ref="G530:G593" si="64">TRUNC(R530,2)</f>
        <v>50</v>
      </c>
      <c r="H530" s="46">
        <f>TRUNC(S530*(1-LOTE_01!$K$10),2)</f>
        <v>59.61</v>
      </c>
      <c r="I530" s="46">
        <f>TRUNC(T530*(1-LOTE_01!$K$10),2)</f>
        <v>8.9600000000000009</v>
      </c>
      <c r="J530" s="100">
        <f t="shared" ref="J530:J593" si="65">$J$4</f>
        <v>0.22470000000000001</v>
      </c>
      <c r="K530" s="48">
        <f t="shared" si="59"/>
        <v>73</v>
      </c>
      <c r="L530" s="48">
        <f t="shared" si="60"/>
        <v>10.97</v>
      </c>
      <c r="M530" s="48">
        <f t="shared" si="61"/>
        <v>3650</v>
      </c>
      <c r="N530" s="48">
        <f t="shared" si="62"/>
        <v>548.5</v>
      </c>
      <c r="O530" s="50">
        <f t="shared" si="63"/>
        <v>4198.5</v>
      </c>
      <c r="P530" s="50">
        <v>0</v>
      </c>
      <c r="Q530" s="76"/>
      <c r="R530" s="140">
        <f>IF((5*S9+10*S10)&gt;50,50,(5*S9+10*S10))</f>
        <v>50</v>
      </c>
      <c r="S530" s="79">
        <v>59.609999999999992</v>
      </c>
      <c r="T530" s="80">
        <v>8.9600000000000009</v>
      </c>
    </row>
    <row r="531" spans="2:20" ht="70">
      <c r="B531" s="5" t="s">
        <v>1263</v>
      </c>
      <c r="C531" s="45" t="s">
        <v>135</v>
      </c>
      <c r="D531" s="45">
        <v>94691</v>
      </c>
      <c r="E531" s="6" t="s">
        <v>1264</v>
      </c>
      <c r="F531" s="45" t="s">
        <v>210</v>
      </c>
      <c r="G531" s="46">
        <f t="shared" si="64"/>
        <v>50</v>
      </c>
      <c r="H531" s="46">
        <f>TRUNC(S531*(1-LOTE_01!$K$10),2)</f>
        <v>11.02</v>
      </c>
      <c r="I531" s="46">
        <f>TRUNC(T531*(1-LOTE_01!$K$10),2)</f>
        <v>4.42</v>
      </c>
      <c r="J531" s="100">
        <f t="shared" si="65"/>
        <v>0.22470000000000001</v>
      </c>
      <c r="K531" s="48">
        <f t="shared" si="59"/>
        <v>13.49</v>
      </c>
      <c r="L531" s="48">
        <f t="shared" si="60"/>
        <v>5.41</v>
      </c>
      <c r="M531" s="48">
        <f t="shared" si="61"/>
        <v>674.5</v>
      </c>
      <c r="N531" s="48">
        <f t="shared" si="62"/>
        <v>270.5</v>
      </c>
      <c r="O531" s="50">
        <f t="shared" si="63"/>
        <v>945</v>
      </c>
      <c r="P531" s="50">
        <v>0</v>
      </c>
      <c r="Q531" s="76"/>
      <c r="R531" s="140">
        <f>IF((5*S9+10*S10)&gt;50,50,(5*S9+10*S10))</f>
        <v>50</v>
      </c>
      <c r="S531" s="79">
        <v>11.02</v>
      </c>
      <c r="T531" s="80">
        <v>4.42</v>
      </c>
    </row>
    <row r="532" spans="2:20" ht="70">
      <c r="B532" s="5" t="s">
        <v>1265</v>
      </c>
      <c r="C532" s="45" t="s">
        <v>135</v>
      </c>
      <c r="D532" s="45">
        <v>94693</v>
      </c>
      <c r="E532" s="6" t="s">
        <v>1266</v>
      </c>
      <c r="F532" s="45" t="s">
        <v>210</v>
      </c>
      <c r="G532" s="46">
        <f t="shared" si="64"/>
        <v>50</v>
      </c>
      <c r="H532" s="46">
        <f>TRUNC(S532*(1-LOTE_01!$K$10),2)</f>
        <v>14.32</v>
      </c>
      <c r="I532" s="46">
        <f>TRUNC(T532*(1-LOTE_01!$K$10),2)</f>
        <v>5.89</v>
      </c>
      <c r="J532" s="100">
        <f t="shared" si="65"/>
        <v>0.22470000000000001</v>
      </c>
      <c r="K532" s="48">
        <f t="shared" si="59"/>
        <v>17.53</v>
      </c>
      <c r="L532" s="48">
        <f t="shared" si="60"/>
        <v>7.21</v>
      </c>
      <c r="M532" s="48">
        <f t="shared" si="61"/>
        <v>876.5</v>
      </c>
      <c r="N532" s="48">
        <f t="shared" si="62"/>
        <v>360.5</v>
      </c>
      <c r="O532" s="50">
        <f t="shared" si="63"/>
        <v>1237</v>
      </c>
      <c r="P532" s="50">
        <v>0</v>
      </c>
      <c r="Q532" s="76"/>
      <c r="R532" s="140">
        <f>IF((5*S9+10*S10)&gt;50,50,(5*S9+10*S10))</f>
        <v>50</v>
      </c>
      <c r="S532" s="79">
        <v>14.32</v>
      </c>
      <c r="T532" s="80">
        <v>5.89</v>
      </c>
    </row>
    <row r="533" spans="2:20" ht="28">
      <c r="B533" s="5" t="s">
        <v>1267</v>
      </c>
      <c r="C533" s="45" t="s">
        <v>165</v>
      </c>
      <c r="D533" s="45" t="s">
        <v>1268</v>
      </c>
      <c r="E533" s="6" t="s">
        <v>1269</v>
      </c>
      <c r="F533" s="45" t="s">
        <v>559</v>
      </c>
      <c r="G533" s="46">
        <f t="shared" si="64"/>
        <v>50</v>
      </c>
      <c r="H533" s="46">
        <f>TRUNC(S533*(1-LOTE_01!$K$10),2)</f>
        <v>5.9</v>
      </c>
      <c r="I533" s="46">
        <f>TRUNC(T533*(1-LOTE_01!$K$10),2)</f>
        <v>7.36</v>
      </c>
      <c r="J533" s="100">
        <f t="shared" si="65"/>
        <v>0.22470000000000001</v>
      </c>
      <c r="K533" s="48">
        <f t="shared" si="59"/>
        <v>7.22</v>
      </c>
      <c r="L533" s="48">
        <f t="shared" si="60"/>
        <v>9.01</v>
      </c>
      <c r="M533" s="48">
        <f t="shared" si="61"/>
        <v>361</v>
      </c>
      <c r="N533" s="48">
        <f t="shared" si="62"/>
        <v>450.5</v>
      </c>
      <c r="O533" s="50">
        <f t="shared" si="63"/>
        <v>811.5</v>
      </c>
      <c r="P533" s="50">
        <v>0</v>
      </c>
      <c r="Q533" s="76"/>
      <c r="R533" s="140">
        <f>IF((5*S9+10*S10)&gt;50,50,(5*S9+10*S10))</f>
        <v>50</v>
      </c>
      <c r="S533" s="79">
        <v>5.9</v>
      </c>
      <c r="T533" s="80">
        <v>7.36</v>
      </c>
    </row>
    <row r="534" spans="2:20" ht="28">
      <c r="B534" s="5" t="s">
        <v>1270</v>
      </c>
      <c r="C534" s="45" t="s">
        <v>165</v>
      </c>
      <c r="D534" s="45" t="s">
        <v>1271</v>
      </c>
      <c r="E534" s="6" t="s">
        <v>1272</v>
      </c>
      <c r="F534" s="45" t="s">
        <v>559</v>
      </c>
      <c r="G534" s="46">
        <f t="shared" si="64"/>
        <v>50</v>
      </c>
      <c r="H534" s="46">
        <f>TRUNC(S534*(1-LOTE_01!$K$10),2)</f>
        <v>6.84</v>
      </c>
      <c r="I534" s="46">
        <f>TRUNC(T534*(1-LOTE_01!$K$10),2)</f>
        <v>7.75</v>
      </c>
      <c r="J534" s="100">
        <f t="shared" si="65"/>
        <v>0.22470000000000001</v>
      </c>
      <c r="K534" s="48">
        <f t="shared" si="59"/>
        <v>8.3699999999999992</v>
      </c>
      <c r="L534" s="48">
        <f t="shared" si="60"/>
        <v>9.49</v>
      </c>
      <c r="M534" s="48">
        <f t="shared" si="61"/>
        <v>418.5</v>
      </c>
      <c r="N534" s="48">
        <f t="shared" si="62"/>
        <v>474.5</v>
      </c>
      <c r="O534" s="50">
        <f t="shared" si="63"/>
        <v>893</v>
      </c>
      <c r="P534" s="50">
        <v>0</v>
      </c>
      <c r="Q534" s="76"/>
      <c r="R534" s="140">
        <f>IF((5*S9+10*S10)&gt;50,50,(5*S9+10*S10))</f>
        <v>50</v>
      </c>
      <c r="S534" s="79">
        <v>6.84</v>
      </c>
      <c r="T534" s="80">
        <v>7.75</v>
      </c>
    </row>
    <row r="535" spans="2:20" ht="56">
      <c r="B535" s="5" t="s">
        <v>1273</v>
      </c>
      <c r="C535" s="45" t="s">
        <v>135</v>
      </c>
      <c r="D535" s="45">
        <v>89395</v>
      </c>
      <c r="E535" s="6" t="s">
        <v>1274</v>
      </c>
      <c r="F535" s="45" t="s">
        <v>210</v>
      </c>
      <c r="G535" s="46">
        <f t="shared" si="64"/>
        <v>50</v>
      </c>
      <c r="H535" s="46">
        <f>TRUNC(S535*(1-LOTE_01!$K$10),2)</f>
        <v>6.03</v>
      </c>
      <c r="I535" s="46">
        <f>TRUNC(T535*(1-LOTE_01!$K$10),2)</f>
        <v>9.2899999999999991</v>
      </c>
      <c r="J535" s="100">
        <f t="shared" si="65"/>
        <v>0.22470000000000001</v>
      </c>
      <c r="K535" s="48">
        <f t="shared" si="59"/>
        <v>7.38</v>
      </c>
      <c r="L535" s="48">
        <f t="shared" si="60"/>
        <v>11.37</v>
      </c>
      <c r="M535" s="48">
        <f t="shared" si="61"/>
        <v>369</v>
      </c>
      <c r="N535" s="48">
        <f t="shared" si="62"/>
        <v>568.5</v>
      </c>
      <c r="O535" s="50">
        <f t="shared" si="63"/>
        <v>937.5</v>
      </c>
      <c r="P535" s="50">
        <v>0</v>
      </c>
      <c r="Q535" s="76"/>
      <c r="R535" s="140">
        <f>IF((5*S9+10*S10)&gt;50,50,(5*S9+10*S10))</f>
        <v>50</v>
      </c>
      <c r="S535" s="79">
        <v>6.0300000000000011</v>
      </c>
      <c r="T535" s="80">
        <v>9.2899999999999991</v>
      </c>
    </row>
    <row r="536" spans="2:20" ht="70">
      <c r="B536" s="5" t="s">
        <v>1275</v>
      </c>
      <c r="C536" s="45" t="s">
        <v>135</v>
      </c>
      <c r="D536" s="45">
        <v>89546</v>
      </c>
      <c r="E536" s="6" t="s">
        <v>1276</v>
      </c>
      <c r="F536" s="45" t="s">
        <v>210</v>
      </c>
      <c r="G536" s="46">
        <f t="shared" si="64"/>
        <v>50</v>
      </c>
      <c r="H536" s="46">
        <f>TRUNC(S536*(1-LOTE_01!$K$10),2)</f>
        <v>11</v>
      </c>
      <c r="I536" s="46">
        <f>TRUNC(T536*(1-LOTE_01!$K$10),2)</f>
        <v>1.59</v>
      </c>
      <c r="J536" s="100">
        <f t="shared" si="65"/>
        <v>0.22470000000000001</v>
      </c>
      <c r="K536" s="48">
        <f t="shared" si="59"/>
        <v>13.47</v>
      </c>
      <c r="L536" s="48">
        <f t="shared" si="60"/>
        <v>1.94</v>
      </c>
      <c r="M536" s="48">
        <f t="shared" si="61"/>
        <v>673.5</v>
      </c>
      <c r="N536" s="48">
        <f t="shared" si="62"/>
        <v>97</v>
      </c>
      <c r="O536" s="50">
        <f t="shared" si="63"/>
        <v>770.5</v>
      </c>
      <c r="P536" s="50">
        <v>0</v>
      </c>
      <c r="Q536" s="76"/>
      <c r="R536" s="140">
        <f>IF((5*S9+10*S10)&gt;50,50,(5*S9+10*S10))</f>
        <v>50</v>
      </c>
      <c r="S536" s="79">
        <v>11</v>
      </c>
      <c r="T536" s="80">
        <v>1.59</v>
      </c>
    </row>
    <row r="537" spans="2:20" ht="28">
      <c r="B537" s="5" t="s">
        <v>1277</v>
      </c>
      <c r="C537" s="45" t="s">
        <v>97</v>
      </c>
      <c r="D537" s="45" t="s">
        <v>1278</v>
      </c>
      <c r="E537" s="6" t="s">
        <v>1279</v>
      </c>
      <c r="F537" s="45" t="s">
        <v>104</v>
      </c>
      <c r="G537" s="46">
        <f t="shared" si="64"/>
        <v>38</v>
      </c>
      <c r="H537" s="46">
        <f>TRUNC(S537*(1-LOTE_01!$K$10),2)</f>
        <v>13.39</v>
      </c>
      <c r="I537" s="46">
        <f>TRUNC(T537*(1-LOTE_01!$K$10),2)</f>
        <v>4.71</v>
      </c>
      <c r="J537" s="100">
        <f t="shared" si="65"/>
        <v>0.22470000000000001</v>
      </c>
      <c r="K537" s="48">
        <f t="shared" si="59"/>
        <v>16.39</v>
      </c>
      <c r="L537" s="48">
        <f t="shared" si="60"/>
        <v>5.76</v>
      </c>
      <c r="M537" s="48">
        <f t="shared" si="61"/>
        <v>622.82000000000005</v>
      </c>
      <c r="N537" s="48">
        <f t="shared" si="62"/>
        <v>218.88</v>
      </c>
      <c r="O537" s="50">
        <f t="shared" si="63"/>
        <v>841.7</v>
      </c>
      <c r="P537" s="50">
        <v>0</v>
      </c>
      <c r="Q537" s="76"/>
      <c r="R537" s="140">
        <f>2*S9+2*S10</f>
        <v>38</v>
      </c>
      <c r="S537" s="79">
        <v>13.39</v>
      </c>
      <c r="T537" s="80">
        <v>4.71</v>
      </c>
    </row>
    <row r="538" spans="2:20" ht="70">
      <c r="B538" s="5" t="s">
        <v>1280</v>
      </c>
      <c r="C538" s="45" t="s">
        <v>135</v>
      </c>
      <c r="D538" s="45">
        <v>89707</v>
      </c>
      <c r="E538" s="6" t="s">
        <v>1281</v>
      </c>
      <c r="F538" s="45" t="s">
        <v>210</v>
      </c>
      <c r="G538" s="46">
        <f t="shared" si="64"/>
        <v>44</v>
      </c>
      <c r="H538" s="46">
        <f>TRUNC(S538*(1-LOTE_01!$K$10),2)</f>
        <v>36.1</v>
      </c>
      <c r="I538" s="46">
        <f>TRUNC(T538*(1-LOTE_01!$K$10),2)</f>
        <v>18.64</v>
      </c>
      <c r="J538" s="100">
        <f t="shared" si="65"/>
        <v>0.22470000000000001</v>
      </c>
      <c r="K538" s="48">
        <f t="shared" si="59"/>
        <v>44.21</v>
      </c>
      <c r="L538" s="48">
        <f t="shared" si="60"/>
        <v>22.82</v>
      </c>
      <c r="M538" s="48">
        <f t="shared" si="61"/>
        <v>1945.24</v>
      </c>
      <c r="N538" s="48">
        <f t="shared" si="62"/>
        <v>1004.08</v>
      </c>
      <c r="O538" s="50">
        <f t="shared" si="63"/>
        <v>2949.32</v>
      </c>
      <c r="P538" s="50">
        <v>0</v>
      </c>
      <c r="Q538" s="76"/>
      <c r="R538" s="140">
        <f>IF((2*S9+5*S10)&gt;50,50,(2*S9+5*S10))</f>
        <v>44</v>
      </c>
      <c r="S538" s="79">
        <v>36.1</v>
      </c>
      <c r="T538" s="80">
        <v>18.64</v>
      </c>
    </row>
    <row r="539" spans="2:20" ht="28">
      <c r="B539" s="5" t="s">
        <v>1282</v>
      </c>
      <c r="C539" s="45" t="s">
        <v>97</v>
      </c>
      <c r="D539" s="45" t="s">
        <v>1283</v>
      </c>
      <c r="E539" s="6" t="s">
        <v>1284</v>
      </c>
      <c r="F539" s="45" t="s">
        <v>104</v>
      </c>
      <c r="G539" s="46">
        <f t="shared" si="64"/>
        <v>19</v>
      </c>
      <c r="H539" s="46">
        <f>TRUNC(S539*(1-LOTE_01!$K$10),2)</f>
        <v>350</v>
      </c>
      <c r="I539" s="46">
        <f>TRUNC(T539*(1-LOTE_01!$K$10),2)</f>
        <v>0</v>
      </c>
      <c r="J539" s="100">
        <f t="shared" si="65"/>
        <v>0.22470000000000001</v>
      </c>
      <c r="K539" s="48">
        <f t="shared" si="59"/>
        <v>428.64</v>
      </c>
      <c r="L539" s="48">
        <f t="shared" si="60"/>
        <v>0</v>
      </c>
      <c r="M539" s="48">
        <f t="shared" si="61"/>
        <v>8144.16</v>
      </c>
      <c r="N539" s="48">
        <f t="shared" si="62"/>
        <v>0</v>
      </c>
      <c r="O539" s="50">
        <f t="shared" si="63"/>
        <v>8144.16</v>
      </c>
      <c r="P539" s="50">
        <v>0</v>
      </c>
      <c r="Q539" s="76"/>
      <c r="R539" s="140">
        <f>1*S9+1*S10</f>
        <v>19</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104">
        <v>0</v>
      </c>
      <c r="Q540" s="76"/>
      <c r="R540" s="154"/>
      <c r="S540" s="79" t="s">
        <v>22</v>
      </c>
      <c r="T540" s="80" t="s">
        <v>22</v>
      </c>
    </row>
    <row r="541" spans="2:20" ht="42">
      <c r="B541" s="5" t="s">
        <v>1287</v>
      </c>
      <c r="C541" s="45" t="s">
        <v>97</v>
      </c>
      <c r="D541" s="45" t="s">
        <v>1288</v>
      </c>
      <c r="E541" s="6" t="s">
        <v>1289</v>
      </c>
      <c r="F541" s="45" t="s">
        <v>104</v>
      </c>
      <c r="G541" s="46">
        <f t="shared" si="64"/>
        <v>38</v>
      </c>
      <c r="H541" s="46">
        <f>TRUNC(S541*(1-LOTE_01!$K$10),2)</f>
        <v>6.95</v>
      </c>
      <c r="I541" s="46">
        <f>TRUNC(T541*(1-LOTE_01!$K$10),2)</f>
        <v>22.31</v>
      </c>
      <c r="J541" s="100">
        <f t="shared" si="65"/>
        <v>0.22470000000000001</v>
      </c>
      <c r="K541" s="48">
        <f t="shared" si="59"/>
        <v>8.51</v>
      </c>
      <c r="L541" s="48">
        <f t="shared" si="60"/>
        <v>27.32</v>
      </c>
      <c r="M541" s="48">
        <f t="shared" si="61"/>
        <v>323.38</v>
      </c>
      <c r="N541" s="48">
        <f t="shared" si="62"/>
        <v>1038.1600000000001</v>
      </c>
      <c r="O541" s="50">
        <f t="shared" si="63"/>
        <v>1361.54</v>
      </c>
      <c r="P541" s="50">
        <v>0</v>
      </c>
      <c r="Q541" s="76"/>
      <c r="R541" s="140">
        <f>2*S9+2*S10</f>
        <v>38</v>
      </c>
      <c r="S541" s="79">
        <v>6.95</v>
      </c>
      <c r="T541" s="80">
        <v>22.31</v>
      </c>
    </row>
    <row r="542" spans="2:20" ht="28">
      <c r="B542" s="5" t="s">
        <v>1290</v>
      </c>
      <c r="C542" s="45" t="s">
        <v>97</v>
      </c>
      <c r="D542" s="45" t="s">
        <v>1291</v>
      </c>
      <c r="E542" s="6" t="s">
        <v>1292</v>
      </c>
      <c r="F542" s="45" t="s">
        <v>104</v>
      </c>
      <c r="G542" s="46">
        <f t="shared" si="64"/>
        <v>38</v>
      </c>
      <c r="H542" s="46">
        <f>TRUNC(S542*(1-LOTE_01!$K$10),2)</f>
        <v>2.97</v>
      </c>
      <c r="I542" s="46">
        <f>TRUNC(T542*(1-LOTE_01!$K$10),2)</f>
        <v>4.8099999999999996</v>
      </c>
      <c r="J542" s="100">
        <f t="shared" si="65"/>
        <v>0.22470000000000001</v>
      </c>
      <c r="K542" s="48">
        <f t="shared" si="59"/>
        <v>3.63</v>
      </c>
      <c r="L542" s="48">
        <f t="shared" si="60"/>
        <v>5.89</v>
      </c>
      <c r="M542" s="48">
        <f t="shared" si="61"/>
        <v>137.94</v>
      </c>
      <c r="N542" s="48">
        <f t="shared" si="62"/>
        <v>223.82</v>
      </c>
      <c r="O542" s="50">
        <f t="shared" si="63"/>
        <v>361.76</v>
      </c>
      <c r="P542" s="50">
        <v>0</v>
      </c>
      <c r="Q542" s="76"/>
      <c r="R542" s="140">
        <f>2*S9+2*S10</f>
        <v>38</v>
      </c>
      <c r="S542" s="79">
        <v>2.97</v>
      </c>
      <c r="T542" s="80">
        <v>4.8099999999999996</v>
      </c>
    </row>
    <row r="543" spans="2:20" ht="28">
      <c r="B543" s="5" t="s">
        <v>1293</v>
      </c>
      <c r="C543" s="45" t="s">
        <v>97</v>
      </c>
      <c r="D543" s="45" t="s">
        <v>1294</v>
      </c>
      <c r="E543" s="6" t="s">
        <v>1295</v>
      </c>
      <c r="F543" s="45" t="s">
        <v>104</v>
      </c>
      <c r="G543" s="46">
        <f t="shared" si="64"/>
        <v>38</v>
      </c>
      <c r="H543" s="46">
        <f>TRUNC(S543*(1-LOTE_01!$K$10),2)</f>
        <v>2.97</v>
      </c>
      <c r="I543" s="46">
        <f>TRUNC(T543*(1-LOTE_01!$K$10),2)</f>
        <v>4.8099999999999996</v>
      </c>
      <c r="J543" s="100">
        <f t="shared" si="65"/>
        <v>0.22470000000000001</v>
      </c>
      <c r="K543" s="48">
        <f t="shared" si="59"/>
        <v>3.63</v>
      </c>
      <c r="L543" s="48">
        <f t="shared" si="60"/>
        <v>5.89</v>
      </c>
      <c r="M543" s="48">
        <f t="shared" si="61"/>
        <v>137.94</v>
      </c>
      <c r="N543" s="48">
        <f t="shared" si="62"/>
        <v>223.82</v>
      </c>
      <c r="O543" s="50">
        <f t="shared" si="63"/>
        <v>361.76</v>
      </c>
      <c r="P543" s="50">
        <v>0</v>
      </c>
      <c r="Q543" s="76"/>
      <c r="R543" s="140">
        <f>2*S9+2*S10</f>
        <v>38</v>
      </c>
      <c r="S543" s="79">
        <v>2.97</v>
      </c>
      <c r="T543" s="80">
        <v>4.8099999999999996</v>
      </c>
    </row>
    <row r="544" spans="2:20" ht="70">
      <c r="B544" s="5" t="s">
        <v>1296</v>
      </c>
      <c r="C544" s="45" t="s">
        <v>97</v>
      </c>
      <c r="D544" s="45" t="s">
        <v>1297</v>
      </c>
      <c r="E544" s="6" t="s">
        <v>1298</v>
      </c>
      <c r="F544" s="45" t="s">
        <v>104</v>
      </c>
      <c r="G544" s="46">
        <f t="shared" si="64"/>
        <v>38</v>
      </c>
      <c r="H544" s="46">
        <f>TRUNC(S544*(1-LOTE_01!$K$10),2)</f>
        <v>385.47</v>
      </c>
      <c r="I544" s="46">
        <f>TRUNC(T544*(1-LOTE_01!$K$10),2)</f>
        <v>36.130000000000003</v>
      </c>
      <c r="J544" s="100">
        <f t="shared" si="65"/>
        <v>0.22470000000000001</v>
      </c>
      <c r="K544" s="48">
        <f t="shared" si="59"/>
        <v>472.08</v>
      </c>
      <c r="L544" s="48">
        <f t="shared" si="60"/>
        <v>44.24</v>
      </c>
      <c r="M544" s="48">
        <f t="shared" si="61"/>
        <v>17939.04</v>
      </c>
      <c r="N544" s="48">
        <f t="shared" si="62"/>
        <v>1681.12</v>
      </c>
      <c r="O544" s="50">
        <f t="shared" si="63"/>
        <v>19620.16</v>
      </c>
      <c r="P544" s="50">
        <v>0</v>
      </c>
      <c r="Q544" s="76"/>
      <c r="R544" s="140">
        <f>2*S9+2*S10</f>
        <v>38</v>
      </c>
      <c r="S544" s="79">
        <v>385.47</v>
      </c>
      <c r="T544" s="80">
        <v>36.130000000000003</v>
      </c>
    </row>
    <row r="545" spans="2:20" ht="28">
      <c r="B545" s="5" t="s">
        <v>1299</v>
      </c>
      <c r="C545" s="45" t="s">
        <v>97</v>
      </c>
      <c r="D545" s="45" t="s">
        <v>1300</v>
      </c>
      <c r="E545" s="6" t="s">
        <v>1301</v>
      </c>
      <c r="F545" s="45" t="s">
        <v>104</v>
      </c>
      <c r="G545" s="46">
        <f t="shared" si="64"/>
        <v>38</v>
      </c>
      <c r="H545" s="46">
        <f>TRUNC(S545*(1-LOTE_01!$K$10),2)</f>
        <v>92.22</v>
      </c>
      <c r="I545" s="46">
        <f>TRUNC(T545*(1-LOTE_01!$K$10),2)</f>
        <v>27.65</v>
      </c>
      <c r="J545" s="100">
        <f t="shared" si="65"/>
        <v>0.22470000000000001</v>
      </c>
      <c r="K545" s="48">
        <f t="shared" si="59"/>
        <v>112.94</v>
      </c>
      <c r="L545" s="48">
        <f t="shared" si="60"/>
        <v>33.86</v>
      </c>
      <c r="M545" s="48">
        <f t="shared" si="61"/>
        <v>4291.72</v>
      </c>
      <c r="N545" s="48">
        <f t="shared" si="62"/>
        <v>1286.68</v>
      </c>
      <c r="O545" s="50">
        <f t="shared" si="63"/>
        <v>5578.4</v>
      </c>
      <c r="P545" s="50">
        <v>0</v>
      </c>
      <c r="Q545" s="76"/>
      <c r="R545" s="140">
        <f>2*S9+2*S10</f>
        <v>38</v>
      </c>
      <c r="S545" s="79">
        <v>92.22</v>
      </c>
      <c r="T545" s="80">
        <v>27.65</v>
      </c>
    </row>
    <row r="546" spans="2:20" ht="28">
      <c r="B546" s="5" t="s">
        <v>1302</v>
      </c>
      <c r="C546" s="45" t="s">
        <v>97</v>
      </c>
      <c r="D546" s="45" t="s">
        <v>1303</v>
      </c>
      <c r="E546" s="6" t="s">
        <v>1304</v>
      </c>
      <c r="F546" s="45" t="s">
        <v>104</v>
      </c>
      <c r="G546" s="46">
        <f t="shared" si="64"/>
        <v>38</v>
      </c>
      <c r="H546" s="46">
        <f>TRUNC(S546*(1-LOTE_01!$K$10),2)</f>
        <v>86.32</v>
      </c>
      <c r="I546" s="46">
        <f>TRUNC(T546*(1-LOTE_01!$K$10),2)</f>
        <v>18.43</v>
      </c>
      <c r="J546" s="100">
        <f t="shared" si="65"/>
        <v>0.22470000000000001</v>
      </c>
      <c r="K546" s="48">
        <f t="shared" si="59"/>
        <v>105.71</v>
      </c>
      <c r="L546" s="48">
        <f t="shared" si="60"/>
        <v>22.57</v>
      </c>
      <c r="M546" s="48">
        <f t="shared" si="61"/>
        <v>4016.98</v>
      </c>
      <c r="N546" s="48">
        <f t="shared" si="62"/>
        <v>857.66</v>
      </c>
      <c r="O546" s="50">
        <f t="shared" si="63"/>
        <v>4874.6400000000003</v>
      </c>
      <c r="P546" s="50">
        <v>0</v>
      </c>
      <c r="Q546" s="76"/>
      <c r="R546" s="140">
        <f>2*S9+2*S10</f>
        <v>38</v>
      </c>
      <c r="S546" s="79">
        <v>86.32</v>
      </c>
      <c r="T546" s="80">
        <v>18.43</v>
      </c>
    </row>
    <row r="547" spans="2:20" ht="70">
      <c r="B547" s="5" t="s">
        <v>1305</v>
      </c>
      <c r="C547" s="45" t="s">
        <v>135</v>
      </c>
      <c r="D547" s="45">
        <v>86932</v>
      </c>
      <c r="E547" s="6" t="s">
        <v>1817</v>
      </c>
      <c r="F547" s="45" t="s">
        <v>210</v>
      </c>
      <c r="G547" s="46">
        <f t="shared" si="64"/>
        <v>21</v>
      </c>
      <c r="H547" s="46">
        <f>TRUNC(S547*(1-LOTE_01!$K$10),2)</f>
        <v>664.69</v>
      </c>
      <c r="I547" s="46">
        <f>TRUNC(T547*(1-LOTE_01!$K$10),2)</f>
        <v>33</v>
      </c>
      <c r="J547" s="100">
        <f t="shared" si="65"/>
        <v>0.22470000000000001</v>
      </c>
      <c r="K547" s="48">
        <f t="shared" si="59"/>
        <v>814.04</v>
      </c>
      <c r="L547" s="48">
        <f t="shared" si="60"/>
        <v>40.409999999999997</v>
      </c>
      <c r="M547" s="48">
        <f t="shared" si="61"/>
        <v>17094.84</v>
      </c>
      <c r="N547" s="48">
        <f t="shared" si="62"/>
        <v>848.61</v>
      </c>
      <c r="O547" s="50">
        <f t="shared" si="63"/>
        <v>17943.45</v>
      </c>
      <c r="P547" s="50">
        <v>0</v>
      </c>
      <c r="Q547" s="76"/>
      <c r="R547" s="140">
        <f>1*S9+2*S10</f>
        <v>21</v>
      </c>
      <c r="S547" s="79">
        <v>664.69</v>
      </c>
      <c r="T547" s="80">
        <v>33</v>
      </c>
    </row>
    <row r="548" spans="2:20" ht="28">
      <c r="B548" s="5" t="s">
        <v>1306</v>
      </c>
      <c r="C548" s="45" t="s">
        <v>97</v>
      </c>
      <c r="D548" s="45" t="s">
        <v>1307</v>
      </c>
      <c r="E548" s="6" t="s">
        <v>1308</v>
      </c>
      <c r="F548" s="45" t="s">
        <v>104</v>
      </c>
      <c r="G548" s="46">
        <f t="shared" si="64"/>
        <v>38</v>
      </c>
      <c r="H548" s="46">
        <f>TRUNC(S548*(1-LOTE_01!$K$10),2)</f>
        <v>111.61</v>
      </c>
      <c r="I548" s="46">
        <f>TRUNC(T548*(1-LOTE_01!$K$10),2)</f>
        <v>4.55</v>
      </c>
      <c r="J548" s="100">
        <f t="shared" si="65"/>
        <v>0.22470000000000001</v>
      </c>
      <c r="K548" s="48">
        <f t="shared" si="59"/>
        <v>136.68</v>
      </c>
      <c r="L548" s="48">
        <f t="shared" si="60"/>
        <v>5.57</v>
      </c>
      <c r="M548" s="48">
        <f t="shared" si="61"/>
        <v>5193.84</v>
      </c>
      <c r="N548" s="48">
        <f t="shared" si="62"/>
        <v>211.66</v>
      </c>
      <c r="O548" s="50">
        <f t="shared" si="63"/>
        <v>5405.5</v>
      </c>
      <c r="P548" s="50">
        <v>0</v>
      </c>
      <c r="Q548" s="76"/>
      <c r="R548" s="140">
        <f>2*S9+2*S10</f>
        <v>38</v>
      </c>
      <c r="S548" s="79">
        <v>111.61</v>
      </c>
      <c r="T548" s="80">
        <v>4.55</v>
      </c>
    </row>
    <row r="549" spans="2:20" ht="28">
      <c r="B549" s="5" t="s">
        <v>1309</v>
      </c>
      <c r="C549" s="45" t="s">
        <v>97</v>
      </c>
      <c r="D549" s="45" t="s">
        <v>1310</v>
      </c>
      <c r="E549" s="6" t="s">
        <v>1311</v>
      </c>
      <c r="F549" s="45" t="s">
        <v>104</v>
      </c>
      <c r="G549" s="46">
        <f t="shared" si="64"/>
        <v>38</v>
      </c>
      <c r="H549" s="46">
        <f>TRUNC(S549*(1-LOTE_01!$K$10),2)</f>
        <v>371.32</v>
      </c>
      <c r="I549" s="46">
        <f>TRUNC(T549*(1-LOTE_01!$K$10),2)</f>
        <v>4.55</v>
      </c>
      <c r="J549" s="100">
        <f t="shared" si="65"/>
        <v>0.22470000000000001</v>
      </c>
      <c r="K549" s="48">
        <f t="shared" si="59"/>
        <v>454.75</v>
      </c>
      <c r="L549" s="48">
        <f t="shared" si="60"/>
        <v>5.57</v>
      </c>
      <c r="M549" s="48">
        <f t="shared" si="61"/>
        <v>17280.5</v>
      </c>
      <c r="N549" s="48">
        <f t="shared" si="62"/>
        <v>211.66</v>
      </c>
      <c r="O549" s="50">
        <f t="shared" si="63"/>
        <v>17492.16</v>
      </c>
      <c r="P549" s="50">
        <v>0</v>
      </c>
      <c r="Q549" s="76"/>
      <c r="R549" s="140">
        <f>2*S9+2*S10</f>
        <v>38</v>
      </c>
      <c r="S549" s="79">
        <v>371.32</v>
      </c>
      <c r="T549" s="80">
        <v>4.55</v>
      </c>
    </row>
    <row r="550" spans="2:20" ht="56">
      <c r="B550" s="5" t="s">
        <v>1312</v>
      </c>
      <c r="C550" s="45" t="s">
        <v>135</v>
      </c>
      <c r="D550" s="45">
        <v>86903</v>
      </c>
      <c r="E550" s="6" t="s">
        <v>1818</v>
      </c>
      <c r="F550" s="45" t="s">
        <v>210</v>
      </c>
      <c r="G550" s="46">
        <f t="shared" si="64"/>
        <v>21</v>
      </c>
      <c r="H550" s="46">
        <f>TRUNC(S550*(1-LOTE_01!$K$10),2)</f>
        <v>394.21</v>
      </c>
      <c r="I550" s="46">
        <f>TRUNC(T550*(1-LOTE_01!$K$10),2)</f>
        <v>49.32</v>
      </c>
      <c r="J550" s="100">
        <f t="shared" si="65"/>
        <v>0.22470000000000001</v>
      </c>
      <c r="K550" s="48">
        <f t="shared" si="59"/>
        <v>482.78</v>
      </c>
      <c r="L550" s="48">
        <f t="shared" si="60"/>
        <v>60.4</v>
      </c>
      <c r="M550" s="48">
        <f t="shared" si="61"/>
        <v>10138.379999999999</v>
      </c>
      <c r="N550" s="48">
        <f t="shared" si="62"/>
        <v>1268.4000000000001</v>
      </c>
      <c r="O550" s="50">
        <f t="shared" si="63"/>
        <v>11406.78</v>
      </c>
      <c r="P550" s="50">
        <v>0</v>
      </c>
      <c r="Q550" s="76"/>
      <c r="R550" s="140">
        <f>1*S9+2*S10</f>
        <v>21</v>
      </c>
      <c r="S550" s="79">
        <v>394.21</v>
      </c>
      <c r="T550" s="80">
        <v>49.32</v>
      </c>
    </row>
    <row r="551" spans="2:20" ht="98">
      <c r="B551" s="5" t="s">
        <v>1313</v>
      </c>
      <c r="C551" s="45" t="s">
        <v>97</v>
      </c>
      <c r="D551" s="45" t="s">
        <v>1314</v>
      </c>
      <c r="E551" s="6" t="s">
        <v>1315</v>
      </c>
      <c r="F551" s="45" t="s">
        <v>104</v>
      </c>
      <c r="G551" s="46">
        <f t="shared" si="64"/>
        <v>21</v>
      </c>
      <c r="H551" s="46">
        <f>TRUNC(S551*(1-LOTE_01!$K$10),2)</f>
        <v>791.87</v>
      </c>
      <c r="I551" s="46">
        <f>TRUNC(T551*(1-LOTE_01!$K$10),2)</f>
        <v>74.91</v>
      </c>
      <c r="J551" s="100">
        <f t="shared" si="65"/>
        <v>0.22470000000000001</v>
      </c>
      <c r="K551" s="48">
        <f t="shared" si="59"/>
        <v>969.8</v>
      </c>
      <c r="L551" s="48">
        <f t="shared" si="60"/>
        <v>91.74</v>
      </c>
      <c r="M551" s="48">
        <f t="shared" si="61"/>
        <v>20365.8</v>
      </c>
      <c r="N551" s="48">
        <f t="shared" si="62"/>
        <v>1926.54</v>
      </c>
      <c r="O551" s="50">
        <f t="shared" si="63"/>
        <v>22292.34</v>
      </c>
      <c r="P551" s="50">
        <v>0</v>
      </c>
      <c r="Q551" s="76"/>
      <c r="R551" s="140">
        <f>1*S9+2*S10</f>
        <v>21</v>
      </c>
      <c r="S551" s="79">
        <v>791.87</v>
      </c>
      <c r="T551" s="80">
        <v>74.91</v>
      </c>
    </row>
    <row r="552" spans="2:20" ht="56">
      <c r="B552" s="5" t="s">
        <v>1316</v>
      </c>
      <c r="C552" s="45" t="s">
        <v>135</v>
      </c>
      <c r="D552" s="45">
        <v>86904</v>
      </c>
      <c r="E552" s="6" t="s">
        <v>1819</v>
      </c>
      <c r="F552" s="45" t="s">
        <v>210</v>
      </c>
      <c r="G552" s="46">
        <f t="shared" si="64"/>
        <v>21</v>
      </c>
      <c r="H552" s="46">
        <f>TRUNC(S552*(1-LOTE_01!$K$10),2)</f>
        <v>174.8</v>
      </c>
      <c r="I552" s="46">
        <f>TRUNC(T552*(1-LOTE_01!$K$10),2)</f>
        <v>13.42</v>
      </c>
      <c r="J552" s="100">
        <f t="shared" si="65"/>
        <v>0.22470000000000001</v>
      </c>
      <c r="K552" s="48">
        <f t="shared" si="59"/>
        <v>214.07</v>
      </c>
      <c r="L552" s="48">
        <f t="shared" si="60"/>
        <v>16.43</v>
      </c>
      <c r="M552" s="48">
        <f t="shared" si="61"/>
        <v>4495.47</v>
      </c>
      <c r="N552" s="48">
        <f t="shared" si="62"/>
        <v>345.03</v>
      </c>
      <c r="O552" s="50">
        <f t="shared" si="63"/>
        <v>4840.5</v>
      </c>
      <c r="P552" s="50">
        <v>0</v>
      </c>
      <c r="Q552" s="76"/>
      <c r="R552" s="140">
        <f>1*S9+2*S10</f>
        <v>21</v>
      </c>
      <c r="S552" s="79">
        <v>174.8</v>
      </c>
      <c r="T552" s="80">
        <v>13.42</v>
      </c>
    </row>
    <row r="553" spans="2:20" ht="56">
      <c r="B553" s="5" t="s">
        <v>1317</v>
      </c>
      <c r="C553" s="45" t="s">
        <v>135</v>
      </c>
      <c r="D553" s="45">
        <v>100858</v>
      </c>
      <c r="E553" s="6" t="s">
        <v>1820</v>
      </c>
      <c r="F553" s="45" t="s">
        <v>210</v>
      </c>
      <c r="G553" s="46">
        <f t="shared" si="64"/>
        <v>21</v>
      </c>
      <c r="H553" s="46">
        <f>TRUNC(S553*(1-LOTE_01!$K$10),2)</f>
        <v>763.99</v>
      </c>
      <c r="I553" s="46">
        <f>TRUNC(T553*(1-LOTE_01!$K$10),2)</f>
        <v>30.92</v>
      </c>
      <c r="J553" s="100">
        <f t="shared" si="65"/>
        <v>0.22470000000000001</v>
      </c>
      <c r="K553" s="48">
        <f t="shared" si="59"/>
        <v>935.65</v>
      </c>
      <c r="L553" s="48">
        <f t="shared" si="60"/>
        <v>37.86</v>
      </c>
      <c r="M553" s="48">
        <f t="shared" si="61"/>
        <v>19648.650000000001</v>
      </c>
      <c r="N553" s="48">
        <f t="shared" si="62"/>
        <v>795.06</v>
      </c>
      <c r="O553" s="50">
        <f t="shared" si="63"/>
        <v>20443.71</v>
      </c>
      <c r="P553" s="50">
        <v>0</v>
      </c>
      <c r="Q553" s="76"/>
      <c r="R553" s="140">
        <f>1*S9+2*S10</f>
        <v>21</v>
      </c>
      <c r="S553" s="79">
        <v>763.99</v>
      </c>
      <c r="T553" s="80">
        <v>30.92</v>
      </c>
    </row>
    <row r="554" spans="2:20" ht="28">
      <c r="B554" s="5" t="s">
        <v>1318</v>
      </c>
      <c r="C554" s="45" t="s">
        <v>165</v>
      </c>
      <c r="D554" s="45" t="s">
        <v>1319</v>
      </c>
      <c r="E554" s="6" t="s">
        <v>1320</v>
      </c>
      <c r="F554" s="45" t="s">
        <v>168</v>
      </c>
      <c r="G554" s="46">
        <f t="shared" si="64"/>
        <v>17.28</v>
      </c>
      <c r="H554" s="46">
        <f>TRUNC(S554*(1-LOTE_01!$K$10),2)</f>
        <v>475.81</v>
      </c>
      <c r="I554" s="46">
        <f>TRUNC(T554*(1-LOTE_01!$K$10),2)</f>
        <v>92.82</v>
      </c>
      <c r="J554" s="100">
        <f t="shared" si="65"/>
        <v>0.22470000000000001</v>
      </c>
      <c r="K554" s="48">
        <f t="shared" si="59"/>
        <v>582.72</v>
      </c>
      <c r="L554" s="48">
        <f t="shared" si="60"/>
        <v>113.67</v>
      </c>
      <c r="M554" s="48">
        <f t="shared" si="61"/>
        <v>10069.4</v>
      </c>
      <c r="N554" s="48">
        <f t="shared" si="62"/>
        <v>1964.21</v>
      </c>
      <c r="O554" s="50">
        <f t="shared" si="63"/>
        <v>12033.61</v>
      </c>
      <c r="P554" s="50">
        <v>0</v>
      </c>
      <c r="Q554" s="76"/>
      <c r="R554" s="140">
        <f>0.4*0.6*4*S9+0.4*0.6*2*S10</f>
        <v>17.28</v>
      </c>
      <c r="S554" s="79">
        <v>475.81</v>
      </c>
      <c r="T554" s="80">
        <v>92.82</v>
      </c>
    </row>
    <row r="555" spans="2:20" ht="42">
      <c r="B555" s="5" t="s">
        <v>1321</v>
      </c>
      <c r="C555" s="45" t="s">
        <v>135</v>
      </c>
      <c r="D555" s="45">
        <v>95544</v>
      </c>
      <c r="E555" s="6" t="s">
        <v>1821</v>
      </c>
      <c r="F555" s="45" t="s">
        <v>210</v>
      </c>
      <c r="G555" s="46">
        <f t="shared" si="64"/>
        <v>38</v>
      </c>
      <c r="H555" s="46">
        <f>TRUNC(S555*(1-LOTE_01!$K$10),2)</f>
        <v>39.880000000000003</v>
      </c>
      <c r="I555" s="46">
        <f>TRUNC(T555*(1-LOTE_01!$K$10),2)</f>
        <v>10.16</v>
      </c>
      <c r="J555" s="100">
        <f t="shared" si="65"/>
        <v>0.22470000000000001</v>
      </c>
      <c r="K555" s="48">
        <f t="shared" si="59"/>
        <v>48.84</v>
      </c>
      <c r="L555" s="48">
        <f t="shared" si="60"/>
        <v>12.44</v>
      </c>
      <c r="M555" s="48">
        <f t="shared" si="61"/>
        <v>1855.92</v>
      </c>
      <c r="N555" s="48">
        <f t="shared" si="62"/>
        <v>472.72</v>
      </c>
      <c r="O555" s="50">
        <f t="shared" si="63"/>
        <v>2328.64</v>
      </c>
      <c r="P555" s="50">
        <v>0</v>
      </c>
      <c r="Q555" s="76"/>
      <c r="R555" s="140">
        <f>2*S9+2*S10</f>
        <v>38</v>
      </c>
      <c r="S555" s="79">
        <v>39.879999999999995</v>
      </c>
      <c r="T555" s="80">
        <v>10.16</v>
      </c>
    </row>
    <row r="556" spans="2:20" ht="28">
      <c r="B556" s="5" t="s">
        <v>1322</v>
      </c>
      <c r="C556" s="45" t="s">
        <v>97</v>
      </c>
      <c r="D556" s="45" t="s">
        <v>1323</v>
      </c>
      <c r="E556" s="6" t="s">
        <v>1324</v>
      </c>
      <c r="F556" s="45" t="s">
        <v>104</v>
      </c>
      <c r="G556" s="46">
        <f t="shared" si="64"/>
        <v>38</v>
      </c>
      <c r="H556" s="46">
        <f>TRUNC(S556*(1-LOTE_01!$K$10),2)</f>
        <v>69.33</v>
      </c>
      <c r="I556" s="46">
        <f>TRUNC(T556*(1-LOTE_01!$K$10),2)</f>
        <v>4.8099999999999996</v>
      </c>
      <c r="J556" s="100">
        <f t="shared" si="65"/>
        <v>0.22470000000000001</v>
      </c>
      <c r="K556" s="48">
        <f t="shared" si="59"/>
        <v>84.9</v>
      </c>
      <c r="L556" s="48">
        <f t="shared" si="60"/>
        <v>5.89</v>
      </c>
      <c r="M556" s="48">
        <f t="shared" si="61"/>
        <v>3226.2</v>
      </c>
      <c r="N556" s="48">
        <f t="shared" si="62"/>
        <v>223.82</v>
      </c>
      <c r="O556" s="50">
        <f t="shared" si="63"/>
        <v>3450.02</v>
      </c>
      <c r="P556" s="50">
        <v>0</v>
      </c>
      <c r="Q556" s="76"/>
      <c r="R556" s="140">
        <f>2*S9+2*S10</f>
        <v>38</v>
      </c>
      <c r="S556" s="79">
        <v>69.33</v>
      </c>
      <c r="T556" s="80">
        <v>4.8099999999999996</v>
      </c>
    </row>
    <row r="557" spans="2:20" ht="42">
      <c r="B557" s="5" t="s">
        <v>1325</v>
      </c>
      <c r="C557" s="45" t="s">
        <v>97</v>
      </c>
      <c r="D557" s="45" t="s">
        <v>1326</v>
      </c>
      <c r="E557" s="6" t="s">
        <v>1327</v>
      </c>
      <c r="F557" s="45" t="s">
        <v>104</v>
      </c>
      <c r="G557" s="46">
        <f t="shared" si="64"/>
        <v>38</v>
      </c>
      <c r="H557" s="46">
        <f>TRUNC(S557*(1-LOTE_01!$K$10),2)</f>
        <v>69.33</v>
      </c>
      <c r="I557" s="46">
        <f>TRUNC(T557*(1-LOTE_01!$K$10),2)</f>
        <v>4.8099999999999996</v>
      </c>
      <c r="J557" s="100">
        <f t="shared" si="65"/>
        <v>0.22470000000000001</v>
      </c>
      <c r="K557" s="48">
        <f t="shared" si="59"/>
        <v>84.9</v>
      </c>
      <c r="L557" s="48">
        <f t="shared" si="60"/>
        <v>5.89</v>
      </c>
      <c r="M557" s="48">
        <f t="shared" si="61"/>
        <v>3226.2</v>
      </c>
      <c r="N557" s="48">
        <f t="shared" si="62"/>
        <v>223.82</v>
      </c>
      <c r="O557" s="50">
        <f t="shared" si="63"/>
        <v>3450.02</v>
      </c>
      <c r="P557" s="50">
        <v>0</v>
      </c>
      <c r="Q557" s="76"/>
      <c r="R557" s="140">
        <f>2*S9+2*S10</f>
        <v>38</v>
      </c>
      <c r="S557" s="79">
        <v>69.33</v>
      </c>
      <c r="T557" s="80">
        <v>4.8099999999999996</v>
      </c>
    </row>
    <row r="558" spans="2:20" ht="56">
      <c r="B558" s="5" t="s">
        <v>1328</v>
      </c>
      <c r="C558" s="45" t="s">
        <v>135</v>
      </c>
      <c r="D558" s="45">
        <v>95547</v>
      </c>
      <c r="E558" s="6" t="s">
        <v>1822</v>
      </c>
      <c r="F558" s="45" t="s">
        <v>210</v>
      </c>
      <c r="G558" s="46">
        <f t="shared" si="64"/>
        <v>38</v>
      </c>
      <c r="H558" s="46">
        <f>TRUNC(S558*(1-LOTE_01!$K$10),2)</f>
        <v>69.36</v>
      </c>
      <c r="I558" s="46">
        <f>TRUNC(T558*(1-LOTE_01!$K$10),2)</f>
        <v>9.7100000000000009</v>
      </c>
      <c r="J558" s="100">
        <f t="shared" si="65"/>
        <v>0.22470000000000001</v>
      </c>
      <c r="K558" s="48">
        <f t="shared" si="59"/>
        <v>84.94</v>
      </c>
      <c r="L558" s="48">
        <f t="shared" si="60"/>
        <v>11.89</v>
      </c>
      <c r="M558" s="48">
        <f t="shared" si="61"/>
        <v>3227.72</v>
      </c>
      <c r="N558" s="48">
        <f t="shared" si="62"/>
        <v>451.82</v>
      </c>
      <c r="O558" s="50">
        <f t="shared" si="63"/>
        <v>3679.54</v>
      </c>
      <c r="P558" s="50">
        <v>0</v>
      </c>
      <c r="Q558" s="76"/>
      <c r="R558" s="140">
        <f>2*S9+2*S10</f>
        <v>38</v>
      </c>
      <c r="S558" s="79">
        <v>69.359999999999985</v>
      </c>
      <c r="T558" s="80">
        <v>9.7100000000000009</v>
      </c>
    </row>
    <row r="559" spans="2:20" ht="42">
      <c r="B559" s="5" t="s">
        <v>1329</v>
      </c>
      <c r="C559" s="45" t="s">
        <v>135</v>
      </c>
      <c r="D559" s="45">
        <v>95545</v>
      </c>
      <c r="E559" s="6" t="s">
        <v>1823</v>
      </c>
      <c r="F559" s="45" t="s">
        <v>210</v>
      </c>
      <c r="G559" s="46">
        <f t="shared" si="64"/>
        <v>38</v>
      </c>
      <c r="H559" s="46">
        <f>TRUNC(S559*(1-LOTE_01!$K$10),2)</f>
        <v>39</v>
      </c>
      <c r="I559" s="46">
        <f>TRUNC(T559*(1-LOTE_01!$K$10),2)</f>
        <v>10.17</v>
      </c>
      <c r="J559" s="100">
        <f t="shared" si="65"/>
        <v>0.22470000000000001</v>
      </c>
      <c r="K559" s="48">
        <f t="shared" si="59"/>
        <v>47.76</v>
      </c>
      <c r="L559" s="48">
        <f t="shared" si="60"/>
        <v>12.45</v>
      </c>
      <c r="M559" s="48">
        <f t="shared" si="61"/>
        <v>1814.88</v>
      </c>
      <c r="N559" s="48">
        <f t="shared" si="62"/>
        <v>473.1</v>
      </c>
      <c r="O559" s="50">
        <f t="shared" si="63"/>
        <v>2287.98</v>
      </c>
      <c r="P559" s="50">
        <v>0</v>
      </c>
      <c r="Q559" s="76"/>
      <c r="R559" s="140">
        <f>2*S9+2*S10</f>
        <v>38</v>
      </c>
      <c r="S559" s="79">
        <v>39</v>
      </c>
      <c r="T559" s="80">
        <v>10.17</v>
      </c>
    </row>
    <row r="560" spans="2:20" ht="28">
      <c r="B560" s="5" t="s">
        <v>1330</v>
      </c>
      <c r="C560" s="45" t="s">
        <v>165</v>
      </c>
      <c r="D560" s="45" t="s">
        <v>1331</v>
      </c>
      <c r="E560" s="6" t="s">
        <v>1332</v>
      </c>
      <c r="F560" s="45" t="s">
        <v>559</v>
      </c>
      <c r="G560" s="46">
        <f t="shared" si="64"/>
        <v>38</v>
      </c>
      <c r="H560" s="46">
        <f>TRUNC(S560*(1-LOTE_01!$K$10),2)</f>
        <v>467.58</v>
      </c>
      <c r="I560" s="46">
        <f>TRUNC(T560*(1-LOTE_01!$K$10),2)</f>
        <v>19.37</v>
      </c>
      <c r="J560" s="100">
        <f t="shared" si="65"/>
        <v>0.22470000000000001</v>
      </c>
      <c r="K560" s="48">
        <f t="shared" si="59"/>
        <v>572.64</v>
      </c>
      <c r="L560" s="48">
        <f t="shared" si="60"/>
        <v>23.72</v>
      </c>
      <c r="M560" s="48">
        <f t="shared" si="61"/>
        <v>21760.32</v>
      </c>
      <c r="N560" s="48">
        <f t="shared" si="62"/>
        <v>901.36</v>
      </c>
      <c r="O560" s="50">
        <f t="shared" si="63"/>
        <v>22661.68</v>
      </c>
      <c r="P560" s="50">
        <v>0</v>
      </c>
      <c r="Q560" s="76"/>
      <c r="R560" s="140">
        <f>2*S9+2*S10</f>
        <v>38</v>
      </c>
      <c r="S560" s="79">
        <v>467.58</v>
      </c>
      <c r="T560" s="80">
        <v>19.37</v>
      </c>
    </row>
    <row r="561" spans="2:20" ht="42">
      <c r="B561" s="5" t="s">
        <v>1333</v>
      </c>
      <c r="C561" s="45" t="s">
        <v>97</v>
      </c>
      <c r="D561" s="45" t="s">
        <v>1354</v>
      </c>
      <c r="E561" s="6" t="s">
        <v>1355</v>
      </c>
      <c r="F561" s="45" t="s">
        <v>104</v>
      </c>
      <c r="G561" s="46">
        <f t="shared" si="64"/>
        <v>38</v>
      </c>
      <c r="H561" s="46">
        <f>TRUNC(S561*(1-LOTE_01!$K$10),2)</f>
        <v>47.12</v>
      </c>
      <c r="I561" s="46">
        <f>TRUNC(T561*(1-LOTE_01!$K$10),2)</f>
        <v>12.84</v>
      </c>
      <c r="J561" s="100">
        <f t="shared" si="65"/>
        <v>0.22470000000000001</v>
      </c>
      <c r="K561" s="48">
        <f t="shared" si="59"/>
        <v>57.7</v>
      </c>
      <c r="L561" s="48">
        <f t="shared" si="60"/>
        <v>15.72</v>
      </c>
      <c r="M561" s="48">
        <f t="shared" si="61"/>
        <v>2192.6</v>
      </c>
      <c r="N561" s="48">
        <f t="shared" si="62"/>
        <v>597.36</v>
      </c>
      <c r="O561" s="50">
        <f t="shared" si="63"/>
        <v>2789.96</v>
      </c>
      <c r="P561" s="50">
        <v>0</v>
      </c>
      <c r="Q561" s="76"/>
      <c r="R561" s="140">
        <f>2*S9+2*S10</f>
        <v>38</v>
      </c>
      <c r="S561" s="79">
        <v>47.12</v>
      </c>
      <c r="T561" s="80">
        <v>12.84</v>
      </c>
    </row>
    <row r="562" spans="2:20" ht="42">
      <c r="B562" s="5" t="s">
        <v>1334</v>
      </c>
      <c r="C562" s="45" t="s">
        <v>135</v>
      </c>
      <c r="D562" s="45">
        <v>95546</v>
      </c>
      <c r="E562" s="6" t="s">
        <v>1824</v>
      </c>
      <c r="F562" s="45" t="s">
        <v>210</v>
      </c>
      <c r="G562" s="46">
        <f t="shared" si="64"/>
        <v>38</v>
      </c>
      <c r="H562" s="46">
        <f>TRUNC(S562*(1-LOTE_01!$K$10),2)</f>
        <v>117.88</v>
      </c>
      <c r="I562" s="46">
        <f>TRUNC(T562*(1-LOTE_01!$K$10),2)</f>
        <v>63.36</v>
      </c>
      <c r="J562" s="100">
        <f t="shared" si="65"/>
        <v>0.22470000000000001</v>
      </c>
      <c r="K562" s="48">
        <f t="shared" si="59"/>
        <v>144.36000000000001</v>
      </c>
      <c r="L562" s="48">
        <f t="shared" si="60"/>
        <v>77.59</v>
      </c>
      <c r="M562" s="48">
        <f t="shared" si="61"/>
        <v>5485.68</v>
      </c>
      <c r="N562" s="48">
        <f t="shared" si="62"/>
        <v>2948.42</v>
      </c>
      <c r="O562" s="50">
        <f t="shared" si="63"/>
        <v>8434.1</v>
      </c>
      <c r="P562" s="50">
        <v>0</v>
      </c>
      <c r="Q562" s="76"/>
      <c r="R562" s="140">
        <f>2*S9+2*S10</f>
        <v>38</v>
      </c>
      <c r="S562" s="79">
        <v>117.88000000000001</v>
      </c>
      <c r="T562" s="80">
        <v>63.36</v>
      </c>
    </row>
    <row r="563" spans="2:20" ht="42">
      <c r="B563" s="5" t="s">
        <v>1335</v>
      </c>
      <c r="C563" s="45" t="s">
        <v>97</v>
      </c>
      <c r="D563" s="45" t="s">
        <v>1336</v>
      </c>
      <c r="E563" s="6" t="s">
        <v>1337</v>
      </c>
      <c r="F563" s="45" t="s">
        <v>104</v>
      </c>
      <c r="G563" s="46">
        <f t="shared" si="64"/>
        <v>38</v>
      </c>
      <c r="H563" s="46">
        <f>TRUNC(S563*(1-LOTE_01!$K$10),2)</f>
        <v>68.87</v>
      </c>
      <c r="I563" s="46">
        <f>TRUNC(T563*(1-LOTE_01!$K$10),2)</f>
        <v>4.8099999999999996</v>
      </c>
      <c r="J563" s="100">
        <f t="shared" si="65"/>
        <v>0.22470000000000001</v>
      </c>
      <c r="K563" s="48">
        <f t="shared" si="59"/>
        <v>84.34</v>
      </c>
      <c r="L563" s="48">
        <f t="shared" si="60"/>
        <v>5.89</v>
      </c>
      <c r="M563" s="48">
        <f t="shared" si="61"/>
        <v>3204.92</v>
      </c>
      <c r="N563" s="48">
        <f t="shared" si="62"/>
        <v>223.82</v>
      </c>
      <c r="O563" s="50">
        <f t="shared" si="63"/>
        <v>3428.74</v>
      </c>
      <c r="P563" s="50">
        <v>0</v>
      </c>
      <c r="Q563" s="76"/>
      <c r="R563" s="140">
        <f>2*S9+2*S10</f>
        <v>38</v>
      </c>
      <c r="S563" s="79">
        <v>68.87</v>
      </c>
      <c r="T563" s="80">
        <v>4.8099999999999996</v>
      </c>
    </row>
    <row r="564" spans="2:20" ht="28">
      <c r="B564" s="5" t="s">
        <v>1338</v>
      </c>
      <c r="C564" s="45" t="s">
        <v>97</v>
      </c>
      <c r="D564" s="45" t="s">
        <v>1339</v>
      </c>
      <c r="E564" s="6" t="s">
        <v>1340</v>
      </c>
      <c r="F564" s="45" t="s">
        <v>104</v>
      </c>
      <c r="G564" s="46">
        <f t="shared" si="64"/>
        <v>38</v>
      </c>
      <c r="H564" s="46">
        <f>TRUNC(S564*(1-LOTE_01!$K$10),2)</f>
        <v>25.96</v>
      </c>
      <c r="I564" s="46">
        <f>TRUNC(T564*(1-LOTE_01!$K$10),2)</f>
        <v>4.8099999999999996</v>
      </c>
      <c r="J564" s="100">
        <f t="shared" si="65"/>
        <v>0.22470000000000001</v>
      </c>
      <c r="K564" s="48">
        <f t="shared" si="59"/>
        <v>31.79</v>
      </c>
      <c r="L564" s="48">
        <f t="shared" si="60"/>
        <v>5.89</v>
      </c>
      <c r="M564" s="48">
        <f t="shared" si="61"/>
        <v>1208.02</v>
      </c>
      <c r="N564" s="48">
        <f t="shared" si="62"/>
        <v>223.82</v>
      </c>
      <c r="O564" s="50">
        <f t="shared" si="63"/>
        <v>1431.84</v>
      </c>
      <c r="P564" s="50">
        <v>0</v>
      </c>
      <c r="Q564" s="76"/>
      <c r="R564" s="140">
        <f>2*S9+2*S10</f>
        <v>38</v>
      </c>
      <c r="S564" s="79">
        <v>25.96</v>
      </c>
      <c r="T564" s="80">
        <v>4.8099999999999996</v>
      </c>
    </row>
    <row r="565" spans="2:20" ht="28">
      <c r="B565" s="5" t="s">
        <v>1341</v>
      </c>
      <c r="C565" s="45" t="s">
        <v>97</v>
      </c>
      <c r="D565" s="45" t="s">
        <v>1342</v>
      </c>
      <c r="E565" s="6" t="s">
        <v>1343</v>
      </c>
      <c r="F565" s="45" t="s">
        <v>104</v>
      </c>
      <c r="G565" s="46">
        <f t="shared" si="64"/>
        <v>21</v>
      </c>
      <c r="H565" s="46">
        <f>TRUNC(S565*(1-LOTE_01!$K$10),2)</f>
        <v>90.54</v>
      </c>
      <c r="I565" s="46">
        <f>TRUNC(T565*(1-LOTE_01!$K$10),2)</f>
        <v>13.23</v>
      </c>
      <c r="J565" s="100">
        <f t="shared" si="65"/>
        <v>0.22470000000000001</v>
      </c>
      <c r="K565" s="48">
        <f t="shared" si="59"/>
        <v>110.88</v>
      </c>
      <c r="L565" s="48">
        <f t="shared" si="60"/>
        <v>16.2</v>
      </c>
      <c r="M565" s="48">
        <f t="shared" si="61"/>
        <v>2328.48</v>
      </c>
      <c r="N565" s="48">
        <f t="shared" si="62"/>
        <v>340.2</v>
      </c>
      <c r="O565" s="50">
        <f t="shared" si="63"/>
        <v>2668.68</v>
      </c>
      <c r="P565" s="50">
        <v>0</v>
      </c>
      <c r="Q565" s="76"/>
      <c r="R565" s="140">
        <f>1*S9+2*S10</f>
        <v>21</v>
      </c>
      <c r="S565" s="79">
        <v>90.54</v>
      </c>
      <c r="T565" s="80">
        <v>13.23</v>
      </c>
    </row>
    <row r="566" spans="2:20" ht="70">
      <c r="B566" s="5" t="s">
        <v>1344</v>
      </c>
      <c r="C566" s="45" t="s">
        <v>135</v>
      </c>
      <c r="D566" s="45">
        <v>86909</v>
      </c>
      <c r="E566" s="6" t="s">
        <v>1825</v>
      </c>
      <c r="F566" s="45" t="s">
        <v>210</v>
      </c>
      <c r="G566" s="46">
        <f t="shared" si="64"/>
        <v>19</v>
      </c>
      <c r="H566" s="46">
        <f>TRUNC(S566*(1-LOTE_01!$K$10),2)</f>
        <v>147.08000000000001</v>
      </c>
      <c r="I566" s="46">
        <f>TRUNC(T566*(1-LOTE_01!$K$10),2)</f>
        <v>5.69</v>
      </c>
      <c r="J566" s="100">
        <f t="shared" si="65"/>
        <v>0.22470000000000001</v>
      </c>
      <c r="K566" s="48">
        <f t="shared" si="59"/>
        <v>180.12</v>
      </c>
      <c r="L566" s="48">
        <f t="shared" si="60"/>
        <v>6.96</v>
      </c>
      <c r="M566" s="48">
        <f t="shared" si="61"/>
        <v>3422.28</v>
      </c>
      <c r="N566" s="48">
        <f t="shared" si="62"/>
        <v>132.24</v>
      </c>
      <c r="O566" s="50">
        <f t="shared" si="63"/>
        <v>3554.52</v>
      </c>
      <c r="P566" s="50">
        <v>0</v>
      </c>
      <c r="Q566" s="76"/>
      <c r="R566" s="140">
        <f>1*S9+1*S10</f>
        <v>19</v>
      </c>
      <c r="S566" s="79">
        <v>147.08000000000001</v>
      </c>
      <c r="T566" s="80">
        <v>5.69</v>
      </c>
    </row>
    <row r="567" spans="2:20" ht="70">
      <c r="B567" s="5" t="s">
        <v>1345</v>
      </c>
      <c r="C567" s="45" t="s">
        <v>135</v>
      </c>
      <c r="D567" s="45">
        <v>86910</v>
      </c>
      <c r="E567" s="6" t="s">
        <v>1826</v>
      </c>
      <c r="F567" s="45" t="s">
        <v>210</v>
      </c>
      <c r="G567" s="46">
        <f t="shared" si="64"/>
        <v>19</v>
      </c>
      <c r="H567" s="46">
        <f>TRUNC(S567*(1-LOTE_01!$K$10),2)</f>
        <v>146.22999999999999</v>
      </c>
      <c r="I567" s="46">
        <f>TRUNC(T567*(1-LOTE_01!$K$10),2)</f>
        <v>3.99</v>
      </c>
      <c r="J567" s="100">
        <f t="shared" si="65"/>
        <v>0.22470000000000001</v>
      </c>
      <c r="K567" s="48">
        <f t="shared" si="59"/>
        <v>179.08</v>
      </c>
      <c r="L567" s="48">
        <f t="shared" si="60"/>
        <v>4.88</v>
      </c>
      <c r="M567" s="48">
        <f t="shared" si="61"/>
        <v>3402.52</v>
      </c>
      <c r="N567" s="48">
        <f t="shared" si="62"/>
        <v>92.72</v>
      </c>
      <c r="O567" s="50">
        <f t="shared" si="63"/>
        <v>3495.24</v>
      </c>
      <c r="P567" s="50">
        <v>0</v>
      </c>
      <c r="Q567" s="76"/>
      <c r="R567" s="140">
        <f>1*S9+1*S10</f>
        <v>19</v>
      </c>
      <c r="S567" s="79">
        <v>146.22999999999999</v>
      </c>
      <c r="T567" s="80">
        <v>3.99</v>
      </c>
    </row>
    <row r="568" spans="2:20" ht="42">
      <c r="B568" s="5" t="s">
        <v>1346</v>
      </c>
      <c r="C568" s="45" t="s">
        <v>135</v>
      </c>
      <c r="D568" s="45">
        <v>100853</v>
      </c>
      <c r="E568" s="6" t="s">
        <v>1827</v>
      </c>
      <c r="F568" s="45" t="s">
        <v>210</v>
      </c>
      <c r="G568" s="46">
        <f t="shared" si="64"/>
        <v>19</v>
      </c>
      <c r="H568" s="46">
        <f>TRUNC(S568*(1-LOTE_01!$K$10),2)</f>
        <v>388.31</v>
      </c>
      <c r="I568" s="46">
        <f>TRUNC(T568*(1-LOTE_01!$K$10),2)</f>
        <v>15.84</v>
      </c>
      <c r="J568" s="100">
        <f t="shared" si="65"/>
        <v>0.22470000000000001</v>
      </c>
      <c r="K568" s="48">
        <f t="shared" si="59"/>
        <v>475.56</v>
      </c>
      <c r="L568" s="48">
        <f t="shared" si="60"/>
        <v>19.39</v>
      </c>
      <c r="M568" s="48">
        <f t="shared" si="61"/>
        <v>9035.64</v>
      </c>
      <c r="N568" s="48">
        <f t="shared" si="62"/>
        <v>368.41</v>
      </c>
      <c r="O568" s="50">
        <f t="shared" si="63"/>
        <v>9404.0499999999993</v>
      </c>
      <c r="P568" s="50">
        <v>0</v>
      </c>
      <c r="Q568" s="76"/>
      <c r="R568" s="140">
        <f>1*S9+1*S10</f>
        <v>19</v>
      </c>
      <c r="S568" s="79">
        <v>388.31</v>
      </c>
      <c r="T568" s="80">
        <v>15.84</v>
      </c>
    </row>
    <row r="569" spans="2:20" ht="70">
      <c r="B569" s="5" t="s">
        <v>1347</v>
      </c>
      <c r="C569" s="45" t="s">
        <v>97</v>
      </c>
      <c r="D569" s="45" t="s">
        <v>1348</v>
      </c>
      <c r="E569" s="6" t="s">
        <v>1349</v>
      </c>
      <c r="F569" s="45" t="s">
        <v>104</v>
      </c>
      <c r="G569" s="46">
        <f t="shared" si="64"/>
        <v>21</v>
      </c>
      <c r="H569" s="46">
        <f>TRUNC(S569*(1-LOTE_01!$K$10),2)</f>
        <v>208.93</v>
      </c>
      <c r="I569" s="46">
        <f>TRUNC(T569*(1-LOTE_01!$K$10),2)</f>
        <v>2.98</v>
      </c>
      <c r="J569" s="100">
        <f t="shared" si="65"/>
        <v>0.22470000000000001</v>
      </c>
      <c r="K569" s="48">
        <f t="shared" si="59"/>
        <v>255.87</v>
      </c>
      <c r="L569" s="48">
        <f t="shared" si="60"/>
        <v>3.64</v>
      </c>
      <c r="M569" s="48">
        <f t="shared" si="61"/>
        <v>5373.27</v>
      </c>
      <c r="N569" s="48">
        <f t="shared" si="62"/>
        <v>76.44</v>
      </c>
      <c r="O569" s="50">
        <f t="shared" si="63"/>
        <v>5449.71</v>
      </c>
      <c r="P569" s="50">
        <v>0</v>
      </c>
      <c r="Q569" s="76"/>
      <c r="R569" s="140">
        <f>1*S9+2*S10</f>
        <v>21</v>
      </c>
      <c r="S569" s="79">
        <v>208.93</v>
      </c>
      <c r="T569" s="80">
        <v>2.98</v>
      </c>
    </row>
    <row r="570" spans="2:20" ht="42">
      <c r="B570" s="5" t="s">
        <v>1350</v>
      </c>
      <c r="C570" s="45" t="s">
        <v>165</v>
      </c>
      <c r="D570" s="45" t="s">
        <v>1351</v>
      </c>
      <c r="E570" s="6" t="s">
        <v>1352</v>
      </c>
      <c r="F570" s="45" t="s">
        <v>559</v>
      </c>
      <c r="G570" s="46">
        <f t="shared" si="64"/>
        <v>38</v>
      </c>
      <c r="H570" s="46">
        <f>TRUNC(S570*(1-LOTE_01!$K$10),2)</f>
        <v>386.29</v>
      </c>
      <c r="I570" s="46">
        <f>TRUNC(T570*(1-LOTE_01!$K$10),2)</f>
        <v>77.48</v>
      </c>
      <c r="J570" s="100">
        <f t="shared" si="65"/>
        <v>0.22470000000000001</v>
      </c>
      <c r="K570" s="48">
        <f t="shared" si="59"/>
        <v>473.08</v>
      </c>
      <c r="L570" s="48">
        <f t="shared" si="60"/>
        <v>94.88</v>
      </c>
      <c r="M570" s="48">
        <f t="shared" si="61"/>
        <v>17977.04</v>
      </c>
      <c r="N570" s="48">
        <f t="shared" si="62"/>
        <v>3605.44</v>
      </c>
      <c r="O570" s="50">
        <f t="shared" si="63"/>
        <v>21582.48</v>
      </c>
      <c r="P570" s="50">
        <v>0</v>
      </c>
      <c r="Q570" s="76"/>
      <c r="R570" s="140">
        <f>2*S9+2*S10</f>
        <v>38</v>
      </c>
      <c r="S570" s="79">
        <v>386.29</v>
      </c>
      <c r="T570" s="80">
        <v>77.48</v>
      </c>
    </row>
    <row r="571" spans="2:20" ht="42">
      <c r="B571" s="5" t="s">
        <v>1353</v>
      </c>
      <c r="C571" s="45" t="s">
        <v>97</v>
      </c>
      <c r="D571" s="45" t="s">
        <v>1354</v>
      </c>
      <c r="E571" s="6" t="s">
        <v>1355</v>
      </c>
      <c r="F571" s="45" t="s">
        <v>104</v>
      </c>
      <c r="G571" s="46">
        <f t="shared" si="64"/>
        <v>21</v>
      </c>
      <c r="H571" s="46">
        <f>TRUNC(S571*(1-LOTE_01!$K$10),2)</f>
        <v>47.12</v>
      </c>
      <c r="I571" s="46">
        <f>TRUNC(T571*(1-LOTE_01!$K$10),2)</f>
        <v>12.84</v>
      </c>
      <c r="J571" s="100">
        <f t="shared" si="65"/>
        <v>0.22470000000000001</v>
      </c>
      <c r="K571" s="48">
        <f t="shared" si="59"/>
        <v>57.7</v>
      </c>
      <c r="L571" s="48">
        <f t="shared" si="60"/>
        <v>15.72</v>
      </c>
      <c r="M571" s="48">
        <f t="shared" si="61"/>
        <v>1211.7</v>
      </c>
      <c r="N571" s="48">
        <f t="shared" si="62"/>
        <v>330.12</v>
      </c>
      <c r="O571" s="50">
        <f t="shared" si="63"/>
        <v>1541.82</v>
      </c>
      <c r="P571" s="50">
        <v>0</v>
      </c>
      <c r="Q571" s="76"/>
      <c r="R571" s="140">
        <f>1*S9+2*S10</f>
        <v>21</v>
      </c>
      <c r="S571" s="79">
        <v>47.12</v>
      </c>
      <c r="T571" s="80">
        <v>12.84</v>
      </c>
    </row>
    <row r="572" spans="2:20" ht="56">
      <c r="B572" s="5" t="s">
        <v>1356</v>
      </c>
      <c r="C572" s="45" t="s">
        <v>135</v>
      </c>
      <c r="D572" s="45">
        <v>86877</v>
      </c>
      <c r="E572" s="6" t="s">
        <v>1828</v>
      </c>
      <c r="F572" s="45" t="s">
        <v>210</v>
      </c>
      <c r="G572" s="46">
        <f t="shared" si="64"/>
        <v>10</v>
      </c>
      <c r="H572" s="46">
        <f>TRUNC(S572*(1-LOTE_01!$K$10),2)</f>
        <v>66.02</v>
      </c>
      <c r="I572" s="46">
        <f>TRUNC(T572*(1-LOTE_01!$K$10),2)</f>
        <v>5.13</v>
      </c>
      <c r="J572" s="100">
        <f t="shared" si="65"/>
        <v>0.22470000000000001</v>
      </c>
      <c r="K572" s="48">
        <f t="shared" si="59"/>
        <v>80.849999999999994</v>
      </c>
      <c r="L572" s="48">
        <f t="shared" si="60"/>
        <v>6.28</v>
      </c>
      <c r="M572" s="48">
        <f t="shared" si="61"/>
        <v>808.5</v>
      </c>
      <c r="N572" s="48">
        <f t="shared" si="62"/>
        <v>62.8</v>
      </c>
      <c r="O572" s="50">
        <f t="shared" si="63"/>
        <v>871.3</v>
      </c>
      <c r="P572" s="50">
        <v>0</v>
      </c>
      <c r="Q572" s="76"/>
      <c r="R572" s="140">
        <f>IF((1*S9+1*S10)&gt;10,10,(1*S9+1*S10))</f>
        <v>10</v>
      </c>
      <c r="S572" s="79">
        <v>66.02000000000001</v>
      </c>
      <c r="T572" s="80">
        <v>5.13</v>
      </c>
    </row>
    <row r="573" spans="2:20" ht="56">
      <c r="B573" s="5" t="s">
        <v>1357</v>
      </c>
      <c r="C573" s="45" t="s">
        <v>135</v>
      </c>
      <c r="D573" s="45">
        <v>86878</v>
      </c>
      <c r="E573" s="6" t="s">
        <v>1829</v>
      </c>
      <c r="F573" s="45" t="s">
        <v>210</v>
      </c>
      <c r="G573" s="46">
        <f t="shared" si="64"/>
        <v>10</v>
      </c>
      <c r="H573" s="46">
        <f>TRUNC(S573*(1-LOTE_01!$K$10),2)</f>
        <v>71.48</v>
      </c>
      <c r="I573" s="46">
        <f>TRUNC(T573*(1-LOTE_01!$K$10),2)</f>
        <v>5.14</v>
      </c>
      <c r="J573" s="100">
        <f t="shared" si="65"/>
        <v>0.22470000000000001</v>
      </c>
      <c r="K573" s="48">
        <f t="shared" si="59"/>
        <v>87.54</v>
      </c>
      <c r="L573" s="48">
        <f t="shared" si="60"/>
        <v>6.29</v>
      </c>
      <c r="M573" s="48">
        <f t="shared" si="61"/>
        <v>875.4</v>
      </c>
      <c r="N573" s="48">
        <f t="shared" si="62"/>
        <v>62.9</v>
      </c>
      <c r="O573" s="50">
        <f t="shared" si="63"/>
        <v>938.3</v>
      </c>
      <c r="P573" s="50">
        <v>0</v>
      </c>
      <c r="Q573" s="76"/>
      <c r="R573" s="140">
        <f>IF((1*S9+1*S10)&gt;10,10,(1*S9+1*S10))</f>
        <v>10</v>
      </c>
      <c r="S573" s="79">
        <v>71.48</v>
      </c>
      <c r="T573" s="80">
        <v>5.14</v>
      </c>
    </row>
    <row r="574" spans="2:20" ht="42">
      <c r="B574" s="5" t="s">
        <v>1358</v>
      </c>
      <c r="C574" s="45" t="s">
        <v>135</v>
      </c>
      <c r="D574" s="45">
        <v>86886</v>
      </c>
      <c r="E574" s="6" t="s">
        <v>1816</v>
      </c>
      <c r="F574" s="45" t="s">
        <v>210</v>
      </c>
      <c r="G574" s="46">
        <f t="shared" si="64"/>
        <v>38</v>
      </c>
      <c r="H574" s="46">
        <f>TRUNC(S574*(1-LOTE_01!$K$10),2)</f>
        <v>48.26</v>
      </c>
      <c r="I574" s="46">
        <f>TRUNC(T574*(1-LOTE_01!$K$10),2)</f>
        <v>4.5</v>
      </c>
      <c r="J574" s="100">
        <f t="shared" si="65"/>
        <v>0.22470000000000001</v>
      </c>
      <c r="K574" s="48">
        <f t="shared" si="59"/>
        <v>59.1</v>
      </c>
      <c r="L574" s="48">
        <f t="shared" si="60"/>
        <v>5.51</v>
      </c>
      <c r="M574" s="48">
        <f t="shared" si="61"/>
        <v>2245.8000000000002</v>
      </c>
      <c r="N574" s="48">
        <f t="shared" si="62"/>
        <v>209.38</v>
      </c>
      <c r="O574" s="50">
        <f t="shared" si="63"/>
        <v>2455.1799999999998</v>
      </c>
      <c r="P574" s="50">
        <v>0</v>
      </c>
      <c r="Q574" s="76"/>
      <c r="R574" s="140">
        <f>2*S9+2*S10</f>
        <v>38</v>
      </c>
      <c r="S574" s="79">
        <v>48.26</v>
      </c>
      <c r="T574" s="80">
        <v>4.5</v>
      </c>
    </row>
    <row r="575" spans="2:20" ht="42">
      <c r="B575" s="5" t="s">
        <v>1359</v>
      </c>
      <c r="C575" s="45" t="s">
        <v>135</v>
      </c>
      <c r="D575" s="45">
        <v>86887</v>
      </c>
      <c r="E575" s="6" t="s">
        <v>1830</v>
      </c>
      <c r="F575" s="45" t="s">
        <v>210</v>
      </c>
      <c r="G575" s="46">
        <f t="shared" si="64"/>
        <v>38</v>
      </c>
      <c r="H575" s="46">
        <f>TRUNC(S575*(1-LOTE_01!$K$10),2)</f>
        <v>52.67</v>
      </c>
      <c r="I575" s="46">
        <f>TRUNC(T575*(1-LOTE_01!$K$10),2)</f>
        <v>4.49</v>
      </c>
      <c r="J575" s="100">
        <f t="shared" si="65"/>
        <v>0.22470000000000001</v>
      </c>
      <c r="K575" s="48">
        <f t="shared" si="59"/>
        <v>64.5</v>
      </c>
      <c r="L575" s="48">
        <f t="shared" si="60"/>
        <v>5.49</v>
      </c>
      <c r="M575" s="48">
        <f t="shared" si="61"/>
        <v>2451</v>
      </c>
      <c r="N575" s="48">
        <f t="shared" si="62"/>
        <v>208.62</v>
      </c>
      <c r="O575" s="50">
        <f t="shared" si="63"/>
        <v>2659.62</v>
      </c>
      <c r="P575" s="50">
        <v>0</v>
      </c>
      <c r="Q575" s="76"/>
      <c r="R575" s="140">
        <f>2*S9+2*S10</f>
        <v>38</v>
      </c>
      <c r="S575" s="79">
        <v>52.669999999999995</v>
      </c>
      <c r="T575" s="80">
        <v>4.49</v>
      </c>
    </row>
    <row r="576" spans="2:20" ht="42">
      <c r="B576" s="5" t="s">
        <v>1360</v>
      </c>
      <c r="C576" s="45" t="s">
        <v>135</v>
      </c>
      <c r="D576" s="45">
        <v>86881</v>
      </c>
      <c r="E576" s="6" t="s">
        <v>1831</v>
      </c>
      <c r="F576" s="45" t="s">
        <v>210</v>
      </c>
      <c r="G576" s="46">
        <f t="shared" si="64"/>
        <v>40</v>
      </c>
      <c r="H576" s="46">
        <f>TRUNC(S576*(1-LOTE_01!$K$10),2)</f>
        <v>207.31</v>
      </c>
      <c r="I576" s="46">
        <f>TRUNC(T576*(1-LOTE_01!$K$10),2)</f>
        <v>8.09</v>
      </c>
      <c r="J576" s="100">
        <f t="shared" si="65"/>
        <v>0.22470000000000001</v>
      </c>
      <c r="K576" s="48">
        <f t="shared" si="59"/>
        <v>253.89</v>
      </c>
      <c r="L576" s="48">
        <f t="shared" si="60"/>
        <v>9.9</v>
      </c>
      <c r="M576" s="48">
        <f t="shared" si="61"/>
        <v>10155.6</v>
      </c>
      <c r="N576" s="48">
        <f t="shared" si="62"/>
        <v>396</v>
      </c>
      <c r="O576" s="50">
        <f t="shared" si="63"/>
        <v>10551.6</v>
      </c>
      <c r="P576" s="50">
        <v>0</v>
      </c>
      <c r="Q576" s="76"/>
      <c r="R576" s="140">
        <f>2*S9+3*S10</f>
        <v>40</v>
      </c>
      <c r="S576" s="79">
        <v>207.31</v>
      </c>
      <c r="T576" s="80">
        <v>8.09</v>
      </c>
    </row>
    <row r="577" spans="2:20" ht="42">
      <c r="B577" s="5" t="s">
        <v>1361</v>
      </c>
      <c r="C577" s="45" t="s">
        <v>135</v>
      </c>
      <c r="D577" s="45">
        <v>86883</v>
      </c>
      <c r="E577" s="6" t="s">
        <v>1832</v>
      </c>
      <c r="F577" s="45" t="s">
        <v>210</v>
      </c>
      <c r="G577" s="46">
        <f t="shared" si="64"/>
        <v>40</v>
      </c>
      <c r="H577" s="46">
        <f>TRUNC(S577*(1-LOTE_01!$K$10),2)</f>
        <v>10.56</v>
      </c>
      <c r="I577" s="46">
        <f>TRUNC(T577*(1-LOTE_01!$K$10),2)</f>
        <v>2.67</v>
      </c>
      <c r="J577" s="100">
        <f t="shared" si="65"/>
        <v>0.22470000000000001</v>
      </c>
      <c r="K577" s="48">
        <f t="shared" si="59"/>
        <v>12.93</v>
      </c>
      <c r="L577" s="48">
        <f t="shared" si="60"/>
        <v>3.26</v>
      </c>
      <c r="M577" s="48">
        <f t="shared" si="61"/>
        <v>517.20000000000005</v>
      </c>
      <c r="N577" s="48">
        <f t="shared" si="62"/>
        <v>130.4</v>
      </c>
      <c r="O577" s="50">
        <f t="shared" si="63"/>
        <v>647.6</v>
      </c>
      <c r="P577" s="50">
        <v>0</v>
      </c>
      <c r="Q577" s="76"/>
      <c r="R577" s="140">
        <f>2*S9+3*S10</f>
        <v>40</v>
      </c>
      <c r="S577" s="79">
        <v>10.56</v>
      </c>
      <c r="T577" s="80">
        <v>2.67</v>
      </c>
    </row>
    <row r="578" spans="2:20" ht="56">
      <c r="B578" s="5" t="s">
        <v>1362</v>
      </c>
      <c r="C578" s="45" t="s">
        <v>135</v>
      </c>
      <c r="D578" s="45">
        <v>86889</v>
      </c>
      <c r="E578" s="6" t="s">
        <v>1833</v>
      </c>
      <c r="F578" s="45" t="s">
        <v>210</v>
      </c>
      <c r="G578" s="46">
        <f t="shared" si="64"/>
        <v>5</v>
      </c>
      <c r="H578" s="46">
        <f>TRUNC(S578*(1-LOTE_01!$K$10),2)</f>
        <v>889.25</v>
      </c>
      <c r="I578" s="46">
        <f>TRUNC(T578*(1-LOTE_01!$K$10),2)</f>
        <v>53.75</v>
      </c>
      <c r="J578" s="100">
        <f t="shared" si="65"/>
        <v>0.22470000000000001</v>
      </c>
      <c r="K578" s="48">
        <f t="shared" si="59"/>
        <v>1089.06</v>
      </c>
      <c r="L578" s="48">
        <f t="shared" si="60"/>
        <v>65.819999999999993</v>
      </c>
      <c r="M578" s="48">
        <f t="shared" si="61"/>
        <v>5445.3</v>
      </c>
      <c r="N578" s="48">
        <f t="shared" si="62"/>
        <v>329.1</v>
      </c>
      <c r="O578" s="50">
        <f t="shared" si="63"/>
        <v>5774.4</v>
      </c>
      <c r="P578" s="50">
        <v>0</v>
      </c>
      <c r="Q578" s="76"/>
      <c r="R578" s="140">
        <f>IF((1*S9+1*S10)&gt;5,5,(1*S9+1*S10))</f>
        <v>5</v>
      </c>
      <c r="S578" s="79">
        <v>889.25</v>
      </c>
      <c r="T578" s="80">
        <v>53.75</v>
      </c>
    </row>
    <row r="579" spans="2:20" ht="28">
      <c r="B579" s="5" t="s">
        <v>1363</v>
      </c>
      <c r="C579" s="45" t="s">
        <v>165</v>
      </c>
      <c r="D579" s="45" t="s">
        <v>1364</v>
      </c>
      <c r="E579" s="6" t="s">
        <v>1365</v>
      </c>
      <c r="F579" s="45" t="s">
        <v>559</v>
      </c>
      <c r="G579" s="46">
        <f t="shared" si="64"/>
        <v>10</v>
      </c>
      <c r="H579" s="46">
        <f>TRUNC(S579*(1-LOTE_01!$K$10),2)</f>
        <v>1156.33</v>
      </c>
      <c r="I579" s="46">
        <f>TRUNC(T579*(1-LOTE_01!$K$10),2)</f>
        <v>116.22</v>
      </c>
      <c r="J579" s="100">
        <f t="shared" si="65"/>
        <v>0.22470000000000001</v>
      </c>
      <c r="K579" s="48">
        <f t="shared" si="59"/>
        <v>1416.15</v>
      </c>
      <c r="L579" s="48">
        <f t="shared" si="60"/>
        <v>142.33000000000001</v>
      </c>
      <c r="M579" s="48">
        <f t="shared" si="61"/>
        <v>14161.5</v>
      </c>
      <c r="N579" s="48">
        <f t="shared" si="62"/>
        <v>1423.3</v>
      </c>
      <c r="O579" s="50">
        <f t="shared" si="63"/>
        <v>15584.8</v>
      </c>
      <c r="P579" s="50">
        <v>0</v>
      </c>
      <c r="Q579" s="76"/>
      <c r="R579" s="140">
        <f>IF((1*S9+1*S10)&gt;10,10,(1*S9+1*S10))</f>
        <v>10</v>
      </c>
      <c r="S579" s="79">
        <v>1156.33</v>
      </c>
      <c r="T579" s="80">
        <v>116.22</v>
      </c>
    </row>
    <row r="580" spans="2:20" ht="28">
      <c r="B580" s="5" t="s">
        <v>1366</v>
      </c>
      <c r="C580" s="45" t="s">
        <v>165</v>
      </c>
      <c r="D580" s="45" t="s">
        <v>1367</v>
      </c>
      <c r="E580" s="6" t="s">
        <v>1368</v>
      </c>
      <c r="F580" s="45" t="s">
        <v>559</v>
      </c>
      <c r="G580" s="46">
        <f t="shared" si="64"/>
        <v>10</v>
      </c>
      <c r="H580" s="46">
        <f>TRUNC(S580*(1-LOTE_01!$K$10),2)</f>
        <v>879.73</v>
      </c>
      <c r="I580" s="46">
        <f>TRUNC(T580*(1-LOTE_01!$K$10),2)</f>
        <v>135.59</v>
      </c>
      <c r="J580" s="100">
        <f t="shared" si="65"/>
        <v>0.22470000000000001</v>
      </c>
      <c r="K580" s="48">
        <f t="shared" si="59"/>
        <v>1077.4000000000001</v>
      </c>
      <c r="L580" s="48">
        <f t="shared" si="60"/>
        <v>166.05</v>
      </c>
      <c r="M580" s="48">
        <f t="shared" si="61"/>
        <v>10774</v>
      </c>
      <c r="N580" s="48">
        <f t="shared" si="62"/>
        <v>1660.5</v>
      </c>
      <c r="O580" s="50">
        <f t="shared" si="63"/>
        <v>12434.5</v>
      </c>
      <c r="P580" s="50">
        <v>0</v>
      </c>
      <c r="Q580" s="76"/>
      <c r="R580" s="140">
        <f>IF((1*S9+1*S10)&gt;10,10,(1*S9+1*S10))</f>
        <v>10</v>
      </c>
      <c r="S580" s="79">
        <v>879.73</v>
      </c>
      <c r="T580" s="80">
        <v>135.59</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174306.67999999996</v>
      </c>
      <c r="Q581" s="76"/>
      <c r="R581" s="154"/>
      <c r="S581" s="79" t="s">
        <v>22</v>
      </c>
      <c r="T581" s="80" t="s">
        <v>22</v>
      </c>
    </row>
    <row r="582" spans="2:20">
      <c r="B582" s="5" t="s">
        <v>1369</v>
      </c>
      <c r="C582" s="45" t="s">
        <v>97</v>
      </c>
      <c r="D582" s="45" t="s">
        <v>1370</v>
      </c>
      <c r="E582" s="6" t="s">
        <v>1371</v>
      </c>
      <c r="F582" s="45" t="s">
        <v>104</v>
      </c>
      <c r="G582" s="46">
        <f t="shared" si="64"/>
        <v>95</v>
      </c>
      <c r="H582" s="46">
        <f>TRUNC(S582*(1-LOTE_01!$K$10),2)</f>
        <v>1.5</v>
      </c>
      <c r="I582" s="46">
        <f>TRUNC(T582*(1-LOTE_01!$K$10),2)</f>
        <v>4.28</v>
      </c>
      <c r="J582" s="100">
        <f t="shared" si="65"/>
        <v>0.22470000000000001</v>
      </c>
      <c r="K582" s="48">
        <f t="shared" si="59"/>
        <v>1.83</v>
      </c>
      <c r="L582" s="48">
        <f t="shared" si="60"/>
        <v>5.24</v>
      </c>
      <c r="M582" s="48">
        <f t="shared" si="61"/>
        <v>173.85</v>
      </c>
      <c r="N582" s="48">
        <f t="shared" si="62"/>
        <v>497.8</v>
      </c>
      <c r="O582" s="50">
        <f t="shared" si="63"/>
        <v>671.65</v>
      </c>
      <c r="P582" s="50">
        <v>0</v>
      </c>
      <c r="Q582" s="76"/>
      <c r="R582" s="140">
        <f>5*S9+5*S10</f>
        <v>95</v>
      </c>
      <c r="S582" s="79">
        <v>1.5</v>
      </c>
      <c r="T582" s="80">
        <v>4.28</v>
      </c>
    </row>
    <row r="583" spans="2:20" ht="28">
      <c r="B583" s="5" t="s">
        <v>1372</v>
      </c>
      <c r="C583" s="45" t="s">
        <v>97</v>
      </c>
      <c r="D583" s="45" t="s">
        <v>1373</v>
      </c>
      <c r="E583" s="6" t="s">
        <v>1374</v>
      </c>
      <c r="F583" s="45" t="s">
        <v>104</v>
      </c>
      <c r="G583" s="46">
        <f t="shared" si="64"/>
        <v>95</v>
      </c>
      <c r="H583" s="46">
        <f>TRUNC(S583*(1-LOTE_01!$K$10),2)</f>
        <v>7.81</v>
      </c>
      <c r="I583" s="46">
        <f>TRUNC(T583*(1-LOTE_01!$K$10),2)</f>
        <v>20.41</v>
      </c>
      <c r="J583" s="100">
        <f t="shared" si="65"/>
        <v>0.22470000000000001</v>
      </c>
      <c r="K583" s="48">
        <f t="shared" si="59"/>
        <v>9.56</v>
      </c>
      <c r="L583" s="48">
        <f t="shared" si="60"/>
        <v>24.99</v>
      </c>
      <c r="M583" s="48">
        <f t="shared" si="61"/>
        <v>908.2</v>
      </c>
      <c r="N583" s="48">
        <f t="shared" si="62"/>
        <v>2374.0500000000002</v>
      </c>
      <c r="O583" s="50">
        <f t="shared" si="63"/>
        <v>3282.25</v>
      </c>
      <c r="P583" s="50">
        <v>0</v>
      </c>
      <c r="Q583" s="76"/>
      <c r="R583" s="140">
        <f>5*S9+5*S10</f>
        <v>95</v>
      </c>
      <c r="S583" s="79">
        <v>7.81</v>
      </c>
      <c r="T583" s="80">
        <v>20.41</v>
      </c>
    </row>
    <row r="584" spans="2:20" ht="56">
      <c r="B584" s="5" t="s">
        <v>1375</v>
      </c>
      <c r="C584" s="45" t="s">
        <v>97</v>
      </c>
      <c r="D584" s="45" t="s">
        <v>1376</v>
      </c>
      <c r="E584" s="6" t="s">
        <v>1377</v>
      </c>
      <c r="F584" s="45" t="s">
        <v>104</v>
      </c>
      <c r="G584" s="46">
        <f t="shared" si="64"/>
        <v>95</v>
      </c>
      <c r="H584" s="46">
        <f>TRUNC(S584*(1-LOTE_01!$K$10),2)</f>
        <v>16.86</v>
      </c>
      <c r="I584" s="46">
        <f>TRUNC(T584*(1-LOTE_01!$K$10),2)</f>
        <v>11.78</v>
      </c>
      <c r="J584" s="100">
        <f t="shared" si="65"/>
        <v>0.22470000000000001</v>
      </c>
      <c r="K584" s="48">
        <f t="shared" si="59"/>
        <v>20.64</v>
      </c>
      <c r="L584" s="48">
        <f t="shared" si="60"/>
        <v>14.42</v>
      </c>
      <c r="M584" s="48">
        <f t="shared" si="61"/>
        <v>1960.8</v>
      </c>
      <c r="N584" s="48">
        <f t="shared" si="62"/>
        <v>1369.9</v>
      </c>
      <c r="O584" s="50">
        <f t="shared" si="63"/>
        <v>3330.7</v>
      </c>
      <c r="P584" s="50">
        <v>0</v>
      </c>
      <c r="Q584" s="76"/>
      <c r="R584" s="140">
        <f>5*S9+5*S10</f>
        <v>95</v>
      </c>
      <c r="S584" s="79">
        <v>16.86</v>
      </c>
      <c r="T584" s="80">
        <v>11.78</v>
      </c>
    </row>
    <row r="585" spans="2:20" ht="56">
      <c r="B585" s="5" t="s">
        <v>1378</v>
      </c>
      <c r="C585" s="45" t="s">
        <v>135</v>
      </c>
      <c r="D585" s="45">
        <v>101905</v>
      </c>
      <c r="E585" s="6" t="s">
        <v>1834</v>
      </c>
      <c r="F585" s="45" t="s">
        <v>210</v>
      </c>
      <c r="G585" s="46">
        <f t="shared" si="64"/>
        <v>38</v>
      </c>
      <c r="H585" s="46">
        <f>TRUNC(S585*(1-LOTE_01!$K$10),2)</f>
        <v>241.85</v>
      </c>
      <c r="I585" s="46">
        <f>TRUNC(T585*(1-LOTE_01!$K$10),2)</f>
        <v>21.08</v>
      </c>
      <c r="J585" s="100">
        <f t="shared" si="65"/>
        <v>0.22470000000000001</v>
      </c>
      <c r="K585" s="48">
        <f t="shared" si="59"/>
        <v>296.19</v>
      </c>
      <c r="L585" s="48">
        <f t="shared" si="60"/>
        <v>25.81</v>
      </c>
      <c r="M585" s="48">
        <f t="shared" si="61"/>
        <v>11255.22</v>
      </c>
      <c r="N585" s="48">
        <f t="shared" si="62"/>
        <v>980.78</v>
      </c>
      <c r="O585" s="50">
        <f t="shared" si="63"/>
        <v>12236</v>
      </c>
      <c r="P585" s="50">
        <v>0</v>
      </c>
      <c r="Q585" s="76"/>
      <c r="R585" s="140">
        <f>2*S9+2*S10</f>
        <v>38</v>
      </c>
      <c r="S585" s="79">
        <v>241.85000000000002</v>
      </c>
      <c r="T585" s="80">
        <v>21.08</v>
      </c>
    </row>
    <row r="586" spans="2:20" ht="56">
      <c r="B586" s="5" t="s">
        <v>1379</v>
      </c>
      <c r="C586" s="45" t="s">
        <v>135</v>
      </c>
      <c r="D586" s="45">
        <v>101907</v>
      </c>
      <c r="E586" s="6" t="s">
        <v>1835</v>
      </c>
      <c r="F586" s="45" t="s">
        <v>210</v>
      </c>
      <c r="G586" s="46">
        <f t="shared" si="64"/>
        <v>38</v>
      </c>
      <c r="H586" s="46">
        <f>TRUNC(S586*(1-LOTE_01!$K$10),2)</f>
        <v>815.43</v>
      </c>
      <c r="I586" s="46">
        <f>TRUNC(T586*(1-LOTE_01!$K$10),2)</f>
        <v>21.25</v>
      </c>
      <c r="J586" s="100">
        <f t="shared" si="65"/>
        <v>0.22470000000000001</v>
      </c>
      <c r="K586" s="48">
        <f t="shared" si="59"/>
        <v>998.65</v>
      </c>
      <c r="L586" s="48">
        <f t="shared" si="60"/>
        <v>26.02</v>
      </c>
      <c r="M586" s="48">
        <f t="shared" si="61"/>
        <v>37948.699999999997</v>
      </c>
      <c r="N586" s="48">
        <f t="shared" si="62"/>
        <v>988.76</v>
      </c>
      <c r="O586" s="50">
        <f t="shared" si="63"/>
        <v>38937.46</v>
      </c>
      <c r="P586" s="50">
        <v>0</v>
      </c>
      <c r="Q586" s="76"/>
      <c r="R586" s="140">
        <f>2*S9+2*S10</f>
        <v>38</v>
      </c>
      <c r="S586" s="79">
        <v>815.43</v>
      </c>
      <c r="T586" s="80">
        <v>21.25</v>
      </c>
    </row>
    <row r="587" spans="2:20" ht="56">
      <c r="B587" s="5" t="s">
        <v>1380</v>
      </c>
      <c r="C587" s="45" t="s">
        <v>135</v>
      </c>
      <c r="D587" s="45">
        <v>101909</v>
      </c>
      <c r="E587" s="6" t="s">
        <v>1836</v>
      </c>
      <c r="F587" s="45" t="s">
        <v>210</v>
      </c>
      <c r="G587" s="46">
        <f t="shared" si="64"/>
        <v>38</v>
      </c>
      <c r="H587" s="46">
        <f>TRUNC(S587*(1-LOTE_01!$K$10),2)</f>
        <v>275.56</v>
      </c>
      <c r="I587" s="46">
        <f>TRUNC(T587*(1-LOTE_01!$K$10),2)</f>
        <v>21.12</v>
      </c>
      <c r="J587" s="100">
        <f t="shared" si="65"/>
        <v>0.22470000000000001</v>
      </c>
      <c r="K587" s="48">
        <f t="shared" si="59"/>
        <v>337.47</v>
      </c>
      <c r="L587" s="48">
        <f t="shared" si="60"/>
        <v>25.86</v>
      </c>
      <c r="M587" s="48">
        <f t="shared" si="61"/>
        <v>12823.86</v>
      </c>
      <c r="N587" s="48">
        <f t="shared" si="62"/>
        <v>982.68</v>
      </c>
      <c r="O587" s="50">
        <f t="shared" si="63"/>
        <v>13806.54</v>
      </c>
      <c r="P587" s="50">
        <v>0</v>
      </c>
      <c r="Q587" s="76"/>
      <c r="R587" s="140">
        <f>2*S9+2*S10</f>
        <v>38</v>
      </c>
      <c r="S587" s="79">
        <v>275.56</v>
      </c>
      <c r="T587" s="80">
        <v>21.12</v>
      </c>
    </row>
    <row r="588" spans="2:20" ht="42">
      <c r="B588" s="5" t="s">
        <v>1381</v>
      </c>
      <c r="C588" s="45" t="s">
        <v>135</v>
      </c>
      <c r="D588" s="45">
        <v>101914</v>
      </c>
      <c r="E588" s="6" t="s">
        <v>1837</v>
      </c>
      <c r="F588" s="45" t="s">
        <v>210</v>
      </c>
      <c r="G588" s="46">
        <f t="shared" si="64"/>
        <v>19</v>
      </c>
      <c r="H588" s="46">
        <f>TRUNC(S588*(1-LOTE_01!$K$10),2)</f>
        <v>497.52</v>
      </c>
      <c r="I588" s="46">
        <f>TRUNC(T588*(1-LOTE_01!$K$10),2)</f>
        <v>55.89</v>
      </c>
      <c r="J588" s="100">
        <f t="shared" si="65"/>
        <v>0.22470000000000001</v>
      </c>
      <c r="K588" s="48">
        <f t="shared" si="59"/>
        <v>609.30999999999995</v>
      </c>
      <c r="L588" s="48">
        <f t="shared" si="60"/>
        <v>68.44</v>
      </c>
      <c r="M588" s="48">
        <f t="shared" si="61"/>
        <v>11576.89</v>
      </c>
      <c r="N588" s="48">
        <f t="shared" si="62"/>
        <v>1300.3599999999999</v>
      </c>
      <c r="O588" s="50">
        <f t="shared" si="63"/>
        <v>12877.25</v>
      </c>
      <c r="P588" s="50">
        <v>0</v>
      </c>
      <c r="Q588" s="76"/>
      <c r="R588" s="140">
        <f>1*S9+1*S10</f>
        <v>19</v>
      </c>
      <c r="S588" s="79">
        <v>497.52</v>
      </c>
      <c r="T588" s="80">
        <v>55.89</v>
      </c>
    </row>
    <row r="589" spans="2:20" ht="84">
      <c r="B589" s="5" t="s">
        <v>1382</v>
      </c>
      <c r="C589" s="45" t="s">
        <v>135</v>
      </c>
      <c r="D589" s="45">
        <v>101915</v>
      </c>
      <c r="E589" s="6" t="s">
        <v>1838</v>
      </c>
      <c r="F589" s="45" t="s">
        <v>210</v>
      </c>
      <c r="G589" s="46">
        <f t="shared" si="64"/>
        <v>19</v>
      </c>
      <c r="H589" s="46">
        <f>TRUNC(S589*(1-LOTE_01!$K$10),2)</f>
        <v>448.43</v>
      </c>
      <c r="I589" s="46">
        <f>TRUNC(T589*(1-LOTE_01!$K$10),2)</f>
        <v>6.82</v>
      </c>
      <c r="J589" s="100">
        <f t="shared" si="65"/>
        <v>0.22470000000000001</v>
      </c>
      <c r="K589" s="48">
        <f t="shared" si="59"/>
        <v>549.19000000000005</v>
      </c>
      <c r="L589" s="48">
        <f t="shared" si="60"/>
        <v>8.35</v>
      </c>
      <c r="M589" s="48">
        <f t="shared" si="61"/>
        <v>10434.61</v>
      </c>
      <c r="N589" s="48">
        <f t="shared" si="62"/>
        <v>158.65</v>
      </c>
      <c r="O589" s="50">
        <f t="shared" si="63"/>
        <v>10593.26</v>
      </c>
      <c r="P589" s="50">
        <v>0</v>
      </c>
      <c r="Q589" s="76"/>
      <c r="R589" s="140">
        <f>1*S9+1*S10</f>
        <v>19</v>
      </c>
      <c r="S589" s="79">
        <v>448.43</v>
      </c>
      <c r="T589" s="80">
        <v>6.82</v>
      </c>
    </row>
    <row r="590" spans="2:20" ht="56">
      <c r="B590" s="5" t="s">
        <v>1383</v>
      </c>
      <c r="C590" s="45" t="s">
        <v>97</v>
      </c>
      <c r="D590" s="45" t="s">
        <v>1384</v>
      </c>
      <c r="E590" s="6" t="s">
        <v>1385</v>
      </c>
      <c r="F590" s="45" t="s">
        <v>104</v>
      </c>
      <c r="G590" s="46">
        <f t="shared" si="64"/>
        <v>38</v>
      </c>
      <c r="H590" s="46">
        <f>TRUNC(S590*(1-LOTE_01!$K$10),2)</f>
        <v>21.5</v>
      </c>
      <c r="I590" s="46">
        <f>TRUNC(T590*(1-LOTE_01!$K$10),2)</f>
        <v>3.84</v>
      </c>
      <c r="J590" s="100">
        <f t="shared" si="65"/>
        <v>0.22470000000000001</v>
      </c>
      <c r="K590" s="48">
        <f t="shared" si="59"/>
        <v>26.33</v>
      </c>
      <c r="L590" s="48">
        <f t="shared" si="60"/>
        <v>4.7</v>
      </c>
      <c r="M590" s="48">
        <f t="shared" si="61"/>
        <v>1000.54</v>
      </c>
      <c r="N590" s="48">
        <f t="shared" si="62"/>
        <v>178.6</v>
      </c>
      <c r="O590" s="50">
        <f t="shared" si="63"/>
        <v>1179.1400000000001</v>
      </c>
      <c r="P590" s="50">
        <v>0</v>
      </c>
      <c r="Q590" s="76"/>
      <c r="R590" s="140">
        <f>2*S9+2*S10</f>
        <v>38</v>
      </c>
      <c r="S590" s="79">
        <v>21.5</v>
      </c>
      <c r="T590" s="80">
        <v>3.84</v>
      </c>
    </row>
    <row r="591" spans="2:20" ht="70">
      <c r="B591" s="5" t="s">
        <v>1386</v>
      </c>
      <c r="C591" s="45" t="s">
        <v>97</v>
      </c>
      <c r="D591" s="45" t="s">
        <v>1387</v>
      </c>
      <c r="E591" s="6" t="s">
        <v>1388</v>
      </c>
      <c r="F591" s="45" t="s">
        <v>104</v>
      </c>
      <c r="G591" s="46">
        <f t="shared" si="64"/>
        <v>95</v>
      </c>
      <c r="H591" s="46">
        <f>TRUNC(S591*(1-LOTE_01!$K$10),2)</f>
        <v>40.880000000000003</v>
      </c>
      <c r="I591" s="46">
        <f>TRUNC(T591*(1-LOTE_01!$K$10),2)</f>
        <v>4.71</v>
      </c>
      <c r="J591" s="100">
        <f t="shared" si="65"/>
        <v>0.22470000000000001</v>
      </c>
      <c r="K591" s="48">
        <f t="shared" si="59"/>
        <v>50.06</v>
      </c>
      <c r="L591" s="48">
        <f t="shared" si="60"/>
        <v>5.76</v>
      </c>
      <c r="M591" s="48">
        <f t="shared" si="61"/>
        <v>4755.7</v>
      </c>
      <c r="N591" s="48">
        <f t="shared" si="62"/>
        <v>547.20000000000005</v>
      </c>
      <c r="O591" s="50">
        <f t="shared" si="63"/>
        <v>5302.9</v>
      </c>
      <c r="P591" s="50">
        <v>0</v>
      </c>
      <c r="Q591" s="76"/>
      <c r="R591" s="140">
        <f>5*S9+5*S10</f>
        <v>95</v>
      </c>
      <c r="S591" s="79">
        <v>40.880000000000003</v>
      </c>
      <c r="T591" s="80">
        <v>4.71</v>
      </c>
    </row>
    <row r="592" spans="2:20" ht="84">
      <c r="B592" s="5" t="s">
        <v>1389</v>
      </c>
      <c r="C592" s="45" t="s">
        <v>97</v>
      </c>
      <c r="D592" s="45" t="s">
        <v>1390</v>
      </c>
      <c r="E592" s="6" t="s">
        <v>1391</v>
      </c>
      <c r="F592" s="45" t="s">
        <v>104</v>
      </c>
      <c r="G592" s="46">
        <f t="shared" si="64"/>
        <v>95</v>
      </c>
      <c r="H592" s="46">
        <f>TRUNC(S592*(1-LOTE_01!$K$10),2)</f>
        <v>13.46</v>
      </c>
      <c r="I592" s="46">
        <f>TRUNC(T592*(1-LOTE_01!$K$10),2)</f>
        <v>4.71</v>
      </c>
      <c r="J592" s="100">
        <f t="shared" si="65"/>
        <v>0.22470000000000001</v>
      </c>
      <c r="K592" s="48">
        <f t="shared" ref="K592:K655" si="66">TRUNC(H592*(1+J592),2)</f>
        <v>16.48</v>
      </c>
      <c r="L592" s="48">
        <f t="shared" ref="L592:L655" si="67">TRUNC(I592*(1+J592),2)</f>
        <v>5.76</v>
      </c>
      <c r="M592" s="48">
        <f t="shared" ref="M592:M655" si="68">TRUNC(K592*G592,2)</f>
        <v>1565.6</v>
      </c>
      <c r="N592" s="48">
        <f t="shared" ref="N592:N655" si="69">TRUNC(L592*G592,2)</f>
        <v>547.20000000000005</v>
      </c>
      <c r="O592" s="50">
        <f t="shared" ref="O592:O655" si="70">TRUNC(M592+N592,2)</f>
        <v>2112.8000000000002</v>
      </c>
      <c r="P592" s="50">
        <v>0</v>
      </c>
      <c r="Q592" s="76"/>
      <c r="R592" s="140">
        <f>5*S9+5*S10</f>
        <v>95</v>
      </c>
      <c r="S592" s="79">
        <v>13.46</v>
      </c>
      <c r="T592" s="80">
        <v>4.71</v>
      </c>
    </row>
    <row r="593" spans="2:20" ht="84">
      <c r="B593" s="5" t="s">
        <v>1392</v>
      </c>
      <c r="C593" s="45" t="s">
        <v>97</v>
      </c>
      <c r="D593" s="45" t="s">
        <v>1393</v>
      </c>
      <c r="E593" s="6" t="s">
        <v>1394</v>
      </c>
      <c r="F593" s="45" t="s">
        <v>104</v>
      </c>
      <c r="G593" s="46">
        <f t="shared" si="64"/>
        <v>95</v>
      </c>
      <c r="H593" s="46">
        <f>TRUNC(S593*(1-LOTE_01!$K$10),2)</f>
        <v>24.64</v>
      </c>
      <c r="I593" s="46">
        <f>TRUNC(T593*(1-LOTE_01!$K$10),2)</f>
        <v>4.71</v>
      </c>
      <c r="J593" s="100">
        <f t="shared" si="65"/>
        <v>0.22470000000000001</v>
      </c>
      <c r="K593" s="48">
        <f t="shared" si="66"/>
        <v>30.17</v>
      </c>
      <c r="L593" s="48">
        <f t="shared" si="67"/>
        <v>5.76</v>
      </c>
      <c r="M593" s="48">
        <f t="shared" si="68"/>
        <v>2866.15</v>
      </c>
      <c r="N593" s="48">
        <f t="shared" si="69"/>
        <v>547.20000000000005</v>
      </c>
      <c r="O593" s="50">
        <f t="shared" si="70"/>
        <v>3413.35</v>
      </c>
      <c r="P593" s="50">
        <v>0</v>
      </c>
      <c r="Q593" s="76"/>
      <c r="R593" s="140">
        <f>5*S9+5*S10</f>
        <v>95</v>
      </c>
      <c r="S593" s="79">
        <v>24.64</v>
      </c>
      <c r="T593" s="80">
        <v>4.71</v>
      </c>
    </row>
    <row r="594" spans="2:20" ht="84">
      <c r="B594" s="5" t="s">
        <v>1395</v>
      </c>
      <c r="C594" s="45" t="s">
        <v>97</v>
      </c>
      <c r="D594" s="45" t="s">
        <v>1396</v>
      </c>
      <c r="E594" s="6" t="s">
        <v>1397</v>
      </c>
      <c r="F594" s="45" t="s">
        <v>104</v>
      </c>
      <c r="G594" s="46">
        <f t="shared" ref="G594:G657" si="71">TRUNC(R594,2)</f>
        <v>95</v>
      </c>
      <c r="H594" s="46">
        <f>TRUNC(S594*(1-LOTE_01!$K$10),2)</f>
        <v>29.88</v>
      </c>
      <c r="I594" s="46">
        <f>TRUNC(T594*(1-LOTE_01!$K$10),2)</f>
        <v>4.71</v>
      </c>
      <c r="J594" s="100">
        <f t="shared" ref="J594:J657" si="72">$J$4</f>
        <v>0.22470000000000001</v>
      </c>
      <c r="K594" s="48">
        <f t="shared" si="66"/>
        <v>36.590000000000003</v>
      </c>
      <c r="L594" s="48">
        <f t="shared" si="67"/>
        <v>5.76</v>
      </c>
      <c r="M594" s="48">
        <f t="shared" si="68"/>
        <v>3476.05</v>
      </c>
      <c r="N594" s="48">
        <f t="shared" si="69"/>
        <v>547.20000000000005</v>
      </c>
      <c r="O594" s="50">
        <f t="shared" si="70"/>
        <v>4023.25</v>
      </c>
      <c r="P594" s="50">
        <v>0</v>
      </c>
      <c r="Q594" s="76"/>
      <c r="R594" s="140">
        <f>5*S9+5*S10</f>
        <v>95</v>
      </c>
      <c r="S594" s="79">
        <v>29.88</v>
      </c>
      <c r="T594" s="80">
        <v>4.71</v>
      </c>
    </row>
    <row r="595" spans="2:20" ht="84">
      <c r="B595" s="5" t="s">
        <v>1398</v>
      </c>
      <c r="C595" s="45" t="s">
        <v>97</v>
      </c>
      <c r="D595" s="45" t="s">
        <v>1399</v>
      </c>
      <c r="E595" s="6" t="s">
        <v>1400</v>
      </c>
      <c r="F595" s="45" t="s">
        <v>104</v>
      </c>
      <c r="G595" s="46">
        <f t="shared" si="71"/>
        <v>95</v>
      </c>
      <c r="H595" s="46">
        <f>TRUNC(S595*(1-LOTE_01!$K$10),2)</f>
        <v>21.51</v>
      </c>
      <c r="I595" s="46">
        <f>TRUNC(T595*(1-LOTE_01!$K$10),2)</f>
        <v>4.71</v>
      </c>
      <c r="J595" s="100">
        <f t="shared" si="72"/>
        <v>0.22470000000000001</v>
      </c>
      <c r="K595" s="48">
        <f t="shared" si="66"/>
        <v>26.34</v>
      </c>
      <c r="L595" s="48">
        <f t="shared" si="67"/>
        <v>5.76</v>
      </c>
      <c r="M595" s="48">
        <f t="shared" si="68"/>
        <v>2502.3000000000002</v>
      </c>
      <c r="N595" s="48">
        <f t="shared" si="69"/>
        <v>547.20000000000005</v>
      </c>
      <c r="O595" s="50">
        <f t="shared" si="70"/>
        <v>3049.5</v>
      </c>
      <c r="P595" s="50">
        <v>0</v>
      </c>
      <c r="Q595" s="76"/>
      <c r="R595" s="140">
        <f>5*S9+5*S10</f>
        <v>95</v>
      </c>
      <c r="S595" s="79">
        <v>21.51</v>
      </c>
      <c r="T595" s="80">
        <v>4.71</v>
      </c>
    </row>
    <row r="596" spans="2:20" ht="84">
      <c r="B596" s="5" t="s">
        <v>1401</v>
      </c>
      <c r="C596" s="45" t="s">
        <v>97</v>
      </c>
      <c r="D596" s="45" t="s">
        <v>1402</v>
      </c>
      <c r="E596" s="6" t="s">
        <v>1403</v>
      </c>
      <c r="F596" s="45" t="s">
        <v>104</v>
      </c>
      <c r="G596" s="46">
        <f t="shared" si="71"/>
        <v>95</v>
      </c>
      <c r="H596" s="46">
        <f>TRUNC(S596*(1-LOTE_01!$K$10),2)</f>
        <v>38.799999999999997</v>
      </c>
      <c r="I596" s="46">
        <f>TRUNC(T596*(1-LOTE_01!$K$10),2)</f>
        <v>4.71</v>
      </c>
      <c r="J596" s="100">
        <f t="shared" si="72"/>
        <v>0.22470000000000001</v>
      </c>
      <c r="K596" s="48">
        <f t="shared" si="66"/>
        <v>47.51</v>
      </c>
      <c r="L596" s="48">
        <f t="shared" si="67"/>
        <v>5.76</v>
      </c>
      <c r="M596" s="48">
        <f t="shared" si="68"/>
        <v>4513.45</v>
      </c>
      <c r="N596" s="48">
        <f t="shared" si="69"/>
        <v>547.20000000000005</v>
      </c>
      <c r="O596" s="50">
        <f t="shared" si="70"/>
        <v>5060.6499999999996</v>
      </c>
      <c r="P596" s="50">
        <v>0</v>
      </c>
      <c r="Q596" s="76"/>
      <c r="R596" s="140">
        <f>5*S9+5*S10</f>
        <v>95</v>
      </c>
      <c r="S596" s="79">
        <v>38.799999999999997</v>
      </c>
      <c r="T596" s="80">
        <v>4.71</v>
      </c>
    </row>
    <row r="597" spans="2:20" ht="56">
      <c r="B597" s="5" t="s">
        <v>1404</v>
      </c>
      <c r="C597" s="45" t="s">
        <v>97</v>
      </c>
      <c r="D597" s="45" t="s">
        <v>1405</v>
      </c>
      <c r="E597" s="6" t="s">
        <v>1406</v>
      </c>
      <c r="F597" s="45" t="s">
        <v>104</v>
      </c>
      <c r="G597" s="46">
        <f t="shared" si="71"/>
        <v>38</v>
      </c>
      <c r="H597" s="46">
        <f>TRUNC(S597*(1-LOTE_01!$K$10),2)</f>
        <v>24.63</v>
      </c>
      <c r="I597" s="46">
        <f>TRUNC(T597*(1-LOTE_01!$K$10),2)</f>
        <v>3.84</v>
      </c>
      <c r="J597" s="100">
        <f t="shared" si="72"/>
        <v>0.22470000000000001</v>
      </c>
      <c r="K597" s="48">
        <f t="shared" si="66"/>
        <v>30.16</v>
      </c>
      <c r="L597" s="48">
        <f t="shared" si="67"/>
        <v>4.7</v>
      </c>
      <c r="M597" s="48">
        <f t="shared" si="68"/>
        <v>1146.08</v>
      </c>
      <c r="N597" s="48">
        <f t="shared" si="69"/>
        <v>178.6</v>
      </c>
      <c r="O597" s="50">
        <f t="shared" si="70"/>
        <v>1324.68</v>
      </c>
      <c r="P597" s="50">
        <v>0</v>
      </c>
      <c r="Q597" s="76"/>
      <c r="R597" s="140">
        <f>2*S9+2*S10</f>
        <v>38</v>
      </c>
      <c r="S597" s="79">
        <v>24.63</v>
      </c>
      <c r="T597" s="80">
        <v>3.84</v>
      </c>
    </row>
    <row r="598" spans="2:20" ht="28">
      <c r="B598" s="5" t="s">
        <v>1407</v>
      </c>
      <c r="C598" s="45" t="s">
        <v>165</v>
      </c>
      <c r="D598" s="45" t="s">
        <v>1408</v>
      </c>
      <c r="E598" s="6" t="s">
        <v>1409</v>
      </c>
      <c r="F598" s="45" t="s">
        <v>559</v>
      </c>
      <c r="G598" s="46">
        <f t="shared" si="71"/>
        <v>5</v>
      </c>
      <c r="H598" s="46">
        <f>TRUNC(S598*(1-LOTE_01!$K$10),2)</f>
        <v>1132.3900000000001</v>
      </c>
      <c r="I598" s="46">
        <f>TRUNC(T598*(1-LOTE_01!$K$10),2)</f>
        <v>79.72</v>
      </c>
      <c r="J598" s="100">
        <f t="shared" si="72"/>
        <v>0.22470000000000001</v>
      </c>
      <c r="K598" s="48">
        <f t="shared" si="66"/>
        <v>1386.83</v>
      </c>
      <c r="L598" s="48">
        <f t="shared" si="67"/>
        <v>97.63</v>
      </c>
      <c r="M598" s="48">
        <f t="shared" si="68"/>
        <v>6934.15</v>
      </c>
      <c r="N598" s="48">
        <f t="shared" si="69"/>
        <v>488.15</v>
      </c>
      <c r="O598" s="50">
        <f t="shared" si="70"/>
        <v>7422.3</v>
      </c>
      <c r="P598" s="50">
        <v>0</v>
      </c>
      <c r="Q598" s="76"/>
      <c r="R598" s="140">
        <f>IF((1*S9+1*S10)&gt;5,5,(1*S9+1*S10))</f>
        <v>5</v>
      </c>
      <c r="S598" s="79">
        <v>1132.3900000000001</v>
      </c>
      <c r="T598" s="80">
        <v>79.72</v>
      </c>
    </row>
    <row r="599" spans="2:20" ht="28">
      <c r="B599" s="5" t="s">
        <v>1410</v>
      </c>
      <c r="C599" s="45" t="s">
        <v>165</v>
      </c>
      <c r="D599" s="45" t="s">
        <v>1411</v>
      </c>
      <c r="E599" s="6" t="s">
        <v>1412</v>
      </c>
      <c r="F599" s="45" t="s">
        <v>559</v>
      </c>
      <c r="G599" s="46">
        <f t="shared" si="71"/>
        <v>5</v>
      </c>
      <c r="H599" s="46">
        <f>TRUNC(S599*(1-LOTE_01!$K$10),2)</f>
        <v>99.14</v>
      </c>
      <c r="I599" s="46">
        <f>TRUNC(T599*(1-LOTE_01!$K$10),2)</f>
        <v>11.56</v>
      </c>
      <c r="J599" s="100">
        <f t="shared" si="72"/>
        <v>0.22470000000000001</v>
      </c>
      <c r="K599" s="48">
        <f t="shared" si="66"/>
        <v>121.41</v>
      </c>
      <c r="L599" s="48">
        <f t="shared" si="67"/>
        <v>14.15</v>
      </c>
      <c r="M599" s="48">
        <f t="shared" si="68"/>
        <v>607.04999999999995</v>
      </c>
      <c r="N599" s="48">
        <f t="shared" si="69"/>
        <v>70.75</v>
      </c>
      <c r="O599" s="50">
        <f t="shared" si="70"/>
        <v>677.8</v>
      </c>
      <c r="P599" s="50">
        <v>0</v>
      </c>
      <c r="Q599" s="76"/>
      <c r="R599" s="140">
        <f>IF((1*S9+1*S10)&gt;5,5,(1*S9+1*S10))</f>
        <v>5</v>
      </c>
      <c r="S599" s="79">
        <v>99.14</v>
      </c>
      <c r="T599" s="80">
        <v>11.56</v>
      </c>
    </row>
    <row r="600" spans="2:20" ht="28">
      <c r="B600" s="5" t="s">
        <v>1413</v>
      </c>
      <c r="C600" s="45" t="s">
        <v>97</v>
      </c>
      <c r="D600" s="45" t="s">
        <v>1414</v>
      </c>
      <c r="E600" s="6" t="s">
        <v>1415</v>
      </c>
      <c r="F600" s="45" t="s">
        <v>1416</v>
      </c>
      <c r="G600" s="46">
        <f t="shared" si="71"/>
        <v>500</v>
      </c>
      <c r="H600" s="46">
        <f>TRUNC(S600*(1-LOTE_01!$K$10),2)</f>
        <v>22.41</v>
      </c>
      <c r="I600" s="46">
        <f>TRUNC(T600*(1-LOTE_01!$K$10),2)</f>
        <v>6.88</v>
      </c>
      <c r="J600" s="100">
        <f t="shared" si="72"/>
        <v>0.22470000000000001</v>
      </c>
      <c r="K600" s="48">
        <f t="shared" si="66"/>
        <v>27.44</v>
      </c>
      <c r="L600" s="48">
        <f t="shared" si="67"/>
        <v>8.42</v>
      </c>
      <c r="M600" s="48">
        <f t="shared" si="68"/>
        <v>13720</v>
      </c>
      <c r="N600" s="48">
        <f t="shared" si="69"/>
        <v>4210</v>
      </c>
      <c r="O600" s="50">
        <f t="shared" si="70"/>
        <v>17930</v>
      </c>
      <c r="P600" s="50">
        <v>0</v>
      </c>
      <c r="Q600" s="76"/>
      <c r="R600" s="141">
        <f>IF(100*(S9+S10)&gt;500,500,100*(S9+S10))</f>
        <v>500</v>
      </c>
      <c r="S600" s="79">
        <v>22.41</v>
      </c>
      <c r="T600" s="80">
        <v>6.88</v>
      </c>
    </row>
    <row r="601" spans="2:20" ht="28">
      <c r="B601" s="5" t="s">
        <v>1417</v>
      </c>
      <c r="C601" s="45" t="s">
        <v>97</v>
      </c>
      <c r="D601" s="45" t="s">
        <v>1418</v>
      </c>
      <c r="E601" s="6" t="s">
        <v>1419</v>
      </c>
      <c r="F601" s="45" t="s">
        <v>187</v>
      </c>
      <c r="G601" s="46">
        <f t="shared" si="71"/>
        <v>500</v>
      </c>
      <c r="H601" s="46">
        <f>TRUNC(S601*(1-LOTE_01!$K$10),2)</f>
        <v>27.34</v>
      </c>
      <c r="I601" s="46">
        <f>TRUNC(T601*(1-LOTE_01!$K$10),2)</f>
        <v>6.88</v>
      </c>
      <c r="J601" s="100">
        <f t="shared" si="72"/>
        <v>0.22470000000000001</v>
      </c>
      <c r="K601" s="48">
        <f t="shared" si="66"/>
        <v>33.479999999999997</v>
      </c>
      <c r="L601" s="48">
        <f t="shared" si="67"/>
        <v>8.42</v>
      </c>
      <c r="M601" s="48">
        <f t="shared" si="68"/>
        <v>16740</v>
      </c>
      <c r="N601" s="48">
        <f t="shared" si="69"/>
        <v>4210</v>
      </c>
      <c r="O601" s="50">
        <f t="shared" si="70"/>
        <v>20950</v>
      </c>
      <c r="P601" s="50">
        <v>0</v>
      </c>
      <c r="Q601" s="76"/>
      <c r="R601" s="141">
        <f>IF(100*(S9+S10)&gt;500,500,100*(S9+S10))</f>
        <v>500</v>
      </c>
      <c r="S601" s="79">
        <v>27.34</v>
      </c>
      <c r="T601" s="80">
        <v>6.88</v>
      </c>
    </row>
    <row r="602" spans="2:20" ht="28">
      <c r="B602" s="5" t="s">
        <v>1420</v>
      </c>
      <c r="C602" s="45" t="s">
        <v>97</v>
      </c>
      <c r="D602" s="45" t="s">
        <v>1421</v>
      </c>
      <c r="E602" s="6" t="s">
        <v>1422</v>
      </c>
      <c r="F602" s="45" t="s">
        <v>104</v>
      </c>
      <c r="G602" s="46">
        <f t="shared" si="71"/>
        <v>10</v>
      </c>
      <c r="H602" s="46">
        <f>TRUNC(S602*(1-LOTE_01!$K$10),2)</f>
        <v>217.95</v>
      </c>
      <c r="I602" s="46">
        <f>TRUNC(T602*(1-LOTE_01!$K$10),2)</f>
        <v>32.130000000000003</v>
      </c>
      <c r="J602" s="100">
        <f t="shared" si="72"/>
        <v>0.22470000000000001</v>
      </c>
      <c r="K602" s="48">
        <f t="shared" si="66"/>
        <v>266.92</v>
      </c>
      <c r="L602" s="48">
        <f t="shared" si="67"/>
        <v>39.340000000000003</v>
      </c>
      <c r="M602" s="48">
        <f t="shared" si="68"/>
        <v>2669.2</v>
      </c>
      <c r="N602" s="48">
        <f t="shared" si="69"/>
        <v>393.4</v>
      </c>
      <c r="O602" s="50">
        <f t="shared" si="70"/>
        <v>3062.6</v>
      </c>
      <c r="P602" s="50">
        <v>0</v>
      </c>
      <c r="Q602" s="76"/>
      <c r="R602" s="141">
        <f>IF(2*(S9+S10)&gt;10,10,2*(S9+S10))</f>
        <v>10</v>
      </c>
      <c r="S602" s="79">
        <v>217.95</v>
      </c>
      <c r="T602" s="80">
        <v>32.130000000000003</v>
      </c>
    </row>
    <row r="603" spans="2:20" ht="28">
      <c r="B603" s="5" t="s">
        <v>1423</v>
      </c>
      <c r="C603" s="45" t="s">
        <v>97</v>
      </c>
      <c r="D603" s="45" t="s">
        <v>1421</v>
      </c>
      <c r="E603" s="6" t="s">
        <v>1422</v>
      </c>
      <c r="F603" s="45" t="s">
        <v>104</v>
      </c>
      <c r="G603" s="46">
        <f t="shared" si="71"/>
        <v>5</v>
      </c>
      <c r="H603" s="46">
        <f>TRUNC(S603*(1-LOTE_01!$K$10),2)</f>
        <v>217.95</v>
      </c>
      <c r="I603" s="46">
        <f>TRUNC(T603*(1-LOTE_01!$K$10),2)</f>
        <v>32.130000000000003</v>
      </c>
      <c r="J603" s="100">
        <f t="shared" si="72"/>
        <v>0.22470000000000001</v>
      </c>
      <c r="K603" s="48">
        <f t="shared" si="66"/>
        <v>266.92</v>
      </c>
      <c r="L603" s="48">
        <f t="shared" si="67"/>
        <v>39.340000000000003</v>
      </c>
      <c r="M603" s="48">
        <f t="shared" si="68"/>
        <v>1334.6</v>
      </c>
      <c r="N603" s="48">
        <f t="shared" si="69"/>
        <v>196.7</v>
      </c>
      <c r="O603" s="50">
        <f t="shared" si="70"/>
        <v>1531.3</v>
      </c>
      <c r="P603" s="50">
        <v>0</v>
      </c>
      <c r="Q603" s="76"/>
      <c r="R603" s="141">
        <f>IF(1*(S9+S10)&gt;5,5,1*(S9+S10))</f>
        <v>5</v>
      </c>
      <c r="S603" s="79">
        <v>217.95</v>
      </c>
      <c r="T603" s="80">
        <v>32.130000000000003</v>
      </c>
    </row>
    <row r="604" spans="2:20" ht="28">
      <c r="B604" s="5" t="s">
        <v>1424</v>
      </c>
      <c r="C604" s="45" t="s">
        <v>97</v>
      </c>
      <c r="D604" s="45" t="s">
        <v>1421</v>
      </c>
      <c r="E604" s="6" t="s">
        <v>1422</v>
      </c>
      <c r="F604" s="45" t="s">
        <v>104</v>
      </c>
      <c r="G604" s="46">
        <f t="shared" si="71"/>
        <v>5</v>
      </c>
      <c r="H604" s="46">
        <f>TRUNC(S604*(1-LOTE_01!$K$10),2)</f>
        <v>217.95</v>
      </c>
      <c r="I604" s="46">
        <f>TRUNC(T604*(1-LOTE_01!$K$10),2)</f>
        <v>32.130000000000003</v>
      </c>
      <c r="J604" s="100">
        <f t="shared" si="72"/>
        <v>0.22470000000000001</v>
      </c>
      <c r="K604" s="48">
        <f t="shared" si="66"/>
        <v>266.92</v>
      </c>
      <c r="L604" s="48">
        <f t="shared" si="67"/>
        <v>39.340000000000003</v>
      </c>
      <c r="M604" s="48">
        <f t="shared" si="68"/>
        <v>1334.6</v>
      </c>
      <c r="N604" s="48">
        <f t="shared" si="69"/>
        <v>196.7</v>
      </c>
      <c r="O604" s="50">
        <f t="shared" si="70"/>
        <v>1531.3</v>
      </c>
      <c r="P604" s="50">
        <v>0</v>
      </c>
      <c r="Q604" s="76"/>
      <c r="R604" s="141">
        <f>IF(1*(S10+1*S9)&gt;5,5,(2*S10+1*S9))</f>
        <v>5</v>
      </c>
      <c r="S604" s="79">
        <v>217.95</v>
      </c>
      <c r="T604" s="80">
        <v>32.130000000000003</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983474.77</v>
      </c>
      <c r="Q605" s="76"/>
      <c r="R605" s="154"/>
      <c r="S605" s="79" t="s">
        <v>22</v>
      </c>
      <c r="T605" s="80" t="s">
        <v>22</v>
      </c>
    </row>
    <row r="606" spans="2:20" ht="56">
      <c r="B606" s="5" t="s">
        <v>1425</v>
      </c>
      <c r="C606" s="45" t="s">
        <v>97</v>
      </c>
      <c r="D606" s="45" t="s">
        <v>1426</v>
      </c>
      <c r="E606" s="6" t="s">
        <v>1427</v>
      </c>
      <c r="F606" s="45" t="s">
        <v>104</v>
      </c>
      <c r="G606" s="46">
        <f t="shared" si="71"/>
        <v>57</v>
      </c>
      <c r="H606" s="46">
        <f>TRUNC(S606*(1-LOTE_01!$K$10),2)</f>
        <v>7.55</v>
      </c>
      <c r="I606" s="46">
        <f>TRUNC(T606*(1-LOTE_01!$K$10),2)</f>
        <v>22.19</v>
      </c>
      <c r="J606" s="100">
        <f t="shared" si="72"/>
        <v>0.22470000000000001</v>
      </c>
      <c r="K606" s="48">
        <f t="shared" si="66"/>
        <v>9.24</v>
      </c>
      <c r="L606" s="48">
        <f t="shared" si="67"/>
        <v>27.17</v>
      </c>
      <c r="M606" s="48">
        <f t="shared" si="68"/>
        <v>526.67999999999995</v>
      </c>
      <c r="N606" s="48">
        <f t="shared" si="69"/>
        <v>1548.69</v>
      </c>
      <c r="O606" s="50">
        <f t="shared" si="70"/>
        <v>2075.37</v>
      </c>
      <c r="P606" s="50">
        <v>0</v>
      </c>
      <c r="Q606" s="76"/>
      <c r="R606" s="139">
        <f>3*S9+3*S10</f>
        <v>57</v>
      </c>
      <c r="S606" s="79">
        <v>7.55</v>
      </c>
      <c r="T606" s="80">
        <v>22.19</v>
      </c>
    </row>
    <row r="607" spans="2:20" ht="42">
      <c r="B607" s="5" t="s">
        <v>1428</v>
      </c>
      <c r="C607" s="45" t="s">
        <v>135</v>
      </c>
      <c r="D607" s="45">
        <v>103288</v>
      </c>
      <c r="E607" s="6" t="s">
        <v>1429</v>
      </c>
      <c r="F607" s="45" t="s">
        <v>210</v>
      </c>
      <c r="G607" s="46">
        <f t="shared" si="71"/>
        <v>38</v>
      </c>
      <c r="H607" s="46">
        <f>TRUNC(S607*(1-LOTE_01!$K$10),2)</f>
        <v>5.94</v>
      </c>
      <c r="I607" s="46">
        <f>TRUNC(T607*(1-LOTE_01!$K$10),2)</f>
        <v>11.87</v>
      </c>
      <c r="J607" s="100">
        <f t="shared" si="72"/>
        <v>0.22470000000000001</v>
      </c>
      <c r="K607" s="48">
        <f t="shared" si="66"/>
        <v>7.27</v>
      </c>
      <c r="L607" s="48">
        <f t="shared" si="67"/>
        <v>14.53</v>
      </c>
      <c r="M607" s="48">
        <f t="shared" si="68"/>
        <v>276.26</v>
      </c>
      <c r="N607" s="48">
        <f t="shared" si="69"/>
        <v>552.14</v>
      </c>
      <c r="O607" s="50">
        <f t="shared" si="70"/>
        <v>828.4</v>
      </c>
      <c r="P607" s="50">
        <v>0</v>
      </c>
      <c r="Q607" s="76"/>
      <c r="R607" s="139">
        <f>2*S9+2*S10</f>
        <v>38</v>
      </c>
      <c r="S607" s="79">
        <v>5.9399999999999995</v>
      </c>
      <c r="T607" s="80">
        <v>11.87</v>
      </c>
    </row>
    <row r="608" spans="2:20" ht="28">
      <c r="B608" s="5" t="s">
        <v>1430</v>
      </c>
      <c r="C608" s="45" t="s">
        <v>165</v>
      </c>
      <c r="D608" s="45" t="s">
        <v>1431</v>
      </c>
      <c r="E608" s="6" t="s">
        <v>1432</v>
      </c>
      <c r="F608" s="45" t="s">
        <v>168</v>
      </c>
      <c r="G608" s="46">
        <f t="shared" si="71"/>
        <v>646</v>
      </c>
      <c r="H608" s="46">
        <f>TRUNC(S608*(1-LOTE_01!$K$10),2)</f>
        <v>167.8</v>
      </c>
      <c r="I608" s="46">
        <f>TRUNC(T608*(1-LOTE_01!$K$10),2)</f>
        <v>130.05000000000001</v>
      </c>
      <c r="J608" s="100">
        <f t="shared" si="72"/>
        <v>0.22470000000000001</v>
      </c>
      <c r="K608" s="48">
        <f t="shared" si="66"/>
        <v>205.5</v>
      </c>
      <c r="L608" s="48">
        <f t="shared" si="67"/>
        <v>159.27000000000001</v>
      </c>
      <c r="M608" s="48">
        <f t="shared" si="68"/>
        <v>132753</v>
      </c>
      <c r="N608" s="48">
        <f t="shared" si="69"/>
        <v>102888.42</v>
      </c>
      <c r="O608" s="50">
        <f t="shared" si="70"/>
        <v>235641.42</v>
      </c>
      <c r="P608" s="50">
        <v>0</v>
      </c>
      <c r="Q608" s="76"/>
      <c r="R608" s="139">
        <f>(21+10+3)*(S9+S10)</f>
        <v>646</v>
      </c>
      <c r="S608" s="79">
        <v>167.8</v>
      </c>
      <c r="T608" s="80">
        <v>130.05000000000001</v>
      </c>
    </row>
    <row r="609" spans="2:20" ht="28">
      <c r="B609" s="5" t="s">
        <v>1433</v>
      </c>
      <c r="C609" s="45" t="s">
        <v>165</v>
      </c>
      <c r="D609" s="45" t="s">
        <v>1434</v>
      </c>
      <c r="E609" s="6" t="s">
        <v>1435</v>
      </c>
      <c r="F609" s="45" t="s">
        <v>559</v>
      </c>
      <c r="G609" s="46">
        <f t="shared" si="71"/>
        <v>76</v>
      </c>
      <c r="H609" s="46">
        <f>TRUNC(S609*(1-LOTE_01!$K$10),2)</f>
        <v>108.75</v>
      </c>
      <c r="I609" s="46">
        <f>TRUNC(T609*(1-LOTE_01!$K$10),2)</f>
        <v>99.65</v>
      </c>
      <c r="J609" s="100">
        <f t="shared" si="72"/>
        <v>0.22470000000000001</v>
      </c>
      <c r="K609" s="48">
        <f t="shared" si="66"/>
        <v>133.18</v>
      </c>
      <c r="L609" s="48">
        <f t="shared" si="67"/>
        <v>122.04</v>
      </c>
      <c r="M609" s="48">
        <f t="shared" si="68"/>
        <v>10121.68</v>
      </c>
      <c r="N609" s="48">
        <f t="shared" si="69"/>
        <v>9275.0400000000009</v>
      </c>
      <c r="O609" s="50">
        <f t="shared" si="70"/>
        <v>19396.72</v>
      </c>
      <c r="P609" s="50">
        <v>0</v>
      </c>
      <c r="Q609" s="76"/>
      <c r="R609" s="139">
        <f>4*(S9+S10)</f>
        <v>76</v>
      </c>
      <c r="S609" s="79">
        <v>108.75</v>
      </c>
      <c r="T609" s="80">
        <v>99.65</v>
      </c>
    </row>
    <row r="610" spans="2:20" ht="42">
      <c r="B610" s="5" t="s">
        <v>1436</v>
      </c>
      <c r="C610" s="45" t="s">
        <v>165</v>
      </c>
      <c r="D610" s="45" t="s">
        <v>1437</v>
      </c>
      <c r="E610" s="6" t="s">
        <v>1438</v>
      </c>
      <c r="F610" s="45" t="s">
        <v>559</v>
      </c>
      <c r="G610" s="46">
        <f t="shared" si="71"/>
        <v>76</v>
      </c>
      <c r="H610" s="46">
        <f>TRUNC(S610*(1-LOTE_01!$K$10),2)</f>
        <v>110.15</v>
      </c>
      <c r="I610" s="46">
        <f>TRUNC(T610*(1-LOTE_01!$K$10),2)</f>
        <v>127.96</v>
      </c>
      <c r="J610" s="100">
        <f t="shared" si="72"/>
        <v>0.22470000000000001</v>
      </c>
      <c r="K610" s="48">
        <f t="shared" si="66"/>
        <v>134.9</v>
      </c>
      <c r="L610" s="48">
        <f t="shared" si="67"/>
        <v>156.71</v>
      </c>
      <c r="M610" s="48">
        <f t="shared" si="68"/>
        <v>10252.4</v>
      </c>
      <c r="N610" s="48">
        <f t="shared" si="69"/>
        <v>11909.96</v>
      </c>
      <c r="O610" s="50">
        <f t="shared" si="70"/>
        <v>22162.36</v>
      </c>
      <c r="P610" s="50">
        <v>0</v>
      </c>
      <c r="Q610" s="76"/>
      <c r="R610" s="139">
        <f>4*(S9+S10)</f>
        <v>76</v>
      </c>
      <c r="S610" s="79">
        <v>110.15</v>
      </c>
      <c r="T610" s="80">
        <v>127.96</v>
      </c>
    </row>
    <row r="611" spans="2:20" ht="28">
      <c r="B611" s="5" t="s">
        <v>1439</v>
      </c>
      <c r="C611" s="45" t="s">
        <v>165</v>
      </c>
      <c r="D611" s="45" t="s">
        <v>1440</v>
      </c>
      <c r="E611" s="6" t="s">
        <v>1441</v>
      </c>
      <c r="F611" s="45" t="s">
        <v>559</v>
      </c>
      <c r="G611" s="46">
        <f t="shared" si="71"/>
        <v>95</v>
      </c>
      <c r="H611" s="46">
        <f>TRUNC(S611*(1-LOTE_01!$K$10),2)</f>
        <v>136.80000000000001</v>
      </c>
      <c r="I611" s="46">
        <f>TRUNC(T611*(1-LOTE_01!$K$10),2)</f>
        <v>139.52000000000001</v>
      </c>
      <c r="J611" s="100">
        <f t="shared" si="72"/>
        <v>0.22470000000000001</v>
      </c>
      <c r="K611" s="48">
        <f t="shared" si="66"/>
        <v>167.53</v>
      </c>
      <c r="L611" s="48">
        <f t="shared" si="67"/>
        <v>170.87</v>
      </c>
      <c r="M611" s="48">
        <f t="shared" si="68"/>
        <v>15915.35</v>
      </c>
      <c r="N611" s="48">
        <f t="shared" si="69"/>
        <v>16232.65</v>
      </c>
      <c r="O611" s="50">
        <f t="shared" si="70"/>
        <v>32148</v>
      </c>
      <c r="P611" s="50">
        <v>0</v>
      </c>
      <c r="Q611" s="76"/>
      <c r="R611" s="139">
        <f>5*(S9+S10)</f>
        <v>95</v>
      </c>
      <c r="S611" s="79">
        <v>136.80000000000001</v>
      </c>
      <c r="T611" s="80">
        <v>139.52000000000001</v>
      </c>
    </row>
    <row r="612" spans="2:20" ht="28">
      <c r="B612" s="5" t="s">
        <v>1442</v>
      </c>
      <c r="C612" s="45" t="s">
        <v>165</v>
      </c>
      <c r="D612" s="45" t="s">
        <v>1443</v>
      </c>
      <c r="E612" s="6" t="s">
        <v>1444</v>
      </c>
      <c r="F612" s="45" t="s">
        <v>559</v>
      </c>
      <c r="G612" s="46">
        <f t="shared" si="71"/>
        <v>95</v>
      </c>
      <c r="H612" s="46">
        <f>TRUNC(S612*(1-LOTE_01!$K$10),2)</f>
        <v>146.5</v>
      </c>
      <c r="I612" s="46">
        <f>TRUNC(T612*(1-LOTE_01!$K$10),2)</f>
        <v>139.52000000000001</v>
      </c>
      <c r="J612" s="100">
        <f t="shared" si="72"/>
        <v>0.22470000000000001</v>
      </c>
      <c r="K612" s="48">
        <f t="shared" si="66"/>
        <v>179.41</v>
      </c>
      <c r="L612" s="48">
        <f t="shared" si="67"/>
        <v>170.87</v>
      </c>
      <c r="M612" s="48">
        <f t="shared" si="68"/>
        <v>17043.95</v>
      </c>
      <c r="N612" s="48">
        <f t="shared" si="69"/>
        <v>16232.65</v>
      </c>
      <c r="O612" s="50">
        <f t="shared" si="70"/>
        <v>33276.6</v>
      </c>
      <c r="P612" s="50">
        <v>0</v>
      </c>
      <c r="Q612" s="76"/>
      <c r="R612" s="139">
        <f>5*(S9+S10)</f>
        <v>95</v>
      </c>
      <c r="S612" s="79">
        <v>146.5</v>
      </c>
      <c r="T612" s="80">
        <v>139.52000000000001</v>
      </c>
    </row>
    <row r="613" spans="2:20" ht="28">
      <c r="B613" s="5" t="s">
        <v>1445</v>
      </c>
      <c r="C613" s="45" t="s">
        <v>165</v>
      </c>
      <c r="D613" s="45" t="s">
        <v>1446</v>
      </c>
      <c r="E613" s="6" t="s">
        <v>1447</v>
      </c>
      <c r="F613" s="45" t="s">
        <v>559</v>
      </c>
      <c r="G613" s="46">
        <f t="shared" si="71"/>
        <v>95</v>
      </c>
      <c r="H613" s="46">
        <f>TRUNC(S613*(1-LOTE_01!$K$10),2)</f>
        <v>168.45</v>
      </c>
      <c r="I613" s="46">
        <f>TRUNC(T613*(1-LOTE_01!$K$10),2)</f>
        <v>139.52000000000001</v>
      </c>
      <c r="J613" s="100">
        <f t="shared" si="72"/>
        <v>0.22470000000000001</v>
      </c>
      <c r="K613" s="48">
        <f t="shared" si="66"/>
        <v>206.3</v>
      </c>
      <c r="L613" s="48">
        <f t="shared" si="67"/>
        <v>170.87</v>
      </c>
      <c r="M613" s="48">
        <f t="shared" si="68"/>
        <v>19598.5</v>
      </c>
      <c r="N613" s="48">
        <f t="shared" si="69"/>
        <v>16232.65</v>
      </c>
      <c r="O613" s="50">
        <f t="shared" si="70"/>
        <v>35831.15</v>
      </c>
      <c r="P613" s="50">
        <v>0</v>
      </c>
      <c r="Q613" s="76"/>
      <c r="R613" s="139">
        <f>5*(S9+S10)</f>
        <v>95</v>
      </c>
      <c r="S613" s="79">
        <v>168.45</v>
      </c>
      <c r="T613" s="80">
        <v>139.52000000000001</v>
      </c>
    </row>
    <row r="614" spans="2:20" ht="28">
      <c r="B614" s="5" t="s">
        <v>1448</v>
      </c>
      <c r="C614" s="45" t="s">
        <v>97</v>
      </c>
      <c r="D614" s="45" t="s">
        <v>1449</v>
      </c>
      <c r="E614" s="6" t="s">
        <v>1450</v>
      </c>
      <c r="F614" s="45" t="s">
        <v>104</v>
      </c>
      <c r="G614" s="46">
        <f t="shared" si="71"/>
        <v>57</v>
      </c>
      <c r="H614" s="46">
        <f>TRUNC(S614*(1-LOTE_01!$K$10),2)</f>
        <v>482.37</v>
      </c>
      <c r="I614" s="46">
        <f>TRUNC(T614*(1-LOTE_01!$K$10),2)</f>
        <v>437.18</v>
      </c>
      <c r="J614" s="100">
        <f t="shared" si="72"/>
        <v>0.22470000000000001</v>
      </c>
      <c r="K614" s="48">
        <f t="shared" si="66"/>
        <v>590.75</v>
      </c>
      <c r="L614" s="48">
        <f t="shared" si="67"/>
        <v>535.41</v>
      </c>
      <c r="M614" s="48">
        <f t="shared" si="68"/>
        <v>33672.75</v>
      </c>
      <c r="N614" s="48">
        <f t="shared" si="69"/>
        <v>30518.37</v>
      </c>
      <c r="O614" s="50">
        <f t="shared" si="70"/>
        <v>64191.12</v>
      </c>
      <c r="P614" s="50">
        <v>0</v>
      </c>
      <c r="Q614" s="76"/>
      <c r="R614" s="139">
        <f>3*S9+3*S10</f>
        <v>57</v>
      </c>
      <c r="S614" s="79">
        <v>482.37</v>
      </c>
      <c r="T614" s="80">
        <v>437.18</v>
      </c>
    </row>
    <row r="615" spans="2:20" ht="42">
      <c r="B615" s="5" t="s">
        <v>1451</v>
      </c>
      <c r="C615" s="45" t="s">
        <v>97</v>
      </c>
      <c r="D615" s="45" t="s">
        <v>1452</v>
      </c>
      <c r="E615" s="6" t="s">
        <v>1453</v>
      </c>
      <c r="F615" s="45" t="s">
        <v>104</v>
      </c>
      <c r="G615" s="46">
        <f t="shared" si="71"/>
        <v>57</v>
      </c>
      <c r="H615" s="46">
        <f>TRUNC(S615*(1-LOTE_01!$K$10),2)</f>
        <v>202.47</v>
      </c>
      <c r="I615" s="46">
        <f>TRUNC(T615*(1-LOTE_01!$K$10),2)</f>
        <v>236.17</v>
      </c>
      <c r="J615" s="100">
        <f t="shared" si="72"/>
        <v>0.22470000000000001</v>
      </c>
      <c r="K615" s="48">
        <f t="shared" si="66"/>
        <v>247.96</v>
      </c>
      <c r="L615" s="48">
        <f t="shared" si="67"/>
        <v>289.23</v>
      </c>
      <c r="M615" s="48">
        <f t="shared" si="68"/>
        <v>14133.72</v>
      </c>
      <c r="N615" s="48">
        <f t="shared" si="69"/>
        <v>16486.11</v>
      </c>
      <c r="O615" s="50">
        <f t="shared" si="70"/>
        <v>30619.83</v>
      </c>
      <c r="P615" s="50">
        <v>0</v>
      </c>
      <c r="Q615" s="76"/>
      <c r="R615" s="139">
        <f>3*S9+3*S10</f>
        <v>57</v>
      </c>
      <c r="S615" s="79">
        <v>202.47</v>
      </c>
      <c r="T615" s="80">
        <v>236.17</v>
      </c>
    </row>
    <row r="616" spans="2:20" ht="28">
      <c r="B616" s="5" t="s">
        <v>1454</v>
      </c>
      <c r="C616" s="45" t="s">
        <v>97</v>
      </c>
      <c r="D616" s="45" t="s">
        <v>1455</v>
      </c>
      <c r="E616" s="6" t="s">
        <v>1456</v>
      </c>
      <c r="F616" s="45" t="s">
        <v>104</v>
      </c>
      <c r="G616" s="46">
        <f t="shared" si="71"/>
        <v>57</v>
      </c>
      <c r="H616" s="46">
        <f>TRUNC(S616*(1-LOTE_01!$K$10),2)</f>
        <v>2272.34</v>
      </c>
      <c r="I616" s="46">
        <f>TRUNC(T616*(1-LOTE_01!$K$10),2)</f>
        <v>687.4</v>
      </c>
      <c r="J616" s="100">
        <f t="shared" si="72"/>
        <v>0.22470000000000001</v>
      </c>
      <c r="K616" s="48">
        <f t="shared" si="66"/>
        <v>2782.93</v>
      </c>
      <c r="L616" s="48">
        <f t="shared" si="67"/>
        <v>841.85</v>
      </c>
      <c r="M616" s="48">
        <f t="shared" si="68"/>
        <v>158627.01</v>
      </c>
      <c r="N616" s="48">
        <f t="shared" si="69"/>
        <v>47985.45</v>
      </c>
      <c r="O616" s="50">
        <f t="shared" si="70"/>
        <v>206612.46</v>
      </c>
      <c r="P616" s="50">
        <v>0</v>
      </c>
      <c r="Q616" s="76"/>
      <c r="R616" s="139">
        <f>3*S9+3*S10</f>
        <v>57</v>
      </c>
      <c r="S616" s="79">
        <v>2272.34</v>
      </c>
      <c r="T616" s="80">
        <v>687.4</v>
      </c>
    </row>
    <row r="617" spans="2:20" ht="70">
      <c r="B617" s="5" t="s">
        <v>1457</v>
      </c>
      <c r="C617" s="45" t="s">
        <v>97</v>
      </c>
      <c r="D617" s="45" t="s">
        <v>1458</v>
      </c>
      <c r="E617" s="6" t="s">
        <v>1459</v>
      </c>
      <c r="F617" s="45" t="s">
        <v>104</v>
      </c>
      <c r="G617" s="46">
        <f t="shared" si="71"/>
        <v>38</v>
      </c>
      <c r="H617" s="46">
        <f>TRUNC(S617*(1-LOTE_01!$K$10),2)</f>
        <v>459.41</v>
      </c>
      <c r="I617" s="46">
        <f>TRUNC(T617*(1-LOTE_01!$K$10),2)</f>
        <v>57.19</v>
      </c>
      <c r="J617" s="100">
        <f t="shared" si="72"/>
        <v>0.22470000000000001</v>
      </c>
      <c r="K617" s="48">
        <f t="shared" si="66"/>
        <v>562.63</v>
      </c>
      <c r="L617" s="48">
        <f t="shared" si="67"/>
        <v>70.040000000000006</v>
      </c>
      <c r="M617" s="48">
        <f t="shared" si="68"/>
        <v>21379.94</v>
      </c>
      <c r="N617" s="48">
        <f t="shared" si="69"/>
        <v>2661.52</v>
      </c>
      <c r="O617" s="50">
        <f t="shared" si="70"/>
        <v>24041.46</v>
      </c>
      <c r="P617" s="50">
        <v>0</v>
      </c>
      <c r="Q617" s="76"/>
      <c r="R617" s="139">
        <f>2*S9+2*S10</f>
        <v>38</v>
      </c>
      <c r="S617" s="79">
        <v>459.41</v>
      </c>
      <c r="T617" s="80">
        <v>57.19</v>
      </c>
    </row>
    <row r="618" spans="2:20" ht="70">
      <c r="B618" s="5" t="s">
        <v>1460</v>
      </c>
      <c r="C618" s="45" t="s">
        <v>97</v>
      </c>
      <c r="D618" s="45" t="s">
        <v>1461</v>
      </c>
      <c r="E618" s="6" t="s">
        <v>1462</v>
      </c>
      <c r="F618" s="45" t="s">
        <v>104</v>
      </c>
      <c r="G618" s="46">
        <f t="shared" si="71"/>
        <v>38</v>
      </c>
      <c r="H618" s="46">
        <f>TRUNC(S618*(1-LOTE_01!$K$10),2)</f>
        <v>2378.59</v>
      </c>
      <c r="I618" s="46">
        <f>TRUNC(T618*(1-LOTE_01!$K$10),2)</f>
        <v>363.2</v>
      </c>
      <c r="J618" s="100">
        <f t="shared" si="72"/>
        <v>0.22470000000000001</v>
      </c>
      <c r="K618" s="48">
        <f t="shared" si="66"/>
        <v>2913.05</v>
      </c>
      <c r="L618" s="48">
        <f t="shared" si="67"/>
        <v>444.81</v>
      </c>
      <c r="M618" s="48">
        <f t="shared" si="68"/>
        <v>110695.9</v>
      </c>
      <c r="N618" s="48">
        <f t="shared" si="69"/>
        <v>16902.78</v>
      </c>
      <c r="O618" s="50">
        <f t="shared" si="70"/>
        <v>127598.68</v>
      </c>
      <c r="P618" s="50">
        <v>0</v>
      </c>
      <c r="Q618" s="76"/>
      <c r="R618" s="139">
        <f>2*S9+2*S10</f>
        <v>38</v>
      </c>
      <c r="S618" s="79">
        <v>2378.59</v>
      </c>
      <c r="T618" s="80">
        <v>363.2</v>
      </c>
    </row>
    <row r="619" spans="2:20" ht="70">
      <c r="B619" s="5" t="s">
        <v>1463</v>
      </c>
      <c r="C619" s="45" t="s">
        <v>135</v>
      </c>
      <c r="D619" s="45">
        <v>103289</v>
      </c>
      <c r="E619" s="6" t="s">
        <v>1464</v>
      </c>
      <c r="F619" s="45" t="s">
        <v>187</v>
      </c>
      <c r="G619" s="46">
        <f t="shared" si="71"/>
        <v>190</v>
      </c>
      <c r="H619" s="46">
        <f>TRUNC(S619*(1-LOTE_01!$K$10),2)</f>
        <v>36.840000000000003</v>
      </c>
      <c r="I619" s="46">
        <f>TRUNC(T619*(1-LOTE_01!$K$10),2)</f>
        <v>3.78</v>
      </c>
      <c r="J619" s="100">
        <f t="shared" si="72"/>
        <v>0.22470000000000001</v>
      </c>
      <c r="K619" s="48">
        <f t="shared" si="66"/>
        <v>45.11</v>
      </c>
      <c r="L619" s="48">
        <f t="shared" si="67"/>
        <v>4.62</v>
      </c>
      <c r="M619" s="48">
        <f t="shared" si="68"/>
        <v>8570.9</v>
      </c>
      <c r="N619" s="48">
        <f t="shared" si="69"/>
        <v>877.8</v>
      </c>
      <c r="O619" s="50">
        <f t="shared" si="70"/>
        <v>9448.7000000000007</v>
      </c>
      <c r="P619" s="50">
        <v>0</v>
      </c>
      <c r="Q619" s="76"/>
      <c r="R619" s="139">
        <f>10*S9+10*S10</f>
        <v>190</v>
      </c>
      <c r="S619" s="79">
        <v>36.839999999999996</v>
      </c>
      <c r="T619" s="80">
        <v>3.78</v>
      </c>
    </row>
    <row r="620" spans="2:20" ht="70">
      <c r="B620" s="5" t="s">
        <v>1465</v>
      </c>
      <c r="C620" s="45" t="s">
        <v>135</v>
      </c>
      <c r="D620" s="45">
        <v>103290</v>
      </c>
      <c r="E620" s="6" t="s">
        <v>1466</v>
      </c>
      <c r="F620" s="45" t="s">
        <v>187</v>
      </c>
      <c r="G620" s="46">
        <f t="shared" si="71"/>
        <v>190</v>
      </c>
      <c r="H620" s="46">
        <f>TRUNC(S620*(1-LOTE_01!$K$10),2)</f>
        <v>67.14</v>
      </c>
      <c r="I620" s="46">
        <f>TRUNC(T620*(1-LOTE_01!$K$10),2)</f>
        <v>4.26</v>
      </c>
      <c r="J620" s="100">
        <f t="shared" si="72"/>
        <v>0.22470000000000001</v>
      </c>
      <c r="K620" s="48">
        <f t="shared" si="66"/>
        <v>82.22</v>
      </c>
      <c r="L620" s="48">
        <f t="shared" si="67"/>
        <v>5.21</v>
      </c>
      <c r="M620" s="48">
        <f t="shared" si="68"/>
        <v>15621.8</v>
      </c>
      <c r="N620" s="48">
        <f t="shared" si="69"/>
        <v>989.9</v>
      </c>
      <c r="O620" s="50">
        <f t="shared" si="70"/>
        <v>16611.7</v>
      </c>
      <c r="P620" s="50">
        <v>0</v>
      </c>
      <c r="Q620" s="76"/>
      <c r="R620" s="139">
        <f>10*S9+10*S10</f>
        <v>190</v>
      </c>
      <c r="S620" s="79">
        <v>67.14</v>
      </c>
      <c r="T620" s="80">
        <v>4.26</v>
      </c>
    </row>
    <row r="621" spans="2:20" ht="70">
      <c r="B621" s="5" t="s">
        <v>1467</v>
      </c>
      <c r="C621" s="45" t="s">
        <v>135</v>
      </c>
      <c r="D621" s="45">
        <v>103291</v>
      </c>
      <c r="E621" s="6" t="s">
        <v>1468</v>
      </c>
      <c r="F621" s="45" t="s">
        <v>187</v>
      </c>
      <c r="G621" s="46">
        <f t="shared" si="71"/>
        <v>190</v>
      </c>
      <c r="H621" s="46">
        <f>TRUNC(S621*(1-LOTE_01!$K$10),2)</f>
        <v>81.96</v>
      </c>
      <c r="I621" s="46">
        <f>TRUNC(T621*(1-LOTE_01!$K$10),2)</f>
        <v>4.6900000000000004</v>
      </c>
      <c r="J621" s="100">
        <f t="shared" si="72"/>
        <v>0.22470000000000001</v>
      </c>
      <c r="K621" s="48">
        <f t="shared" si="66"/>
        <v>100.37</v>
      </c>
      <c r="L621" s="48">
        <f t="shared" si="67"/>
        <v>5.74</v>
      </c>
      <c r="M621" s="48">
        <f t="shared" si="68"/>
        <v>19070.3</v>
      </c>
      <c r="N621" s="48">
        <f t="shared" si="69"/>
        <v>1090.5999999999999</v>
      </c>
      <c r="O621" s="50">
        <f t="shared" si="70"/>
        <v>20160.900000000001</v>
      </c>
      <c r="P621" s="50">
        <v>0</v>
      </c>
      <c r="Q621" s="76"/>
      <c r="R621" s="139">
        <f>10*S9+10*S10</f>
        <v>190</v>
      </c>
      <c r="S621" s="79">
        <v>81.960000000000008</v>
      </c>
      <c r="T621" s="80">
        <v>4.6900000000000004</v>
      </c>
    </row>
    <row r="622" spans="2:20" ht="70">
      <c r="B622" s="5" t="s">
        <v>1469</v>
      </c>
      <c r="C622" s="45" t="s">
        <v>135</v>
      </c>
      <c r="D622" s="45">
        <v>103292</v>
      </c>
      <c r="E622" s="6" t="s">
        <v>1470</v>
      </c>
      <c r="F622" s="45" t="s">
        <v>187</v>
      </c>
      <c r="G622" s="46">
        <f t="shared" si="71"/>
        <v>190</v>
      </c>
      <c r="H622" s="46">
        <f>TRUNC(S622*(1-LOTE_01!$K$10),2)</f>
        <v>99.53</v>
      </c>
      <c r="I622" s="46">
        <f>TRUNC(T622*(1-LOTE_01!$K$10),2)</f>
        <v>5.13</v>
      </c>
      <c r="J622" s="100">
        <f t="shared" si="72"/>
        <v>0.22470000000000001</v>
      </c>
      <c r="K622" s="48">
        <f t="shared" si="66"/>
        <v>121.89</v>
      </c>
      <c r="L622" s="48">
        <f t="shared" si="67"/>
        <v>6.28</v>
      </c>
      <c r="M622" s="48">
        <f t="shared" si="68"/>
        <v>23159.1</v>
      </c>
      <c r="N622" s="48">
        <f t="shared" si="69"/>
        <v>1193.2</v>
      </c>
      <c r="O622" s="50">
        <f t="shared" si="70"/>
        <v>24352.3</v>
      </c>
      <c r="P622" s="50">
        <v>0</v>
      </c>
      <c r="Q622" s="76"/>
      <c r="R622" s="139">
        <f>10*S9+10*S10</f>
        <v>190</v>
      </c>
      <c r="S622" s="79">
        <v>99.53</v>
      </c>
      <c r="T622" s="80">
        <v>5.13</v>
      </c>
    </row>
    <row r="623" spans="2:20" ht="28">
      <c r="B623" s="5" t="s">
        <v>1471</v>
      </c>
      <c r="C623" s="45" t="s">
        <v>97</v>
      </c>
      <c r="D623" s="45" t="s">
        <v>1472</v>
      </c>
      <c r="E623" s="6" t="s">
        <v>1473</v>
      </c>
      <c r="F623" s="45" t="s">
        <v>104</v>
      </c>
      <c r="G623" s="46">
        <f t="shared" si="71"/>
        <v>95</v>
      </c>
      <c r="H623" s="46">
        <f>TRUNC(S623*(1-LOTE_01!$K$10),2)</f>
        <v>261.42</v>
      </c>
      <c r="I623" s="46">
        <f>TRUNC(T623*(1-LOTE_01!$K$10),2)</f>
        <v>413.1</v>
      </c>
      <c r="J623" s="100">
        <f t="shared" si="72"/>
        <v>0.22470000000000001</v>
      </c>
      <c r="K623" s="48">
        <f t="shared" si="66"/>
        <v>320.16000000000003</v>
      </c>
      <c r="L623" s="48">
        <f t="shared" si="67"/>
        <v>505.92</v>
      </c>
      <c r="M623" s="48">
        <f t="shared" si="68"/>
        <v>30415.200000000001</v>
      </c>
      <c r="N623" s="48">
        <f t="shared" si="69"/>
        <v>48062.400000000001</v>
      </c>
      <c r="O623" s="50">
        <f t="shared" si="70"/>
        <v>78477.600000000006</v>
      </c>
      <c r="P623" s="50">
        <v>0</v>
      </c>
      <c r="Q623" s="76"/>
      <c r="R623" s="139">
        <f>5*S9+5*S10</f>
        <v>95</v>
      </c>
      <c r="S623" s="79">
        <v>261.42</v>
      </c>
      <c r="T623" s="80">
        <v>413.1</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13066789.559999995</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104">
        <v>0</v>
      </c>
      <c r="Q625" s="76"/>
      <c r="R625" s="154"/>
      <c r="S625" s="79" t="s">
        <v>22</v>
      </c>
      <c r="T625" s="80" t="s">
        <v>22</v>
      </c>
    </row>
    <row r="626" spans="2:20" ht="84">
      <c r="B626" s="5" t="s">
        <v>1476</v>
      </c>
      <c r="C626" s="45" t="s">
        <v>97</v>
      </c>
      <c r="D626" s="45" t="s">
        <v>1477</v>
      </c>
      <c r="E626" s="6" t="s">
        <v>1478</v>
      </c>
      <c r="F626" s="45" t="s">
        <v>121</v>
      </c>
      <c r="G626" s="46">
        <f t="shared" si="71"/>
        <v>570</v>
      </c>
      <c r="H626" s="46">
        <f>TRUNC(S626*(1-LOTE_01!$K$10),2)</f>
        <v>326.23</v>
      </c>
      <c r="I626" s="46">
        <f>TRUNC(T626*(1-LOTE_01!$K$10),2)</f>
        <v>34.630000000000003</v>
      </c>
      <c r="J626" s="100">
        <f t="shared" si="72"/>
        <v>0.22470000000000001</v>
      </c>
      <c r="K626" s="48">
        <f t="shared" si="66"/>
        <v>399.53</v>
      </c>
      <c r="L626" s="48">
        <f t="shared" si="67"/>
        <v>42.41</v>
      </c>
      <c r="M626" s="48">
        <f t="shared" si="68"/>
        <v>227732.1</v>
      </c>
      <c r="N626" s="48">
        <f t="shared" si="69"/>
        <v>24173.7</v>
      </c>
      <c r="O626" s="50">
        <f t="shared" si="70"/>
        <v>251905.8</v>
      </c>
      <c r="P626" s="50">
        <v>0</v>
      </c>
      <c r="Q626" s="76"/>
      <c r="R626" s="139">
        <f>30*(S9+S10)</f>
        <v>570</v>
      </c>
      <c r="S626" s="79">
        <v>326.23</v>
      </c>
      <c r="T626" s="80">
        <v>34.630000000000003</v>
      </c>
    </row>
    <row r="627" spans="2:20" ht="70">
      <c r="B627" s="5" t="s">
        <v>1479</v>
      </c>
      <c r="C627" s="45" t="s">
        <v>97</v>
      </c>
      <c r="D627" s="45" t="s">
        <v>1480</v>
      </c>
      <c r="E627" s="6" t="s">
        <v>1481</v>
      </c>
      <c r="F627" s="45" t="s">
        <v>104</v>
      </c>
      <c r="G627" s="46">
        <f t="shared" si="71"/>
        <v>10</v>
      </c>
      <c r="H627" s="46">
        <f>TRUNC(S627*(1-LOTE_01!$K$10),2)</f>
        <v>1663.4</v>
      </c>
      <c r="I627" s="46">
        <f>TRUNC(T627*(1-LOTE_01!$K$10),2)</f>
        <v>145.31</v>
      </c>
      <c r="J627" s="100">
        <f t="shared" si="72"/>
        <v>0.22470000000000001</v>
      </c>
      <c r="K627" s="48">
        <f t="shared" si="66"/>
        <v>2037.16</v>
      </c>
      <c r="L627" s="48">
        <f t="shared" si="67"/>
        <v>177.96</v>
      </c>
      <c r="M627" s="48">
        <f t="shared" si="68"/>
        <v>20371.599999999999</v>
      </c>
      <c r="N627" s="48">
        <f t="shared" si="69"/>
        <v>1779.6</v>
      </c>
      <c r="O627" s="50">
        <f t="shared" si="70"/>
        <v>22151.200000000001</v>
      </c>
      <c r="P627" s="50">
        <v>0</v>
      </c>
      <c r="Q627" s="76"/>
      <c r="R627" s="140">
        <f>IF((S9+S10)&gt;10,10,(S9+S10))</f>
        <v>10</v>
      </c>
      <c r="S627" s="79">
        <v>1663.4</v>
      </c>
      <c r="T627" s="80">
        <v>145.31</v>
      </c>
    </row>
    <row r="628" spans="2:20" ht="56">
      <c r="B628" s="5" t="s">
        <v>1482</v>
      </c>
      <c r="C628" s="45" t="s">
        <v>97</v>
      </c>
      <c r="D628" s="45" t="s">
        <v>467</v>
      </c>
      <c r="E628" s="6" t="s">
        <v>468</v>
      </c>
      <c r="F628" s="45" t="s">
        <v>121</v>
      </c>
      <c r="G628" s="46">
        <f t="shared" si="71"/>
        <v>1274.9000000000001</v>
      </c>
      <c r="H628" s="46">
        <f>TRUNC(S628*(1-LOTE_01!$K$10),2)</f>
        <v>383.04</v>
      </c>
      <c r="I628" s="46">
        <f>TRUNC(T628*(1-LOTE_01!$K$10),2)</f>
        <v>185.4</v>
      </c>
      <c r="J628" s="100">
        <f t="shared" si="72"/>
        <v>0.22470000000000001</v>
      </c>
      <c r="K628" s="48">
        <f t="shared" si="66"/>
        <v>469.1</v>
      </c>
      <c r="L628" s="48">
        <f t="shared" si="67"/>
        <v>227.05</v>
      </c>
      <c r="M628" s="48">
        <f t="shared" si="68"/>
        <v>598055.59</v>
      </c>
      <c r="N628" s="48">
        <f t="shared" si="69"/>
        <v>289466.03999999998</v>
      </c>
      <c r="O628" s="50">
        <f t="shared" si="70"/>
        <v>887521.63</v>
      </c>
      <c r="P628" s="50">
        <v>0</v>
      </c>
      <c r="Q628" s="76"/>
      <c r="R628" s="139">
        <f>(13.5+12.5+5.5+22.6+13)*(S9+S10)</f>
        <v>1274.8999999999999</v>
      </c>
      <c r="S628" s="79">
        <v>383.04</v>
      </c>
      <c r="T628" s="80">
        <v>185.4</v>
      </c>
    </row>
    <row r="629" spans="2:20" ht="28">
      <c r="B629" s="5" t="s">
        <v>1483</v>
      </c>
      <c r="C629" s="45" t="s">
        <v>97</v>
      </c>
      <c r="D629" s="45" t="s">
        <v>1484</v>
      </c>
      <c r="E629" s="6" t="s">
        <v>1485</v>
      </c>
      <c r="F629" s="45" t="s">
        <v>121</v>
      </c>
      <c r="G629" s="46">
        <f t="shared" si="71"/>
        <v>152</v>
      </c>
      <c r="H629" s="46">
        <f>TRUNC(S629*(1-LOTE_01!$K$10),2)</f>
        <v>444.4</v>
      </c>
      <c r="I629" s="46">
        <f>TRUNC(T629*(1-LOTE_01!$K$10),2)</f>
        <v>4.71</v>
      </c>
      <c r="J629" s="100">
        <f t="shared" si="72"/>
        <v>0.22470000000000001</v>
      </c>
      <c r="K629" s="48">
        <f t="shared" si="66"/>
        <v>544.25</v>
      </c>
      <c r="L629" s="48">
        <f t="shared" si="67"/>
        <v>5.76</v>
      </c>
      <c r="M629" s="48">
        <f t="shared" si="68"/>
        <v>82726</v>
      </c>
      <c r="N629" s="48">
        <f t="shared" si="69"/>
        <v>875.52</v>
      </c>
      <c r="O629" s="50">
        <f t="shared" si="70"/>
        <v>83601.52</v>
      </c>
      <c r="P629" s="50">
        <v>0</v>
      </c>
      <c r="Q629" s="76"/>
      <c r="R629" s="139">
        <f>8*(S9+S10)</f>
        <v>152</v>
      </c>
      <c r="S629" s="79">
        <v>444.4</v>
      </c>
      <c r="T629" s="80">
        <v>4.71</v>
      </c>
    </row>
    <row r="630" spans="2:20" ht="126">
      <c r="B630" s="5" t="s">
        <v>1486</v>
      </c>
      <c r="C630" s="45" t="s">
        <v>97</v>
      </c>
      <c r="D630" s="45" t="s">
        <v>1487</v>
      </c>
      <c r="E630" s="6" t="s">
        <v>1488</v>
      </c>
      <c r="F630" s="45" t="s">
        <v>104</v>
      </c>
      <c r="G630" s="46">
        <f t="shared" si="71"/>
        <v>19</v>
      </c>
      <c r="H630" s="46">
        <f>TRUNC(S630*(1-LOTE_01!$K$10),2)</f>
        <v>11775.16</v>
      </c>
      <c r="I630" s="46">
        <f>TRUNC(T630*(1-LOTE_01!$K$10),2)</f>
        <v>1431.75</v>
      </c>
      <c r="J630" s="100">
        <f t="shared" si="72"/>
        <v>0.22470000000000001</v>
      </c>
      <c r="K630" s="48">
        <f t="shared" si="66"/>
        <v>14421.03</v>
      </c>
      <c r="L630" s="48">
        <f t="shared" si="67"/>
        <v>1753.46</v>
      </c>
      <c r="M630" s="48">
        <f t="shared" si="68"/>
        <v>273999.57</v>
      </c>
      <c r="N630" s="48">
        <f t="shared" si="69"/>
        <v>33315.74</v>
      </c>
      <c r="O630" s="50">
        <f t="shared" si="70"/>
        <v>307315.31</v>
      </c>
      <c r="P630" s="50">
        <v>0</v>
      </c>
      <c r="Q630" s="76"/>
      <c r="R630" s="139">
        <f>1*(S9+S10)</f>
        <v>19</v>
      </c>
      <c r="S630" s="79">
        <v>11775.16</v>
      </c>
      <c r="T630" s="80">
        <v>1431.75</v>
      </c>
    </row>
    <row r="631" spans="2:20" ht="42">
      <c r="B631" s="5" t="s">
        <v>1489</v>
      </c>
      <c r="C631" s="45" t="s">
        <v>97</v>
      </c>
      <c r="D631" s="45" t="s">
        <v>1490</v>
      </c>
      <c r="E631" s="6" t="s">
        <v>1491</v>
      </c>
      <c r="F631" s="45" t="s">
        <v>104</v>
      </c>
      <c r="G631" s="46">
        <f t="shared" si="71"/>
        <v>19</v>
      </c>
      <c r="H631" s="46">
        <f>TRUNC(S631*(1-LOTE_01!$K$10),2)</f>
        <v>3035.6</v>
      </c>
      <c r="I631" s="46">
        <f>TRUNC(T631*(1-LOTE_01!$K$10),2)</f>
        <v>419.56</v>
      </c>
      <c r="J631" s="100">
        <f t="shared" si="72"/>
        <v>0.22470000000000001</v>
      </c>
      <c r="K631" s="48">
        <f t="shared" si="66"/>
        <v>3717.69</v>
      </c>
      <c r="L631" s="48">
        <f t="shared" si="67"/>
        <v>513.83000000000004</v>
      </c>
      <c r="M631" s="48">
        <f t="shared" si="68"/>
        <v>70636.11</v>
      </c>
      <c r="N631" s="48">
        <f t="shared" si="69"/>
        <v>9762.77</v>
      </c>
      <c r="O631" s="50">
        <f t="shared" si="70"/>
        <v>80398.880000000005</v>
      </c>
      <c r="P631" s="50">
        <v>0</v>
      </c>
      <c r="Q631" s="76"/>
      <c r="R631" s="139">
        <f>1*(S9+S10)</f>
        <v>19</v>
      </c>
      <c r="S631" s="79">
        <v>3035.6</v>
      </c>
      <c r="T631" s="80">
        <v>419.56</v>
      </c>
    </row>
    <row r="632" spans="2:20" ht="84">
      <c r="B632" s="5" t="s">
        <v>1492</v>
      </c>
      <c r="C632" s="45" t="s">
        <v>97</v>
      </c>
      <c r="D632" s="45" t="s">
        <v>1493</v>
      </c>
      <c r="E632" s="6" t="s">
        <v>1494</v>
      </c>
      <c r="F632" s="45" t="s">
        <v>104</v>
      </c>
      <c r="G632" s="46">
        <f t="shared" si="71"/>
        <v>19</v>
      </c>
      <c r="H632" s="46">
        <f>TRUNC(S632*(1-LOTE_01!$K$10),2)</f>
        <v>9015.2099999999991</v>
      </c>
      <c r="I632" s="46">
        <f>TRUNC(T632*(1-LOTE_01!$K$10),2)</f>
        <v>128.43</v>
      </c>
      <c r="J632" s="100">
        <f t="shared" si="72"/>
        <v>0.22470000000000001</v>
      </c>
      <c r="K632" s="48">
        <f t="shared" si="66"/>
        <v>11040.92</v>
      </c>
      <c r="L632" s="48">
        <f t="shared" si="67"/>
        <v>157.28</v>
      </c>
      <c r="M632" s="48">
        <f t="shared" si="68"/>
        <v>209777.48</v>
      </c>
      <c r="N632" s="48">
        <f t="shared" si="69"/>
        <v>2988.32</v>
      </c>
      <c r="O632" s="50">
        <f t="shared" si="70"/>
        <v>212765.8</v>
      </c>
      <c r="P632" s="50">
        <v>0</v>
      </c>
      <c r="Q632" s="76"/>
      <c r="R632" s="139">
        <f>1*(S9+S10)</f>
        <v>19</v>
      </c>
      <c r="S632" s="79">
        <v>9015.2099999999991</v>
      </c>
      <c r="T632" s="80">
        <v>128.43</v>
      </c>
    </row>
    <row r="633" spans="2:20" ht="84">
      <c r="B633" s="5" t="s">
        <v>1495</v>
      </c>
      <c r="C633" s="45" t="s">
        <v>97</v>
      </c>
      <c r="D633" s="45" t="s">
        <v>1496</v>
      </c>
      <c r="E633" s="6" t="s">
        <v>1497</v>
      </c>
      <c r="F633" s="45" t="s">
        <v>104</v>
      </c>
      <c r="G633" s="46">
        <f t="shared" si="71"/>
        <v>19</v>
      </c>
      <c r="H633" s="46">
        <f>TRUNC(S633*(1-LOTE_01!$K$10),2)</f>
        <v>6802.96</v>
      </c>
      <c r="I633" s="46">
        <f>TRUNC(T633*(1-LOTE_01!$K$10),2)</f>
        <v>128.43</v>
      </c>
      <c r="J633" s="100">
        <f t="shared" si="72"/>
        <v>0.22470000000000001</v>
      </c>
      <c r="K633" s="48">
        <f t="shared" si="66"/>
        <v>8331.58</v>
      </c>
      <c r="L633" s="48">
        <f t="shared" si="67"/>
        <v>157.28</v>
      </c>
      <c r="M633" s="48">
        <f t="shared" si="68"/>
        <v>158300.01999999999</v>
      </c>
      <c r="N633" s="48">
        <f t="shared" si="69"/>
        <v>2988.32</v>
      </c>
      <c r="O633" s="50">
        <f t="shared" si="70"/>
        <v>161288.34</v>
      </c>
      <c r="P633" s="50">
        <v>0</v>
      </c>
      <c r="Q633" s="76"/>
      <c r="R633" s="139">
        <f>1*(S9+S10)</f>
        <v>19</v>
      </c>
      <c r="S633" s="79">
        <v>6802.96</v>
      </c>
      <c r="T633" s="80">
        <v>128.43</v>
      </c>
    </row>
    <row r="634" spans="2:20" ht="56">
      <c r="B634" s="5" t="s">
        <v>1498</v>
      </c>
      <c r="C634" s="45" t="s">
        <v>97</v>
      </c>
      <c r="D634" s="45" t="s">
        <v>1499</v>
      </c>
      <c r="E634" s="6" t="s">
        <v>1500</v>
      </c>
      <c r="F634" s="45" t="s">
        <v>121</v>
      </c>
      <c r="G634" s="46">
        <f t="shared" si="71"/>
        <v>285</v>
      </c>
      <c r="H634" s="46">
        <f>TRUNC(S634*(1-LOTE_01!$K$10),2)</f>
        <v>445.9</v>
      </c>
      <c r="I634" s="46">
        <f>TRUNC(T634*(1-LOTE_01!$K$10),2)</f>
        <v>8.56</v>
      </c>
      <c r="J634" s="100">
        <f t="shared" si="72"/>
        <v>0.22470000000000001</v>
      </c>
      <c r="K634" s="48">
        <f t="shared" si="66"/>
        <v>546.09</v>
      </c>
      <c r="L634" s="48">
        <f t="shared" si="67"/>
        <v>10.48</v>
      </c>
      <c r="M634" s="48">
        <f t="shared" si="68"/>
        <v>155635.65</v>
      </c>
      <c r="N634" s="48">
        <f t="shared" si="69"/>
        <v>2986.8</v>
      </c>
      <c r="O634" s="50">
        <f t="shared" si="70"/>
        <v>158622.45000000001</v>
      </c>
      <c r="P634" s="50">
        <v>0</v>
      </c>
      <c r="Q634" s="76"/>
      <c r="R634" s="139">
        <f>15*(S9+S10)</f>
        <v>285</v>
      </c>
      <c r="S634" s="79">
        <v>445.9</v>
      </c>
      <c r="T634" s="80">
        <v>8.56</v>
      </c>
    </row>
    <row r="635" spans="2:20" ht="28">
      <c r="B635" s="5" t="s">
        <v>1501</v>
      </c>
      <c r="C635" s="45" t="s">
        <v>97</v>
      </c>
      <c r="D635" s="45" t="s">
        <v>1502</v>
      </c>
      <c r="E635" s="6" t="s">
        <v>1503</v>
      </c>
      <c r="F635" s="45" t="s">
        <v>104</v>
      </c>
      <c r="G635" s="46">
        <f t="shared" si="71"/>
        <v>38</v>
      </c>
      <c r="H635" s="46">
        <f>TRUNC(S635*(1-LOTE_01!$K$10),2)</f>
        <v>312.2</v>
      </c>
      <c r="I635" s="46">
        <f>TRUNC(T635*(1-LOTE_01!$K$10),2)</f>
        <v>25.94</v>
      </c>
      <c r="J635" s="100">
        <f t="shared" si="72"/>
        <v>0.22470000000000001</v>
      </c>
      <c r="K635" s="48">
        <f t="shared" si="66"/>
        <v>382.35</v>
      </c>
      <c r="L635" s="48">
        <f t="shared" si="67"/>
        <v>31.76</v>
      </c>
      <c r="M635" s="48">
        <f t="shared" si="68"/>
        <v>14529.3</v>
      </c>
      <c r="N635" s="48">
        <f t="shared" si="69"/>
        <v>1206.8800000000001</v>
      </c>
      <c r="O635" s="50">
        <f t="shared" si="70"/>
        <v>15736.18</v>
      </c>
      <c r="P635" s="50">
        <v>0</v>
      </c>
      <c r="Q635" s="76"/>
      <c r="R635" s="139">
        <f>2*(S9+S10)</f>
        <v>38</v>
      </c>
      <c r="S635" s="79">
        <v>312.2</v>
      </c>
      <c r="T635" s="80">
        <v>25.94</v>
      </c>
    </row>
    <row r="636" spans="2:20" ht="56">
      <c r="B636" s="5" t="s">
        <v>1504</v>
      </c>
      <c r="C636" s="45" t="s">
        <v>97</v>
      </c>
      <c r="D636" s="45" t="s">
        <v>1505</v>
      </c>
      <c r="E636" s="6" t="s">
        <v>1506</v>
      </c>
      <c r="F636" s="45" t="s">
        <v>104</v>
      </c>
      <c r="G636" s="46">
        <f t="shared" si="71"/>
        <v>19</v>
      </c>
      <c r="H636" s="46">
        <f>TRUNC(S636*(1-LOTE_01!$K$10),2)</f>
        <v>217.25</v>
      </c>
      <c r="I636" s="46">
        <f>TRUNC(T636*(1-LOTE_01!$K$10),2)</f>
        <v>3.84</v>
      </c>
      <c r="J636" s="100">
        <f t="shared" si="72"/>
        <v>0.22470000000000001</v>
      </c>
      <c r="K636" s="48">
        <f t="shared" si="66"/>
        <v>266.06</v>
      </c>
      <c r="L636" s="48">
        <f t="shared" si="67"/>
        <v>4.7</v>
      </c>
      <c r="M636" s="48">
        <f t="shared" si="68"/>
        <v>5055.1400000000003</v>
      </c>
      <c r="N636" s="48">
        <f t="shared" si="69"/>
        <v>89.3</v>
      </c>
      <c r="O636" s="50">
        <f t="shared" si="70"/>
        <v>5144.4399999999996</v>
      </c>
      <c r="P636" s="50">
        <v>0</v>
      </c>
      <c r="Q636" s="76"/>
      <c r="R636" s="139">
        <f>1*(S9+S10)</f>
        <v>19</v>
      </c>
      <c r="S636" s="79">
        <v>217.25</v>
      </c>
      <c r="T636" s="80">
        <v>3.84</v>
      </c>
    </row>
    <row r="637" spans="2:20" ht="42">
      <c r="B637" s="5" t="s">
        <v>1507</v>
      </c>
      <c r="C637" s="45" t="s">
        <v>97</v>
      </c>
      <c r="D637" s="45" t="s">
        <v>1508</v>
      </c>
      <c r="E637" s="6" t="s">
        <v>1509</v>
      </c>
      <c r="F637" s="45" t="s">
        <v>121</v>
      </c>
      <c r="G637" s="46">
        <f t="shared" si="71"/>
        <v>95</v>
      </c>
      <c r="H637" s="46">
        <f>TRUNC(S637*(1-LOTE_01!$K$10),2)</f>
        <v>3503.61</v>
      </c>
      <c r="I637" s="46">
        <f>TRUNC(T637*(1-LOTE_01!$K$10),2)</f>
        <v>42.81</v>
      </c>
      <c r="J637" s="100">
        <f t="shared" si="72"/>
        <v>0.22470000000000001</v>
      </c>
      <c r="K637" s="48">
        <f t="shared" si="66"/>
        <v>4290.87</v>
      </c>
      <c r="L637" s="48">
        <f t="shared" si="67"/>
        <v>52.42</v>
      </c>
      <c r="M637" s="48">
        <f t="shared" si="68"/>
        <v>407632.65</v>
      </c>
      <c r="N637" s="48">
        <f t="shared" si="69"/>
        <v>4979.8999999999996</v>
      </c>
      <c r="O637" s="50">
        <f t="shared" si="70"/>
        <v>412612.55</v>
      </c>
      <c r="P637" s="50">
        <v>0</v>
      </c>
      <c r="Q637" s="76"/>
      <c r="R637" s="139">
        <f>2.5*2*(S9+S10)</f>
        <v>95</v>
      </c>
      <c r="S637" s="79">
        <v>3503.61</v>
      </c>
      <c r="T637" s="80">
        <v>42.81</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104">
        <v>0</v>
      </c>
      <c r="Q638" s="76"/>
      <c r="R638" s="154"/>
      <c r="S638" s="79" t="s">
        <v>22</v>
      </c>
      <c r="T638" s="80" t="s">
        <v>22</v>
      </c>
    </row>
    <row r="639" spans="2:20" ht="98">
      <c r="B639" s="5" t="s">
        <v>1512</v>
      </c>
      <c r="C639" s="45" t="s">
        <v>135</v>
      </c>
      <c r="D639" s="45">
        <v>96369</v>
      </c>
      <c r="E639" s="6" t="s">
        <v>1513</v>
      </c>
      <c r="F639" s="45" t="s">
        <v>121</v>
      </c>
      <c r="G639" s="46">
        <f t="shared" si="71"/>
        <v>342</v>
      </c>
      <c r="H639" s="46">
        <f>TRUNC(S639*(1-LOTE_01!$K$10),2)</f>
        <v>244.44</v>
      </c>
      <c r="I639" s="46">
        <f>TRUNC(T639*(1-LOTE_01!$K$10),2)</f>
        <v>31.13</v>
      </c>
      <c r="J639" s="100">
        <f t="shared" si="72"/>
        <v>0.22470000000000001</v>
      </c>
      <c r="K639" s="48">
        <f t="shared" si="66"/>
        <v>299.36</v>
      </c>
      <c r="L639" s="48">
        <f t="shared" si="67"/>
        <v>38.119999999999997</v>
      </c>
      <c r="M639" s="48">
        <f t="shared" si="68"/>
        <v>102381.12</v>
      </c>
      <c r="N639" s="48">
        <f t="shared" si="69"/>
        <v>13037.04</v>
      </c>
      <c r="O639" s="50">
        <f t="shared" si="70"/>
        <v>115418.16</v>
      </c>
      <c r="P639" s="50">
        <v>0</v>
      </c>
      <c r="Q639" s="76"/>
      <c r="R639" s="139">
        <f>4.5*4*(S9+S10)</f>
        <v>342</v>
      </c>
      <c r="S639" s="79">
        <v>244.44</v>
      </c>
      <c r="T639" s="80">
        <v>31.13</v>
      </c>
    </row>
    <row r="640" spans="2:20" ht="98">
      <c r="B640" s="5" t="s">
        <v>1514</v>
      </c>
      <c r="C640" s="45" t="s">
        <v>97</v>
      </c>
      <c r="D640" s="45" t="s">
        <v>1515</v>
      </c>
      <c r="E640" s="6" t="s">
        <v>1516</v>
      </c>
      <c r="F640" s="45" t="s">
        <v>121</v>
      </c>
      <c r="G640" s="46">
        <f t="shared" si="71"/>
        <v>171</v>
      </c>
      <c r="H640" s="46">
        <f>TRUNC(S640*(1-LOTE_01!$K$10),2)</f>
        <v>1300.3699999999999</v>
      </c>
      <c r="I640" s="46">
        <f>TRUNC(T640*(1-LOTE_01!$K$10),2)</f>
        <v>21.4</v>
      </c>
      <c r="J640" s="100">
        <f t="shared" si="72"/>
        <v>0.22470000000000001</v>
      </c>
      <c r="K640" s="48">
        <f t="shared" si="66"/>
        <v>1592.56</v>
      </c>
      <c r="L640" s="48">
        <f t="shared" si="67"/>
        <v>26.2</v>
      </c>
      <c r="M640" s="48">
        <f t="shared" si="68"/>
        <v>272327.76</v>
      </c>
      <c r="N640" s="48">
        <f t="shared" si="69"/>
        <v>4480.2</v>
      </c>
      <c r="O640" s="50">
        <f t="shared" si="70"/>
        <v>276807.96000000002</v>
      </c>
      <c r="P640" s="50">
        <v>0</v>
      </c>
      <c r="Q640" s="76"/>
      <c r="R640" s="139">
        <f>1.2*3*2.5*(S9+S10)</f>
        <v>171</v>
      </c>
      <c r="S640" s="79">
        <v>1300.3699999999999</v>
      </c>
      <c r="T640" s="80">
        <v>21.4</v>
      </c>
    </row>
    <row r="641" spans="2:20" ht="42">
      <c r="B641" s="5" t="s">
        <v>1517</v>
      </c>
      <c r="C641" s="45" t="s">
        <v>97</v>
      </c>
      <c r="D641" s="45" t="s">
        <v>1518</v>
      </c>
      <c r="E641" s="6" t="s">
        <v>1519</v>
      </c>
      <c r="F641" s="45" t="s">
        <v>121</v>
      </c>
      <c r="G641" s="46">
        <f t="shared" si="71"/>
        <v>171</v>
      </c>
      <c r="H641" s="46">
        <f>TRUNC(S641*(1-LOTE_01!$K$10),2)</f>
        <v>614.19000000000005</v>
      </c>
      <c r="I641" s="46">
        <f>TRUNC(T641*(1-LOTE_01!$K$10),2)</f>
        <v>22.55</v>
      </c>
      <c r="J641" s="100">
        <f t="shared" si="72"/>
        <v>0.22470000000000001</v>
      </c>
      <c r="K641" s="48">
        <f t="shared" si="66"/>
        <v>752.19</v>
      </c>
      <c r="L641" s="48">
        <f t="shared" si="67"/>
        <v>27.61</v>
      </c>
      <c r="M641" s="48">
        <f t="shared" si="68"/>
        <v>128624.49</v>
      </c>
      <c r="N641" s="48">
        <f t="shared" si="69"/>
        <v>4721.3100000000004</v>
      </c>
      <c r="O641" s="50">
        <f t="shared" si="70"/>
        <v>133345.79999999999</v>
      </c>
      <c r="P641" s="50">
        <v>0</v>
      </c>
      <c r="Q641" s="76"/>
      <c r="R641" s="139">
        <f>(R639-R640)</f>
        <v>171</v>
      </c>
      <c r="S641" s="79">
        <v>614.19000000000005</v>
      </c>
      <c r="T641" s="80">
        <v>22.55</v>
      </c>
    </row>
    <row r="642" spans="2:20" ht="70">
      <c r="B642" s="5" t="s">
        <v>1520</v>
      </c>
      <c r="C642" s="45" t="s">
        <v>97</v>
      </c>
      <c r="D642" s="45" t="s">
        <v>1521</v>
      </c>
      <c r="E642" s="6" t="s">
        <v>1522</v>
      </c>
      <c r="F642" s="45" t="s">
        <v>104</v>
      </c>
      <c r="G642" s="46">
        <f t="shared" si="71"/>
        <v>57</v>
      </c>
      <c r="H642" s="46">
        <f>TRUNC(S642*(1-LOTE_01!$K$10),2)</f>
        <v>1134.81</v>
      </c>
      <c r="I642" s="46">
        <f>TRUNC(T642*(1-LOTE_01!$K$10),2)</f>
        <v>8.56</v>
      </c>
      <c r="J642" s="100">
        <f t="shared" si="72"/>
        <v>0.22470000000000001</v>
      </c>
      <c r="K642" s="48">
        <f t="shared" si="66"/>
        <v>1389.8</v>
      </c>
      <c r="L642" s="48">
        <f t="shared" si="67"/>
        <v>10.48</v>
      </c>
      <c r="M642" s="48">
        <f t="shared" si="68"/>
        <v>79218.600000000006</v>
      </c>
      <c r="N642" s="48">
        <f t="shared" si="69"/>
        <v>597.36</v>
      </c>
      <c r="O642" s="50">
        <f t="shared" si="70"/>
        <v>79815.960000000006</v>
      </c>
      <c r="P642" s="50">
        <v>0</v>
      </c>
      <c r="Q642" s="76"/>
      <c r="R642" s="139">
        <f>3*(S9+S10)</f>
        <v>57</v>
      </c>
      <c r="S642" s="79">
        <v>1134.81</v>
      </c>
      <c r="T642" s="80">
        <v>8.56</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104">
        <v>0</v>
      </c>
      <c r="Q643" s="76"/>
      <c r="R643" s="154"/>
      <c r="S643" s="79" t="s">
        <v>22</v>
      </c>
      <c r="T643" s="80" t="s">
        <v>22</v>
      </c>
    </row>
    <row r="644" spans="2:20" ht="28">
      <c r="B644" s="5" t="s">
        <v>1525</v>
      </c>
      <c r="C644" s="45" t="s">
        <v>97</v>
      </c>
      <c r="D644" s="45" t="s">
        <v>1526</v>
      </c>
      <c r="E644" s="6" t="s">
        <v>1527</v>
      </c>
      <c r="F644" s="45" t="s">
        <v>121</v>
      </c>
      <c r="G644" s="46">
        <f t="shared" si="71"/>
        <v>3876</v>
      </c>
      <c r="H644" s="46">
        <f>TRUNC(S644*(1-LOTE_01!$K$10),2)</f>
        <v>706.95</v>
      </c>
      <c r="I644" s="46">
        <f>TRUNC(T644*(1-LOTE_01!$K$10),2)</f>
        <v>85.22</v>
      </c>
      <c r="J644" s="100">
        <f t="shared" si="72"/>
        <v>0.22470000000000001</v>
      </c>
      <c r="K644" s="48">
        <f t="shared" si="66"/>
        <v>865.8</v>
      </c>
      <c r="L644" s="48">
        <f t="shared" si="67"/>
        <v>104.36</v>
      </c>
      <c r="M644" s="48">
        <f t="shared" si="68"/>
        <v>3355840.8</v>
      </c>
      <c r="N644" s="48">
        <f t="shared" si="69"/>
        <v>404499.36</v>
      </c>
      <c r="O644" s="50">
        <f t="shared" si="70"/>
        <v>3760340.16</v>
      </c>
      <c r="P644" s="50">
        <v>0</v>
      </c>
      <c r="Q644" s="76"/>
      <c r="R644" s="139">
        <f>(25*(4+2*2)+2*2)*(S9+S10)</f>
        <v>3876</v>
      </c>
      <c r="S644" s="79">
        <v>706.95</v>
      </c>
      <c r="T644" s="80">
        <v>85.22</v>
      </c>
    </row>
    <row r="645" spans="2:20" ht="42">
      <c r="B645" s="5" t="s">
        <v>1528</v>
      </c>
      <c r="C645" s="45" t="s">
        <v>165</v>
      </c>
      <c r="D645" s="45" t="s">
        <v>1529</v>
      </c>
      <c r="E645" s="6" t="s">
        <v>1530</v>
      </c>
      <c r="F645" s="45" t="s">
        <v>168</v>
      </c>
      <c r="G645" s="46">
        <f t="shared" si="71"/>
        <v>4009</v>
      </c>
      <c r="H645" s="46">
        <f>TRUNC(S645*(1-LOTE_01!$K$10),2)</f>
        <v>263.8</v>
      </c>
      <c r="I645" s="46">
        <f>TRUNC(T645*(1-LOTE_01!$K$10),2)</f>
        <v>19.93</v>
      </c>
      <c r="J645" s="100">
        <f t="shared" si="72"/>
        <v>0.22470000000000001</v>
      </c>
      <c r="K645" s="48">
        <f t="shared" si="66"/>
        <v>323.07</v>
      </c>
      <c r="L645" s="48">
        <f t="shared" si="67"/>
        <v>24.4</v>
      </c>
      <c r="M645" s="48">
        <f t="shared" si="68"/>
        <v>1295187.6299999999</v>
      </c>
      <c r="N645" s="48">
        <f t="shared" si="69"/>
        <v>97819.6</v>
      </c>
      <c r="O645" s="50">
        <f t="shared" si="70"/>
        <v>1393007.23</v>
      </c>
      <c r="P645" s="50">
        <v>0</v>
      </c>
      <c r="Q645" s="76"/>
      <c r="R645" s="139">
        <f>211*(S9+S10)</f>
        <v>4009</v>
      </c>
      <c r="S645" s="79">
        <v>263.8</v>
      </c>
      <c r="T645" s="80">
        <v>19.93</v>
      </c>
    </row>
    <row r="646" spans="2:20" ht="28">
      <c r="B646" s="5" t="s">
        <v>1531</v>
      </c>
      <c r="C646" s="45" t="s">
        <v>97</v>
      </c>
      <c r="D646" s="45" t="s">
        <v>1532</v>
      </c>
      <c r="E646" s="6" t="s">
        <v>1533</v>
      </c>
      <c r="F646" s="45" t="s">
        <v>121</v>
      </c>
      <c r="G646" s="46">
        <f t="shared" si="71"/>
        <v>199.5</v>
      </c>
      <c r="H646" s="46">
        <f>TRUNC(S646*(1-LOTE_01!$K$10),2)</f>
        <v>2135.4899999999998</v>
      </c>
      <c r="I646" s="46">
        <f>TRUNC(T646*(1-LOTE_01!$K$10),2)</f>
        <v>25.56</v>
      </c>
      <c r="J646" s="100">
        <f t="shared" si="72"/>
        <v>0.22470000000000001</v>
      </c>
      <c r="K646" s="48">
        <f t="shared" si="66"/>
        <v>2615.33</v>
      </c>
      <c r="L646" s="48">
        <f t="shared" si="67"/>
        <v>31.3</v>
      </c>
      <c r="M646" s="48">
        <f t="shared" si="68"/>
        <v>521758.33</v>
      </c>
      <c r="N646" s="48">
        <f t="shared" si="69"/>
        <v>6244.35</v>
      </c>
      <c r="O646" s="50">
        <f t="shared" si="70"/>
        <v>528002.68000000005</v>
      </c>
      <c r="P646" s="50">
        <v>0</v>
      </c>
      <c r="Q646" s="76"/>
      <c r="R646" s="139">
        <f>3*3.5*(S9+S10)</f>
        <v>199.5</v>
      </c>
      <c r="S646" s="79">
        <v>2135.4899999999998</v>
      </c>
      <c r="T646" s="80">
        <v>25.56</v>
      </c>
    </row>
    <row r="647" spans="2:20" ht="56">
      <c r="B647" s="5" t="s">
        <v>1534</v>
      </c>
      <c r="C647" s="45" t="s">
        <v>97</v>
      </c>
      <c r="D647" s="45" t="s">
        <v>1535</v>
      </c>
      <c r="E647" s="6" t="s">
        <v>1536</v>
      </c>
      <c r="F647" s="45" t="s">
        <v>104</v>
      </c>
      <c r="G647" s="46">
        <f t="shared" si="71"/>
        <v>19</v>
      </c>
      <c r="H647" s="46">
        <f>TRUNC(S647*(1-LOTE_01!$K$10),2)</f>
        <v>3329.4</v>
      </c>
      <c r="I647" s="46">
        <f>TRUNC(T647*(1-LOTE_01!$K$10),2)</f>
        <v>42.81</v>
      </c>
      <c r="J647" s="100">
        <f t="shared" si="72"/>
        <v>0.22470000000000001</v>
      </c>
      <c r="K647" s="48">
        <f t="shared" si="66"/>
        <v>4077.51</v>
      </c>
      <c r="L647" s="48">
        <f t="shared" si="67"/>
        <v>52.42</v>
      </c>
      <c r="M647" s="48">
        <f t="shared" si="68"/>
        <v>77472.69</v>
      </c>
      <c r="N647" s="48">
        <f t="shared" si="69"/>
        <v>995.98</v>
      </c>
      <c r="O647" s="50">
        <f t="shared" si="70"/>
        <v>78468.67</v>
      </c>
      <c r="P647" s="50">
        <v>0</v>
      </c>
      <c r="Q647" s="76"/>
      <c r="R647" s="139">
        <f>1*(S9+S10)</f>
        <v>19</v>
      </c>
      <c r="S647" s="79">
        <v>3329.4</v>
      </c>
      <c r="T647" s="80">
        <v>42.81</v>
      </c>
    </row>
    <row r="648" spans="2:20" ht="84">
      <c r="B648" s="5" t="s">
        <v>1537</v>
      </c>
      <c r="C648" s="45" t="s">
        <v>97</v>
      </c>
      <c r="D648" s="45" t="s">
        <v>1477</v>
      </c>
      <c r="E648" s="6" t="s">
        <v>1478</v>
      </c>
      <c r="F648" s="45" t="s">
        <v>121</v>
      </c>
      <c r="G648" s="46">
        <f t="shared" si="71"/>
        <v>285</v>
      </c>
      <c r="H648" s="46">
        <f>TRUNC(S648*(1-LOTE_01!$K$10),2)</f>
        <v>326.23</v>
      </c>
      <c r="I648" s="46">
        <f>TRUNC(T648*(1-LOTE_01!$K$10),2)</f>
        <v>34.630000000000003</v>
      </c>
      <c r="J648" s="100">
        <f t="shared" si="72"/>
        <v>0.22470000000000001</v>
      </c>
      <c r="K648" s="48">
        <f t="shared" si="66"/>
        <v>399.53</v>
      </c>
      <c r="L648" s="48">
        <f t="shared" si="67"/>
        <v>42.41</v>
      </c>
      <c r="M648" s="48">
        <f t="shared" si="68"/>
        <v>113866.05</v>
      </c>
      <c r="N648" s="48">
        <f t="shared" si="69"/>
        <v>12086.85</v>
      </c>
      <c r="O648" s="50">
        <f t="shared" si="70"/>
        <v>125952.9</v>
      </c>
      <c r="P648" s="50">
        <v>0</v>
      </c>
      <c r="Q648" s="76"/>
      <c r="R648" s="139">
        <f>5*3*(S9+S10)</f>
        <v>285</v>
      </c>
      <c r="S648" s="79">
        <v>326.23</v>
      </c>
      <c r="T648" s="80">
        <v>34.630000000000003</v>
      </c>
    </row>
    <row r="649" spans="2:20" ht="56">
      <c r="B649" s="5" t="s">
        <v>1538</v>
      </c>
      <c r="C649" s="45" t="s">
        <v>97</v>
      </c>
      <c r="D649" s="45" t="s">
        <v>1539</v>
      </c>
      <c r="E649" s="6" t="s">
        <v>1540</v>
      </c>
      <c r="F649" s="45" t="s">
        <v>104</v>
      </c>
      <c r="G649" s="46">
        <f t="shared" si="71"/>
        <v>19</v>
      </c>
      <c r="H649" s="46">
        <f>TRUNC(S649*(1-LOTE_01!$K$10),2)</f>
        <v>5059.5600000000004</v>
      </c>
      <c r="I649" s="46">
        <f>TRUNC(T649*(1-LOTE_01!$K$10),2)</f>
        <v>85.62</v>
      </c>
      <c r="J649" s="100">
        <f t="shared" si="72"/>
        <v>0.22470000000000001</v>
      </c>
      <c r="K649" s="48">
        <f t="shared" si="66"/>
        <v>6196.44</v>
      </c>
      <c r="L649" s="48">
        <f t="shared" si="67"/>
        <v>104.85</v>
      </c>
      <c r="M649" s="48">
        <f t="shared" si="68"/>
        <v>117732.36</v>
      </c>
      <c r="N649" s="48">
        <f t="shared" si="69"/>
        <v>1992.15</v>
      </c>
      <c r="O649" s="50">
        <f t="shared" si="70"/>
        <v>119724.51</v>
      </c>
      <c r="P649" s="50">
        <v>0</v>
      </c>
      <c r="Q649" s="76"/>
      <c r="R649" s="139">
        <f>1*(S9+S10)</f>
        <v>19</v>
      </c>
      <c r="S649" s="79">
        <v>5059.5600000000004</v>
      </c>
      <c r="T649" s="80">
        <v>85.62</v>
      </c>
    </row>
    <row r="650" spans="2:20" ht="42">
      <c r="B650" s="5" t="s">
        <v>1541</v>
      </c>
      <c r="C650" s="45" t="s">
        <v>97</v>
      </c>
      <c r="D650" s="45" t="s">
        <v>1542</v>
      </c>
      <c r="E650" s="6" t="s">
        <v>1543</v>
      </c>
      <c r="F650" s="45" t="s">
        <v>121</v>
      </c>
      <c r="G650" s="46">
        <f t="shared" si="71"/>
        <v>76</v>
      </c>
      <c r="H650" s="46">
        <f>TRUNC(S650*(1-LOTE_01!$K$10),2)</f>
        <v>1643.66</v>
      </c>
      <c r="I650" s="46">
        <f>TRUNC(T650*(1-LOTE_01!$K$10),2)</f>
        <v>11.78</v>
      </c>
      <c r="J650" s="100">
        <f t="shared" si="72"/>
        <v>0.22470000000000001</v>
      </c>
      <c r="K650" s="48">
        <f t="shared" si="66"/>
        <v>2012.99</v>
      </c>
      <c r="L650" s="48">
        <f t="shared" si="67"/>
        <v>14.42</v>
      </c>
      <c r="M650" s="48">
        <f t="shared" si="68"/>
        <v>152987.24</v>
      </c>
      <c r="N650" s="48">
        <f t="shared" si="69"/>
        <v>1095.92</v>
      </c>
      <c r="O650" s="50">
        <f t="shared" si="70"/>
        <v>154083.16</v>
      </c>
      <c r="P650" s="50">
        <v>0</v>
      </c>
      <c r="Q650" s="76"/>
      <c r="R650" s="139">
        <f>(2+2)*(S9+S10)</f>
        <v>76</v>
      </c>
      <c r="S650" s="79">
        <v>1643.66</v>
      </c>
      <c r="T650" s="80">
        <v>11.78</v>
      </c>
    </row>
    <row r="651" spans="2:20" ht="70">
      <c r="B651" s="5" t="s">
        <v>1544</v>
      </c>
      <c r="C651" s="45" t="s">
        <v>97</v>
      </c>
      <c r="D651" s="45" t="s">
        <v>1545</v>
      </c>
      <c r="E651" s="6" t="s">
        <v>1546</v>
      </c>
      <c r="F651" s="45" t="s">
        <v>104</v>
      </c>
      <c r="G651" s="46">
        <f t="shared" si="71"/>
        <v>133</v>
      </c>
      <c r="H651" s="46">
        <f>TRUNC(S651*(1-LOTE_01!$K$10),2)</f>
        <v>792.93</v>
      </c>
      <c r="I651" s="46">
        <f>TRUNC(T651*(1-LOTE_01!$K$10),2)</f>
        <v>4.71</v>
      </c>
      <c r="J651" s="100">
        <f t="shared" si="72"/>
        <v>0.22470000000000001</v>
      </c>
      <c r="K651" s="48">
        <f t="shared" si="66"/>
        <v>971.1</v>
      </c>
      <c r="L651" s="48">
        <f t="shared" si="67"/>
        <v>5.76</v>
      </c>
      <c r="M651" s="48">
        <f t="shared" si="68"/>
        <v>129156.3</v>
      </c>
      <c r="N651" s="48">
        <f t="shared" si="69"/>
        <v>766.08</v>
      </c>
      <c r="O651" s="50">
        <f t="shared" si="70"/>
        <v>129922.38</v>
      </c>
      <c r="P651" s="50">
        <v>0</v>
      </c>
      <c r="Q651" s="76"/>
      <c r="R651" s="139">
        <f>7*(S9+S10)</f>
        <v>133</v>
      </c>
      <c r="S651" s="79">
        <v>792.93</v>
      </c>
      <c r="T651" s="80">
        <v>4.71</v>
      </c>
    </row>
    <row r="652" spans="2:20" ht="70">
      <c r="B652" s="5" t="s">
        <v>1547</v>
      </c>
      <c r="C652" s="45" t="s">
        <v>97</v>
      </c>
      <c r="D652" s="45" t="s">
        <v>1548</v>
      </c>
      <c r="E652" s="6" t="s">
        <v>1549</v>
      </c>
      <c r="F652" s="45" t="s">
        <v>104</v>
      </c>
      <c r="G652" s="46">
        <f t="shared" si="71"/>
        <v>19</v>
      </c>
      <c r="H652" s="46">
        <f>TRUNC(S652*(1-LOTE_01!$K$10),2)</f>
        <v>1864.84</v>
      </c>
      <c r="I652" s="46">
        <f>TRUNC(T652*(1-LOTE_01!$K$10),2)</f>
        <v>4.71</v>
      </c>
      <c r="J652" s="100">
        <f t="shared" si="72"/>
        <v>0.22470000000000001</v>
      </c>
      <c r="K652" s="48">
        <f t="shared" si="66"/>
        <v>2283.86</v>
      </c>
      <c r="L652" s="48">
        <f t="shared" si="67"/>
        <v>5.76</v>
      </c>
      <c r="M652" s="48">
        <f t="shared" si="68"/>
        <v>43393.34</v>
      </c>
      <c r="N652" s="48">
        <f t="shared" si="69"/>
        <v>109.44</v>
      </c>
      <c r="O652" s="50">
        <f t="shared" si="70"/>
        <v>43502.78</v>
      </c>
      <c r="P652" s="50">
        <v>0</v>
      </c>
      <c r="Q652" s="76"/>
      <c r="R652" s="139">
        <f>1*(S9+S10)</f>
        <v>19</v>
      </c>
      <c r="S652" s="79">
        <v>1864.84</v>
      </c>
      <c r="T652" s="80">
        <v>4.71</v>
      </c>
    </row>
    <row r="653" spans="2:20" ht="70">
      <c r="B653" s="5" t="s">
        <v>1550</v>
      </c>
      <c r="C653" s="45" t="s">
        <v>97</v>
      </c>
      <c r="D653" s="45" t="s">
        <v>1551</v>
      </c>
      <c r="E653" s="6" t="s">
        <v>1552</v>
      </c>
      <c r="F653" s="45" t="s">
        <v>104</v>
      </c>
      <c r="G653" s="46">
        <f t="shared" si="71"/>
        <v>76</v>
      </c>
      <c r="H653" s="46">
        <f>TRUNC(S653*(1-LOTE_01!$K$10),2)</f>
        <v>782.53</v>
      </c>
      <c r="I653" s="46">
        <f>TRUNC(T653*(1-LOTE_01!$K$10),2)</f>
        <v>4.37</v>
      </c>
      <c r="J653" s="100">
        <f t="shared" si="72"/>
        <v>0.22470000000000001</v>
      </c>
      <c r="K653" s="48">
        <f t="shared" si="66"/>
        <v>958.36</v>
      </c>
      <c r="L653" s="48">
        <f t="shared" si="67"/>
        <v>5.35</v>
      </c>
      <c r="M653" s="48">
        <f t="shared" si="68"/>
        <v>72835.360000000001</v>
      </c>
      <c r="N653" s="48">
        <f t="shared" si="69"/>
        <v>406.6</v>
      </c>
      <c r="O653" s="50">
        <f t="shared" si="70"/>
        <v>73241.960000000006</v>
      </c>
      <c r="P653" s="50">
        <v>0</v>
      </c>
      <c r="Q653" s="76"/>
      <c r="R653" s="139">
        <f>4*(S9+S10)</f>
        <v>76</v>
      </c>
      <c r="S653" s="79">
        <v>782.53</v>
      </c>
      <c r="T653" s="80">
        <v>4.37</v>
      </c>
    </row>
    <row r="654" spans="2:20" ht="56">
      <c r="B654" s="5" t="s">
        <v>1553</v>
      </c>
      <c r="C654" s="45" t="s">
        <v>97</v>
      </c>
      <c r="D654" s="45" t="s">
        <v>1554</v>
      </c>
      <c r="E654" s="6" t="s">
        <v>1555</v>
      </c>
      <c r="F654" s="45" t="s">
        <v>104</v>
      </c>
      <c r="G654" s="46">
        <f t="shared" si="71"/>
        <v>95</v>
      </c>
      <c r="H654" s="46">
        <f>TRUNC(S654*(1-LOTE_01!$K$10),2)</f>
        <v>563.01</v>
      </c>
      <c r="I654" s="46">
        <f>TRUNC(T654*(1-LOTE_01!$K$10),2)</f>
        <v>4.71</v>
      </c>
      <c r="J654" s="100">
        <f t="shared" si="72"/>
        <v>0.22470000000000001</v>
      </c>
      <c r="K654" s="48">
        <f t="shared" si="66"/>
        <v>689.51</v>
      </c>
      <c r="L654" s="48">
        <f t="shared" si="67"/>
        <v>5.76</v>
      </c>
      <c r="M654" s="48">
        <f t="shared" si="68"/>
        <v>65503.45</v>
      </c>
      <c r="N654" s="48">
        <f t="shared" si="69"/>
        <v>547.20000000000005</v>
      </c>
      <c r="O654" s="50">
        <f t="shared" si="70"/>
        <v>66050.649999999994</v>
      </c>
      <c r="P654" s="50">
        <v>0</v>
      </c>
      <c r="Q654" s="76"/>
      <c r="R654" s="139">
        <f>5*(S9+S10)</f>
        <v>95</v>
      </c>
      <c r="S654" s="79">
        <v>563.01</v>
      </c>
      <c r="T654" s="80">
        <v>4.71</v>
      </c>
    </row>
    <row r="655" spans="2:20" ht="70">
      <c r="B655" s="5" t="s">
        <v>1556</v>
      </c>
      <c r="C655" s="45" t="s">
        <v>97</v>
      </c>
      <c r="D655" s="45" t="s">
        <v>1557</v>
      </c>
      <c r="E655" s="6" t="s">
        <v>1558</v>
      </c>
      <c r="F655" s="45" t="s">
        <v>104</v>
      </c>
      <c r="G655" s="46">
        <f t="shared" si="71"/>
        <v>19</v>
      </c>
      <c r="H655" s="46">
        <f>TRUNC(S655*(1-LOTE_01!$K$10),2)</f>
        <v>2926.51</v>
      </c>
      <c r="I655" s="46">
        <f>TRUNC(T655*(1-LOTE_01!$K$10),2)</f>
        <v>4.71</v>
      </c>
      <c r="J655" s="100">
        <f t="shared" si="72"/>
        <v>0.22470000000000001</v>
      </c>
      <c r="K655" s="48">
        <f t="shared" si="66"/>
        <v>3584.09</v>
      </c>
      <c r="L655" s="48">
        <f t="shared" si="67"/>
        <v>5.76</v>
      </c>
      <c r="M655" s="48">
        <f t="shared" si="68"/>
        <v>68097.710000000006</v>
      </c>
      <c r="N655" s="48">
        <f t="shared" si="69"/>
        <v>109.44</v>
      </c>
      <c r="O655" s="50">
        <f t="shared" si="70"/>
        <v>68207.149999999994</v>
      </c>
      <c r="P655" s="50">
        <v>0</v>
      </c>
      <c r="Q655" s="76"/>
      <c r="R655" s="139">
        <f>1*(S9+S10)</f>
        <v>19</v>
      </c>
      <c r="S655" s="79">
        <v>2926.51</v>
      </c>
      <c r="T655" s="80">
        <v>4.71</v>
      </c>
    </row>
    <row r="656" spans="2:20" ht="56">
      <c r="B656" s="5" t="s">
        <v>1559</v>
      </c>
      <c r="C656" s="45" t="s">
        <v>97</v>
      </c>
      <c r="D656" s="45" t="s">
        <v>1560</v>
      </c>
      <c r="E656" s="6" t="s">
        <v>1561</v>
      </c>
      <c r="F656" s="45" t="s">
        <v>104</v>
      </c>
      <c r="G656" s="46">
        <f t="shared" si="71"/>
        <v>19</v>
      </c>
      <c r="H656" s="46">
        <f>TRUNC(S656*(1-LOTE_01!$K$10),2)</f>
        <v>1032.76</v>
      </c>
      <c r="I656" s="46">
        <f>TRUNC(T656*(1-LOTE_01!$K$10),2)</f>
        <v>4.71</v>
      </c>
      <c r="J656" s="100">
        <f t="shared" si="72"/>
        <v>0.22470000000000001</v>
      </c>
      <c r="K656" s="48">
        <f t="shared" ref="K656:K719" si="73">TRUNC(H656*(1+J656),2)</f>
        <v>1264.82</v>
      </c>
      <c r="L656" s="48">
        <f t="shared" ref="L656:L719" si="74">TRUNC(I656*(1+J656),2)</f>
        <v>5.76</v>
      </c>
      <c r="M656" s="48">
        <f t="shared" ref="M656:M719" si="75">TRUNC(K656*G656,2)</f>
        <v>24031.58</v>
      </c>
      <c r="N656" s="48">
        <f t="shared" ref="N656:N719" si="76">TRUNC(L656*G656,2)</f>
        <v>109.44</v>
      </c>
      <c r="O656" s="50">
        <f t="shared" ref="O656:O719" si="77">TRUNC(M656+N656,2)</f>
        <v>24141.02</v>
      </c>
      <c r="P656" s="50">
        <v>0</v>
      </c>
      <c r="Q656" s="76"/>
      <c r="R656" s="139">
        <f>1*(S9+S10)</f>
        <v>19</v>
      </c>
      <c r="S656" s="79">
        <v>1032.76</v>
      </c>
      <c r="T656" s="80">
        <v>4.71</v>
      </c>
    </row>
    <row r="657" spans="2:20" ht="56">
      <c r="B657" s="5" t="s">
        <v>1562</v>
      </c>
      <c r="C657" s="45" t="s">
        <v>97</v>
      </c>
      <c r="D657" s="45" t="s">
        <v>1563</v>
      </c>
      <c r="E657" s="6" t="s">
        <v>1564</v>
      </c>
      <c r="F657" s="45" t="s">
        <v>104</v>
      </c>
      <c r="G657" s="46">
        <f t="shared" si="71"/>
        <v>19</v>
      </c>
      <c r="H657" s="46">
        <f>TRUNC(S657*(1-LOTE_01!$K$10),2)</f>
        <v>691.13</v>
      </c>
      <c r="I657" s="46">
        <f>TRUNC(T657*(1-LOTE_01!$K$10),2)</f>
        <v>4.71</v>
      </c>
      <c r="J657" s="100">
        <f t="shared" si="72"/>
        <v>0.22470000000000001</v>
      </c>
      <c r="K657" s="48">
        <f t="shared" si="73"/>
        <v>846.42</v>
      </c>
      <c r="L657" s="48">
        <f t="shared" si="74"/>
        <v>5.76</v>
      </c>
      <c r="M657" s="48">
        <f t="shared" si="75"/>
        <v>16081.98</v>
      </c>
      <c r="N657" s="48">
        <f t="shared" si="76"/>
        <v>109.44</v>
      </c>
      <c r="O657" s="50">
        <f t="shared" si="77"/>
        <v>16191.42</v>
      </c>
      <c r="P657" s="50">
        <v>0</v>
      </c>
      <c r="Q657" s="76"/>
      <c r="R657" s="139">
        <f>1*(S9+S10)</f>
        <v>19</v>
      </c>
      <c r="S657" s="79">
        <v>691.13</v>
      </c>
      <c r="T657" s="80">
        <v>4.71</v>
      </c>
    </row>
    <row r="658" spans="2:20" ht="56">
      <c r="B658" s="5" t="s">
        <v>1565</v>
      </c>
      <c r="C658" s="45" t="s">
        <v>97</v>
      </c>
      <c r="D658" s="45" t="s">
        <v>1566</v>
      </c>
      <c r="E658" s="6" t="s">
        <v>1567</v>
      </c>
      <c r="F658" s="45" t="s">
        <v>104</v>
      </c>
      <c r="G658" s="46">
        <f t="shared" ref="G658:G721" si="78">TRUNC(R658,2)</f>
        <v>57</v>
      </c>
      <c r="H658" s="46">
        <f>TRUNC(S658*(1-LOTE_01!$K$10),2)</f>
        <v>975.62</v>
      </c>
      <c r="I658" s="46">
        <f>TRUNC(T658*(1-LOTE_01!$K$10),2)</f>
        <v>6.55</v>
      </c>
      <c r="J658" s="100">
        <f t="shared" ref="J658:J721" si="79">$J$4</f>
        <v>0.22470000000000001</v>
      </c>
      <c r="K658" s="48">
        <f t="shared" si="73"/>
        <v>1194.8399999999999</v>
      </c>
      <c r="L658" s="48">
        <f t="shared" si="74"/>
        <v>8.02</v>
      </c>
      <c r="M658" s="48">
        <f t="shared" si="75"/>
        <v>68105.88</v>
      </c>
      <c r="N658" s="48">
        <f t="shared" si="76"/>
        <v>457.14</v>
      </c>
      <c r="O658" s="50">
        <f t="shared" si="77"/>
        <v>68563.02</v>
      </c>
      <c r="P658" s="50">
        <v>0</v>
      </c>
      <c r="Q658" s="76"/>
      <c r="R658" s="139">
        <f>3*(S9+S10)</f>
        <v>57</v>
      </c>
      <c r="S658" s="79">
        <v>975.62</v>
      </c>
      <c r="T658" s="80">
        <v>6.55</v>
      </c>
    </row>
    <row r="659" spans="2:20" ht="56">
      <c r="B659" s="5" t="s">
        <v>1568</v>
      </c>
      <c r="C659" s="45" t="s">
        <v>97</v>
      </c>
      <c r="D659" s="45" t="s">
        <v>1569</v>
      </c>
      <c r="E659" s="6" t="s">
        <v>1570</v>
      </c>
      <c r="F659" s="45" t="s">
        <v>104</v>
      </c>
      <c r="G659" s="46">
        <f t="shared" si="78"/>
        <v>19</v>
      </c>
      <c r="H659" s="46">
        <f>TRUNC(S659*(1-LOTE_01!$K$10),2)</f>
        <v>153.85</v>
      </c>
      <c r="I659" s="46">
        <f>TRUNC(T659*(1-LOTE_01!$K$10),2)</f>
        <v>4.71</v>
      </c>
      <c r="J659" s="100">
        <f t="shared" si="79"/>
        <v>0.22470000000000001</v>
      </c>
      <c r="K659" s="48">
        <f t="shared" si="73"/>
        <v>188.42</v>
      </c>
      <c r="L659" s="48">
        <f t="shared" si="74"/>
        <v>5.76</v>
      </c>
      <c r="M659" s="48">
        <f t="shared" si="75"/>
        <v>3579.98</v>
      </c>
      <c r="N659" s="48">
        <f t="shared" si="76"/>
        <v>109.44</v>
      </c>
      <c r="O659" s="50">
        <f t="shared" si="77"/>
        <v>3689.42</v>
      </c>
      <c r="P659" s="50">
        <v>0</v>
      </c>
      <c r="Q659" s="76"/>
      <c r="R659" s="139">
        <f>1*(S9+S10)</f>
        <v>19</v>
      </c>
      <c r="S659" s="79">
        <v>153.85</v>
      </c>
      <c r="T659" s="80">
        <v>4.71</v>
      </c>
    </row>
    <row r="660" spans="2:20" ht="56">
      <c r="B660" s="5" t="s">
        <v>1571</v>
      </c>
      <c r="C660" s="45" t="s">
        <v>97</v>
      </c>
      <c r="D660" s="45" t="s">
        <v>1572</v>
      </c>
      <c r="E660" s="6" t="s">
        <v>1573</v>
      </c>
      <c r="F660" s="45" t="s">
        <v>104</v>
      </c>
      <c r="G660" s="46">
        <f t="shared" si="78"/>
        <v>76</v>
      </c>
      <c r="H660" s="46">
        <f>TRUNC(S660*(1-LOTE_01!$K$10),2)</f>
        <v>60.01</v>
      </c>
      <c r="I660" s="46">
        <f>TRUNC(T660*(1-LOTE_01!$K$10),2)</f>
        <v>4.71</v>
      </c>
      <c r="J660" s="100">
        <f t="shared" si="79"/>
        <v>0.22470000000000001</v>
      </c>
      <c r="K660" s="48">
        <f t="shared" si="73"/>
        <v>73.489999999999995</v>
      </c>
      <c r="L660" s="48">
        <f t="shared" si="74"/>
        <v>5.76</v>
      </c>
      <c r="M660" s="48">
        <f t="shared" si="75"/>
        <v>5585.24</v>
      </c>
      <c r="N660" s="48">
        <f t="shared" si="76"/>
        <v>437.76</v>
      </c>
      <c r="O660" s="50">
        <f t="shared" si="77"/>
        <v>6023</v>
      </c>
      <c r="P660" s="50">
        <v>0</v>
      </c>
      <c r="Q660" s="76"/>
      <c r="R660" s="139">
        <f>4*(S9+S10)</f>
        <v>76</v>
      </c>
      <c r="S660" s="79">
        <v>60.01</v>
      </c>
      <c r="T660" s="80">
        <v>4.71</v>
      </c>
    </row>
    <row r="661" spans="2:20" ht="42">
      <c r="B661" s="5" t="s">
        <v>1574</v>
      </c>
      <c r="C661" s="45" t="s">
        <v>97</v>
      </c>
      <c r="D661" s="45" t="s">
        <v>1575</v>
      </c>
      <c r="E661" s="6" t="s">
        <v>1576</v>
      </c>
      <c r="F661" s="45" t="s">
        <v>121</v>
      </c>
      <c r="G661" s="46">
        <f t="shared" si="78"/>
        <v>19</v>
      </c>
      <c r="H661" s="46">
        <f>TRUNC(S661*(1-LOTE_01!$K$10),2)</f>
        <v>2681.64</v>
      </c>
      <c r="I661" s="46">
        <f>TRUNC(T661*(1-LOTE_01!$K$10),2)</f>
        <v>21.4</v>
      </c>
      <c r="J661" s="100">
        <f t="shared" si="79"/>
        <v>0.22470000000000001</v>
      </c>
      <c r="K661" s="48">
        <f t="shared" si="73"/>
        <v>3284.2</v>
      </c>
      <c r="L661" s="48">
        <f t="shared" si="74"/>
        <v>26.2</v>
      </c>
      <c r="M661" s="48">
        <f t="shared" si="75"/>
        <v>62399.8</v>
      </c>
      <c r="N661" s="48">
        <f t="shared" si="76"/>
        <v>497.8</v>
      </c>
      <c r="O661" s="50">
        <f t="shared" si="77"/>
        <v>62897.599999999999</v>
      </c>
      <c r="P661" s="50">
        <v>0</v>
      </c>
      <c r="Q661" s="76"/>
      <c r="R661" s="139">
        <f>1*(S9+S10)</f>
        <v>19</v>
      </c>
      <c r="S661" s="79">
        <v>2681.64</v>
      </c>
      <c r="T661" s="80">
        <v>21.4</v>
      </c>
    </row>
    <row r="662" spans="2:20" ht="56">
      <c r="B662" s="5" t="s">
        <v>1577</v>
      </c>
      <c r="C662" s="45" t="s">
        <v>97</v>
      </c>
      <c r="D662" s="45" t="s">
        <v>1578</v>
      </c>
      <c r="E662" s="6" t="s">
        <v>1579</v>
      </c>
      <c r="F662" s="45" t="s">
        <v>121</v>
      </c>
      <c r="G662" s="46">
        <f t="shared" si="78"/>
        <v>19</v>
      </c>
      <c r="H662" s="46">
        <f>TRUNC(S662*(1-LOTE_01!$K$10),2)</f>
        <v>1221.43</v>
      </c>
      <c r="I662" s="46">
        <f>TRUNC(T662*(1-LOTE_01!$K$10),2)</f>
        <v>42.81</v>
      </c>
      <c r="J662" s="100">
        <f t="shared" si="79"/>
        <v>0.22470000000000001</v>
      </c>
      <c r="K662" s="48">
        <f t="shared" si="73"/>
        <v>1495.88</v>
      </c>
      <c r="L662" s="48">
        <f t="shared" si="74"/>
        <v>52.42</v>
      </c>
      <c r="M662" s="48">
        <f t="shared" si="75"/>
        <v>28421.72</v>
      </c>
      <c r="N662" s="48">
        <f t="shared" si="76"/>
        <v>995.98</v>
      </c>
      <c r="O662" s="50">
        <f t="shared" si="77"/>
        <v>29417.7</v>
      </c>
      <c r="P662" s="50">
        <v>0</v>
      </c>
      <c r="Q662" s="76"/>
      <c r="R662" s="139">
        <f>1*(S9+S10)</f>
        <v>19</v>
      </c>
      <c r="S662" s="79">
        <v>1221.43</v>
      </c>
      <c r="T662" s="80">
        <v>42.81</v>
      </c>
    </row>
    <row r="663" spans="2:20" ht="56">
      <c r="B663" s="5" t="s">
        <v>1580</v>
      </c>
      <c r="C663" s="45" t="s">
        <v>97</v>
      </c>
      <c r="D663" s="45" t="s">
        <v>1581</v>
      </c>
      <c r="E663" s="6" t="s">
        <v>1582</v>
      </c>
      <c r="F663" s="45" t="s">
        <v>104</v>
      </c>
      <c r="G663" s="46">
        <f t="shared" si="78"/>
        <v>19</v>
      </c>
      <c r="H663" s="46">
        <f>TRUNC(S663*(1-LOTE_01!$K$10),2)</f>
        <v>3500.53</v>
      </c>
      <c r="I663" s="46">
        <f>TRUNC(T663*(1-LOTE_01!$K$10),2)</f>
        <v>21.4</v>
      </c>
      <c r="J663" s="100">
        <f t="shared" si="79"/>
        <v>0.22470000000000001</v>
      </c>
      <c r="K663" s="48">
        <f t="shared" si="73"/>
        <v>4287.09</v>
      </c>
      <c r="L663" s="48">
        <f t="shared" si="74"/>
        <v>26.2</v>
      </c>
      <c r="M663" s="48">
        <f t="shared" si="75"/>
        <v>81454.710000000006</v>
      </c>
      <c r="N663" s="48">
        <f t="shared" si="76"/>
        <v>497.8</v>
      </c>
      <c r="O663" s="50">
        <f t="shared" si="77"/>
        <v>81952.509999999995</v>
      </c>
      <c r="P663" s="50">
        <v>0</v>
      </c>
      <c r="Q663" s="76"/>
      <c r="R663" s="139">
        <f>S9+S10</f>
        <v>19</v>
      </c>
      <c r="S663" s="79">
        <v>3500.53</v>
      </c>
      <c r="T663" s="80">
        <v>21.4</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104">
        <v>0</v>
      </c>
      <c r="Q664" s="76"/>
      <c r="R664" s="154"/>
      <c r="S664" s="79" t="s">
        <v>22</v>
      </c>
      <c r="T664" s="80" t="s">
        <v>22</v>
      </c>
    </row>
    <row r="665" spans="2:20" ht="42">
      <c r="B665" s="5" t="s">
        <v>1585</v>
      </c>
      <c r="C665" s="45" t="s">
        <v>135</v>
      </c>
      <c r="D665" s="45">
        <v>102181</v>
      </c>
      <c r="E665" s="6" t="s">
        <v>1773</v>
      </c>
      <c r="F665" s="45" t="s">
        <v>121</v>
      </c>
      <c r="G665" s="46">
        <f t="shared" si="78"/>
        <v>285</v>
      </c>
      <c r="H665" s="46">
        <f>TRUNC(S665*(1-LOTE_01!$K$10),2)</f>
        <v>499.01</v>
      </c>
      <c r="I665" s="46">
        <f>TRUNC(T665*(1-LOTE_01!$K$10),2)</f>
        <v>54.27</v>
      </c>
      <c r="J665" s="100">
        <f t="shared" si="79"/>
        <v>0.22470000000000001</v>
      </c>
      <c r="K665" s="48">
        <f t="shared" si="73"/>
        <v>611.13</v>
      </c>
      <c r="L665" s="48">
        <f t="shared" si="74"/>
        <v>66.459999999999994</v>
      </c>
      <c r="M665" s="48">
        <f t="shared" si="75"/>
        <v>174172.05</v>
      </c>
      <c r="N665" s="48">
        <f t="shared" si="76"/>
        <v>18941.099999999999</v>
      </c>
      <c r="O665" s="50">
        <f t="shared" si="77"/>
        <v>193113.15</v>
      </c>
      <c r="P665" s="50">
        <v>0</v>
      </c>
      <c r="Q665" s="76"/>
      <c r="R665" s="139">
        <f>5*3*(S9+S10)</f>
        <v>285</v>
      </c>
      <c r="S665" s="79">
        <v>499.01</v>
      </c>
      <c r="T665" s="80">
        <v>54.27</v>
      </c>
    </row>
    <row r="666" spans="2:20" ht="56">
      <c r="B666" s="5" t="s">
        <v>1586</v>
      </c>
      <c r="C666" s="45" t="s">
        <v>135</v>
      </c>
      <c r="D666" s="45">
        <v>102184</v>
      </c>
      <c r="E666" s="6" t="s">
        <v>1787</v>
      </c>
      <c r="F666" s="45" t="s">
        <v>210</v>
      </c>
      <c r="G666" s="46">
        <f t="shared" si="78"/>
        <v>19</v>
      </c>
      <c r="H666" s="46">
        <f>TRUNC(S666*(1-LOTE_01!$K$10),2)</f>
        <v>1877.88</v>
      </c>
      <c r="I666" s="46">
        <f>TRUNC(T666*(1-LOTE_01!$K$10),2)</f>
        <v>126.68</v>
      </c>
      <c r="J666" s="100">
        <f t="shared" si="79"/>
        <v>0.22470000000000001</v>
      </c>
      <c r="K666" s="48">
        <f t="shared" si="73"/>
        <v>2299.83</v>
      </c>
      <c r="L666" s="48">
        <f t="shared" si="74"/>
        <v>155.13999999999999</v>
      </c>
      <c r="M666" s="48">
        <f t="shared" si="75"/>
        <v>43696.77</v>
      </c>
      <c r="N666" s="48">
        <f t="shared" si="76"/>
        <v>2947.66</v>
      </c>
      <c r="O666" s="50">
        <f t="shared" si="77"/>
        <v>46644.43</v>
      </c>
      <c r="P666" s="50">
        <v>0</v>
      </c>
      <c r="Q666" s="76"/>
      <c r="R666" s="139">
        <f>1*(S9+S10)</f>
        <v>19</v>
      </c>
      <c r="S666" s="79">
        <v>1877.8799999999999</v>
      </c>
      <c r="T666" s="80">
        <v>126.68</v>
      </c>
    </row>
    <row r="667" spans="2:20" ht="70">
      <c r="B667" s="5" t="s">
        <v>1587</v>
      </c>
      <c r="C667" s="45" t="s">
        <v>135</v>
      </c>
      <c r="D667" s="45">
        <v>96366</v>
      </c>
      <c r="E667" s="6" t="s">
        <v>1588</v>
      </c>
      <c r="F667" s="45" t="s">
        <v>121</v>
      </c>
      <c r="G667" s="46">
        <f t="shared" si="78"/>
        <v>285</v>
      </c>
      <c r="H667" s="46">
        <f>TRUNC(S667*(1-LOTE_01!$K$10),2)</f>
        <v>182.02</v>
      </c>
      <c r="I667" s="46">
        <f>TRUNC(T667*(1-LOTE_01!$K$10),2)</f>
        <v>23.23</v>
      </c>
      <c r="J667" s="100">
        <f t="shared" si="79"/>
        <v>0.22470000000000001</v>
      </c>
      <c r="K667" s="48">
        <f t="shared" si="73"/>
        <v>222.91</v>
      </c>
      <c r="L667" s="48">
        <f t="shared" si="74"/>
        <v>28.44</v>
      </c>
      <c r="M667" s="48">
        <f t="shared" si="75"/>
        <v>63529.35</v>
      </c>
      <c r="N667" s="48">
        <f t="shared" si="76"/>
        <v>8105.4</v>
      </c>
      <c r="O667" s="50">
        <f t="shared" si="77"/>
        <v>71634.75</v>
      </c>
      <c r="P667" s="50">
        <v>0</v>
      </c>
      <c r="Q667" s="76"/>
      <c r="R667" s="139">
        <f>5*3*(S9+S10)</f>
        <v>285</v>
      </c>
      <c r="S667" s="79">
        <v>182.02</v>
      </c>
      <c r="T667" s="80">
        <v>23.23</v>
      </c>
    </row>
    <row r="668" spans="2:20" ht="84">
      <c r="B668" s="5" t="s">
        <v>1589</v>
      </c>
      <c r="C668" s="45" t="s">
        <v>97</v>
      </c>
      <c r="D668" s="45" t="s">
        <v>1477</v>
      </c>
      <c r="E668" s="6" t="s">
        <v>1478</v>
      </c>
      <c r="F668" s="45" t="s">
        <v>121</v>
      </c>
      <c r="G668" s="46">
        <f t="shared" si="78"/>
        <v>332.5</v>
      </c>
      <c r="H668" s="46">
        <f>TRUNC(S668*(1-LOTE_01!$K$10),2)</f>
        <v>326.23</v>
      </c>
      <c r="I668" s="46">
        <f>TRUNC(T668*(1-LOTE_01!$K$10),2)</f>
        <v>34.630000000000003</v>
      </c>
      <c r="J668" s="100">
        <f t="shared" si="79"/>
        <v>0.22470000000000001</v>
      </c>
      <c r="K668" s="48">
        <f t="shared" si="73"/>
        <v>399.53</v>
      </c>
      <c r="L668" s="48">
        <f t="shared" si="74"/>
        <v>42.41</v>
      </c>
      <c r="M668" s="48">
        <f t="shared" si="75"/>
        <v>132843.72</v>
      </c>
      <c r="N668" s="48">
        <f t="shared" si="76"/>
        <v>14101.32</v>
      </c>
      <c r="O668" s="50">
        <f t="shared" si="77"/>
        <v>146945.04</v>
      </c>
      <c r="P668" s="50">
        <v>0</v>
      </c>
      <c r="Q668" s="76"/>
      <c r="R668" s="139">
        <f>5*3.5*(S9+S10)</f>
        <v>332.5</v>
      </c>
      <c r="S668" s="79">
        <v>326.23</v>
      </c>
      <c r="T668" s="80">
        <v>34.630000000000003</v>
      </c>
    </row>
    <row r="669" spans="2:20" ht="84">
      <c r="B669" s="5" t="s">
        <v>1590</v>
      </c>
      <c r="C669" s="45" t="s">
        <v>97</v>
      </c>
      <c r="D669" s="45" t="s">
        <v>1591</v>
      </c>
      <c r="E669" s="6" t="s">
        <v>1592</v>
      </c>
      <c r="F669" s="45" t="s">
        <v>104</v>
      </c>
      <c r="G669" s="46">
        <f t="shared" si="78"/>
        <v>19</v>
      </c>
      <c r="H669" s="46">
        <f>TRUNC(S669*(1-LOTE_01!$K$10),2)</f>
        <v>462.29</v>
      </c>
      <c r="I669" s="46">
        <f>TRUNC(T669*(1-LOTE_01!$K$10),2)</f>
        <v>4.37</v>
      </c>
      <c r="J669" s="100">
        <f t="shared" si="79"/>
        <v>0.22470000000000001</v>
      </c>
      <c r="K669" s="48">
        <f t="shared" si="73"/>
        <v>566.16</v>
      </c>
      <c r="L669" s="48">
        <f t="shared" si="74"/>
        <v>5.35</v>
      </c>
      <c r="M669" s="48">
        <f t="shared" si="75"/>
        <v>10757.04</v>
      </c>
      <c r="N669" s="48">
        <f t="shared" si="76"/>
        <v>101.65</v>
      </c>
      <c r="O669" s="50">
        <f t="shared" si="77"/>
        <v>10858.69</v>
      </c>
      <c r="P669" s="50">
        <v>0</v>
      </c>
      <c r="Q669" s="76"/>
      <c r="R669" s="139">
        <f>1*(S9+S10)</f>
        <v>19</v>
      </c>
      <c r="S669" s="79">
        <v>462.29</v>
      </c>
      <c r="T669" s="80">
        <v>4.37</v>
      </c>
    </row>
    <row r="670" spans="2:20" ht="56">
      <c r="B670" s="5" t="s">
        <v>1593</v>
      </c>
      <c r="C670" s="45" t="s">
        <v>97</v>
      </c>
      <c r="D670" s="45" t="s">
        <v>1594</v>
      </c>
      <c r="E670" s="6" t="s">
        <v>1595</v>
      </c>
      <c r="F670" s="45" t="s">
        <v>104</v>
      </c>
      <c r="G670" s="46">
        <f t="shared" si="78"/>
        <v>19</v>
      </c>
      <c r="H670" s="46">
        <f>TRUNC(S670*(1-LOTE_01!$K$10),2)</f>
        <v>4499.6099999999997</v>
      </c>
      <c r="I670" s="46">
        <f>TRUNC(T670*(1-LOTE_01!$K$10),2)</f>
        <v>21.4</v>
      </c>
      <c r="J670" s="100">
        <f t="shared" si="79"/>
        <v>0.22470000000000001</v>
      </c>
      <c r="K670" s="48">
        <f t="shared" si="73"/>
        <v>5510.67</v>
      </c>
      <c r="L670" s="48">
        <f t="shared" si="74"/>
        <v>26.2</v>
      </c>
      <c r="M670" s="48">
        <f t="shared" si="75"/>
        <v>104702.73</v>
      </c>
      <c r="N670" s="48">
        <f t="shared" si="76"/>
        <v>497.8</v>
      </c>
      <c r="O670" s="50">
        <f t="shared" si="77"/>
        <v>105200.53</v>
      </c>
      <c r="P670" s="50">
        <v>0</v>
      </c>
      <c r="Q670" s="76"/>
      <c r="R670" s="139">
        <f>1*(S9+S10)</f>
        <v>19</v>
      </c>
      <c r="S670" s="79">
        <v>4499.6099999999997</v>
      </c>
      <c r="T670" s="80">
        <v>21.4</v>
      </c>
    </row>
    <row r="671" spans="2:20">
      <c r="B671" s="5" t="s">
        <v>1596</v>
      </c>
      <c r="C671" s="45" t="s">
        <v>97</v>
      </c>
      <c r="D671" s="45" t="s">
        <v>1597</v>
      </c>
      <c r="E671" s="6" t="s">
        <v>1598</v>
      </c>
      <c r="F671" s="45" t="s">
        <v>121</v>
      </c>
      <c r="G671" s="46">
        <f t="shared" si="78"/>
        <v>285</v>
      </c>
      <c r="H671" s="46">
        <f>TRUNC(S671*(1-LOTE_01!$K$10),2)</f>
        <v>2093.9699999999998</v>
      </c>
      <c r="I671" s="46">
        <f>TRUNC(T671*(1-LOTE_01!$K$10),2)</f>
        <v>8.56</v>
      </c>
      <c r="J671" s="100">
        <f t="shared" si="79"/>
        <v>0.22470000000000001</v>
      </c>
      <c r="K671" s="48">
        <f t="shared" si="73"/>
        <v>2564.48</v>
      </c>
      <c r="L671" s="48">
        <f t="shared" si="74"/>
        <v>10.48</v>
      </c>
      <c r="M671" s="48">
        <f t="shared" si="75"/>
        <v>730876.8</v>
      </c>
      <c r="N671" s="48">
        <f t="shared" si="76"/>
        <v>2986.8</v>
      </c>
      <c r="O671" s="50">
        <f t="shared" si="77"/>
        <v>733863.6</v>
      </c>
      <c r="P671" s="50">
        <v>0</v>
      </c>
      <c r="Q671" s="76"/>
      <c r="R671" s="139">
        <f>5*3*(S9+S10)</f>
        <v>285</v>
      </c>
      <c r="S671" s="79">
        <v>2093.9699999999998</v>
      </c>
      <c r="T671" s="80">
        <v>8.56</v>
      </c>
    </row>
    <row r="672" spans="2:20" ht="42">
      <c r="B672" s="5" t="s">
        <v>1599</v>
      </c>
      <c r="C672" s="45" t="s">
        <v>97</v>
      </c>
      <c r="D672" s="45" t="s">
        <v>1600</v>
      </c>
      <c r="E672" s="6" t="s">
        <v>1601</v>
      </c>
      <c r="F672" s="45" t="s">
        <v>121</v>
      </c>
      <c r="G672" s="46">
        <f t="shared" si="78"/>
        <v>285</v>
      </c>
      <c r="H672" s="46">
        <f>TRUNC(S672*(1-LOTE_01!$K$10),2)</f>
        <v>289.44</v>
      </c>
      <c r="I672" s="46">
        <f>TRUNC(T672*(1-LOTE_01!$K$10),2)</f>
        <v>12.33</v>
      </c>
      <c r="J672" s="100">
        <f t="shared" si="79"/>
        <v>0.22470000000000001</v>
      </c>
      <c r="K672" s="48">
        <f t="shared" si="73"/>
        <v>354.47</v>
      </c>
      <c r="L672" s="48">
        <f t="shared" si="74"/>
        <v>15.1</v>
      </c>
      <c r="M672" s="48">
        <f t="shared" si="75"/>
        <v>101023.95</v>
      </c>
      <c r="N672" s="48">
        <f t="shared" si="76"/>
        <v>4303.5</v>
      </c>
      <c r="O672" s="50">
        <f t="shared" si="77"/>
        <v>105327.45</v>
      </c>
      <c r="P672" s="50">
        <v>0</v>
      </c>
      <c r="Q672" s="76"/>
      <c r="R672" s="139">
        <f>5*3*(S9+S10)</f>
        <v>285</v>
      </c>
      <c r="S672" s="79">
        <v>289.44</v>
      </c>
      <c r="T672" s="80">
        <v>12.33</v>
      </c>
    </row>
    <row r="673" spans="2:20" ht="28">
      <c r="B673" s="5" t="s">
        <v>1602</v>
      </c>
      <c r="C673" s="45" t="s">
        <v>97</v>
      </c>
      <c r="D673" s="45" t="s">
        <v>1484</v>
      </c>
      <c r="E673" s="6" t="s">
        <v>1485</v>
      </c>
      <c r="F673" s="45" t="s">
        <v>121</v>
      </c>
      <c r="G673" s="46">
        <f t="shared" si="78"/>
        <v>95</v>
      </c>
      <c r="H673" s="46">
        <f>TRUNC(S673*(1-LOTE_01!$K$10),2)</f>
        <v>444.4</v>
      </c>
      <c r="I673" s="46">
        <f>TRUNC(T673*(1-LOTE_01!$K$10),2)</f>
        <v>4.71</v>
      </c>
      <c r="J673" s="100">
        <f t="shared" si="79"/>
        <v>0.22470000000000001</v>
      </c>
      <c r="K673" s="48">
        <f t="shared" si="73"/>
        <v>544.25</v>
      </c>
      <c r="L673" s="48">
        <f t="shared" si="74"/>
        <v>5.76</v>
      </c>
      <c r="M673" s="48">
        <f t="shared" si="75"/>
        <v>51703.75</v>
      </c>
      <c r="N673" s="48">
        <f t="shared" si="76"/>
        <v>547.20000000000005</v>
      </c>
      <c r="O673" s="50">
        <f t="shared" si="77"/>
        <v>52250.95</v>
      </c>
      <c r="P673" s="50">
        <v>0</v>
      </c>
      <c r="Q673" s="76"/>
      <c r="R673" s="139">
        <f>1*5*(S9+S10)</f>
        <v>95</v>
      </c>
      <c r="S673" s="79">
        <v>444.4</v>
      </c>
      <c r="T673" s="80">
        <v>4.71</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104">
        <v>0</v>
      </c>
      <c r="Q674" s="76"/>
      <c r="R674" s="154"/>
      <c r="S674" s="79" t="s">
        <v>22</v>
      </c>
      <c r="T674" s="80" t="s">
        <v>22</v>
      </c>
    </row>
    <row r="675" spans="2:20" ht="42">
      <c r="B675" s="5" t="s">
        <v>1605</v>
      </c>
      <c r="C675" s="45" t="s">
        <v>135</v>
      </c>
      <c r="D675" s="45">
        <v>102181</v>
      </c>
      <c r="E675" s="6" t="s">
        <v>1773</v>
      </c>
      <c r="F675" s="45" t="s">
        <v>121</v>
      </c>
      <c r="G675" s="46">
        <f t="shared" si="78"/>
        <v>342</v>
      </c>
      <c r="H675" s="46">
        <f>TRUNC(S675*(1-LOTE_01!$K$10),2)</f>
        <v>499.01</v>
      </c>
      <c r="I675" s="46">
        <f>TRUNC(T675*(1-LOTE_01!$K$10),2)</f>
        <v>54.27</v>
      </c>
      <c r="J675" s="100">
        <f t="shared" si="79"/>
        <v>0.22470000000000001</v>
      </c>
      <c r="K675" s="48">
        <f t="shared" si="73"/>
        <v>611.13</v>
      </c>
      <c r="L675" s="48">
        <f t="shared" si="74"/>
        <v>66.459999999999994</v>
      </c>
      <c r="M675" s="48">
        <f t="shared" si="75"/>
        <v>209006.46</v>
      </c>
      <c r="N675" s="48">
        <f t="shared" si="76"/>
        <v>22729.32</v>
      </c>
      <c r="O675" s="50">
        <f t="shared" si="77"/>
        <v>231735.78</v>
      </c>
      <c r="P675" s="50">
        <v>0</v>
      </c>
      <c r="Q675" s="76"/>
      <c r="R675" s="139">
        <f>6*3*(S9+S10)</f>
        <v>342</v>
      </c>
      <c r="S675" s="79">
        <v>499.01</v>
      </c>
      <c r="T675" s="80">
        <v>54.27</v>
      </c>
    </row>
    <row r="676" spans="2:20" ht="56">
      <c r="B676" s="5" t="s">
        <v>1606</v>
      </c>
      <c r="C676" s="45" t="s">
        <v>135</v>
      </c>
      <c r="D676" s="45">
        <v>102184</v>
      </c>
      <c r="E676" s="6" t="s">
        <v>1787</v>
      </c>
      <c r="F676" s="45" t="s">
        <v>210</v>
      </c>
      <c r="G676" s="46">
        <f t="shared" si="78"/>
        <v>19</v>
      </c>
      <c r="H676" s="46">
        <f>TRUNC(S676*(1-LOTE_01!$K$10),2)</f>
        <v>1877.88</v>
      </c>
      <c r="I676" s="46">
        <f>TRUNC(T676*(1-LOTE_01!$K$10),2)</f>
        <v>126.68</v>
      </c>
      <c r="J676" s="100">
        <f t="shared" si="79"/>
        <v>0.22470000000000001</v>
      </c>
      <c r="K676" s="48">
        <f t="shared" si="73"/>
        <v>2299.83</v>
      </c>
      <c r="L676" s="48">
        <f t="shared" si="74"/>
        <v>155.13999999999999</v>
      </c>
      <c r="M676" s="48">
        <f t="shared" si="75"/>
        <v>43696.77</v>
      </c>
      <c r="N676" s="48">
        <f t="shared" si="76"/>
        <v>2947.66</v>
      </c>
      <c r="O676" s="50">
        <f t="shared" si="77"/>
        <v>46644.43</v>
      </c>
      <c r="P676" s="50">
        <v>0</v>
      </c>
      <c r="Q676" s="76"/>
      <c r="R676" s="139">
        <f>1*(S9+S10)</f>
        <v>19</v>
      </c>
      <c r="S676" s="79">
        <v>1877.8799999999999</v>
      </c>
      <c r="T676" s="80">
        <v>126.68</v>
      </c>
    </row>
    <row r="677" spans="2:20" ht="84">
      <c r="B677" s="5" t="s">
        <v>1607</v>
      </c>
      <c r="C677" s="45" t="s">
        <v>97</v>
      </c>
      <c r="D677" s="45" t="s">
        <v>1477</v>
      </c>
      <c r="E677" s="6" t="s">
        <v>1478</v>
      </c>
      <c r="F677" s="45" t="s">
        <v>121</v>
      </c>
      <c r="G677" s="46">
        <f t="shared" si="78"/>
        <v>342</v>
      </c>
      <c r="H677" s="46">
        <f>TRUNC(S677*(1-LOTE_01!$K$10),2)</f>
        <v>326.23</v>
      </c>
      <c r="I677" s="46">
        <f>TRUNC(T677*(1-LOTE_01!$K$10),2)</f>
        <v>34.630000000000003</v>
      </c>
      <c r="J677" s="100">
        <f t="shared" si="79"/>
        <v>0.22470000000000001</v>
      </c>
      <c r="K677" s="48">
        <f t="shared" si="73"/>
        <v>399.53</v>
      </c>
      <c r="L677" s="48">
        <f t="shared" si="74"/>
        <v>42.41</v>
      </c>
      <c r="M677" s="48">
        <f t="shared" si="75"/>
        <v>136639.26</v>
      </c>
      <c r="N677" s="48">
        <f t="shared" si="76"/>
        <v>14504.22</v>
      </c>
      <c r="O677" s="50">
        <f t="shared" si="77"/>
        <v>151143.48000000001</v>
      </c>
      <c r="P677" s="50">
        <v>0</v>
      </c>
      <c r="Q677" s="76"/>
      <c r="R677" s="139">
        <f>6*3*(S9+S10)</f>
        <v>342</v>
      </c>
      <c r="S677" s="79">
        <v>326.23</v>
      </c>
      <c r="T677" s="80">
        <v>34.630000000000003</v>
      </c>
    </row>
    <row r="678" spans="2:20" ht="84">
      <c r="B678" s="5" t="s">
        <v>1608</v>
      </c>
      <c r="C678" s="45" t="s">
        <v>97</v>
      </c>
      <c r="D678" s="45" t="s">
        <v>1591</v>
      </c>
      <c r="E678" s="6" t="s">
        <v>1592</v>
      </c>
      <c r="F678" s="45" t="s">
        <v>104</v>
      </c>
      <c r="G678" s="46">
        <f t="shared" si="78"/>
        <v>19</v>
      </c>
      <c r="H678" s="46">
        <f>TRUNC(S678*(1-LOTE_01!$K$10),2)</f>
        <v>462.29</v>
      </c>
      <c r="I678" s="46">
        <f>TRUNC(T678*(1-LOTE_01!$K$10),2)</f>
        <v>4.37</v>
      </c>
      <c r="J678" s="100">
        <f t="shared" si="79"/>
        <v>0.22470000000000001</v>
      </c>
      <c r="K678" s="48">
        <f t="shared" si="73"/>
        <v>566.16</v>
      </c>
      <c r="L678" s="48">
        <f t="shared" si="74"/>
        <v>5.35</v>
      </c>
      <c r="M678" s="48">
        <f t="shared" si="75"/>
        <v>10757.04</v>
      </c>
      <c r="N678" s="48">
        <f t="shared" si="76"/>
        <v>101.65</v>
      </c>
      <c r="O678" s="50">
        <f t="shared" si="77"/>
        <v>10858.69</v>
      </c>
      <c r="P678" s="50">
        <v>0</v>
      </c>
      <c r="Q678" s="76"/>
      <c r="R678" s="139">
        <f>1*(S9+S10)</f>
        <v>19</v>
      </c>
      <c r="S678" s="79">
        <v>462.29</v>
      </c>
      <c r="T678" s="80">
        <v>4.37</v>
      </c>
    </row>
    <row r="679" spans="2:20" ht="42">
      <c r="B679" s="5" t="s">
        <v>1609</v>
      </c>
      <c r="C679" s="45" t="s">
        <v>97</v>
      </c>
      <c r="D679" s="45" t="s">
        <v>1610</v>
      </c>
      <c r="E679" s="6" t="s">
        <v>1611</v>
      </c>
      <c r="F679" s="45" t="s">
        <v>104</v>
      </c>
      <c r="G679" s="46">
        <f t="shared" si="78"/>
        <v>19</v>
      </c>
      <c r="H679" s="46">
        <f>TRUNC(S679*(1-LOTE_01!$K$10),2)</f>
        <v>76.11</v>
      </c>
      <c r="I679" s="46">
        <f>TRUNC(T679*(1-LOTE_01!$K$10),2)</f>
        <v>0</v>
      </c>
      <c r="J679" s="100">
        <f t="shared" si="79"/>
        <v>0.22470000000000001</v>
      </c>
      <c r="K679" s="48">
        <f t="shared" si="73"/>
        <v>93.21</v>
      </c>
      <c r="L679" s="48">
        <f t="shared" si="74"/>
        <v>0</v>
      </c>
      <c r="M679" s="48">
        <f t="shared" si="75"/>
        <v>1770.99</v>
      </c>
      <c r="N679" s="48">
        <f t="shared" si="76"/>
        <v>0</v>
      </c>
      <c r="O679" s="50">
        <f t="shared" si="77"/>
        <v>1770.99</v>
      </c>
      <c r="P679" s="50">
        <v>0</v>
      </c>
      <c r="Q679" s="76"/>
      <c r="R679" s="140">
        <f>1*(S10+S9)</f>
        <v>19</v>
      </c>
      <c r="S679" s="79">
        <v>76.11</v>
      </c>
      <c r="T679" s="80">
        <v>0</v>
      </c>
    </row>
    <row r="680" spans="2:20">
      <c r="B680" s="5" t="s">
        <v>1612</v>
      </c>
      <c r="C680" s="45" t="s">
        <v>97</v>
      </c>
      <c r="D680" s="45" t="s">
        <v>1597</v>
      </c>
      <c r="E680" s="6" t="s">
        <v>1598</v>
      </c>
      <c r="F680" s="45" t="s">
        <v>121</v>
      </c>
      <c r="G680" s="46">
        <f t="shared" si="78"/>
        <v>342</v>
      </c>
      <c r="H680" s="46">
        <f>TRUNC(S680*(1-LOTE_01!$K$10),2)</f>
        <v>2093.9699999999998</v>
      </c>
      <c r="I680" s="46">
        <f>TRUNC(T680*(1-LOTE_01!$K$10),2)</f>
        <v>8.56</v>
      </c>
      <c r="J680" s="100">
        <f t="shared" si="79"/>
        <v>0.22470000000000001</v>
      </c>
      <c r="K680" s="48">
        <f t="shared" si="73"/>
        <v>2564.48</v>
      </c>
      <c r="L680" s="48">
        <f t="shared" si="74"/>
        <v>10.48</v>
      </c>
      <c r="M680" s="48">
        <f t="shared" si="75"/>
        <v>877052.16</v>
      </c>
      <c r="N680" s="48">
        <f t="shared" si="76"/>
        <v>3584.16</v>
      </c>
      <c r="O680" s="50">
        <f t="shared" si="77"/>
        <v>880636.32</v>
      </c>
      <c r="P680" s="50">
        <v>0</v>
      </c>
      <c r="Q680" s="76"/>
      <c r="R680" s="139">
        <f>6*3*(S9+S10)</f>
        <v>342</v>
      </c>
      <c r="S680" s="79">
        <v>2093.9699999999998</v>
      </c>
      <c r="T680" s="80">
        <v>8.56</v>
      </c>
    </row>
    <row r="681" spans="2:20" ht="42">
      <c r="B681" s="5" t="s">
        <v>1613</v>
      </c>
      <c r="C681" s="45" t="s">
        <v>97</v>
      </c>
      <c r="D681" s="45" t="s">
        <v>1600</v>
      </c>
      <c r="E681" s="6" t="s">
        <v>1601</v>
      </c>
      <c r="F681" s="45" t="s">
        <v>121</v>
      </c>
      <c r="G681" s="46">
        <f t="shared" si="78"/>
        <v>285</v>
      </c>
      <c r="H681" s="46">
        <f>TRUNC(S681*(1-LOTE_01!$K$10),2)</f>
        <v>289.44</v>
      </c>
      <c r="I681" s="46">
        <f>TRUNC(T681*(1-LOTE_01!$K$10),2)</f>
        <v>12.33</v>
      </c>
      <c r="J681" s="100">
        <f t="shared" si="79"/>
        <v>0.22470000000000001</v>
      </c>
      <c r="K681" s="48">
        <f t="shared" si="73"/>
        <v>354.47</v>
      </c>
      <c r="L681" s="48">
        <f t="shared" si="74"/>
        <v>15.1</v>
      </c>
      <c r="M681" s="48">
        <f t="shared" si="75"/>
        <v>101023.95</v>
      </c>
      <c r="N681" s="48">
        <f t="shared" si="76"/>
        <v>4303.5</v>
      </c>
      <c r="O681" s="50">
        <f t="shared" si="77"/>
        <v>105327.45</v>
      </c>
      <c r="P681" s="50">
        <v>0</v>
      </c>
      <c r="Q681" s="76"/>
      <c r="R681" s="139">
        <f>5*3*(S9+S10)</f>
        <v>285</v>
      </c>
      <c r="S681" s="79">
        <v>289.44</v>
      </c>
      <c r="T681" s="80">
        <v>12.33</v>
      </c>
    </row>
    <row r="682" spans="2:20" ht="56">
      <c r="B682" s="5" t="s">
        <v>1614</v>
      </c>
      <c r="C682" s="45" t="s">
        <v>97</v>
      </c>
      <c r="D682" s="45" t="s">
        <v>1615</v>
      </c>
      <c r="E682" s="6" t="s">
        <v>1616</v>
      </c>
      <c r="F682" s="45" t="s">
        <v>104</v>
      </c>
      <c r="G682" s="46">
        <f t="shared" si="78"/>
        <v>19</v>
      </c>
      <c r="H682" s="46">
        <f>TRUNC(S682*(1-LOTE_01!$K$10),2)</f>
        <v>3318.85</v>
      </c>
      <c r="I682" s="46">
        <f>TRUNC(T682*(1-LOTE_01!$K$10),2)</f>
        <v>12.84</v>
      </c>
      <c r="J682" s="100">
        <f t="shared" si="79"/>
        <v>0.22470000000000001</v>
      </c>
      <c r="K682" s="48">
        <f t="shared" si="73"/>
        <v>4064.59</v>
      </c>
      <c r="L682" s="48">
        <f t="shared" si="74"/>
        <v>15.72</v>
      </c>
      <c r="M682" s="48">
        <f t="shared" si="75"/>
        <v>77227.210000000006</v>
      </c>
      <c r="N682" s="48">
        <f t="shared" si="76"/>
        <v>298.68</v>
      </c>
      <c r="O682" s="50">
        <f t="shared" si="77"/>
        <v>77525.89</v>
      </c>
      <c r="P682" s="50">
        <v>0</v>
      </c>
      <c r="Q682" s="76"/>
      <c r="R682" s="139">
        <f>1*(S9+S10)</f>
        <v>19</v>
      </c>
      <c r="S682" s="79">
        <v>3318.85</v>
      </c>
      <c r="T682" s="80">
        <v>12.84</v>
      </c>
    </row>
    <row r="683" spans="2:20" ht="28">
      <c r="B683" s="5" t="s">
        <v>1617</v>
      </c>
      <c r="C683" s="45" t="s">
        <v>97</v>
      </c>
      <c r="D683" s="45" t="s">
        <v>1484</v>
      </c>
      <c r="E683" s="6" t="s">
        <v>1485</v>
      </c>
      <c r="F683" s="45" t="s">
        <v>121</v>
      </c>
      <c r="G683" s="46">
        <f t="shared" si="78"/>
        <v>104.5</v>
      </c>
      <c r="H683" s="46">
        <f>TRUNC(S683*(1-LOTE_01!$K$10),2)</f>
        <v>444.4</v>
      </c>
      <c r="I683" s="46">
        <f>TRUNC(T683*(1-LOTE_01!$K$10),2)</f>
        <v>4.71</v>
      </c>
      <c r="J683" s="100">
        <f t="shared" si="79"/>
        <v>0.22470000000000001</v>
      </c>
      <c r="K683" s="48">
        <f t="shared" si="73"/>
        <v>544.25</v>
      </c>
      <c r="L683" s="48">
        <f t="shared" si="74"/>
        <v>5.76</v>
      </c>
      <c r="M683" s="48">
        <f t="shared" si="75"/>
        <v>56874.12</v>
      </c>
      <c r="N683" s="48">
        <f t="shared" si="76"/>
        <v>601.91999999999996</v>
      </c>
      <c r="O683" s="50">
        <f t="shared" si="77"/>
        <v>57476.04</v>
      </c>
      <c r="P683" s="50">
        <v>0</v>
      </c>
      <c r="Q683" s="76"/>
      <c r="R683" s="139">
        <f>1*5.5*(S9+S10)</f>
        <v>104.5</v>
      </c>
      <c r="S683" s="79">
        <v>444.4</v>
      </c>
      <c r="T683" s="80">
        <v>4.71</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1940027.7999999998</v>
      </c>
      <c r="Q684" s="76"/>
      <c r="R684" s="155"/>
      <c r="S684" s="79" t="s">
        <v>22</v>
      </c>
      <c r="T684" s="80" t="s">
        <v>22</v>
      </c>
    </row>
    <row r="685" spans="2:20" ht="56">
      <c r="B685" s="5" t="s">
        <v>1619</v>
      </c>
      <c r="C685" s="45" t="s">
        <v>135</v>
      </c>
      <c r="D685" s="45">
        <v>103247</v>
      </c>
      <c r="E685" s="6" t="s">
        <v>1620</v>
      </c>
      <c r="F685" s="45" t="s">
        <v>210</v>
      </c>
      <c r="G685" s="46">
        <f t="shared" si="78"/>
        <v>38</v>
      </c>
      <c r="H685" s="46">
        <f>TRUNC(S685*(1-LOTE_01!$K$10),2)</f>
        <v>2651.59</v>
      </c>
      <c r="I685" s="46">
        <f>TRUNC(T685*(1-LOTE_01!$K$10),2)</f>
        <v>101.87</v>
      </c>
      <c r="J685" s="100">
        <f>$J$5</f>
        <v>0.16500000000000001</v>
      </c>
      <c r="K685" s="48">
        <f t="shared" si="73"/>
        <v>3089.1</v>
      </c>
      <c r="L685" s="48">
        <f t="shared" si="74"/>
        <v>118.67</v>
      </c>
      <c r="M685" s="48">
        <f t="shared" si="75"/>
        <v>117385.8</v>
      </c>
      <c r="N685" s="48">
        <f t="shared" si="76"/>
        <v>4509.46</v>
      </c>
      <c r="O685" s="50">
        <f t="shared" si="77"/>
        <v>121895.26</v>
      </c>
      <c r="P685" s="50">
        <v>0</v>
      </c>
      <c r="Q685" s="76"/>
      <c r="R685" s="139">
        <f>2*(S9+S10)</f>
        <v>38</v>
      </c>
      <c r="S685" s="79">
        <v>2651.59</v>
      </c>
      <c r="T685" s="80">
        <v>101.87</v>
      </c>
    </row>
    <row r="686" spans="2:20" ht="56">
      <c r="B686" s="5" t="s">
        <v>1621</v>
      </c>
      <c r="C686" s="45" t="s">
        <v>135</v>
      </c>
      <c r="D686" s="45">
        <v>103250</v>
      </c>
      <c r="E686" s="6" t="s">
        <v>1622</v>
      </c>
      <c r="F686" s="45" t="s">
        <v>210</v>
      </c>
      <c r="G686" s="46">
        <f t="shared" si="78"/>
        <v>38</v>
      </c>
      <c r="H686" s="46">
        <f>TRUNC(S686*(1-LOTE_01!$K$10),2)</f>
        <v>3886.15</v>
      </c>
      <c r="I686" s="46">
        <f>TRUNC(T686*(1-LOTE_01!$K$10),2)</f>
        <v>110.71</v>
      </c>
      <c r="J686" s="100">
        <f t="shared" ref="J686:J691" si="80">$J$5</f>
        <v>0.16500000000000001</v>
      </c>
      <c r="K686" s="48">
        <f t="shared" si="73"/>
        <v>4527.3599999999997</v>
      </c>
      <c r="L686" s="48">
        <f t="shared" si="74"/>
        <v>128.97</v>
      </c>
      <c r="M686" s="48">
        <f t="shared" si="75"/>
        <v>172039.67999999999</v>
      </c>
      <c r="N686" s="48">
        <f t="shared" si="76"/>
        <v>4900.8599999999997</v>
      </c>
      <c r="O686" s="50">
        <f t="shared" si="77"/>
        <v>176940.54</v>
      </c>
      <c r="P686" s="50">
        <v>0</v>
      </c>
      <c r="Q686" s="76"/>
      <c r="R686" s="139">
        <f>2*(S10+S9)</f>
        <v>38</v>
      </c>
      <c r="S686" s="79">
        <v>3886.15</v>
      </c>
      <c r="T686" s="80">
        <v>110.71</v>
      </c>
    </row>
    <row r="687" spans="2:20" ht="56">
      <c r="B687" s="5" t="s">
        <v>1623</v>
      </c>
      <c r="C687" s="45" t="s">
        <v>135</v>
      </c>
      <c r="D687" s="45">
        <v>103253</v>
      </c>
      <c r="E687" s="6" t="s">
        <v>1624</v>
      </c>
      <c r="F687" s="45" t="s">
        <v>210</v>
      </c>
      <c r="G687" s="46">
        <f t="shared" si="78"/>
        <v>38</v>
      </c>
      <c r="H687" s="46">
        <f>TRUNC(S687*(1-LOTE_01!$K$10),2)</f>
        <v>5329.67</v>
      </c>
      <c r="I687" s="46">
        <f>TRUNC(T687*(1-LOTE_01!$K$10),2)</f>
        <v>115.99</v>
      </c>
      <c r="J687" s="100">
        <f t="shared" si="80"/>
        <v>0.16500000000000001</v>
      </c>
      <c r="K687" s="48">
        <f t="shared" si="73"/>
        <v>6209.06</v>
      </c>
      <c r="L687" s="48">
        <f t="shared" si="74"/>
        <v>135.12</v>
      </c>
      <c r="M687" s="48">
        <f t="shared" si="75"/>
        <v>235944.28</v>
      </c>
      <c r="N687" s="48">
        <f t="shared" si="76"/>
        <v>5134.5600000000004</v>
      </c>
      <c r="O687" s="50">
        <f t="shared" si="77"/>
        <v>241078.84</v>
      </c>
      <c r="P687" s="50">
        <v>0</v>
      </c>
      <c r="Q687" s="76"/>
      <c r="R687" s="139">
        <f>2*(S10+S9)</f>
        <v>38</v>
      </c>
      <c r="S687" s="79">
        <v>5329.67</v>
      </c>
      <c r="T687" s="80">
        <v>115.99</v>
      </c>
    </row>
    <row r="688" spans="2:20" ht="56">
      <c r="B688" s="5" t="s">
        <v>1625</v>
      </c>
      <c r="C688" s="45" t="s">
        <v>135</v>
      </c>
      <c r="D688" s="45">
        <v>103244</v>
      </c>
      <c r="E688" s="6" t="s">
        <v>1626</v>
      </c>
      <c r="F688" s="45" t="s">
        <v>210</v>
      </c>
      <c r="G688" s="46">
        <f t="shared" si="78"/>
        <v>38</v>
      </c>
      <c r="H688" s="46">
        <f>TRUNC(S688*(1-LOTE_01!$K$10),2)</f>
        <v>2379.9299999999998</v>
      </c>
      <c r="I688" s="46">
        <f>TRUNC(T688*(1-LOTE_01!$K$10),2)</f>
        <v>101.74</v>
      </c>
      <c r="J688" s="100">
        <f t="shared" si="80"/>
        <v>0.16500000000000001</v>
      </c>
      <c r="K688" s="48">
        <f t="shared" si="73"/>
        <v>2772.61</v>
      </c>
      <c r="L688" s="48">
        <f t="shared" si="74"/>
        <v>118.52</v>
      </c>
      <c r="M688" s="48">
        <f t="shared" si="75"/>
        <v>105359.18</v>
      </c>
      <c r="N688" s="48">
        <f t="shared" si="76"/>
        <v>4503.76</v>
      </c>
      <c r="O688" s="50">
        <f t="shared" si="77"/>
        <v>109862.94</v>
      </c>
      <c r="P688" s="50">
        <v>0</v>
      </c>
      <c r="Q688" s="76"/>
      <c r="R688" s="139">
        <f>2*(S9+S10)</f>
        <v>38</v>
      </c>
      <c r="S688" s="79">
        <v>2379.9300000000003</v>
      </c>
      <c r="T688" s="80">
        <v>101.74</v>
      </c>
    </row>
    <row r="689" spans="2:20" ht="56">
      <c r="B689" s="5" t="s">
        <v>1627</v>
      </c>
      <c r="C689" s="45" t="s">
        <v>135</v>
      </c>
      <c r="D689" s="45">
        <v>103261</v>
      </c>
      <c r="E689" s="6" t="s">
        <v>1628</v>
      </c>
      <c r="F689" s="45" t="s">
        <v>210</v>
      </c>
      <c r="G689" s="46">
        <f t="shared" si="78"/>
        <v>19</v>
      </c>
      <c r="H689" s="46">
        <f>TRUNC(S689*(1-LOTE_01!$K$10),2)</f>
        <v>12557.59</v>
      </c>
      <c r="I689" s="46">
        <f>TRUNC(T689*(1-LOTE_01!$K$10),2)</f>
        <v>193.82</v>
      </c>
      <c r="J689" s="100">
        <f t="shared" si="80"/>
        <v>0.16500000000000001</v>
      </c>
      <c r="K689" s="48">
        <f t="shared" si="73"/>
        <v>14629.59</v>
      </c>
      <c r="L689" s="48">
        <f t="shared" si="74"/>
        <v>225.8</v>
      </c>
      <c r="M689" s="48">
        <f t="shared" si="75"/>
        <v>277962.21000000002</v>
      </c>
      <c r="N689" s="48">
        <f t="shared" si="76"/>
        <v>4290.2</v>
      </c>
      <c r="O689" s="50">
        <f t="shared" si="77"/>
        <v>282252.40999999997</v>
      </c>
      <c r="P689" s="50">
        <v>0</v>
      </c>
      <c r="Q689" s="76"/>
      <c r="R689" s="139">
        <f>1*(S9+S10)</f>
        <v>19</v>
      </c>
      <c r="S689" s="79">
        <v>12557.59</v>
      </c>
      <c r="T689" s="80">
        <v>193.82</v>
      </c>
    </row>
    <row r="690" spans="2:20" ht="42">
      <c r="B690" s="5" t="s">
        <v>1629</v>
      </c>
      <c r="C690" s="45" t="s">
        <v>135</v>
      </c>
      <c r="D690" s="45">
        <v>103277</v>
      </c>
      <c r="E690" s="6" t="s">
        <v>1630</v>
      </c>
      <c r="F690" s="45" t="s">
        <v>210</v>
      </c>
      <c r="G690" s="46">
        <f>IF($S$11=0,0,TRUNC(R690,2))</f>
        <v>8</v>
      </c>
      <c r="H690" s="46">
        <f>TRUNC(S690*(1-LOTE_01!$K$10),2)</f>
        <v>26448.93</v>
      </c>
      <c r="I690" s="46">
        <f>TRUNC(T690*(1-LOTE_01!$K$10),2)</f>
        <v>326.66000000000003</v>
      </c>
      <c r="J690" s="100">
        <f t="shared" si="80"/>
        <v>0.16500000000000001</v>
      </c>
      <c r="K690" s="48">
        <f t="shared" si="73"/>
        <v>30813</v>
      </c>
      <c r="L690" s="48">
        <f t="shared" si="74"/>
        <v>380.55</v>
      </c>
      <c r="M690" s="48">
        <f t="shared" si="75"/>
        <v>246504</v>
      </c>
      <c r="N690" s="48">
        <f t="shared" si="76"/>
        <v>3044.4</v>
      </c>
      <c r="O690" s="50">
        <f t="shared" si="77"/>
        <v>249548.4</v>
      </c>
      <c r="P690" s="50">
        <v>0</v>
      </c>
      <c r="Q690" s="76"/>
      <c r="R690" s="139">
        <f>IF(40%*R691&lt;1,1,ROUND(40%*R691,0))</f>
        <v>8</v>
      </c>
      <c r="S690" s="79">
        <v>26448.93</v>
      </c>
      <c r="T690" s="80">
        <v>326.66000000000003</v>
      </c>
    </row>
    <row r="691" spans="2:20" ht="42">
      <c r="B691" s="5" t="s">
        <v>1631</v>
      </c>
      <c r="C691" s="45" t="s">
        <v>135</v>
      </c>
      <c r="D691" s="45">
        <v>103278</v>
      </c>
      <c r="E691" s="6" t="s">
        <v>1632</v>
      </c>
      <c r="F691" s="45" t="s">
        <v>210</v>
      </c>
      <c r="G691" s="46">
        <f t="shared" si="78"/>
        <v>19</v>
      </c>
      <c r="H691" s="46">
        <f>TRUNC(S691*(1-LOTE_01!$K$10),2)</f>
        <v>33928.93</v>
      </c>
      <c r="I691" s="46">
        <f>TRUNC(T691*(1-LOTE_01!$K$10),2)</f>
        <v>335.79</v>
      </c>
      <c r="J691" s="100">
        <f t="shared" si="80"/>
        <v>0.16500000000000001</v>
      </c>
      <c r="K691" s="48">
        <f t="shared" si="73"/>
        <v>39527.199999999997</v>
      </c>
      <c r="L691" s="48">
        <f t="shared" si="74"/>
        <v>391.19</v>
      </c>
      <c r="M691" s="48">
        <f t="shared" si="75"/>
        <v>751016.8</v>
      </c>
      <c r="N691" s="48">
        <f t="shared" si="76"/>
        <v>7432.61</v>
      </c>
      <c r="O691" s="50">
        <f t="shared" si="77"/>
        <v>758449.41</v>
      </c>
      <c r="P691" s="50">
        <v>0</v>
      </c>
      <c r="Q691" s="76"/>
      <c r="R691" s="139">
        <f>S10+S9</f>
        <v>19</v>
      </c>
      <c r="S691" s="79">
        <v>33928.93</v>
      </c>
      <c r="T691" s="80">
        <v>335.79</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703842.94</v>
      </c>
      <c r="Q692" s="76"/>
      <c r="R692" s="154"/>
      <c r="S692" s="79" t="s">
        <v>22</v>
      </c>
      <c r="T692" s="80" t="s">
        <v>22</v>
      </c>
    </row>
    <row r="693" spans="2:20" ht="28">
      <c r="B693" s="5" t="s">
        <v>1633</v>
      </c>
      <c r="C693" s="45" t="s">
        <v>97</v>
      </c>
      <c r="D693" s="45" t="s">
        <v>1634</v>
      </c>
      <c r="E693" s="6" t="s">
        <v>1635</v>
      </c>
      <c r="F693" s="45" t="s">
        <v>104</v>
      </c>
      <c r="G693" s="46">
        <f t="shared" si="78"/>
        <v>10</v>
      </c>
      <c r="H693" s="46">
        <f>TRUNC(S693*(1-LOTE_01!$K$10),2)</f>
        <v>217.48</v>
      </c>
      <c r="I693" s="46">
        <f>TRUNC(T693*(1-LOTE_01!$K$10),2)</f>
        <v>163.72</v>
      </c>
      <c r="J693" s="100">
        <f t="shared" si="79"/>
        <v>0.22470000000000001</v>
      </c>
      <c r="K693" s="48">
        <f t="shared" si="73"/>
        <v>266.33999999999997</v>
      </c>
      <c r="L693" s="48">
        <f t="shared" si="74"/>
        <v>200.5</v>
      </c>
      <c r="M693" s="48">
        <f t="shared" si="75"/>
        <v>2663.4</v>
      </c>
      <c r="N693" s="48">
        <f t="shared" si="76"/>
        <v>2005</v>
      </c>
      <c r="O693" s="50">
        <f t="shared" si="77"/>
        <v>4668.3999999999996</v>
      </c>
      <c r="P693" s="50">
        <v>0</v>
      </c>
      <c r="Q693" s="76"/>
      <c r="R693" s="140">
        <f>IF((1*S9+1*S10)&gt;10,10,(1*S9+1*S10))</f>
        <v>10</v>
      </c>
      <c r="S693" s="79">
        <v>217.48</v>
      </c>
      <c r="T693" s="80">
        <v>163.72</v>
      </c>
    </row>
    <row r="694" spans="2:20" ht="42">
      <c r="B694" s="5" t="s">
        <v>1636</v>
      </c>
      <c r="C694" s="45" t="s">
        <v>97</v>
      </c>
      <c r="D694" s="45" t="s">
        <v>1637</v>
      </c>
      <c r="E694" s="6" t="s">
        <v>1638</v>
      </c>
      <c r="F694" s="45" t="s">
        <v>121</v>
      </c>
      <c r="G694" s="46">
        <f t="shared" si="78"/>
        <v>570</v>
      </c>
      <c r="H694" s="46">
        <f>TRUNC(S694*(1-LOTE_01!$K$10),2)</f>
        <v>219.95</v>
      </c>
      <c r="I694" s="46">
        <f>TRUNC(T694*(1-LOTE_01!$K$10),2)</f>
        <v>65.13</v>
      </c>
      <c r="J694" s="100">
        <f t="shared" si="79"/>
        <v>0.22470000000000001</v>
      </c>
      <c r="K694" s="48">
        <f t="shared" si="73"/>
        <v>269.37</v>
      </c>
      <c r="L694" s="48">
        <f t="shared" si="74"/>
        <v>79.760000000000005</v>
      </c>
      <c r="M694" s="48">
        <f t="shared" si="75"/>
        <v>153540.9</v>
      </c>
      <c r="N694" s="48">
        <f t="shared" si="76"/>
        <v>45463.199999999997</v>
      </c>
      <c r="O694" s="50">
        <f t="shared" si="77"/>
        <v>199004.1</v>
      </c>
      <c r="P694" s="50">
        <v>0</v>
      </c>
      <c r="Q694" s="76"/>
      <c r="R694" s="139">
        <f>30*(S9+S10)</f>
        <v>570</v>
      </c>
      <c r="S694" s="79">
        <v>219.95</v>
      </c>
      <c r="T694" s="80">
        <v>65.13</v>
      </c>
    </row>
    <row r="695" spans="2:20" ht="28">
      <c r="B695" s="5" t="s">
        <v>1639</v>
      </c>
      <c r="C695" s="45" t="s">
        <v>97</v>
      </c>
      <c r="D695" s="45" t="s">
        <v>1640</v>
      </c>
      <c r="E695" s="6" t="s">
        <v>1641</v>
      </c>
      <c r="F695" s="45" t="s">
        <v>104</v>
      </c>
      <c r="G695" s="46">
        <f t="shared" si="78"/>
        <v>950</v>
      </c>
      <c r="H695" s="46">
        <f>TRUNC(S695*(1-LOTE_01!$K$10),2)</f>
        <v>3.75</v>
      </c>
      <c r="I695" s="46">
        <f>TRUNC(T695*(1-LOTE_01!$K$10),2)</f>
        <v>9.6199999999999992</v>
      </c>
      <c r="J695" s="100">
        <f t="shared" si="79"/>
        <v>0.22470000000000001</v>
      </c>
      <c r="K695" s="48">
        <f t="shared" si="73"/>
        <v>4.59</v>
      </c>
      <c r="L695" s="48">
        <f t="shared" si="74"/>
        <v>11.78</v>
      </c>
      <c r="M695" s="48">
        <f t="shared" si="75"/>
        <v>4360.5</v>
      </c>
      <c r="N695" s="48">
        <f t="shared" si="76"/>
        <v>11191</v>
      </c>
      <c r="O695" s="50">
        <f t="shared" si="77"/>
        <v>15551.5</v>
      </c>
      <c r="P695" s="50">
        <v>0</v>
      </c>
      <c r="Q695" s="76"/>
      <c r="R695" s="139">
        <f>50*(S9+S10)</f>
        <v>950</v>
      </c>
      <c r="S695" s="79">
        <v>3.75</v>
      </c>
      <c r="T695" s="80">
        <v>9.6199999999999992</v>
      </c>
    </row>
    <row r="696" spans="2:20" ht="28">
      <c r="B696" s="5" t="s">
        <v>1642</v>
      </c>
      <c r="C696" s="45" t="s">
        <v>97</v>
      </c>
      <c r="D696" s="45" t="s">
        <v>1643</v>
      </c>
      <c r="E696" s="6" t="s">
        <v>1644</v>
      </c>
      <c r="F696" s="45" t="s">
        <v>104</v>
      </c>
      <c r="G696" s="46">
        <f t="shared" si="78"/>
        <v>57</v>
      </c>
      <c r="H696" s="46">
        <f>TRUNC(S696*(1-LOTE_01!$K$10),2)</f>
        <v>30</v>
      </c>
      <c r="I696" s="46">
        <f>TRUNC(T696*(1-LOTE_01!$K$10),2)</f>
        <v>76.959999999999994</v>
      </c>
      <c r="J696" s="100">
        <f t="shared" si="79"/>
        <v>0.22470000000000001</v>
      </c>
      <c r="K696" s="48">
        <f t="shared" si="73"/>
        <v>36.74</v>
      </c>
      <c r="L696" s="48">
        <f t="shared" si="74"/>
        <v>94.25</v>
      </c>
      <c r="M696" s="48">
        <f t="shared" si="75"/>
        <v>2094.1799999999998</v>
      </c>
      <c r="N696" s="48">
        <f t="shared" si="76"/>
        <v>5372.25</v>
      </c>
      <c r="O696" s="50">
        <f t="shared" si="77"/>
        <v>7466.43</v>
      </c>
      <c r="P696" s="50">
        <v>0</v>
      </c>
      <c r="Q696" s="76"/>
      <c r="R696" s="139">
        <f>3*(S9+S10)</f>
        <v>57</v>
      </c>
      <c r="S696" s="79">
        <v>30</v>
      </c>
      <c r="T696" s="80">
        <v>76.959999999999994</v>
      </c>
    </row>
    <row r="697" spans="2:20" ht="28">
      <c r="B697" s="5" t="s">
        <v>1645</v>
      </c>
      <c r="C697" s="45" t="s">
        <v>97</v>
      </c>
      <c r="D697" s="45" t="s">
        <v>1646</v>
      </c>
      <c r="E697" s="6" t="s">
        <v>1647</v>
      </c>
      <c r="F697" s="45" t="s">
        <v>104</v>
      </c>
      <c r="G697" s="46">
        <f t="shared" si="78"/>
        <v>19</v>
      </c>
      <c r="H697" s="46">
        <f>TRUNC(S697*(1-LOTE_01!$K$10),2)</f>
        <v>5628.33</v>
      </c>
      <c r="I697" s="46">
        <f>TRUNC(T697*(1-LOTE_01!$K$10),2)</f>
        <v>1671.41</v>
      </c>
      <c r="J697" s="100">
        <f t="shared" si="79"/>
        <v>0.22470000000000001</v>
      </c>
      <c r="K697" s="48">
        <f t="shared" si="73"/>
        <v>6893.01</v>
      </c>
      <c r="L697" s="48">
        <f t="shared" si="74"/>
        <v>2046.97</v>
      </c>
      <c r="M697" s="48">
        <f t="shared" si="75"/>
        <v>130967.19</v>
      </c>
      <c r="N697" s="48">
        <f t="shared" si="76"/>
        <v>38892.43</v>
      </c>
      <c r="O697" s="50">
        <f t="shared" si="77"/>
        <v>169859.62</v>
      </c>
      <c r="P697" s="50">
        <v>0</v>
      </c>
      <c r="Q697" s="76"/>
      <c r="R697" s="139">
        <f>1*(S9+S10)</f>
        <v>19</v>
      </c>
      <c r="S697" s="79">
        <v>5628.33</v>
      </c>
      <c r="T697" s="80">
        <v>1671.41</v>
      </c>
    </row>
    <row r="698" spans="2:20" ht="28">
      <c r="B698" s="5" t="s">
        <v>1648</v>
      </c>
      <c r="C698" s="45" t="s">
        <v>97</v>
      </c>
      <c r="D698" s="45" t="s">
        <v>331</v>
      </c>
      <c r="E698" s="6" t="s">
        <v>332</v>
      </c>
      <c r="F698" s="45" t="s">
        <v>104</v>
      </c>
      <c r="G698" s="46">
        <f t="shared" si="78"/>
        <v>19</v>
      </c>
      <c r="H698" s="46">
        <f>TRUNC(S698*(1-LOTE_01!$K$10),2)</f>
        <v>5341.43</v>
      </c>
      <c r="I698" s="46">
        <f>TRUNC(T698*(1-LOTE_01!$K$10),2)</f>
        <v>723.5</v>
      </c>
      <c r="J698" s="100">
        <f t="shared" si="79"/>
        <v>0.22470000000000001</v>
      </c>
      <c r="K698" s="48">
        <f t="shared" si="73"/>
        <v>6541.64</v>
      </c>
      <c r="L698" s="48">
        <f t="shared" si="74"/>
        <v>886.07</v>
      </c>
      <c r="M698" s="48">
        <f t="shared" si="75"/>
        <v>124291.16</v>
      </c>
      <c r="N698" s="48">
        <f t="shared" si="76"/>
        <v>16835.330000000002</v>
      </c>
      <c r="O698" s="50">
        <f t="shared" si="77"/>
        <v>141126.49</v>
      </c>
      <c r="P698" s="50">
        <v>0</v>
      </c>
      <c r="Q698" s="76"/>
      <c r="R698" s="139">
        <f>1*(S9+S10)</f>
        <v>19</v>
      </c>
      <c r="S698" s="79">
        <v>5341.43</v>
      </c>
      <c r="T698" s="80">
        <v>723.5</v>
      </c>
    </row>
    <row r="699" spans="2:20" ht="42">
      <c r="B699" s="5" t="s">
        <v>1649</v>
      </c>
      <c r="C699" s="45" t="s">
        <v>97</v>
      </c>
      <c r="D699" s="45" t="s">
        <v>1650</v>
      </c>
      <c r="E699" s="6" t="s">
        <v>1651</v>
      </c>
      <c r="F699" s="45" t="s">
        <v>104</v>
      </c>
      <c r="G699" s="46">
        <f t="shared" si="78"/>
        <v>380</v>
      </c>
      <c r="H699" s="46">
        <f>TRUNC(S699*(1-LOTE_01!$K$10),2)</f>
        <v>18.399999999999999</v>
      </c>
      <c r="I699" s="46">
        <f>TRUNC(T699*(1-LOTE_01!$K$10),2)</f>
        <v>54.84</v>
      </c>
      <c r="J699" s="100">
        <f t="shared" si="79"/>
        <v>0.22470000000000001</v>
      </c>
      <c r="K699" s="48">
        <f t="shared" si="73"/>
        <v>22.53</v>
      </c>
      <c r="L699" s="48">
        <f t="shared" si="74"/>
        <v>67.16</v>
      </c>
      <c r="M699" s="48">
        <f t="shared" si="75"/>
        <v>8561.4</v>
      </c>
      <c r="N699" s="48">
        <f t="shared" si="76"/>
        <v>25520.799999999999</v>
      </c>
      <c r="O699" s="50">
        <f t="shared" si="77"/>
        <v>34082.199999999997</v>
      </c>
      <c r="P699" s="50">
        <v>0</v>
      </c>
      <c r="Q699" s="76"/>
      <c r="R699" s="139">
        <f>20*(S9+S10)</f>
        <v>380</v>
      </c>
      <c r="S699" s="79">
        <v>18.399999999999999</v>
      </c>
      <c r="T699" s="80">
        <v>54.84</v>
      </c>
    </row>
    <row r="700" spans="2:20" ht="28">
      <c r="B700" s="5" t="s">
        <v>1652</v>
      </c>
      <c r="C700" s="45" t="s">
        <v>97</v>
      </c>
      <c r="D700" s="45" t="s">
        <v>1653</v>
      </c>
      <c r="E700" s="6" t="s">
        <v>1654</v>
      </c>
      <c r="F700" s="45" t="s">
        <v>104</v>
      </c>
      <c r="G700" s="46">
        <f t="shared" si="78"/>
        <v>38</v>
      </c>
      <c r="H700" s="46">
        <f>TRUNC(S700*(1-LOTE_01!$K$10),2)</f>
        <v>5.23</v>
      </c>
      <c r="I700" s="46">
        <f>TRUNC(T700*(1-LOTE_01!$K$10),2)</f>
        <v>4.8099999999999996</v>
      </c>
      <c r="J700" s="100">
        <f t="shared" si="79"/>
        <v>0.22470000000000001</v>
      </c>
      <c r="K700" s="48">
        <f t="shared" si="73"/>
        <v>6.4</v>
      </c>
      <c r="L700" s="48">
        <f t="shared" si="74"/>
        <v>5.89</v>
      </c>
      <c r="M700" s="48">
        <f t="shared" si="75"/>
        <v>243.2</v>
      </c>
      <c r="N700" s="48">
        <f t="shared" si="76"/>
        <v>223.82</v>
      </c>
      <c r="O700" s="50">
        <f t="shared" si="77"/>
        <v>467.02</v>
      </c>
      <c r="P700" s="50">
        <v>0</v>
      </c>
      <c r="Q700" s="76"/>
      <c r="R700" s="139">
        <f>2*(S9+S10)</f>
        <v>38</v>
      </c>
      <c r="S700" s="79">
        <v>5.23</v>
      </c>
      <c r="T700" s="80">
        <v>4.8099999999999996</v>
      </c>
    </row>
    <row r="701" spans="2:20" ht="70">
      <c r="B701" s="5" t="s">
        <v>1655</v>
      </c>
      <c r="C701" s="45" t="s">
        <v>97</v>
      </c>
      <c r="D701" s="45" t="s">
        <v>1656</v>
      </c>
      <c r="E701" s="6" t="s">
        <v>1657</v>
      </c>
      <c r="F701" s="45" t="s">
        <v>104</v>
      </c>
      <c r="G701" s="46">
        <f t="shared" si="78"/>
        <v>19</v>
      </c>
      <c r="H701" s="46">
        <f>TRUNC(S701*(1-LOTE_01!$K$10),2)</f>
        <v>931.5</v>
      </c>
      <c r="I701" s="46">
        <f>TRUNC(T701*(1-LOTE_01!$K$10),2)</f>
        <v>3.84</v>
      </c>
      <c r="J701" s="100">
        <f t="shared" si="79"/>
        <v>0.22470000000000001</v>
      </c>
      <c r="K701" s="48">
        <f t="shared" si="73"/>
        <v>1140.8</v>
      </c>
      <c r="L701" s="48">
        <f t="shared" si="74"/>
        <v>4.7</v>
      </c>
      <c r="M701" s="48">
        <f t="shared" si="75"/>
        <v>21675.200000000001</v>
      </c>
      <c r="N701" s="48">
        <f t="shared" si="76"/>
        <v>89.3</v>
      </c>
      <c r="O701" s="50">
        <f t="shared" si="77"/>
        <v>21764.5</v>
      </c>
      <c r="P701" s="50">
        <v>0</v>
      </c>
      <c r="Q701" s="76"/>
      <c r="R701" s="139">
        <f>1*(S9+S10)</f>
        <v>19</v>
      </c>
      <c r="S701" s="79">
        <v>931.5</v>
      </c>
      <c r="T701" s="80">
        <v>3.84</v>
      </c>
    </row>
    <row r="702" spans="2:20" ht="28">
      <c r="B702" s="5" t="s">
        <v>1658</v>
      </c>
      <c r="C702" s="45" t="s">
        <v>97</v>
      </c>
      <c r="D702" s="45" t="s">
        <v>1659</v>
      </c>
      <c r="E702" s="6" t="s">
        <v>1660</v>
      </c>
      <c r="F702" s="45" t="s">
        <v>104</v>
      </c>
      <c r="G702" s="46">
        <f t="shared" si="78"/>
        <v>190</v>
      </c>
      <c r="H702" s="46">
        <f>TRUNC(S702*(1-LOTE_01!$K$10),2)</f>
        <v>3.53</v>
      </c>
      <c r="I702" s="46">
        <f>TRUNC(T702*(1-LOTE_01!$K$10),2)</f>
        <v>11.99</v>
      </c>
      <c r="J702" s="100">
        <f t="shared" si="79"/>
        <v>0.22470000000000001</v>
      </c>
      <c r="K702" s="48">
        <f t="shared" si="73"/>
        <v>4.32</v>
      </c>
      <c r="L702" s="48">
        <f t="shared" si="74"/>
        <v>14.68</v>
      </c>
      <c r="M702" s="48">
        <f t="shared" si="75"/>
        <v>820.8</v>
      </c>
      <c r="N702" s="48">
        <f t="shared" si="76"/>
        <v>2789.2</v>
      </c>
      <c r="O702" s="50">
        <f t="shared" si="77"/>
        <v>3610</v>
      </c>
      <c r="P702" s="50">
        <v>0</v>
      </c>
      <c r="Q702" s="76"/>
      <c r="R702" s="139">
        <f>10*(S9+S10)</f>
        <v>190</v>
      </c>
      <c r="S702" s="79">
        <v>3.53</v>
      </c>
      <c r="T702" s="80">
        <v>11.99</v>
      </c>
    </row>
    <row r="703" spans="2:20" ht="42">
      <c r="B703" s="5" t="s">
        <v>1661</v>
      </c>
      <c r="C703" s="45" t="s">
        <v>97</v>
      </c>
      <c r="D703" s="45" t="s">
        <v>1662</v>
      </c>
      <c r="E703" s="6" t="s">
        <v>1663</v>
      </c>
      <c r="F703" s="45" t="s">
        <v>104</v>
      </c>
      <c r="G703" s="46">
        <f t="shared" si="78"/>
        <v>19</v>
      </c>
      <c r="H703" s="46">
        <f>TRUNC(S703*(1-LOTE_01!$K$10),2)</f>
        <v>0</v>
      </c>
      <c r="I703" s="46">
        <f>TRUNC(T703*(1-LOTE_01!$K$10),2)</f>
        <v>260</v>
      </c>
      <c r="J703" s="100">
        <f t="shared" si="79"/>
        <v>0.22470000000000001</v>
      </c>
      <c r="K703" s="48">
        <f t="shared" si="73"/>
        <v>0</v>
      </c>
      <c r="L703" s="48">
        <f t="shared" si="74"/>
        <v>318.42</v>
      </c>
      <c r="M703" s="48">
        <f t="shared" si="75"/>
        <v>0</v>
      </c>
      <c r="N703" s="48">
        <f t="shared" si="76"/>
        <v>6049.98</v>
      </c>
      <c r="O703" s="50">
        <f t="shared" si="77"/>
        <v>6049.98</v>
      </c>
      <c r="P703" s="50">
        <v>0</v>
      </c>
      <c r="Q703" s="76"/>
      <c r="R703" s="139">
        <f>1*(S9+S10)</f>
        <v>19</v>
      </c>
      <c r="S703" s="79">
        <v>0</v>
      </c>
      <c r="T703" s="80">
        <v>260</v>
      </c>
    </row>
    <row r="704" spans="2:20" ht="42">
      <c r="B704" s="5" t="s">
        <v>1664</v>
      </c>
      <c r="C704" s="45" t="s">
        <v>97</v>
      </c>
      <c r="D704" s="45" t="s">
        <v>1665</v>
      </c>
      <c r="E704" s="6" t="s">
        <v>1666</v>
      </c>
      <c r="F704" s="45" t="s">
        <v>104</v>
      </c>
      <c r="G704" s="46">
        <f t="shared" si="78"/>
        <v>19</v>
      </c>
      <c r="H704" s="46">
        <f>TRUNC(S704*(1-LOTE_01!$K$10),2)</f>
        <v>0</v>
      </c>
      <c r="I704" s="46">
        <f>TRUNC(T704*(1-LOTE_01!$K$10),2)</f>
        <v>516.83000000000004</v>
      </c>
      <c r="J704" s="100">
        <f t="shared" si="79"/>
        <v>0.22470000000000001</v>
      </c>
      <c r="K704" s="48">
        <f t="shared" si="73"/>
        <v>0</v>
      </c>
      <c r="L704" s="48">
        <f t="shared" si="74"/>
        <v>632.96</v>
      </c>
      <c r="M704" s="48">
        <f t="shared" si="75"/>
        <v>0</v>
      </c>
      <c r="N704" s="48">
        <f t="shared" si="76"/>
        <v>12026.24</v>
      </c>
      <c r="O704" s="50">
        <f t="shared" si="77"/>
        <v>12026.24</v>
      </c>
      <c r="P704" s="50">
        <v>0</v>
      </c>
      <c r="Q704" s="76"/>
      <c r="R704" s="139">
        <f>1*(S9+S10)</f>
        <v>19</v>
      </c>
      <c r="S704" s="79">
        <v>0</v>
      </c>
      <c r="T704" s="80">
        <v>516.83000000000004</v>
      </c>
    </row>
    <row r="705" spans="2:20" ht="42">
      <c r="B705" s="5" t="s">
        <v>1667</v>
      </c>
      <c r="C705" s="45" t="s">
        <v>97</v>
      </c>
      <c r="D705" s="45" t="s">
        <v>1668</v>
      </c>
      <c r="E705" s="6" t="s">
        <v>1669</v>
      </c>
      <c r="F705" s="45" t="s">
        <v>104</v>
      </c>
      <c r="G705" s="46">
        <f t="shared" si="78"/>
        <v>19</v>
      </c>
      <c r="H705" s="46">
        <f>TRUNC(S705*(1-LOTE_01!$K$10),2)</f>
        <v>0</v>
      </c>
      <c r="I705" s="46">
        <f>TRUNC(T705*(1-LOTE_01!$K$10),2)</f>
        <v>779.3</v>
      </c>
      <c r="J705" s="100">
        <f t="shared" si="79"/>
        <v>0.22470000000000001</v>
      </c>
      <c r="K705" s="48">
        <f t="shared" si="73"/>
        <v>0</v>
      </c>
      <c r="L705" s="48">
        <f t="shared" si="74"/>
        <v>954.4</v>
      </c>
      <c r="M705" s="48">
        <f t="shared" si="75"/>
        <v>0</v>
      </c>
      <c r="N705" s="48">
        <f t="shared" si="76"/>
        <v>18133.599999999999</v>
      </c>
      <c r="O705" s="50">
        <f t="shared" si="77"/>
        <v>18133.599999999999</v>
      </c>
      <c r="P705" s="50">
        <v>0</v>
      </c>
      <c r="Q705" s="76"/>
      <c r="R705" s="139">
        <f>1*(S9+S10)</f>
        <v>19</v>
      </c>
      <c r="S705" s="79">
        <v>0</v>
      </c>
      <c r="T705" s="80">
        <v>779.3</v>
      </c>
    </row>
    <row r="706" spans="2:20" ht="42">
      <c r="B706" s="5" t="s">
        <v>1670</v>
      </c>
      <c r="C706" s="45" t="s">
        <v>97</v>
      </c>
      <c r="D706" s="45" t="s">
        <v>1671</v>
      </c>
      <c r="E706" s="6" t="s">
        <v>1672</v>
      </c>
      <c r="F706" s="45" t="s">
        <v>104</v>
      </c>
      <c r="G706" s="46">
        <f t="shared" si="78"/>
        <v>19</v>
      </c>
      <c r="H706" s="46">
        <f>TRUNC(S706*(1-LOTE_01!$K$10),2)</f>
        <v>339.54</v>
      </c>
      <c r="I706" s="46">
        <f>TRUNC(T706*(1-LOTE_01!$K$10),2)</f>
        <v>0</v>
      </c>
      <c r="J706" s="100">
        <f t="shared" si="79"/>
        <v>0.22470000000000001</v>
      </c>
      <c r="K706" s="48">
        <f t="shared" si="73"/>
        <v>415.83</v>
      </c>
      <c r="L706" s="48">
        <f t="shared" si="74"/>
        <v>0</v>
      </c>
      <c r="M706" s="48">
        <f t="shared" si="75"/>
        <v>7900.77</v>
      </c>
      <c r="N706" s="48">
        <f t="shared" si="76"/>
        <v>0</v>
      </c>
      <c r="O706" s="50">
        <f t="shared" si="77"/>
        <v>7900.77</v>
      </c>
      <c r="P706" s="50">
        <v>0</v>
      </c>
      <c r="Q706" s="76"/>
      <c r="R706" s="139">
        <f>1*(S9+S10)</f>
        <v>19</v>
      </c>
      <c r="S706" s="79">
        <v>339.54</v>
      </c>
      <c r="T706" s="80">
        <v>0</v>
      </c>
    </row>
    <row r="707" spans="2:20" ht="42">
      <c r="B707" s="5" t="s">
        <v>1673</v>
      </c>
      <c r="C707" s="45" t="s">
        <v>97</v>
      </c>
      <c r="D707" s="45" t="s">
        <v>1674</v>
      </c>
      <c r="E707" s="6" t="s">
        <v>1675</v>
      </c>
      <c r="F707" s="45" t="s">
        <v>104</v>
      </c>
      <c r="G707" s="46">
        <f t="shared" si="78"/>
        <v>19</v>
      </c>
      <c r="H707" s="46">
        <f>TRUNC(S707*(1-LOTE_01!$K$10),2)</f>
        <v>0</v>
      </c>
      <c r="I707" s="46">
        <f>TRUNC(T707*(1-LOTE_01!$K$10),2)</f>
        <v>667.87</v>
      </c>
      <c r="J707" s="100">
        <f t="shared" si="79"/>
        <v>0.22470000000000001</v>
      </c>
      <c r="K707" s="48">
        <f t="shared" si="73"/>
        <v>0</v>
      </c>
      <c r="L707" s="48">
        <f t="shared" si="74"/>
        <v>817.94</v>
      </c>
      <c r="M707" s="48">
        <f t="shared" si="75"/>
        <v>0</v>
      </c>
      <c r="N707" s="48">
        <f t="shared" si="76"/>
        <v>15540.86</v>
      </c>
      <c r="O707" s="50">
        <f t="shared" si="77"/>
        <v>15540.86</v>
      </c>
      <c r="P707" s="50">
        <v>0</v>
      </c>
      <c r="Q707" s="76"/>
      <c r="R707" s="139">
        <f>1*(S9+S10)</f>
        <v>19</v>
      </c>
      <c r="S707" s="79">
        <v>0</v>
      </c>
      <c r="T707" s="80">
        <v>667.87</v>
      </c>
    </row>
    <row r="708" spans="2:20" ht="42">
      <c r="B708" s="5" t="s">
        <v>1676</v>
      </c>
      <c r="C708" s="45" t="s">
        <v>97</v>
      </c>
      <c r="D708" s="45" t="s">
        <v>1677</v>
      </c>
      <c r="E708" s="6" t="s">
        <v>1678</v>
      </c>
      <c r="F708" s="45" t="s">
        <v>104</v>
      </c>
      <c r="G708" s="46">
        <f t="shared" si="78"/>
        <v>38</v>
      </c>
      <c r="H708" s="46">
        <f>TRUNC(S708*(1-LOTE_01!$K$10),2)</f>
        <v>299.11</v>
      </c>
      <c r="I708" s="46">
        <f>TRUNC(T708*(1-LOTE_01!$K$10),2)</f>
        <v>23.17</v>
      </c>
      <c r="J708" s="100">
        <f t="shared" si="79"/>
        <v>0.22470000000000001</v>
      </c>
      <c r="K708" s="48">
        <f t="shared" si="73"/>
        <v>366.32</v>
      </c>
      <c r="L708" s="48">
        <f t="shared" si="74"/>
        <v>28.37</v>
      </c>
      <c r="M708" s="48">
        <f t="shared" si="75"/>
        <v>13920.16</v>
      </c>
      <c r="N708" s="48">
        <f t="shared" si="76"/>
        <v>1078.06</v>
      </c>
      <c r="O708" s="50">
        <f t="shared" si="77"/>
        <v>14998.22</v>
      </c>
      <c r="P708" s="50">
        <v>0</v>
      </c>
      <c r="Q708" s="76"/>
      <c r="R708" s="139">
        <f>2*(S9+S10)</f>
        <v>38</v>
      </c>
      <c r="S708" s="79">
        <v>299.11</v>
      </c>
      <c r="T708" s="80">
        <v>23.17</v>
      </c>
    </row>
    <row r="709" spans="2:20" ht="28">
      <c r="B709" s="5" t="s">
        <v>1679</v>
      </c>
      <c r="C709" s="45" t="s">
        <v>97</v>
      </c>
      <c r="D709" s="45" t="s">
        <v>1680</v>
      </c>
      <c r="E709" s="6" t="s">
        <v>1681</v>
      </c>
      <c r="F709" s="45" t="s">
        <v>104</v>
      </c>
      <c r="G709" s="46">
        <f t="shared" si="78"/>
        <v>38</v>
      </c>
      <c r="H709" s="46">
        <f>TRUNC(S709*(1-LOTE_01!$K$10),2)</f>
        <v>7.4</v>
      </c>
      <c r="I709" s="46">
        <f>TRUNC(T709*(1-LOTE_01!$K$10),2)</f>
        <v>21.2</v>
      </c>
      <c r="J709" s="100">
        <f t="shared" si="79"/>
        <v>0.22470000000000001</v>
      </c>
      <c r="K709" s="48">
        <f t="shared" si="73"/>
        <v>9.06</v>
      </c>
      <c r="L709" s="48">
        <f t="shared" si="74"/>
        <v>25.96</v>
      </c>
      <c r="M709" s="48">
        <f t="shared" si="75"/>
        <v>344.28</v>
      </c>
      <c r="N709" s="48">
        <f t="shared" si="76"/>
        <v>986.48</v>
      </c>
      <c r="O709" s="50">
        <f t="shared" si="77"/>
        <v>1330.76</v>
      </c>
      <c r="P709" s="50">
        <v>0</v>
      </c>
      <c r="Q709" s="76"/>
      <c r="R709" s="139">
        <f>2*(S9+S10)</f>
        <v>38</v>
      </c>
      <c r="S709" s="79">
        <v>7.4</v>
      </c>
      <c r="T709" s="80">
        <v>21.2</v>
      </c>
    </row>
    <row r="710" spans="2:20" ht="28">
      <c r="B710" s="5" t="s">
        <v>1682</v>
      </c>
      <c r="C710" s="45" t="s">
        <v>165</v>
      </c>
      <c r="D710" s="45" t="s">
        <v>1683</v>
      </c>
      <c r="E710" s="6" t="s">
        <v>1684</v>
      </c>
      <c r="F710" s="45" t="s">
        <v>531</v>
      </c>
      <c r="G710" s="46">
        <f t="shared" si="78"/>
        <v>95</v>
      </c>
      <c r="H710" s="46">
        <f>TRUNC(S710*(1-LOTE_01!$K$10),2)</f>
        <v>15.02</v>
      </c>
      <c r="I710" s="46">
        <f>TRUNC(T710*(1-LOTE_01!$K$10),2)</f>
        <v>3.3</v>
      </c>
      <c r="J710" s="100">
        <f t="shared" si="79"/>
        <v>0.22470000000000001</v>
      </c>
      <c r="K710" s="48">
        <f t="shared" si="73"/>
        <v>18.39</v>
      </c>
      <c r="L710" s="48">
        <f t="shared" si="74"/>
        <v>4.04</v>
      </c>
      <c r="M710" s="48">
        <f t="shared" si="75"/>
        <v>1747.05</v>
      </c>
      <c r="N710" s="48">
        <f t="shared" si="76"/>
        <v>383.8</v>
      </c>
      <c r="O710" s="50">
        <f t="shared" si="77"/>
        <v>2130.85</v>
      </c>
      <c r="P710" s="50">
        <v>0</v>
      </c>
      <c r="Q710" s="76"/>
      <c r="R710" s="139">
        <f>5*(S9+S10)</f>
        <v>95</v>
      </c>
      <c r="S710" s="79">
        <v>15.02</v>
      </c>
      <c r="T710" s="80">
        <v>3.3</v>
      </c>
    </row>
    <row r="711" spans="2:20" ht="42">
      <c r="B711" s="5" t="s">
        <v>1685</v>
      </c>
      <c r="C711" s="45" t="s">
        <v>97</v>
      </c>
      <c r="D711" s="45" t="s">
        <v>1686</v>
      </c>
      <c r="E711" s="6" t="s">
        <v>1687</v>
      </c>
      <c r="F711" s="45" t="s">
        <v>187</v>
      </c>
      <c r="G711" s="46">
        <f t="shared" si="78"/>
        <v>95</v>
      </c>
      <c r="H711" s="46">
        <f>TRUNC(S711*(1-LOTE_01!$K$10),2)</f>
        <v>9.6</v>
      </c>
      <c r="I711" s="46">
        <f>TRUNC(T711*(1-LOTE_01!$K$10),2)</f>
        <v>1.53</v>
      </c>
      <c r="J711" s="100">
        <f t="shared" si="79"/>
        <v>0.22470000000000001</v>
      </c>
      <c r="K711" s="48">
        <f t="shared" si="73"/>
        <v>11.75</v>
      </c>
      <c r="L711" s="48">
        <f t="shared" si="74"/>
        <v>1.87</v>
      </c>
      <c r="M711" s="48">
        <f t="shared" si="75"/>
        <v>1116.25</v>
      </c>
      <c r="N711" s="48">
        <f t="shared" si="76"/>
        <v>177.65</v>
      </c>
      <c r="O711" s="50">
        <f t="shared" si="77"/>
        <v>1293.9000000000001</v>
      </c>
      <c r="P711" s="50">
        <v>0</v>
      </c>
      <c r="Q711" s="76"/>
      <c r="R711" s="139">
        <f>5*(S9+S10)</f>
        <v>95</v>
      </c>
      <c r="S711" s="79">
        <v>9.6</v>
      </c>
      <c r="T711" s="80">
        <v>1.53</v>
      </c>
    </row>
    <row r="712" spans="2:20" ht="28">
      <c r="B712" s="5" t="s">
        <v>1688</v>
      </c>
      <c r="C712" s="45" t="s">
        <v>97</v>
      </c>
      <c r="D712" s="45" t="s">
        <v>1689</v>
      </c>
      <c r="E712" s="6" t="s">
        <v>1690</v>
      </c>
      <c r="F712" s="45" t="s">
        <v>519</v>
      </c>
      <c r="G712" s="46">
        <f t="shared" si="78"/>
        <v>95</v>
      </c>
      <c r="H712" s="46">
        <f>TRUNC(S712*(1-LOTE_01!$K$10),2)</f>
        <v>38.39</v>
      </c>
      <c r="I712" s="46">
        <f>TRUNC(T712*(1-LOTE_01!$K$10),2)</f>
        <v>8.56</v>
      </c>
      <c r="J712" s="100">
        <f t="shared" si="79"/>
        <v>0.22470000000000001</v>
      </c>
      <c r="K712" s="48">
        <f t="shared" si="73"/>
        <v>47.01</v>
      </c>
      <c r="L712" s="48">
        <f t="shared" si="74"/>
        <v>10.48</v>
      </c>
      <c r="M712" s="48">
        <f t="shared" si="75"/>
        <v>4465.95</v>
      </c>
      <c r="N712" s="48">
        <f t="shared" si="76"/>
        <v>995.6</v>
      </c>
      <c r="O712" s="50">
        <f t="shared" si="77"/>
        <v>5461.55</v>
      </c>
      <c r="P712" s="50">
        <v>0</v>
      </c>
      <c r="Q712" s="76"/>
      <c r="R712" s="139">
        <f>5*(S9+S10)</f>
        <v>95</v>
      </c>
      <c r="S712" s="79">
        <v>38.39</v>
      </c>
      <c r="T712" s="80">
        <v>8.56</v>
      </c>
    </row>
    <row r="713" spans="2:20" ht="28">
      <c r="B713" s="5" t="s">
        <v>1691</v>
      </c>
      <c r="C713" s="45" t="s">
        <v>165</v>
      </c>
      <c r="D713" s="45" t="s">
        <v>1692</v>
      </c>
      <c r="E713" s="6" t="s">
        <v>1693</v>
      </c>
      <c r="F713" s="45" t="s">
        <v>182</v>
      </c>
      <c r="G713" s="46">
        <f t="shared" si="78"/>
        <v>38</v>
      </c>
      <c r="H713" s="46">
        <f>TRUNC(S713*(1-LOTE_01!$K$10),2)</f>
        <v>350.57</v>
      </c>
      <c r="I713" s="46">
        <f>TRUNC(T713*(1-LOTE_01!$K$10),2)</f>
        <v>26.41</v>
      </c>
      <c r="J713" s="100">
        <f t="shared" si="79"/>
        <v>0.22470000000000001</v>
      </c>
      <c r="K713" s="48">
        <f t="shared" si="73"/>
        <v>429.34</v>
      </c>
      <c r="L713" s="48">
        <f t="shared" si="74"/>
        <v>32.340000000000003</v>
      </c>
      <c r="M713" s="48">
        <f t="shared" si="75"/>
        <v>16314.92</v>
      </c>
      <c r="N713" s="48">
        <f t="shared" si="76"/>
        <v>1228.92</v>
      </c>
      <c r="O713" s="50">
        <f t="shared" si="77"/>
        <v>17543.84</v>
      </c>
      <c r="P713" s="50">
        <v>0</v>
      </c>
      <c r="Q713" s="76"/>
      <c r="R713" s="139">
        <f>2*(S9+S10)</f>
        <v>38</v>
      </c>
      <c r="S713" s="79">
        <v>350.57</v>
      </c>
      <c r="T713" s="80">
        <v>26.41</v>
      </c>
    </row>
    <row r="714" spans="2:20" ht="28">
      <c r="B714" s="5" t="s">
        <v>1694</v>
      </c>
      <c r="C714" s="45" t="s">
        <v>165</v>
      </c>
      <c r="D714" s="45" t="s">
        <v>1695</v>
      </c>
      <c r="E714" s="6" t="s">
        <v>1696</v>
      </c>
      <c r="F714" s="45" t="s">
        <v>559</v>
      </c>
      <c r="G714" s="46">
        <f t="shared" si="78"/>
        <v>57</v>
      </c>
      <c r="H714" s="46">
        <f>TRUNC(S714*(1-LOTE_01!$K$10),2)</f>
        <v>51.56</v>
      </c>
      <c r="I714" s="46">
        <f>TRUNC(T714*(1-LOTE_01!$K$10),2)</f>
        <v>3.34</v>
      </c>
      <c r="J714" s="100">
        <f t="shared" si="79"/>
        <v>0.22470000000000001</v>
      </c>
      <c r="K714" s="48">
        <f t="shared" si="73"/>
        <v>63.14</v>
      </c>
      <c r="L714" s="48">
        <f t="shared" si="74"/>
        <v>4.09</v>
      </c>
      <c r="M714" s="48">
        <f t="shared" si="75"/>
        <v>3598.98</v>
      </c>
      <c r="N714" s="48">
        <f t="shared" si="76"/>
        <v>233.13</v>
      </c>
      <c r="O714" s="50">
        <f t="shared" si="77"/>
        <v>3832.11</v>
      </c>
      <c r="P714" s="50">
        <v>0</v>
      </c>
      <c r="Q714" s="76"/>
      <c r="R714" s="139">
        <f>3*(S9+S10)</f>
        <v>57</v>
      </c>
      <c r="S714" s="79">
        <v>51.56</v>
      </c>
      <c r="T714" s="80">
        <v>3.34</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818899.58000000007</v>
      </c>
      <c r="Q715" s="76"/>
      <c r="R715" s="139"/>
      <c r="S715" s="79" t="s">
        <v>22</v>
      </c>
      <c r="T715" s="80" t="s">
        <v>22</v>
      </c>
    </row>
    <row r="716" spans="2:20" ht="28">
      <c r="B716" s="5" t="s">
        <v>1698</v>
      </c>
      <c r="C716" s="45" t="s">
        <v>165</v>
      </c>
      <c r="D716" s="45" t="s">
        <v>1699</v>
      </c>
      <c r="E716" s="6" t="s">
        <v>1700</v>
      </c>
      <c r="F716" s="45" t="s">
        <v>168</v>
      </c>
      <c r="G716" s="46">
        <f t="shared" si="78"/>
        <v>7600</v>
      </c>
      <c r="H716" s="46">
        <f>TRUNC(S716*(1-LOTE_01!$K$10),2)</f>
        <v>0</v>
      </c>
      <c r="I716" s="46">
        <f>TRUNC(T716*(1-LOTE_01!$K$10),2)</f>
        <v>11.55</v>
      </c>
      <c r="J716" s="100">
        <f t="shared" si="79"/>
        <v>0.22470000000000001</v>
      </c>
      <c r="K716" s="48">
        <f t="shared" si="73"/>
        <v>0</v>
      </c>
      <c r="L716" s="48">
        <f t="shared" si="74"/>
        <v>14.14</v>
      </c>
      <c r="M716" s="48">
        <f t="shared" si="75"/>
        <v>0</v>
      </c>
      <c r="N716" s="48">
        <f t="shared" si="76"/>
        <v>107464</v>
      </c>
      <c r="O716" s="50">
        <f t="shared" si="77"/>
        <v>107464</v>
      </c>
      <c r="P716" s="50">
        <v>0</v>
      </c>
      <c r="Q716" s="76"/>
      <c r="R716" s="139">
        <f>400*(S9+S10)</f>
        <v>7600</v>
      </c>
      <c r="S716" s="79">
        <v>0</v>
      </c>
      <c r="T716" s="80">
        <v>11.55</v>
      </c>
    </row>
    <row r="717" spans="2:20" ht="28">
      <c r="B717" s="5" t="s">
        <v>1701</v>
      </c>
      <c r="C717" s="45" t="s">
        <v>97</v>
      </c>
      <c r="D717" s="45" t="s">
        <v>1702</v>
      </c>
      <c r="E717" s="6" t="s">
        <v>1703</v>
      </c>
      <c r="F717" s="45" t="s">
        <v>104</v>
      </c>
      <c r="G717" s="46">
        <f t="shared" si="78"/>
        <v>19</v>
      </c>
      <c r="H717" s="46">
        <f>TRUNC(S717*(1-LOTE_01!$K$10),2)</f>
        <v>266</v>
      </c>
      <c r="I717" s="46">
        <f>TRUNC(T717*(1-LOTE_01!$K$10),2)</f>
        <v>0</v>
      </c>
      <c r="J717" s="100">
        <f t="shared" si="79"/>
        <v>0.22470000000000001</v>
      </c>
      <c r="K717" s="48">
        <f t="shared" si="73"/>
        <v>325.77</v>
      </c>
      <c r="L717" s="48">
        <f t="shared" si="74"/>
        <v>0</v>
      </c>
      <c r="M717" s="48">
        <f t="shared" si="75"/>
        <v>6189.63</v>
      </c>
      <c r="N717" s="48">
        <f t="shared" si="76"/>
        <v>0</v>
      </c>
      <c r="O717" s="50">
        <f t="shared" si="77"/>
        <v>6189.63</v>
      </c>
      <c r="P717" s="50">
        <v>0</v>
      </c>
      <c r="Q717" s="76"/>
      <c r="R717" s="139">
        <f>1*(S9+S10)</f>
        <v>19</v>
      </c>
      <c r="S717" s="79">
        <v>266</v>
      </c>
      <c r="T717" s="80">
        <v>0</v>
      </c>
    </row>
    <row r="718" spans="2:20" ht="42">
      <c r="B718" s="5" t="s">
        <v>1704</v>
      </c>
      <c r="C718" s="45" t="s">
        <v>135</v>
      </c>
      <c r="D718" s="45">
        <v>99814</v>
      </c>
      <c r="E718" s="6" t="s">
        <v>1839</v>
      </c>
      <c r="F718" s="45" t="s">
        <v>121</v>
      </c>
      <c r="G718" s="46">
        <f t="shared" si="78"/>
        <v>19</v>
      </c>
      <c r="H718" s="46">
        <f>TRUNC(S718*(1-LOTE_01!$K$10),2)</f>
        <v>0.6</v>
      </c>
      <c r="I718" s="46">
        <f>TRUNC(T718*(1-LOTE_01!$K$10),2)</f>
        <v>1.3</v>
      </c>
      <c r="J718" s="100">
        <f t="shared" si="79"/>
        <v>0.22470000000000001</v>
      </c>
      <c r="K718" s="48">
        <f t="shared" si="73"/>
        <v>0.73</v>
      </c>
      <c r="L718" s="48">
        <f t="shared" si="74"/>
        <v>1.59</v>
      </c>
      <c r="M718" s="48">
        <f t="shared" si="75"/>
        <v>13.87</v>
      </c>
      <c r="N718" s="48">
        <f t="shared" si="76"/>
        <v>30.21</v>
      </c>
      <c r="O718" s="50">
        <f t="shared" si="77"/>
        <v>44.08</v>
      </c>
      <c r="P718" s="50">
        <v>0</v>
      </c>
      <c r="Q718" s="76"/>
      <c r="R718" s="139">
        <f>1*(S9+S10)</f>
        <v>19</v>
      </c>
      <c r="S718" s="79">
        <v>0.59999999999999987</v>
      </c>
      <c r="T718" s="80">
        <v>1.3</v>
      </c>
    </row>
    <row r="719" spans="2:20" ht="28">
      <c r="B719" s="5" t="s">
        <v>1705</v>
      </c>
      <c r="C719" s="45" t="s">
        <v>135</v>
      </c>
      <c r="D719" s="45">
        <v>98524</v>
      </c>
      <c r="E719" s="6" t="s">
        <v>1706</v>
      </c>
      <c r="F719" s="45" t="s">
        <v>121</v>
      </c>
      <c r="G719" s="46">
        <f t="shared" si="78"/>
        <v>19</v>
      </c>
      <c r="H719" s="46">
        <f>TRUNC(S719*(1-LOTE_01!$K$10),2)</f>
        <v>1.6</v>
      </c>
      <c r="I719" s="46">
        <f>TRUNC(T719*(1-LOTE_01!$K$10),2)</f>
        <v>4.0999999999999996</v>
      </c>
      <c r="J719" s="100">
        <f t="shared" si="79"/>
        <v>0.22470000000000001</v>
      </c>
      <c r="K719" s="48">
        <f t="shared" si="73"/>
        <v>1.95</v>
      </c>
      <c r="L719" s="48">
        <f t="shared" si="74"/>
        <v>5.0199999999999996</v>
      </c>
      <c r="M719" s="48">
        <f t="shared" si="75"/>
        <v>37.049999999999997</v>
      </c>
      <c r="N719" s="48">
        <f t="shared" si="76"/>
        <v>95.38</v>
      </c>
      <c r="O719" s="50">
        <f t="shared" si="77"/>
        <v>132.43</v>
      </c>
      <c r="P719" s="50">
        <v>0</v>
      </c>
      <c r="Q719" s="76"/>
      <c r="R719" s="139">
        <f>1*(S9+S10)</f>
        <v>19</v>
      </c>
      <c r="S719" s="79">
        <v>1.6000000000000005</v>
      </c>
      <c r="T719" s="80">
        <v>4.0999999999999996</v>
      </c>
    </row>
    <row r="720" spans="2:20" ht="42">
      <c r="B720" s="5" t="s">
        <v>1707</v>
      </c>
      <c r="C720" s="45" t="s">
        <v>135</v>
      </c>
      <c r="D720" s="45">
        <v>98531</v>
      </c>
      <c r="E720" s="6" t="s">
        <v>1708</v>
      </c>
      <c r="F720" s="45" t="s">
        <v>210</v>
      </c>
      <c r="G720" s="46">
        <f t="shared" si="78"/>
        <v>19</v>
      </c>
      <c r="H720" s="46">
        <f>TRUNC(S720*(1-LOTE_01!$K$10),2)</f>
        <v>211.61</v>
      </c>
      <c r="I720" s="46">
        <f>TRUNC(T720*(1-LOTE_01!$K$10),2)</f>
        <v>217.78</v>
      </c>
      <c r="J720" s="100">
        <f t="shared" si="79"/>
        <v>0.22470000000000001</v>
      </c>
      <c r="K720" s="48">
        <f t="shared" ref="K720:K737" si="81">TRUNC(H720*(1+J720),2)</f>
        <v>259.14999999999998</v>
      </c>
      <c r="L720" s="48">
        <f t="shared" ref="L720:L737" si="82">TRUNC(I720*(1+J720),2)</f>
        <v>266.70999999999998</v>
      </c>
      <c r="M720" s="48">
        <f t="shared" ref="M720:M737" si="83">TRUNC(K720*G720,2)</f>
        <v>4923.8500000000004</v>
      </c>
      <c r="N720" s="48">
        <f t="shared" ref="N720:N737" si="84">TRUNC(L720*G720,2)</f>
        <v>5067.49</v>
      </c>
      <c r="O720" s="50">
        <f t="shared" ref="O720:O737" si="85">TRUNC(M720+N720,2)</f>
        <v>9991.34</v>
      </c>
      <c r="P720" s="50">
        <v>0</v>
      </c>
      <c r="Q720" s="76"/>
      <c r="R720" s="139">
        <f>1*(S9+S10)</f>
        <v>19</v>
      </c>
      <c r="S720" s="79">
        <v>211.60999999999999</v>
      </c>
      <c r="T720" s="80">
        <v>217.78</v>
      </c>
    </row>
    <row r="721" spans="2:20" ht="42">
      <c r="B721" s="5" t="s">
        <v>1709</v>
      </c>
      <c r="C721" s="45" t="s">
        <v>135</v>
      </c>
      <c r="D721" s="45">
        <v>99805</v>
      </c>
      <c r="E721" s="6" t="s">
        <v>1840</v>
      </c>
      <c r="F721" s="45" t="s">
        <v>121</v>
      </c>
      <c r="G721" s="46">
        <f t="shared" si="78"/>
        <v>7600</v>
      </c>
      <c r="H721" s="46">
        <f>TRUNC(S721*(1-LOTE_01!$K$10),2)</f>
        <v>4.04</v>
      </c>
      <c r="I721" s="46">
        <f>TRUNC(T721*(1-LOTE_01!$K$10),2)</f>
        <v>8.61</v>
      </c>
      <c r="J721" s="100">
        <f t="shared" si="79"/>
        <v>0.22470000000000001</v>
      </c>
      <c r="K721" s="48">
        <f t="shared" si="81"/>
        <v>4.9400000000000004</v>
      </c>
      <c r="L721" s="48">
        <f t="shared" si="82"/>
        <v>10.54</v>
      </c>
      <c r="M721" s="48">
        <f t="shared" si="83"/>
        <v>37544</v>
      </c>
      <c r="N721" s="48">
        <f t="shared" si="84"/>
        <v>80104</v>
      </c>
      <c r="O721" s="50">
        <f t="shared" si="85"/>
        <v>117648</v>
      </c>
      <c r="P721" s="50">
        <v>0</v>
      </c>
      <c r="Q721" s="76"/>
      <c r="R721" s="139">
        <f>400*(S9+S10)</f>
        <v>7600</v>
      </c>
      <c r="S721" s="79">
        <v>4.0400000000000009</v>
      </c>
      <c r="T721" s="80">
        <v>8.61</v>
      </c>
    </row>
    <row r="722" spans="2:20" ht="42">
      <c r="B722" s="5" t="s">
        <v>1710</v>
      </c>
      <c r="C722" s="45" t="s">
        <v>135</v>
      </c>
      <c r="D722" s="45">
        <v>99802</v>
      </c>
      <c r="E722" s="6" t="s">
        <v>1841</v>
      </c>
      <c r="F722" s="45" t="s">
        <v>121</v>
      </c>
      <c r="G722" s="46">
        <f t="shared" ref="G722:G737" si="86">TRUNC(R722,2)</f>
        <v>7600</v>
      </c>
      <c r="H722" s="46">
        <f>TRUNC(S722*(1-LOTE_01!$K$10),2)</f>
        <v>0.18</v>
      </c>
      <c r="I722" s="46">
        <f>TRUNC(T722*(1-LOTE_01!$K$10),2)</f>
        <v>0.44</v>
      </c>
      <c r="J722" s="100">
        <f t="shared" ref="J722:J737" si="87">$J$4</f>
        <v>0.22470000000000001</v>
      </c>
      <c r="K722" s="48">
        <f t="shared" si="81"/>
        <v>0.22</v>
      </c>
      <c r="L722" s="48">
        <f t="shared" si="82"/>
        <v>0.53</v>
      </c>
      <c r="M722" s="48">
        <f t="shared" si="83"/>
        <v>1672</v>
      </c>
      <c r="N722" s="48">
        <f t="shared" si="84"/>
        <v>4028</v>
      </c>
      <c r="O722" s="50">
        <f t="shared" si="85"/>
        <v>5700</v>
      </c>
      <c r="P722" s="50">
        <v>0</v>
      </c>
      <c r="Q722" s="76"/>
      <c r="R722" s="139">
        <f>400*(S9+S10)</f>
        <v>7600</v>
      </c>
      <c r="S722" s="79">
        <v>0.18</v>
      </c>
      <c r="T722" s="80">
        <v>0.44</v>
      </c>
    </row>
    <row r="723" spans="2:20" ht="42">
      <c r="B723" s="5" t="s">
        <v>1711</v>
      </c>
      <c r="C723" s="45" t="s">
        <v>135</v>
      </c>
      <c r="D723" s="45">
        <v>99803</v>
      </c>
      <c r="E723" s="6" t="s">
        <v>1842</v>
      </c>
      <c r="F723" s="45" t="s">
        <v>121</v>
      </c>
      <c r="G723" s="46">
        <f t="shared" si="86"/>
        <v>950</v>
      </c>
      <c r="H723" s="46">
        <f>TRUNC(S723*(1-LOTE_01!$K$10),2)</f>
        <v>1.3</v>
      </c>
      <c r="I723" s="46">
        <f>TRUNC(T723*(1-LOTE_01!$K$10),2)</f>
        <v>3.27</v>
      </c>
      <c r="J723" s="100">
        <f t="shared" si="87"/>
        <v>0.22470000000000001</v>
      </c>
      <c r="K723" s="48">
        <f t="shared" si="81"/>
        <v>1.59</v>
      </c>
      <c r="L723" s="48">
        <f t="shared" si="82"/>
        <v>4</v>
      </c>
      <c r="M723" s="48">
        <f t="shared" si="83"/>
        <v>1510.5</v>
      </c>
      <c r="N723" s="48">
        <f t="shared" si="84"/>
        <v>3800</v>
      </c>
      <c r="O723" s="50">
        <f t="shared" si="85"/>
        <v>5310.5</v>
      </c>
      <c r="P723" s="50">
        <v>0</v>
      </c>
      <c r="Q723" s="76"/>
      <c r="R723" s="139">
        <f>50*(S9+S10)</f>
        <v>950</v>
      </c>
      <c r="S723" s="79">
        <v>1.3000000000000003</v>
      </c>
      <c r="T723" s="80">
        <v>3.27</v>
      </c>
    </row>
    <row r="724" spans="2:20" ht="56">
      <c r="B724" s="5" t="s">
        <v>1712</v>
      </c>
      <c r="C724" s="45" t="s">
        <v>135</v>
      </c>
      <c r="D724" s="45">
        <v>99810</v>
      </c>
      <c r="E724" s="6" t="s">
        <v>1843</v>
      </c>
      <c r="F724" s="45" t="s">
        <v>121</v>
      </c>
      <c r="G724" s="46">
        <f t="shared" si="86"/>
        <v>7600</v>
      </c>
      <c r="H724" s="46">
        <f>TRUNC(S724*(1-LOTE_01!$K$10),2)</f>
        <v>2.15</v>
      </c>
      <c r="I724" s="46">
        <f>TRUNC(T724*(1-LOTE_01!$K$10),2)</f>
        <v>5.32</v>
      </c>
      <c r="J724" s="100">
        <f t="shared" si="87"/>
        <v>0.22470000000000001</v>
      </c>
      <c r="K724" s="48">
        <f t="shared" si="81"/>
        <v>2.63</v>
      </c>
      <c r="L724" s="48">
        <f t="shared" si="82"/>
        <v>6.51</v>
      </c>
      <c r="M724" s="48">
        <f t="shared" si="83"/>
        <v>19988</v>
      </c>
      <c r="N724" s="48">
        <f t="shared" si="84"/>
        <v>49476</v>
      </c>
      <c r="O724" s="50">
        <f t="shared" si="85"/>
        <v>69464</v>
      </c>
      <c r="P724" s="50">
        <v>0</v>
      </c>
      <c r="Q724" s="76"/>
      <c r="R724" s="139">
        <f>400*(S9+S10)</f>
        <v>7600</v>
      </c>
      <c r="S724" s="79">
        <v>2.1499999999999995</v>
      </c>
      <c r="T724" s="80">
        <v>5.32</v>
      </c>
    </row>
    <row r="725" spans="2:20" ht="42">
      <c r="B725" s="5" t="s">
        <v>1713</v>
      </c>
      <c r="C725" s="45" t="s">
        <v>135</v>
      </c>
      <c r="D725" s="45">
        <v>99806</v>
      </c>
      <c r="E725" s="6" t="s">
        <v>1844</v>
      </c>
      <c r="F725" s="45" t="s">
        <v>121</v>
      </c>
      <c r="G725" s="46">
        <f t="shared" si="86"/>
        <v>7600</v>
      </c>
      <c r="H725" s="46">
        <f>TRUNC(S725*(1-LOTE_01!$K$10),2)</f>
        <v>0.92</v>
      </c>
      <c r="I725" s="46">
        <f>TRUNC(T725*(1-LOTE_01!$K$10),2)</f>
        <v>2.36</v>
      </c>
      <c r="J725" s="100">
        <f t="shared" si="87"/>
        <v>0.22470000000000001</v>
      </c>
      <c r="K725" s="48">
        <f t="shared" si="81"/>
        <v>1.1200000000000001</v>
      </c>
      <c r="L725" s="48">
        <f t="shared" si="82"/>
        <v>2.89</v>
      </c>
      <c r="M725" s="48">
        <f t="shared" si="83"/>
        <v>8512</v>
      </c>
      <c r="N725" s="48">
        <f t="shared" si="84"/>
        <v>21964</v>
      </c>
      <c r="O725" s="50">
        <f t="shared" si="85"/>
        <v>30476</v>
      </c>
      <c r="P725" s="50">
        <v>0</v>
      </c>
      <c r="Q725" s="76"/>
      <c r="R725" s="139">
        <f>400*(S9+S10)</f>
        <v>7600</v>
      </c>
      <c r="S725" s="79">
        <v>0.91999999999999993</v>
      </c>
      <c r="T725" s="80">
        <v>2.36</v>
      </c>
    </row>
    <row r="726" spans="2:20">
      <c r="B726" s="5" t="s">
        <v>1714</v>
      </c>
      <c r="C726" s="45" t="s">
        <v>97</v>
      </c>
      <c r="D726" s="45" t="s">
        <v>1717</v>
      </c>
      <c r="E726" s="6" t="s">
        <v>1718</v>
      </c>
      <c r="F726" s="45" t="s">
        <v>121</v>
      </c>
      <c r="G726" s="46">
        <f t="shared" si="86"/>
        <v>950</v>
      </c>
      <c r="H726" s="46">
        <f>TRUNC(S726*(1-LOTE_01!$K$10),2)</f>
        <v>5.52</v>
      </c>
      <c r="I726" s="46">
        <f>TRUNC(T726*(1-LOTE_01!$K$10),2)</f>
        <v>11.54</v>
      </c>
      <c r="J726" s="100">
        <f t="shared" si="87"/>
        <v>0.22470000000000001</v>
      </c>
      <c r="K726" s="48">
        <f t="shared" si="81"/>
        <v>6.76</v>
      </c>
      <c r="L726" s="48">
        <f t="shared" si="82"/>
        <v>14.13</v>
      </c>
      <c r="M726" s="48">
        <f t="shared" si="83"/>
        <v>6422</v>
      </c>
      <c r="N726" s="48">
        <f t="shared" si="84"/>
        <v>13423.5</v>
      </c>
      <c r="O726" s="50">
        <f t="shared" si="85"/>
        <v>19845.5</v>
      </c>
      <c r="P726" s="50">
        <v>0</v>
      </c>
      <c r="Q726" s="76"/>
      <c r="R726" s="139">
        <f>50*(S9+S10)</f>
        <v>950</v>
      </c>
      <c r="S726" s="79">
        <v>5.52</v>
      </c>
      <c r="T726" s="80">
        <v>11.54</v>
      </c>
    </row>
    <row r="727" spans="2:20" ht="28">
      <c r="B727" s="5" t="s">
        <v>1715</v>
      </c>
      <c r="C727" s="45" t="s">
        <v>135</v>
      </c>
      <c r="D727" s="45">
        <v>99823</v>
      </c>
      <c r="E727" s="6" t="s">
        <v>1845</v>
      </c>
      <c r="F727" s="45" t="s">
        <v>121</v>
      </c>
      <c r="G727" s="46">
        <f t="shared" si="86"/>
        <v>7600</v>
      </c>
      <c r="H727" s="46">
        <f>TRUNC(S727*(1-LOTE_01!$K$10),2)</f>
        <v>1.24</v>
      </c>
      <c r="I727" s="46">
        <f>TRUNC(T727*(1-LOTE_01!$K$10),2)</f>
        <v>1.47</v>
      </c>
      <c r="J727" s="100">
        <f t="shared" si="87"/>
        <v>0.22470000000000001</v>
      </c>
      <c r="K727" s="48">
        <f t="shared" si="81"/>
        <v>1.51</v>
      </c>
      <c r="L727" s="48">
        <f t="shared" si="82"/>
        <v>1.8</v>
      </c>
      <c r="M727" s="48">
        <f t="shared" si="83"/>
        <v>11476</v>
      </c>
      <c r="N727" s="48">
        <f t="shared" si="84"/>
        <v>13680</v>
      </c>
      <c r="O727" s="50">
        <f t="shared" si="85"/>
        <v>25156</v>
      </c>
      <c r="P727" s="50">
        <v>0</v>
      </c>
      <c r="Q727" s="76"/>
      <c r="R727" s="139">
        <f>400*(S9+S10)</f>
        <v>7600</v>
      </c>
      <c r="S727" s="79">
        <v>1.24</v>
      </c>
      <c r="T727" s="80">
        <v>1.47</v>
      </c>
    </row>
    <row r="728" spans="2:20" ht="42">
      <c r="B728" s="5" t="s">
        <v>1716</v>
      </c>
      <c r="C728" s="45" t="s">
        <v>135</v>
      </c>
      <c r="D728" s="45">
        <v>99821</v>
      </c>
      <c r="E728" s="6" t="s">
        <v>1846</v>
      </c>
      <c r="F728" s="45" t="s">
        <v>121</v>
      </c>
      <c r="G728" s="46">
        <f t="shared" si="86"/>
        <v>950</v>
      </c>
      <c r="H728" s="46">
        <f>TRUNC(S728*(1-LOTE_01!$K$10),2)</f>
        <v>2.83</v>
      </c>
      <c r="I728" s="46">
        <f>TRUNC(T728*(1-LOTE_01!$K$10),2)</f>
        <v>2.64</v>
      </c>
      <c r="J728" s="100">
        <f t="shared" si="87"/>
        <v>0.22470000000000001</v>
      </c>
      <c r="K728" s="48">
        <f t="shared" si="81"/>
        <v>3.46</v>
      </c>
      <c r="L728" s="48">
        <f t="shared" si="82"/>
        <v>3.23</v>
      </c>
      <c r="M728" s="48">
        <f t="shared" si="83"/>
        <v>3287</v>
      </c>
      <c r="N728" s="48">
        <f t="shared" si="84"/>
        <v>3068.5</v>
      </c>
      <c r="O728" s="50">
        <f t="shared" si="85"/>
        <v>6355.5</v>
      </c>
      <c r="P728" s="50">
        <v>0</v>
      </c>
      <c r="Q728" s="76"/>
      <c r="R728" s="139">
        <f>50*(S9+S10)</f>
        <v>950</v>
      </c>
      <c r="S728" s="79">
        <v>2.8299999999999996</v>
      </c>
      <c r="T728" s="80">
        <v>2.64</v>
      </c>
    </row>
    <row r="729" spans="2:20" ht="28">
      <c r="B729" s="5" t="s">
        <v>1719</v>
      </c>
      <c r="C729" s="45" t="s">
        <v>135</v>
      </c>
      <c r="D729" s="45">
        <v>99826</v>
      </c>
      <c r="E729" s="6" t="s">
        <v>1847</v>
      </c>
      <c r="F729" s="45" t="s">
        <v>121</v>
      </c>
      <c r="G729" s="46">
        <f t="shared" si="86"/>
        <v>950</v>
      </c>
      <c r="H729" s="46">
        <f>TRUNC(S729*(1-LOTE_01!$K$10),2)</f>
        <v>0.53</v>
      </c>
      <c r="I729" s="46">
        <f>TRUNC(T729*(1-LOTE_01!$K$10),2)</f>
        <v>1.36</v>
      </c>
      <c r="J729" s="100">
        <f t="shared" si="87"/>
        <v>0.22470000000000001</v>
      </c>
      <c r="K729" s="48">
        <f t="shared" si="81"/>
        <v>0.64</v>
      </c>
      <c r="L729" s="48">
        <f t="shared" si="82"/>
        <v>1.66</v>
      </c>
      <c r="M729" s="48">
        <f t="shared" si="83"/>
        <v>608</v>
      </c>
      <c r="N729" s="48">
        <f t="shared" si="84"/>
        <v>1577</v>
      </c>
      <c r="O729" s="50">
        <f t="shared" si="85"/>
        <v>2185</v>
      </c>
      <c r="P729" s="50">
        <v>0</v>
      </c>
      <c r="Q729" s="76"/>
      <c r="R729" s="139">
        <f>50*(S9+S10)</f>
        <v>950</v>
      </c>
      <c r="S729" s="79">
        <v>0.5299999999999998</v>
      </c>
      <c r="T729" s="80">
        <v>1.36</v>
      </c>
    </row>
    <row r="730" spans="2:20" ht="28">
      <c r="B730" s="5" t="s">
        <v>1720</v>
      </c>
      <c r="C730" s="45" t="s">
        <v>135</v>
      </c>
      <c r="D730" s="45">
        <v>99822</v>
      </c>
      <c r="E730" s="6" t="s">
        <v>1848</v>
      </c>
      <c r="F730" s="45" t="s">
        <v>121</v>
      </c>
      <c r="G730" s="46">
        <f t="shared" si="86"/>
        <v>125.4</v>
      </c>
      <c r="H730" s="46">
        <f>TRUNC(S730*(1-LOTE_01!$K$10),2)</f>
        <v>0.35</v>
      </c>
      <c r="I730" s="46">
        <f>TRUNC(T730*(1-LOTE_01!$K$10),2)</f>
        <v>0.89</v>
      </c>
      <c r="J730" s="100">
        <f t="shared" si="87"/>
        <v>0.22470000000000001</v>
      </c>
      <c r="K730" s="48">
        <f t="shared" si="81"/>
        <v>0.42</v>
      </c>
      <c r="L730" s="48">
        <f t="shared" si="82"/>
        <v>1.08</v>
      </c>
      <c r="M730" s="48">
        <f t="shared" si="83"/>
        <v>52.66</v>
      </c>
      <c r="N730" s="48">
        <f t="shared" si="84"/>
        <v>135.43</v>
      </c>
      <c r="O730" s="50">
        <f t="shared" si="85"/>
        <v>188.09</v>
      </c>
      <c r="P730" s="50">
        <v>0</v>
      </c>
      <c r="Q730" s="76"/>
      <c r="R730" s="139">
        <f>2.2*1*3*(S9+S10)</f>
        <v>125.4</v>
      </c>
      <c r="S730" s="79">
        <v>0.35</v>
      </c>
      <c r="T730" s="80">
        <v>0.89</v>
      </c>
    </row>
    <row r="731" spans="2:20" ht="42">
      <c r="B731" s="5" t="s">
        <v>1721</v>
      </c>
      <c r="C731" s="45" t="s">
        <v>135</v>
      </c>
      <c r="D731" s="45">
        <v>99825</v>
      </c>
      <c r="E731" s="6" t="s">
        <v>1849</v>
      </c>
      <c r="F731" s="45" t="s">
        <v>121</v>
      </c>
      <c r="G731" s="46">
        <f t="shared" si="86"/>
        <v>41.8</v>
      </c>
      <c r="H731" s="46">
        <f>TRUNC(S731*(1-LOTE_01!$K$10),2)</f>
        <v>2.54</v>
      </c>
      <c r="I731" s="46">
        <f>TRUNC(T731*(1-LOTE_01!$K$10),2)</f>
        <v>2.71</v>
      </c>
      <c r="J731" s="100">
        <f t="shared" si="87"/>
        <v>0.22470000000000001</v>
      </c>
      <c r="K731" s="48">
        <f t="shared" si="81"/>
        <v>3.11</v>
      </c>
      <c r="L731" s="48">
        <f t="shared" si="82"/>
        <v>3.31</v>
      </c>
      <c r="M731" s="48">
        <f t="shared" si="83"/>
        <v>129.99</v>
      </c>
      <c r="N731" s="48">
        <f t="shared" si="84"/>
        <v>138.35</v>
      </c>
      <c r="O731" s="50">
        <f t="shared" si="85"/>
        <v>268.33999999999997</v>
      </c>
      <c r="P731" s="50">
        <v>0</v>
      </c>
      <c r="Q731" s="76"/>
      <c r="R731" s="139">
        <f>2.2*1*(S9+S10)</f>
        <v>41.800000000000004</v>
      </c>
      <c r="S731" s="79">
        <v>2.54</v>
      </c>
      <c r="T731" s="80">
        <v>2.71</v>
      </c>
    </row>
    <row r="732" spans="2:20" ht="28">
      <c r="B732" s="5" t="s">
        <v>1722</v>
      </c>
      <c r="C732" s="45" t="s">
        <v>135</v>
      </c>
      <c r="D732" s="45">
        <v>99824</v>
      </c>
      <c r="E732" s="6" t="s">
        <v>1850</v>
      </c>
      <c r="F732" s="45" t="s">
        <v>121</v>
      </c>
      <c r="G732" s="46">
        <f t="shared" si="86"/>
        <v>125.4</v>
      </c>
      <c r="H732" s="46">
        <f>TRUNC(S732*(1-LOTE_01!$K$10),2)</f>
        <v>1.3</v>
      </c>
      <c r="I732" s="46">
        <f>TRUNC(T732*(1-LOTE_01!$K$10),2)</f>
        <v>1.78</v>
      </c>
      <c r="J732" s="100">
        <f t="shared" si="87"/>
        <v>0.22470000000000001</v>
      </c>
      <c r="K732" s="48">
        <f t="shared" si="81"/>
        <v>1.59</v>
      </c>
      <c r="L732" s="48">
        <f t="shared" si="82"/>
        <v>2.17</v>
      </c>
      <c r="M732" s="48">
        <f t="shared" si="83"/>
        <v>199.38</v>
      </c>
      <c r="N732" s="48">
        <f t="shared" si="84"/>
        <v>272.11</v>
      </c>
      <c r="O732" s="50">
        <f t="shared" si="85"/>
        <v>471.49</v>
      </c>
      <c r="P732" s="50">
        <v>0</v>
      </c>
      <c r="Q732" s="76"/>
      <c r="R732" s="139">
        <f>2.2*1*3*(S9+S10)</f>
        <v>125.4</v>
      </c>
      <c r="S732" s="79">
        <v>1.3</v>
      </c>
      <c r="T732" s="80">
        <v>1.78</v>
      </c>
    </row>
    <row r="733" spans="2:20" ht="28">
      <c r="B733" s="5" t="s">
        <v>1723</v>
      </c>
      <c r="C733" s="45" t="s">
        <v>135</v>
      </c>
      <c r="D733" s="45">
        <v>99811</v>
      </c>
      <c r="E733" s="6" t="s">
        <v>1851</v>
      </c>
      <c r="F733" s="45" t="s">
        <v>121</v>
      </c>
      <c r="G733" s="46">
        <f t="shared" si="86"/>
        <v>950</v>
      </c>
      <c r="H733" s="46">
        <f>TRUNC(S733*(1-LOTE_01!$K$10),2)</f>
        <v>0.22</v>
      </c>
      <c r="I733" s="46">
        <f>TRUNC(T733*(1-LOTE_01!$K$10),2)</f>
        <v>0.54</v>
      </c>
      <c r="J733" s="100">
        <f t="shared" si="87"/>
        <v>0.22470000000000001</v>
      </c>
      <c r="K733" s="48">
        <f t="shared" si="81"/>
        <v>0.26</v>
      </c>
      <c r="L733" s="48">
        <f t="shared" si="82"/>
        <v>0.66</v>
      </c>
      <c r="M733" s="48">
        <f t="shared" si="83"/>
        <v>247</v>
      </c>
      <c r="N733" s="48">
        <f t="shared" si="84"/>
        <v>627</v>
      </c>
      <c r="O733" s="50">
        <f t="shared" si="85"/>
        <v>874</v>
      </c>
      <c r="P733" s="50">
        <v>0</v>
      </c>
      <c r="Q733" s="76"/>
      <c r="R733" s="139">
        <f>50*(S9+S10)</f>
        <v>950</v>
      </c>
      <c r="S733" s="79">
        <v>0.21999999999999997</v>
      </c>
      <c r="T733" s="80">
        <v>0.54</v>
      </c>
    </row>
    <row r="734" spans="2:20" ht="42">
      <c r="B734" s="5" t="s">
        <v>1724</v>
      </c>
      <c r="C734" s="45" t="s">
        <v>135</v>
      </c>
      <c r="D734" s="45">
        <v>99805</v>
      </c>
      <c r="E734" s="6" t="s">
        <v>1840</v>
      </c>
      <c r="F734" s="45" t="s">
        <v>121</v>
      </c>
      <c r="G734" s="46">
        <f t="shared" si="86"/>
        <v>7600</v>
      </c>
      <c r="H734" s="46">
        <f>TRUNC(S734*(1-LOTE_01!$K$10),2)</f>
        <v>4.04</v>
      </c>
      <c r="I734" s="46">
        <f>TRUNC(T734*(1-LOTE_01!$K$10),2)</f>
        <v>8.61</v>
      </c>
      <c r="J734" s="100">
        <f t="shared" si="87"/>
        <v>0.22470000000000001</v>
      </c>
      <c r="K734" s="48">
        <f t="shared" si="81"/>
        <v>4.9400000000000004</v>
      </c>
      <c r="L734" s="48">
        <f t="shared" si="82"/>
        <v>10.54</v>
      </c>
      <c r="M734" s="48">
        <f t="shared" si="83"/>
        <v>37544</v>
      </c>
      <c r="N734" s="48">
        <f t="shared" si="84"/>
        <v>80104</v>
      </c>
      <c r="O734" s="50">
        <f t="shared" si="85"/>
        <v>117648</v>
      </c>
      <c r="P734" s="50">
        <v>0</v>
      </c>
      <c r="Q734" s="76"/>
      <c r="R734" s="139">
        <f>400*(S9+S10)</f>
        <v>7600</v>
      </c>
      <c r="S734" s="79">
        <v>4.0400000000000009</v>
      </c>
      <c r="T734" s="80">
        <v>8.61</v>
      </c>
    </row>
    <row r="735" spans="2:20">
      <c r="B735" s="5" t="s">
        <v>1725</v>
      </c>
      <c r="C735" s="45" t="s">
        <v>97</v>
      </c>
      <c r="D735" s="45" t="s">
        <v>1728</v>
      </c>
      <c r="E735" s="6" t="s">
        <v>1729</v>
      </c>
      <c r="F735" s="45" t="s">
        <v>104</v>
      </c>
      <c r="G735" s="46">
        <f t="shared" si="86"/>
        <v>19</v>
      </c>
      <c r="H735" s="46">
        <f>TRUNC(S735*(1-LOTE_01!$K$10),2)</f>
        <v>866.38</v>
      </c>
      <c r="I735" s="46">
        <f>TRUNC(T735*(1-LOTE_01!$K$10),2)</f>
        <v>221.87</v>
      </c>
      <c r="J735" s="100">
        <f t="shared" si="87"/>
        <v>0.22470000000000001</v>
      </c>
      <c r="K735" s="48">
        <f t="shared" si="81"/>
        <v>1061.05</v>
      </c>
      <c r="L735" s="48">
        <f t="shared" si="82"/>
        <v>271.72000000000003</v>
      </c>
      <c r="M735" s="48">
        <f t="shared" si="83"/>
        <v>20159.95</v>
      </c>
      <c r="N735" s="48">
        <f t="shared" si="84"/>
        <v>5162.68</v>
      </c>
      <c r="O735" s="50">
        <f t="shared" si="85"/>
        <v>25322.63</v>
      </c>
      <c r="P735" s="50">
        <v>0</v>
      </c>
      <c r="Q735" s="76"/>
      <c r="R735" s="139">
        <f>1*(S9+S10)</f>
        <v>19</v>
      </c>
      <c r="S735" s="79">
        <v>866.38</v>
      </c>
      <c r="T735" s="80">
        <v>221.87</v>
      </c>
    </row>
    <row r="736" spans="2:20">
      <c r="B736" s="5" t="s">
        <v>1726</v>
      </c>
      <c r="C736" s="45" t="s">
        <v>97</v>
      </c>
      <c r="D736" s="45" t="s">
        <v>1730</v>
      </c>
      <c r="E736" s="6" t="s">
        <v>1731</v>
      </c>
      <c r="F736" s="45" t="s">
        <v>104</v>
      </c>
      <c r="G736" s="46">
        <f t="shared" si="86"/>
        <v>19</v>
      </c>
      <c r="H736" s="46">
        <f>TRUNC(S736*(1-LOTE_01!$K$10),2)</f>
        <v>2169.44</v>
      </c>
      <c r="I736" s="46">
        <f>TRUNC(T736*(1-LOTE_01!$K$10),2)</f>
        <v>352.3</v>
      </c>
      <c r="J736" s="100">
        <f t="shared" si="87"/>
        <v>0.22470000000000001</v>
      </c>
      <c r="K736" s="48">
        <f t="shared" si="81"/>
        <v>2656.91</v>
      </c>
      <c r="L736" s="48">
        <f t="shared" si="82"/>
        <v>431.46</v>
      </c>
      <c r="M736" s="48">
        <f t="shared" si="83"/>
        <v>50481.29</v>
      </c>
      <c r="N736" s="48">
        <f t="shared" si="84"/>
        <v>8197.74</v>
      </c>
      <c r="O736" s="50">
        <f t="shared" si="85"/>
        <v>58679.03</v>
      </c>
      <c r="P736" s="50">
        <v>0</v>
      </c>
      <c r="Q736" s="76"/>
      <c r="R736" s="139">
        <f>1*(S9+S10)</f>
        <v>19</v>
      </c>
      <c r="S736" s="79">
        <v>2169.44</v>
      </c>
      <c r="T736" s="80">
        <v>352.3</v>
      </c>
    </row>
    <row r="737" spans="2:20">
      <c r="B737" s="5" t="s">
        <v>1727</v>
      </c>
      <c r="C737" s="45" t="s">
        <v>97</v>
      </c>
      <c r="D737" s="45" t="s">
        <v>1732</v>
      </c>
      <c r="E737" s="6" t="s">
        <v>1733</v>
      </c>
      <c r="F737" s="45" t="s">
        <v>104</v>
      </c>
      <c r="G737" s="46">
        <f t="shared" si="86"/>
        <v>19</v>
      </c>
      <c r="H737" s="46">
        <f>TRUNC(S737*(1-LOTE_01!$K$10),2)</f>
        <v>7908.67</v>
      </c>
      <c r="I737" s="46">
        <f>TRUNC(T737*(1-LOTE_01!$K$10),2)</f>
        <v>1094.02</v>
      </c>
      <c r="J737" s="100">
        <f t="shared" si="87"/>
        <v>0.22470000000000001</v>
      </c>
      <c r="K737" s="48">
        <f t="shared" si="81"/>
        <v>9685.74</v>
      </c>
      <c r="L737" s="48">
        <f t="shared" si="82"/>
        <v>1339.84</v>
      </c>
      <c r="M737" s="48">
        <f t="shared" si="83"/>
        <v>184029.06</v>
      </c>
      <c r="N737" s="48">
        <f t="shared" si="84"/>
        <v>25456.959999999999</v>
      </c>
      <c r="O737" s="50">
        <f t="shared" si="85"/>
        <v>209486.02</v>
      </c>
      <c r="P737" s="50">
        <v>0</v>
      </c>
      <c r="Q737" s="76"/>
      <c r="R737" s="139">
        <f>1*(S9+S10)</f>
        <v>19</v>
      </c>
      <c r="S737" s="79">
        <v>7908.67</v>
      </c>
      <c r="T737" s="80">
        <v>1094.02</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104">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104">
        <v>0</v>
      </c>
      <c r="Q739" s="76"/>
      <c r="R739" s="76"/>
      <c r="S739" s="76"/>
    </row>
    <row r="740" spans="2:20">
      <c r="B740" s="5"/>
      <c r="C740" s="52"/>
      <c r="D740" s="52"/>
      <c r="E740" s="53"/>
      <c r="F740" s="52"/>
      <c r="G740" s="124"/>
      <c r="H740" s="52"/>
      <c r="I740" s="54"/>
      <c r="J740" s="54"/>
      <c r="K740" s="54"/>
      <c r="L740" s="54"/>
      <c r="M740" s="55" t="s">
        <v>22</v>
      </c>
      <c r="N740" s="5" t="s">
        <v>22</v>
      </c>
      <c r="O740" s="5" t="s">
        <v>22</v>
      </c>
      <c r="P740" s="104">
        <v>0</v>
      </c>
      <c r="Q740" s="76"/>
      <c r="R740" s="77"/>
      <c r="S740" s="77"/>
    </row>
    <row r="741" spans="2:20">
      <c r="B741" s="56"/>
      <c r="C741" s="59"/>
      <c r="D741" s="59"/>
      <c r="E741" s="60"/>
      <c r="F741" s="61"/>
      <c r="G741" s="125"/>
      <c r="H741" s="57"/>
      <c r="I741" s="62" t="s">
        <v>63</v>
      </c>
      <c r="J741" s="62"/>
      <c r="K741" s="62"/>
      <c r="L741" s="62"/>
      <c r="M741" s="58">
        <f>SUM(M15:M740)</f>
        <v>32335859.599999998</v>
      </c>
      <c r="N741" s="58">
        <f>SUM(N15:N740)</f>
        <v>10088621.210000008</v>
      </c>
      <c r="O741" s="58">
        <f t="shared" ref="O741:P741" si="91">SUM(O15:O740)</f>
        <v>42424480.810000017</v>
      </c>
      <c r="P741" s="58">
        <f t="shared" si="91"/>
        <v>42424480.809999987</v>
      </c>
      <c r="Q741" s="78"/>
      <c r="R741" s="78"/>
      <c r="S741" s="78"/>
    </row>
  </sheetData>
  <sheetProtection selectLockedCells="1"/>
  <protectedRanges>
    <protectedRange sqref="E15:F33 G739:O739 S15 E179:F471 G179:G429 G124 G132 G134 G150:G159 G431:G689 J179:J737 G15:J15 M738:O738 M15:Q15 G16:G114 E35:F176 J16:J176 P16:Q176 G161:G176 B15:B176 S16:T176 G691:G737 P179:Q740 B179:B739 S179:T738 E473:F739" name="Intervalo1_7"/>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R15" name="Intervalo1_3_1_2_1_1"/>
    <protectedRange sqref="B177 S177:T177 E177:G177 P177:Q177 J177" name="Intervalo1_3_1"/>
    <protectedRange sqref="G115:G123 G125:G131 G133 G135:G149 G160 G430 G690" name="Intervalo1_7_1"/>
    <protectedRange sqref="B178 S178:T178 E178:G178 P178:Q178 J178" name="Intervalo1_5"/>
    <protectedRange sqref="K15:L737" name="Intervalo1"/>
    <protectedRange sqref="M16:O737" name="Intervalo1_1"/>
    <protectedRange sqref="H16:I737" name="Intervalo1_2_1"/>
    <protectedRange sqref="R663 R684 R192:R194 R306 R310" name="Intervalo1_3_1_2"/>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8000000}"/>
  <mergeCells count="4">
    <mergeCell ref="H13:I13"/>
    <mergeCell ref="J13:J14"/>
    <mergeCell ref="M13:P13"/>
    <mergeCell ref="K13:L13"/>
  </mergeCells>
  <conditionalFormatting sqref="R15:R176 R179:R683">
    <cfRule type="expression" dxfId="48" priority="3" stopIfTrue="1">
      <formula>P15="-"</formula>
    </cfRule>
  </conditionalFormatting>
  <conditionalFormatting sqref="R15:R683">
    <cfRule type="cellIs" dxfId="47" priority="1" stopIfTrue="1" operator="equal">
      <formula>""</formula>
    </cfRule>
  </conditionalFormatting>
  <conditionalFormatting sqref="R177:R178">
    <cfRule type="expression" dxfId="46" priority="2" stopIfTrue="1">
      <formula>Q177="-"</formula>
    </cfRule>
  </conditionalFormatting>
  <conditionalFormatting sqref="R684">
    <cfRule type="cellIs" dxfId="45" priority="6" stopIfTrue="1" operator="equal">
      <formula>0</formula>
    </cfRule>
    <cfRule type="expression" dxfId="44" priority="7" stopIfTrue="1">
      <formula>I684="-"</formula>
    </cfRule>
  </conditionalFormatting>
  <conditionalFormatting sqref="R685:R737">
    <cfRule type="cellIs" dxfId="43" priority="4" stopIfTrue="1" operator="equal">
      <formula>""</formula>
    </cfRule>
    <cfRule type="expression" dxfId="42"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T741"/>
  <sheetViews>
    <sheetView topLeftCell="H1" zoomScale="55" zoomScaleNormal="55" workbookViewId="0">
      <selection activeCell="O8" sqref="O8"/>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2" width="12.26953125" style="66" customWidth="1"/>
    <col min="13" max="13" width="13.90625" style="51" customWidth="1"/>
    <col min="14" max="14" width="14.90625" style="51" customWidth="1"/>
    <col min="15" max="15" width="16.1796875" style="51" customWidth="1"/>
    <col min="16" max="16" width="15.7265625" style="51" customWidth="1"/>
    <col min="17" max="17" width="4.6328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75</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1.1478999999999999</v>
      </c>
    </row>
    <row r="6" spans="2:20" s="8" customFormat="1">
      <c r="D6" s="4"/>
      <c r="E6" s="16" t="s">
        <v>2</v>
      </c>
      <c r="F6" s="23" t="s">
        <v>1765</v>
      </c>
      <c r="G6" s="121"/>
      <c r="H6" s="18"/>
      <c r="N6" s="27" t="s">
        <v>4</v>
      </c>
      <c r="O6" s="28">
        <f>O741</f>
        <v>12842065.949999997</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82</v>
      </c>
      <c r="F9" s="33"/>
      <c r="G9" s="34"/>
      <c r="H9" s="34"/>
      <c r="I9" s="35"/>
      <c r="J9" s="35"/>
      <c r="K9" s="35"/>
      <c r="L9" s="35"/>
      <c r="M9" s="31"/>
      <c r="N9" s="67"/>
      <c r="O9" s="68"/>
      <c r="R9" s="143" t="s">
        <v>1744</v>
      </c>
      <c r="S9" s="144">
        <v>3</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2</v>
      </c>
    </row>
    <row r="11" spans="2:20" s="8" customFormat="1">
      <c r="C11" s="135"/>
      <c r="E11" s="136" t="s">
        <v>165</v>
      </c>
      <c r="F11" s="137" t="s">
        <v>1853</v>
      </c>
      <c r="G11" s="134" t="s">
        <v>1749</v>
      </c>
      <c r="H11" s="134"/>
      <c r="I11" s="133">
        <v>46082</v>
      </c>
      <c r="J11" s="35"/>
      <c r="K11" s="35"/>
      <c r="L11" s="35"/>
      <c r="M11" s="31"/>
      <c r="N11" s="67"/>
      <c r="O11" s="68"/>
      <c r="R11" s="145" t="s">
        <v>77</v>
      </c>
      <c r="S11" s="146">
        <f>S9+S10</f>
        <v>5</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710637.75</v>
      </c>
      <c r="Q15" s="107"/>
      <c r="R15" s="139"/>
      <c r="S15" s="76" t="s">
        <v>22</v>
      </c>
      <c r="T15" s="51" t="s">
        <v>22</v>
      </c>
    </row>
    <row r="16" spans="2:20" ht="28">
      <c r="B16" s="5" t="s">
        <v>96</v>
      </c>
      <c r="C16" s="45" t="s">
        <v>97</v>
      </c>
      <c r="D16" s="45" t="s">
        <v>98</v>
      </c>
      <c r="E16" s="6" t="s">
        <v>99</v>
      </c>
      <c r="F16" s="45" t="s">
        <v>100</v>
      </c>
      <c r="G16" s="46">
        <f>TRUNC(R16,2)</f>
        <v>5</v>
      </c>
      <c r="H16" s="46">
        <f>TRUNC(S16*(1-LOTE_01!$K$10),2)</f>
        <v>1083.29</v>
      </c>
      <c r="I16" s="46">
        <f>TRUNC(T16*(1-LOTE_01!$K$10),2)</f>
        <v>0</v>
      </c>
      <c r="J16" s="100">
        <f>$J$4</f>
        <v>0.22470000000000001</v>
      </c>
      <c r="K16" s="48">
        <f>TRUNC(H16*(1+J16),2)</f>
        <v>1326.7</v>
      </c>
      <c r="L16" s="48">
        <f>TRUNC(I16*(1+J16),2)</f>
        <v>0</v>
      </c>
      <c r="M16" s="48">
        <f>TRUNC(K16*G16,2)</f>
        <v>6633.5</v>
      </c>
      <c r="N16" s="48">
        <f>TRUNC(L16*G16,2)</f>
        <v>0</v>
      </c>
      <c r="O16" s="50">
        <f>TRUNC(M16+N16,2)</f>
        <v>6633.5</v>
      </c>
      <c r="P16" s="50">
        <v>0</v>
      </c>
      <c r="Q16" s="76"/>
      <c r="R16" s="140">
        <f>S9+S10</f>
        <v>5</v>
      </c>
      <c r="S16" s="79">
        <v>1083.29</v>
      </c>
      <c r="T16" s="80">
        <v>0</v>
      </c>
    </row>
    <row r="17" spans="2:20" ht="28">
      <c r="B17" s="5" t="s">
        <v>101</v>
      </c>
      <c r="C17" s="45" t="s">
        <v>97</v>
      </c>
      <c r="D17" s="45" t="s">
        <v>102</v>
      </c>
      <c r="E17" s="6" t="s">
        <v>103</v>
      </c>
      <c r="F17" s="45" t="s">
        <v>104</v>
      </c>
      <c r="G17" s="46">
        <f t="shared" ref="G17:G80" si="0">TRUNC(R17,2)</f>
        <v>5</v>
      </c>
      <c r="H17" s="46">
        <f>TRUNC(S17*(1-LOTE_01!$K$10),2)</f>
        <v>881.17</v>
      </c>
      <c r="I17" s="46">
        <f>TRUNC(T17*(1-LOTE_01!$K$10),2)</f>
        <v>0</v>
      </c>
      <c r="J17" s="100">
        <f t="shared" ref="J17:J80" si="1">$J$4</f>
        <v>0.22470000000000001</v>
      </c>
      <c r="K17" s="48">
        <f>TRUNC(H17*(1+J17),2)</f>
        <v>1079.1600000000001</v>
      </c>
      <c r="L17" s="48">
        <f>TRUNC(I17*(1+J17),2)</f>
        <v>0</v>
      </c>
      <c r="M17" s="48">
        <f>TRUNC(K17*G17,2)</f>
        <v>5395.8</v>
      </c>
      <c r="N17" s="48">
        <f>TRUNC(L17*G17,2)</f>
        <v>0</v>
      </c>
      <c r="O17" s="50">
        <f>TRUNC(M17+N17,2)</f>
        <v>5395.8</v>
      </c>
      <c r="P17" s="50">
        <v>0</v>
      </c>
      <c r="Q17" s="76"/>
      <c r="R17" s="140">
        <f>IF((S9+S10)&gt;50,50,(S9+S10))</f>
        <v>5</v>
      </c>
      <c r="S17" s="79">
        <v>881.17</v>
      </c>
      <c r="T17" s="80">
        <v>0</v>
      </c>
    </row>
    <row r="18" spans="2:20" ht="70">
      <c r="B18" s="5" t="s">
        <v>105</v>
      </c>
      <c r="C18" s="45" t="s">
        <v>97</v>
      </c>
      <c r="D18" s="45" t="s">
        <v>106</v>
      </c>
      <c r="E18" s="6" t="s">
        <v>107</v>
      </c>
      <c r="F18" s="45" t="s">
        <v>104</v>
      </c>
      <c r="G18" s="46">
        <f t="shared" si="0"/>
        <v>5</v>
      </c>
      <c r="H18" s="46">
        <f>TRUNC(S18*(1-LOTE_01!$K$10),2)</f>
        <v>325.76</v>
      </c>
      <c r="I18" s="46">
        <f>TRUNC(T18*(1-LOTE_01!$K$10),2)</f>
        <v>0</v>
      </c>
      <c r="J18" s="100">
        <f t="shared" si="1"/>
        <v>0.22470000000000001</v>
      </c>
      <c r="K18" s="48">
        <f>TRUNC(H18*(1+J18),2)</f>
        <v>398.95</v>
      </c>
      <c r="L18" s="48">
        <f>TRUNC(I18*(1+J18),2)</f>
        <v>0</v>
      </c>
      <c r="M18" s="48">
        <f>TRUNC(K18*G18,2)</f>
        <v>1994.75</v>
      </c>
      <c r="N18" s="48">
        <f>TRUNC(L18*G18,2)</f>
        <v>0</v>
      </c>
      <c r="O18" s="50">
        <f>TRUNC(M18+N18,2)</f>
        <v>1994.75</v>
      </c>
      <c r="P18" s="50">
        <v>0</v>
      </c>
      <c r="Q18" s="76"/>
      <c r="R18" s="140">
        <f>1*(S9+S10)</f>
        <v>5</v>
      </c>
      <c r="S18" s="79">
        <v>325.76</v>
      </c>
      <c r="T18" s="80">
        <v>0</v>
      </c>
    </row>
    <row r="19" spans="2:20" ht="84">
      <c r="B19" s="5" t="s">
        <v>108</v>
      </c>
      <c r="C19" s="45" t="s">
        <v>97</v>
      </c>
      <c r="D19" s="45" t="s">
        <v>109</v>
      </c>
      <c r="E19" s="6" t="s">
        <v>110</v>
      </c>
      <c r="F19" s="45" t="s">
        <v>111</v>
      </c>
      <c r="G19" s="46">
        <f t="shared" si="0"/>
        <v>5</v>
      </c>
      <c r="H19" s="46">
        <f>TRUNC(S19*(1-LOTE_01!$K$10),2)</f>
        <v>424.15</v>
      </c>
      <c r="I19" s="46">
        <f>TRUNC(T19*(1-LOTE_01!$K$10),2)</f>
        <v>24668.16</v>
      </c>
      <c r="J19" s="100">
        <f t="shared" si="1"/>
        <v>0.22470000000000001</v>
      </c>
      <c r="K19" s="48">
        <f t="shared" ref="K19:K82" si="2">TRUNC(H19*(1+J19),2)</f>
        <v>519.45000000000005</v>
      </c>
      <c r="L19" s="48">
        <f t="shared" ref="L19:L82" si="3">TRUNC(I19*(1+J19),2)</f>
        <v>30211.09</v>
      </c>
      <c r="M19" s="48">
        <f t="shared" ref="M19:M82" si="4">TRUNC(K19*G19,2)</f>
        <v>2597.25</v>
      </c>
      <c r="N19" s="48">
        <f t="shared" ref="N19:N82" si="5">TRUNC(L19*G19,2)</f>
        <v>151055.45000000001</v>
      </c>
      <c r="O19" s="50">
        <f t="shared" ref="O19:O82" si="6">TRUNC(M19+N19,2)</f>
        <v>153652.70000000001</v>
      </c>
      <c r="P19" s="50">
        <v>0</v>
      </c>
      <c r="Q19" s="76"/>
      <c r="R19" s="140">
        <f>S9+S10</f>
        <v>5</v>
      </c>
      <c r="S19" s="79">
        <v>424.15</v>
      </c>
      <c r="T19" s="80">
        <v>24668.16</v>
      </c>
    </row>
    <row r="20" spans="2:20" ht="70">
      <c r="B20" s="5" t="s">
        <v>112</v>
      </c>
      <c r="C20" s="45" t="s">
        <v>97</v>
      </c>
      <c r="D20" s="45" t="s">
        <v>113</v>
      </c>
      <c r="E20" s="6" t="s">
        <v>114</v>
      </c>
      <c r="F20" s="45" t="s">
        <v>111</v>
      </c>
      <c r="G20" s="46">
        <f t="shared" si="0"/>
        <v>10</v>
      </c>
      <c r="H20" s="46">
        <f>TRUNC(S20*(1-LOTE_01!$K$10),2)</f>
        <v>564.96</v>
      </c>
      <c r="I20" s="46">
        <f>TRUNC(T20*(1-LOTE_01!$K$10),2)</f>
        <v>10060.16</v>
      </c>
      <c r="J20" s="100">
        <f t="shared" si="1"/>
        <v>0.22470000000000001</v>
      </c>
      <c r="K20" s="48">
        <f t="shared" si="2"/>
        <v>691.9</v>
      </c>
      <c r="L20" s="48">
        <f t="shared" si="3"/>
        <v>12320.67</v>
      </c>
      <c r="M20" s="48">
        <f t="shared" si="4"/>
        <v>6919</v>
      </c>
      <c r="N20" s="48">
        <f t="shared" si="5"/>
        <v>123206.7</v>
      </c>
      <c r="O20" s="50">
        <f t="shared" si="6"/>
        <v>130125.7</v>
      </c>
      <c r="P20" s="50">
        <v>0</v>
      </c>
      <c r="Q20" s="76"/>
      <c r="R20" s="140">
        <f>2*S9+2*S10</f>
        <v>10</v>
      </c>
      <c r="S20" s="79">
        <v>564.96</v>
      </c>
      <c r="T20" s="80">
        <v>10060.16</v>
      </c>
    </row>
    <row r="21" spans="2:20" ht="70">
      <c r="B21" s="5" t="s">
        <v>115</v>
      </c>
      <c r="C21" s="45" t="s">
        <v>97</v>
      </c>
      <c r="D21" s="45" t="s">
        <v>116</v>
      </c>
      <c r="E21" s="6" t="s">
        <v>117</v>
      </c>
      <c r="F21" s="45" t="s">
        <v>111</v>
      </c>
      <c r="G21" s="46">
        <f t="shared" si="0"/>
        <v>10</v>
      </c>
      <c r="H21" s="46">
        <f>TRUNC(S21*(1-LOTE_01!$K$10),2)</f>
        <v>626.59</v>
      </c>
      <c r="I21" s="46">
        <f>TRUNC(T21*(1-LOTE_01!$K$10),2)</f>
        <v>8011.52</v>
      </c>
      <c r="J21" s="100">
        <f t="shared" si="1"/>
        <v>0.22470000000000001</v>
      </c>
      <c r="K21" s="48">
        <f t="shared" si="2"/>
        <v>767.38</v>
      </c>
      <c r="L21" s="48">
        <f t="shared" si="3"/>
        <v>9811.7000000000007</v>
      </c>
      <c r="M21" s="48">
        <f t="shared" si="4"/>
        <v>7673.8</v>
      </c>
      <c r="N21" s="48">
        <f t="shared" si="5"/>
        <v>98117</v>
      </c>
      <c r="O21" s="50">
        <f t="shared" si="6"/>
        <v>105790.8</v>
      </c>
      <c r="P21" s="50">
        <v>0</v>
      </c>
      <c r="Q21" s="76"/>
      <c r="R21" s="140">
        <f>2*S9+2*S10</f>
        <v>10</v>
      </c>
      <c r="S21" s="79">
        <v>626.59</v>
      </c>
      <c r="T21" s="80">
        <v>8011.52</v>
      </c>
    </row>
    <row r="22" spans="2:20">
      <c r="B22" s="5" t="s">
        <v>118</v>
      </c>
      <c r="C22" s="45" t="s">
        <v>97</v>
      </c>
      <c r="D22" s="45" t="s">
        <v>119</v>
      </c>
      <c r="E22" s="6" t="s">
        <v>120</v>
      </c>
      <c r="F22" s="45" t="s">
        <v>121</v>
      </c>
      <c r="G22" s="46">
        <f t="shared" si="0"/>
        <v>2000</v>
      </c>
      <c r="H22" s="46">
        <f>TRUNC(S22*(1-LOTE_01!$K$10),2)</f>
        <v>0</v>
      </c>
      <c r="I22" s="46">
        <f>TRUNC(T22*(1-LOTE_01!$K$10),2)</f>
        <v>27.5</v>
      </c>
      <c r="J22" s="100">
        <f t="shared" si="1"/>
        <v>0.22470000000000001</v>
      </c>
      <c r="K22" s="48">
        <f t="shared" si="2"/>
        <v>0</v>
      </c>
      <c r="L22" s="48">
        <f t="shared" si="3"/>
        <v>33.67</v>
      </c>
      <c r="M22" s="48">
        <f t="shared" si="4"/>
        <v>0</v>
      </c>
      <c r="N22" s="48">
        <f t="shared" si="5"/>
        <v>67340</v>
      </c>
      <c r="O22" s="50">
        <f t="shared" si="6"/>
        <v>67340</v>
      </c>
      <c r="P22" s="50">
        <v>0</v>
      </c>
      <c r="Q22" s="76"/>
      <c r="R22" s="140">
        <f>400*(S9+S10)</f>
        <v>2000</v>
      </c>
      <c r="S22" s="79">
        <v>0</v>
      </c>
      <c r="T22" s="80">
        <v>27.5</v>
      </c>
    </row>
    <row r="23" spans="2:20" ht="28">
      <c r="B23" s="5" t="s">
        <v>122</v>
      </c>
      <c r="C23" s="45" t="s">
        <v>97</v>
      </c>
      <c r="D23" s="45" t="s">
        <v>123</v>
      </c>
      <c r="E23" s="6" t="s">
        <v>124</v>
      </c>
      <c r="F23" s="45" t="s">
        <v>121</v>
      </c>
      <c r="G23" s="46">
        <f t="shared" si="0"/>
        <v>2000</v>
      </c>
      <c r="H23" s="46">
        <f>TRUNC(S23*(1-LOTE_01!$K$10),2)</f>
        <v>0</v>
      </c>
      <c r="I23" s="46">
        <f>TRUNC(T23*(1-LOTE_01!$K$10),2)</f>
        <v>3.6</v>
      </c>
      <c r="J23" s="100">
        <f t="shared" si="1"/>
        <v>0.22470000000000001</v>
      </c>
      <c r="K23" s="48">
        <f t="shared" si="2"/>
        <v>0</v>
      </c>
      <c r="L23" s="48">
        <f t="shared" si="3"/>
        <v>4.4000000000000004</v>
      </c>
      <c r="M23" s="48">
        <f t="shared" si="4"/>
        <v>0</v>
      </c>
      <c r="N23" s="48">
        <f t="shared" si="5"/>
        <v>8800</v>
      </c>
      <c r="O23" s="50">
        <f t="shared" si="6"/>
        <v>8800</v>
      </c>
      <c r="P23" s="50">
        <v>0</v>
      </c>
      <c r="Q23" s="76"/>
      <c r="R23" s="140">
        <f>400*(S9+S10)</f>
        <v>2000</v>
      </c>
      <c r="S23" s="79">
        <v>0</v>
      </c>
      <c r="T23" s="80">
        <v>3.6</v>
      </c>
    </row>
    <row r="24" spans="2:20" ht="28">
      <c r="B24" s="5" t="s">
        <v>125</v>
      </c>
      <c r="C24" s="45" t="s">
        <v>97</v>
      </c>
      <c r="D24" s="45" t="s">
        <v>126</v>
      </c>
      <c r="E24" s="6" t="s">
        <v>127</v>
      </c>
      <c r="F24" s="45" t="s">
        <v>121</v>
      </c>
      <c r="G24" s="46">
        <f t="shared" si="0"/>
        <v>2000</v>
      </c>
      <c r="H24" s="46">
        <f>TRUNC(S24*(1-LOTE_01!$K$10),2)</f>
        <v>0</v>
      </c>
      <c r="I24" s="46">
        <f>TRUNC(T24*(1-LOTE_01!$K$10),2)</f>
        <v>8.5</v>
      </c>
      <c r="J24" s="100">
        <f t="shared" si="1"/>
        <v>0.22470000000000001</v>
      </c>
      <c r="K24" s="48">
        <f t="shared" si="2"/>
        <v>0</v>
      </c>
      <c r="L24" s="48">
        <f t="shared" si="3"/>
        <v>10.4</v>
      </c>
      <c r="M24" s="48">
        <f t="shared" si="4"/>
        <v>0</v>
      </c>
      <c r="N24" s="48">
        <f t="shared" si="5"/>
        <v>20800</v>
      </c>
      <c r="O24" s="50">
        <f t="shared" si="6"/>
        <v>20800</v>
      </c>
      <c r="P24" s="50">
        <v>0</v>
      </c>
      <c r="Q24" s="76"/>
      <c r="R24" s="140">
        <f>400*(S9+S10)</f>
        <v>2000</v>
      </c>
      <c r="S24" s="79">
        <v>0</v>
      </c>
      <c r="T24" s="80">
        <v>8.5</v>
      </c>
    </row>
    <row r="25" spans="2:20" ht="28">
      <c r="B25" s="5" t="s">
        <v>128</v>
      </c>
      <c r="C25" s="45" t="s">
        <v>97</v>
      </c>
      <c r="D25" s="45" t="s">
        <v>129</v>
      </c>
      <c r="E25" s="6" t="s">
        <v>130</v>
      </c>
      <c r="F25" s="45" t="s">
        <v>121</v>
      </c>
      <c r="G25" s="46">
        <f t="shared" si="0"/>
        <v>2000</v>
      </c>
      <c r="H25" s="46">
        <f>TRUNC(S25*(1-LOTE_01!$K$10),2)</f>
        <v>0</v>
      </c>
      <c r="I25" s="46">
        <f>TRUNC(T25*(1-LOTE_01!$K$10),2)</f>
        <v>5</v>
      </c>
      <c r="J25" s="100">
        <f t="shared" si="1"/>
        <v>0.22470000000000001</v>
      </c>
      <c r="K25" s="48">
        <f t="shared" si="2"/>
        <v>0</v>
      </c>
      <c r="L25" s="48">
        <f t="shared" si="3"/>
        <v>6.12</v>
      </c>
      <c r="M25" s="48">
        <f t="shared" si="4"/>
        <v>0</v>
      </c>
      <c r="N25" s="48">
        <f t="shared" si="5"/>
        <v>12240</v>
      </c>
      <c r="O25" s="50">
        <f t="shared" si="6"/>
        <v>12240</v>
      </c>
      <c r="P25" s="50">
        <v>0</v>
      </c>
      <c r="Q25" s="76"/>
      <c r="R25" s="140">
        <f>400*(S9+S10)</f>
        <v>2000</v>
      </c>
      <c r="S25" s="79">
        <v>0</v>
      </c>
      <c r="T25" s="80">
        <v>5</v>
      </c>
    </row>
    <row r="26" spans="2:20" ht="28">
      <c r="B26" s="5" t="s">
        <v>131</v>
      </c>
      <c r="C26" s="45" t="s">
        <v>97</v>
      </c>
      <c r="D26" s="45" t="s">
        <v>132</v>
      </c>
      <c r="E26" s="6" t="s">
        <v>133</v>
      </c>
      <c r="F26" s="45" t="s">
        <v>121</v>
      </c>
      <c r="G26" s="46">
        <f t="shared" si="0"/>
        <v>2000</v>
      </c>
      <c r="H26" s="46">
        <f>TRUNC(S26*(1-LOTE_01!$K$10),2)</f>
        <v>0</v>
      </c>
      <c r="I26" s="46">
        <f>TRUNC(T26*(1-LOTE_01!$K$10),2)</f>
        <v>5.5</v>
      </c>
      <c r="J26" s="100">
        <f t="shared" si="1"/>
        <v>0.22470000000000001</v>
      </c>
      <c r="K26" s="48">
        <f t="shared" si="2"/>
        <v>0</v>
      </c>
      <c r="L26" s="48">
        <f t="shared" si="3"/>
        <v>6.73</v>
      </c>
      <c r="M26" s="48">
        <f t="shared" si="4"/>
        <v>0</v>
      </c>
      <c r="N26" s="48">
        <f t="shared" si="5"/>
        <v>13460</v>
      </c>
      <c r="O26" s="50">
        <f t="shared" si="6"/>
        <v>13460</v>
      </c>
      <c r="P26" s="50">
        <v>0</v>
      </c>
      <c r="Q26" s="76"/>
      <c r="R26" s="140">
        <f>400*(S9+S10)</f>
        <v>2000</v>
      </c>
      <c r="S26" s="79">
        <v>0</v>
      </c>
      <c r="T26" s="80">
        <v>5.5</v>
      </c>
    </row>
    <row r="27" spans="2:20" ht="28">
      <c r="B27" s="5" t="s">
        <v>134</v>
      </c>
      <c r="C27" s="45" t="s">
        <v>135</v>
      </c>
      <c r="D27" s="45">
        <v>90769</v>
      </c>
      <c r="E27" s="6" t="s">
        <v>136</v>
      </c>
      <c r="F27" s="45" t="s">
        <v>137</v>
      </c>
      <c r="G27" s="46">
        <f t="shared" si="0"/>
        <v>250</v>
      </c>
      <c r="H27" s="46">
        <f>TRUNC(S27*(1-LOTE_01!$K$10),2)</f>
        <v>2.41</v>
      </c>
      <c r="I27" s="46">
        <f>TRUNC(T27*(1-LOTE_01!$K$10),2)</f>
        <v>144.68</v>
      </c>
      <c r="J27" s="100">
        <f t="shared" si="1"/>
        <v>0.22470000000000001</v>
      </c>
      <c r="K27" s="48">
        <f t="shared" si="2"/>
        <v>2.95</v>
      </c>
      <c r="L27" s="48">
        <f t="shared" si="3"/>
        <v>177.18</v>
      </c>
      <c r="M27" s="48">
        <f t="shared" si="4"/>
        <v>737.5</v>
      </c>
      <c r="N27" s="48">
        <f t="shared" si="5"/>
        <v>44295</v>
      </c>
      <c r="O27" s="50">
        <f t="shared" si="6"/>
        <v>45032.5</v>
      </c>
      <c r="P27" s="50">
        <v>0</v>
      </c>
      <c r="Q27" s="76"/>
      <c r="R27" s="140">
        <f>IF((50*S10+50*S9),(50*S10+50*S9))</f>
        <v>250</v>
      </c>
      <c r="S27" s="79">
        <v>2.4199999999999875</v>
      </c>
      <c r="T27" s="80">
        <v>144.68</v>
      </c>
    </row>
    <row r="28" spans="2:20" ht="28">
      <c r="B28" s="5" t="s">
        <v>138</v>
      </c>
      <c r="C28" s="45" t="s">
        <v>135</v>
      </c>
      <c r="D28" s="45">
        <v>90778</v>
      </c>
      <c r="E28" s="6" t="s">
        <v>139</v>
      </c>
      <c r="F28" s="45" t="s">
        <v>137</v>
      </c>
      <c r="G28" s="46">
        <f t="shared" si="0"/>
        <v>250</v>
      </c>
      <c r="H28" s="46">
        <f>TRUNC(S28*(1-LOTE_01!$K$10),2)</f>
        <v>2.41</v>
      </c>
      <c r="I28" s="46">
        <f>TRUNC(T28*(1-LOTE_01!$K$10),2)</f>
        <v>146.94</v>
      </c>
      <c r="J28" s="100">
        <f t="shared" si="1"/>
        <v>0.22470000000000001</v>
      </c>
      <c r="K28" s="48">
        <f t="shared" si="2"/>
        <v>2.95</v>
      </c>
      <c r="L28" s="48">
        <f t="shared" si="3"/>
        <v>179.95</v>
      </c>
      <c r="M28" s="48">
        <f t="shared" si="4"/>
        <v>737.5</v>
      </c>
      <c r="N28" s="48">
        <f t="shared" si="5"/>
        <v>44987.5</v>
      </c>
      <c r="O28" s="50">
        <f t="shared" si="6"/>
        <v>45725</v>
      </c>
      <c r="P28" s="50">
        <v>0</v>
      </c>
      <c r="Q28" s="76"/>
      <c r="R28" s="140">
        <f>IF((50*S10+50*S9)&gt;1000,1000,(50*S10+50*S9))</f>
        <v>250</v>
      </c>
      <c r="S28" s="79">
        <v>2.4099999999999966</v>
      </c>
      <c r="T28" s="80">
        <v>146.94</v>
      </c>
    </row>
    <row r="29" spans="2:20" ht="42">
      <c r="B29" s="5" t="s">
        <v>140</v>
      </c>
      <c r="C29" s="45" t="s">
        <v>97</v>
      </c>
      <c r="D29" s="45" t="s">
        <v>141</v>
      </c>
      <c r="E29" s="6" t="s">
        <v>142</v>
      </c>
      <c r="F29" s="45" t="s">
        <v>111</v>
      </c>
      <c r="G29" s="46">
        <f t="shared" si="0"/>
        <v>10</v>
      </c>
      <c r="H29" s="46">
        <f>TRUNC(S29*(1-LOTE_01!$K$10),2)</f>
        <v>64.319999999999993</v>
      </c>
      <c r="I29" s="46">
        <f>TRUNC(T29*(1-LOTE_01!$K$10),2)</f>
        <v>1169.76</v>
      </c>
      <c r="J29" s="100">
        <f t="shared" si="1"/>
        <v>0.22470000000000001</v>
      </c>
      <c r="K29" s="48">
        <f t="shared" si="2"/>
        <v>78.77</v>
      </c>
      <c r="L29" s="48">
        <f t="shared" si="3"/>
        <v>1432.6</v>
      </c>
      <c r="M29" s="48">
        <f t="shared" si="4"/>
        <v>787.7</v>
      </c>
      <c r="N29" s="48">
        <f t="shared" si="5"/>
        <v>14326</v>
      </c>
      <c r="O29" s="50">
        <f t="shared" si="6"/>
        <v>15113.7</v>
      </c>
      <c r="P29" s="50">
        <v>0</v>
      </c>
      <c r="Q29" s="76"/>
      <c r="R29" s="140">
        <f>IF((2*S9+2*S10)&gt;10,10,(2*S9+2*S10))</f>
        <v>10</v>
      </c>
      <c r="S29" s="79">
        <v>64.319999999999993</v>
      </c>
      <c r="T29" s="80">
        <v>1169.76</v>
      </c>
    </row>
    <row r="30" spans="2:20">
      <c r="B30" s="5" t="s">
        <v>143</v>
      </c>
      <c r="C30" s="45" t="s">
        <v>97</v>
      </c>
      <c r="D30" s="45" t="s">
        <v>144</v>
      </c>
      <c r="E30" s="6" t="s">
        <v>145</v>
      </c>
      <c r="F30" s="45" t="s">
        <v>104</v>
      </c>
      <c r="G30" s="46">
        <f t="shared" si="0"/>
        <v>5</v>
      </c>
      <c r="H30" s="46">
        <f>TRUNC(S30*(1-LOTE_01!$K$10),2)</f>
        <v>904.91</v>
      </c>
      <c r="I30" s="46">
        <f>TRUNC(T30*(1-LOTE_01!$K$10),2)</f>
        <v>272.76</v>
      </c>
      <c r="J30" s="100">
        <f t="shared" si="1"/>
        <v>0.22470000000000001</v>
      </c>
      <c r="K30" s="48">
        <f t="shared" si="2"/>
        <v>1108.24</v>
      </c>
      <c r="L30" s="48">
        <f t="shared" si="3"/>
        <v>334.04</v>
      </c>
      <c r="M30" s="48">
        <f t="shared" si="4"/>
        <v>5541.2</v>
      </c>
      <c r="N30" s="48">
        <f t="shared" si="5"/>
        <v>1670.2</v>
      </c>
      <c r="O30" s="50">
        <f t="shared" si="6"/>
        <v>7211.4</v>
      </c>
      <c r="P30" s="50">
        <v>0</v>
      </c>
      <c r="Q30" s="76"/>
      <c r="R30" s="140">
        <f>S9+S10</f>
        <v>5</v>
      </c>
      <c r="S30" s="79">
        <v>904.91</v>
      </c>
      <c r="T30" s="80">
        <v>272.76</v>
      </c>
    </row>
    <row r="31" spans="2:20" ht="28">
      <c r="B31" s="5" t="s">
        <v>146</v>
      </c>
      <c r="C31" s="45" t="s">
        <v>97</v>
      </c>
      <c r="D31" s="45" t="s">
        <v>147</v>
      </c>
      <c r="E31" s="6" t="s">
        <v>148</v>
      </c>
      <c r="F31" s="45" t="s">
        <v>104</v>
      </c>
      <c r="G31" s="46">
        <f t="shared" si="0"/>
        <v>5</v>
      </c>
      <c r="H31" s="46">
        <f>TRUNC(S31*(1-LOTE_01!$K$10),2)</f>
        <v>1711.05</v>
      </c>
      <c r="I31" s="46">
        <f>TRUNC(T31*(1-LOTE_01!$K$10),2)</f>
        <v>416.58</v>
      </c>
      <c r="J31" s="100">
        <f t="shared" si="1"/>
        <v>0.22470000000000001</v>
      </c>
      <c r="K31" s="48">
        <f t="shared" si="2"/>
        <v>2095.52</v>
      </c>
      <c r="L31" s="48">
        <f t="shared" si="3"/>
        <v>510.18</v>
      </c>
      <c r="M31" s="48">
        <f t="shared" si="4"/>
        <v>10477.6</v>
      </c>
      <c r="N31" s="48">
        <f t="shared" si="5"/>
        <v>2550.9</v>
      </c>
      <c r="O31" s="50">
        <f t="shared" si="6"/>
        <v>13028.5</v>
      </c>
      <c r="P31" s="50">
        <v>0</v>
      </c>
      <c r="Q31" s="76"/>
      <c r="R31" s="140">
        <f>S9+S10</f>
        <v>5</v>
      </c>
      <c r="S31" s="79">
        <v>1711.05</v>
      </c>
      <c r="T31" s="80">
        <v>416.58</v>
      </c>
    </row>
    <row r="32" spans="2:20" ht="28">
      <c r="B32" s="5" t="s">
        <v>149</v>
      </c>
      <c r="C32" s="45" t="s">
        <v>97</v>
      </c>
      <c r="D32" s="45" t="s">
        <v>150</v>
      </c>
      <c r="E32" s="6" t="s">
        <v>151</v>
      </c>
      <c r="F32" s="45" t="s">
        <v>104</v>
      </c>
      <c r="G32" s="46">
        <f t="shared" si="0"/>
        <v>5</v>
      </c>
      <c r="H32" s="46">
        <f>TRUNC(S32*(1-LOTE_01!$K$10),2)</f>
        <v>8311.9500000000007</v>
      </c>
      <c r="I32" s="46">
        <f>TRUNC(T32*(1-LOTE_01!$K$10),2)</f>
        <v>1207.68</v>
      </c>
      <c r="J32" s="100">
        <f t="shared" si="1"/>
        <v>0.22470000000000001</v>
      </c>
      <c r="K32" s="48">
        <f t="shared" si="2"/>
        <v>10179.64</v>
      </c>
      <c r="L32" s="48">
        <f t="shared" si="3"/>
        <v>1479.04</v>
      </c>
      <c r="M32" s="48">
        <f t="shared" si="4"/>
        <v>50898.2</v>
      </c>
      <c r="N32" s="48">
        <f t="shared" si="5"/>
        <v>7395.2</v>
      </c>
      <c r="O32" s="50">
        <f t="shared" si="6"/>
        <v>58293.4</v>
      </c>
      <c r="P32" s="50">
        <v>0</v>
      </c>
      <c r="Q32" s="76"/>
      <c r="R32" s="140">
        <f>S9+S10</f>
        <v>5</v>
      </c>
      <c r="S32" s="79">
        <v>8311.9500000000007</v>
      </c>
      <c r="T32" s="80">
        <v>1207.68</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81464.92</v>
      </c>
      <c r="Q33" s="107"/>
      <c r="R33" s="154"/>
      <c r="S33" s="43" t="s">
        <v>22</v>
      </c>
      <c r="T33" s="44" t="s">
        <v>22</v>
      </c>
    </row>
    <row r="34" spans="2:20" ht="56">
      <c r="B34" s="5" t="s">
        <v>152</v>
      </c>
      <c r="C34" s="45" t="s">
        <v>135</v>
      </c>
      <c r="D34" s="45">
        <v>103689</v>
      </c>
      <c r="E34" s="6" t="s">
        <v>153</v>
      </c>
      <c r="F34" s="45" t="s">
        <v>121</v>
      </c>
      <c r="G34" s="46">
        <f t="shared" si="0"/>
        <v>7.5</v>
      </c>
      <c r="H34" s="46">
        <f>TRUNC(S34*(1-LOTE_01!$K$10),2)</f>
        <v>461.03</v>
      </c>
      <c r="I34" s="46">
        <f>TRUNC(T34*(1-LOTE_01!$K$10),2)</f>
        <v>34.06</v>
      </c>
      <c r="J34" s="100">
        <f t="shared" si="1"/>
        <v>0.22470000000000001</v>
      </c>
      <c r="K34" s="48">
        <f t="shared" si="2"/>
        <v>564.62</v>
      </c>
      <c r="L34" s="48">
        <f t="shared" si="3"/>
        <v>41.71</v>
      </c>
      <c r="M34" s="48">
        <f t="shared" si="4"/>
        <v>4234.6499999999996</v>
      </c>
      <c r="N34" s="48">
        <f t="shared" si="5"/>
        <v>312.82</v>
      </c>
      <c r="O34" s="50">
        <f t="shared" si="6"/>
        <v>4547.47</v>
      </c>
      <c r="P34" s="50">
        <v>0</v>
      </c>
      <c r="Q34" s="76"/>
      <c r="R34" s="140">
        <f>1.5*1*(S9+S10)</f>
        <v>7.5</v>
      </c>
      <c r="S34" s="79">
        <v>461.03</v>
      </c>
      <c r="T34" s="80">
        <v>34.06</v>
      </c>
    </row>
    <row r="35" spans="2:20" ht="112">
      <c r="B35" s="5" t="s">
        <v>154</v>
      </c>
      <c r="C35" s="45" t="s">
        <v>97</v>
      </c>
      <c r="D35" s="45" t="s">
        <v>155</v>
      </c>
      <c r="E35" s="6" t="s">
        <v>156</v>
      </c>
      <c r="F35" s="45" t="s">
        <v>157</v>
      </c>
      <c r="G35" s="46">
        <f t="shared" si="0"/>
        <v>150</v>
      </c>
      <c r="H35" s="46">
        <f>TRUNC(S35*(1-LOTE_01!$K$10),2)</f>
        <v>29.8</v>
      </c>
      <c r="I35" s="46">
        <f>TRUNC(T35*(1-LOTE_01!$K$10),2)</f>
        <v>0</v>
      </c>
      <c r="J35" s="100">
        <f t="shared" si="1"/>
        <v>0.22470000000000001</v>
      </c>
      <c r="K35" s="48">
        <f t="shared" si="2"/>
        <v>36.49</v>
      </c>
      <c r="L35" s="48">
        <f t="shared" si="3"/>
        <v>0</v>
      </c>
      <c r="M35" s="48">
        <f t="shared" si="4"/>
        <v>5473.5</v>
      </c>
      <c r="N35" s="48">
        <f t="shared" si="5"/>
        <v>0</v>
      </c>
      <c r="O35" s="50">
        <f t="shared" si="6"/>
        <v>5473.5</v>
      </c>
      <c r="P35" s="50">
        <v>0</v>
      </c>
      <c r="Q35" s="76"/>
      <c r="R35" s="140">
        <f>10*3*(S9+S10)</f>
        <v>150</v>
      </c>
      <c r="S35" s="79">
        <v>29.8</v>
      </c>
      <c r="T35" s="80">
        <v>0</v>
      </c>
    </row>
    <row r="36" spans="2:20" ht="70">
      <c r="B36" s="5" t="s">
        <v>158</v>
      </c>
      <c r="C36" s="45" t="s">
        <v>135</v>
      </c>
      <c r="D36" s="45">
        <v>97063</v>
      </c>
      <c r="E36" s="6" t="s">
        <v>159</v>
      </c>
      <c r="F36" s="45" t="s">
        <v>121</v>
      </c>
      <c r="G36" s="46">
        <f t="shared" si="0"/>
        <v>360</v>
      </c>
      <c r="H36" s="46">
        <f>TRUNC(S36*(1-LOTE_01!$K$10),2)</f>
        <v>5.62</v>
      </c>
      <c r="I36" s="46">
        <f>TRUNC(T36*(1-LOTE_01!$K$10),2)</f>
        <v>15.01</v>
      </c>
      <c r="J36" s="100">
        <f t="shared" si="1"/>
        <v>0.22470000000000001</v>
      </c>
      <c r="K36" s="48">
        <f t="shared" si="2"/>
        <v>6.88</v>
      </c>
      <c r="L36" s="48">
        <f t="shared" si="3"/>
        <v>18.38</v>
      </c>
      <c r="M36" s="48">
        <f t="shared" si="4"/>
        <v>2476.8000000000002</v>
      </c>
      <c r="N36" s="48">
        <f t="shared" si="5"/>
        <v>6616.8</v>
      </c>
      <c r="O36" s="50">
        <f t="shared" si="6"/>
        <v>9093.6</v>
      </c>
      <c r="P36" s="50">
        <v>0</v>
      </c>
      <c r="Q36" s="76"/>
      <c r="R36" s="140">
        <f>6*12*(S9+S10)</f>
        <v>360</v>
      </c>
      <c r="S36" s="79">
        <v>5.6199999999999992</v>
      </c>
      <c r="T36" s="80">
        <v>15.01</v>
      </c>
    </row>
    <row r="37" spans="2:20" ht="84">
      <c r="B37" s="5" t="s">
        <v>160</v>
      </c>
      <c r="C37" s="45" t="s">
        <v>135</v>
      </c>
      <c r="D37" s="45">
        <v>100981</v>
      </c>
      <c r="E37" s="6" t="s">
        <v>1768</v>
      </c>
      <c r="F37" s="45" t="s">
        <v>161</v>
      </c>
      <c r="G37" s="46">
        <f t="shared" si="0"/>
        <v>180</v>
      </c>
      <c r="H37" s="46">
        <f>TRUNC(S37*(1-LOTE_01!$K$10),2)</f>
        <v>8.6199999999999992</v>
      </c>
      <c r="I37" s="46">
        <f>TRUNC(T37*(1-LOTE_01!$K$10),2)</f>
        <v>1.95</v>
      </c>
      <c r="J37" s="100">
        <f t="shared" si="1"/>
        <v>0.22470000000000001</v>
      </c>
      <c r="K37" s="48">
        <f>TRUNC(H37*(1+J37),2)</f>
        <v>10.55</v>
      </c>
      <c r="L37" s="48">
        <f>TRUNC(I37*(1+J37),2)</f>
        <v>2.38</v>
      </c>
      <c r="M37" s="48">
        <f>TRUNC(K37*G37,2)</f>
        <v>1899</v>
      </c>
      <c r="N37" s="48">
        <f>TRUNC(L37*G37,2)</f>
        <v>428.4</v>
      </c>
      <c r="O37" s="50">
        <f>TRUNC(M37+N37,2)</f>
        <v>2327.4</v>
      </c>
      <c r="P37" s="50">
        <v>0</v>
      </c>
      <c r="Q37" s="76"/>
      <c r="R37" s="140">
        <f>6*6*(S9+S10)</f>
        <v>180</v>
      </c>
      <c r="S37" s="79">
        <v>8.620000000000001</v>
      </c>
      <c r="T37" s="80">
        <v>1.95</v>
      </c>
    </row>
    <row r="38" spans="2:20" ht="56">
      <c r="B38" s="5" t="s">
        <v>162</v>
      </c>
      <c r="C38" s="45" t="s">
        <v>135</v>
      </c>
      <c r="D38" s="45">
        <v>97914</v>
      </c>
      <c r="E38" s="6" t="s">
        <v>1769</v>
      </c>
      <c r="F38" s="45" t="s">
        <v>163</v>
      </c>
      <c r="G38" s="46">
        <f t="shared" si="0"/>
        <v>10800</v>
      </c>
      <c r="H38" s="46">
        <f>TRUNC(S38*(1-LOTE_01!$K$10),2)</f>
        <v>2.99</v>
      </c>
      <c r="I38" s="46">
        <f>TRUNC(T38*(1-LOTE_01!$K$10),2)</f>
        <v>0.55000000000000004</v>
      </c>
      <c r="J38" s="100">
        <f t="shared" si="1"/>
        <v>0.22470000000000001</v>
      </c>
      <c r="K38" s="48">
        <f t="shared" si="2"/>
        <v>3.66</v>
      </c>
      <c r="L38" s="48">
        <f t="shared" si="3"/>
        <v>0.67</v>
      </c>
      <c r="M38" s="48">
        <f t="shared" si="4"/>
        <v>39528</v>
      </c>
      <c r="N38" s="48">
        <f t="shared" si="5"/>
        <v>7236</v>
      </c>
      <c r="O38" s="50">
        <f t="shared" si="6"/>
        <v>46764</v>
      </c>
      <c r="P38" s="50">
        <v>0</v>
      </c>
      <c r="Q38" s="76"/>
      <c r="R38" s="140">
        <f>R37*60</f>
        <v>10800</v>
      </c>
      <c r="S38" s="79">
        <v>2.99</v>
      </c>
      <c r="T38" s="80">
        <v>0.55000000000000004</v>
      </c>
    </row>
    <row r="39" spans="2:20" ht="28">
      <c r="B39" s="5" t="s">
        <v>164</v>
      </c>
      <c r="C39" s="45" t="s">
        <v>165</v>
      </c>
      <c r="D39" s="45" t="s">
        <v>166</v>
      </c>
      <c r="E39" s="6" t="s">
        <v>167</v>
      </c>
      <c r="F39" s="45" t="s">
        <v>168</v>
      </c>
      <c r="G39" s="46">
        <f t="shared" si="0"/>
        <v>15</v>
      </c>
      <c r="H39" s="46">
        <f>TRUNC(S39*(1-LOTE_01!$K$10),2)</f>
        <v>487.75</v>
      </c>
      <c r="I39" s="46">
        <f>TRUNC(T39*(1-LOTE_01!$K$10),2)</f>
        <v>234.01</v>
      </c>
      <c r="J39" s="100">
        <f t="shared" si="1"/>
        <v>0.22470000000000001</v>
      </c>
      <c r="K39" s="48">
        <f t="shared" si="2"/>
        <v>597.34</v>
      </c>
      <c r="L39" s="48">
        <f t="shared" si="3"/>
        <v>286.58999999999997</v>
      </c>
      <c r="M39" s="48">
        <f t="shared" si="4"/>
        <v>8960.1</v>
      </c>
      <c r="N39" s="48">
        <f t="shared" si="5"/>
        <v>4298.8500000000004</v>
      </c>
      <c r="O39" s="50">
        <f t="shared" si="6"/>
        <v>13258.95</v>
      </c>
      <c r="P39" s="50">
        <v>0</v>
      </c>
      <c r="Q39" s="76"/>
      <c r="R39" s="140">
        <f>IF((3*S9+3*S10)&gt;50,50,(3*S9+3*S10))</f>
        <v>15</v>
      </c>
      <c r="S39" s="79">
        <v>487.75</v>
      </c>
      <c r="T39" s="80">
        <v>234.01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277762.20000000013</v>
      </c>
      <c r="Q40" s="107"/>
      <c r="R40" s="154"/>
      <c r="S40" s="43" t="s">
        <v>22</v>
      </c>
      <c r="T40" s="44" t="s">
        <v>22</v>
      </c>
    </row>
    <row r="41" spans="2:20" ht="42">
      <c r="B41" s="5" t="s">
        <v>169</v>
      </c>
      <c r="C41" s="45" t="s">
        <v>135</v>
      </c>
      <c r="D41" s="45">
        <v>97622</v>
      </c>
      <c r="E41" s="6" t="s">
        <v>170</v>
      </c>
      <c r="F41" s="45" t="s">
        <v>161</v>
      </c>
      <c r="G41" s="46">
        <f t="shared" si="0"/>
        <v>100</v>
      </c>
      <c r="H41" s="46">
        <f>TRUNC(S41*(1-LOTE_01!$K$10),2)</f>
        <v>21.11</v>
      </c>
      <c r="I41" s="46">
        <f>TRUNC(T41*(1-LOTE_01!$K$10),2)</f>
        <v>45.04</v>
      </c>
      <c r="J41" s="100">
        <f t="shared" si="1"/>
        <v>0.22470000000000001</v>
      </c>
      <c r="K41" s="48">
        <f t="shared" si="2"/>
        <v>25.85</v>
      </c>
      <c r="L41" s="48">
        <f t="shared" si="3"/>
        <v>55.16</v>
      </c>
      <c r="M41" s="48">
        <f t="shared" si="4"/>
        <v>2585</v>
      </c>
      <c r="N41" s="48">
        <f t="shared" si="5"/>
        <v>5516</v>
      </c>
      <c r="O41" s="50">
        <f t="shared" si="6"/>
        <v>8101</v>
      </c>
      <c r="P41" s="50">
        <v>0</v>
      </c>
      <c r="Q41" s="76"/>
      <c r="R41" s="140">
        <f>20*S9+20*S10</f>
        <v>100</v>
      </c>
      <c r="S41" s="79">
        <v>21.110000000000007</v>
      </c>
      <c r="T41" s="80">
        <v>45.04</v>
      </c>
    </row>
    <row r="42" spans="2:20" ht="42">
      <c r="B42" s="5" t="s">
        <v>171</v>
      </c>
      <c r="C42" s="45" t="s">
        <v>135</v>
      </c>
      <c r="D42" s="45">
        <v>97624</v>
      </c>
      <c r="E42" s="6" t="s">
        <v>172</v>
      </c>
      <c r="F42" s="45" t="s">
        <v>161</v>
      </c>
      <c r="G42" s="46">
        <f t="shared" si="0"/>
        <v>10</v>
      </c>
      <c r="H42" s="46">
        <f>TRUNC(S42*(1-LOTE_01!$K$10),2)</f>
        <v>39.68</v>
      </c>
      <c r="I42" s="46">
        <f>TRUNC(T42*(1-LOTE_01!$K$10),2)</f>
        <v>84.69</v>
      </c>
      <c r="J42" s="100">
        <f t="shared" si="1"/>
        <v>0.22470000000000001</v>
      </c>
      <c r="K42" s="48">
        <f t="shared" si="2"/>
        <v>48.59</v>
      </c>
      <c r="L42" s="48">
        <f t="shared" si="3"/>
        <v>103.71</v>
      </c>
      <c r="M42" s="48">
        <f t="shared" si="4"/>
        <v>485.9</v>
      </c>
      <c r="N42" s="48">
        <f t="shared" si="5"/>
        <v>1037.0999999999999</v>
      </c>
      <c r="O42" s="50">
        <f t="shared" si="6"/>
        <v>1523</v>
      </c>
      <c r="P42" s="50">
        <v>0</v>
      </c>
      <c r="Q42" s="76"/>
      <c r="R42" s="140">
        <f>IF((5*S9+5*S10)&gt;10,10,(5*S9+5*S10))</f>
        <v>10</v>
      </c>
      <c r="S42" s="79">
        <v>39.680000000000007</v>
      </c>
      <c r="T42" s="80">
        <v>84.69</v>
      </c>
    </row>
    <row r="43" spans="2:20" ht="56">
      <c r="B43" s="5" t="s">
        <v>173</v>
      </c>
      <c r="C43" s="45" t="s">
        <v>135</v>
      </c>
      <c r="D43" s="45">
        <v>97625</v>
      </c>
      <c r="E43" s="6" t="s">
        <v>174</v>
      </c>
      <c r="F43" s="45" t="s">
        <v>161</v>
      </c>
      <c r="G43" s="46">
        <f t="shared" si="0"/>
        <v>35</v>
      </c>
      <c r="H43" s="46">
        <f>TRUNC(S43*(1-LOTE_01!$K$10),2)</f>
        <v>46.39</v>
      </c>
      <c r="I43" s="46">
        <f>TRUNC(T43*(1-LOTE_01!$K$10),2)</f>
        <v>9.51</v>
      </c>
      <c r="J43" s="100">
        <f t="shared" si="1"/>
        <v>0.22470000000000001</v>
      </c>
      <c r="K43" s="48">
        <f t="shared" si="2"/>
        <v>56.81</v>
      </c>
      <c r="L43" s="48">
        <f t="shared" si="3"/>
        <v>11.64</v>
      </c>
      <c r="M43" s="48">
        <f t="shared" si="4"/>
        <v>1988.35</v>
      </c>
      <c r="N43" s="48">
        <f t="shared" si="5"/>
        <v>407.4</v>
      </c>
      <c r="O43" s="50">
        <f t="shared" si="6"/>
        <v>2395.75</v>
      </c>
      <c r="P43" s="50">
        <v>0</v>
      </c>
      <c r="Q43" s="76"/>
      <c r="R43" s="140">
        <f>IF((5*S9+10*S10)&gt;200,200,(5*S9+10*S10))</f>
        <v>35</v>
      </c>
      <c r="S43" s="79">
        <v>46.39</v>
      </c>
      <c r="T43" s="80">
        <v>9.51</v>
      </c>
    </row>
    <row r="44" spans="2:20" ht="56">
      <c r="B44" s="5" t="s">
        <v>175</v>
      </c>
      <c r="C44" s="45" t="s">
        <v>135</v>
      </c>
      <c r="D44" s="45">
        <v>97626</v>
      </c>
      <c r="E44" s="6" t="s">
        <v>176</v>
      </c>
      <c r="F44" s="45" t="s">
        <v>161</v>
      </c>
      <c r="G44" s="46">
        <f t="shared" si="0"/>
        <v>5</v>
      </c>
      <c r="H44" s="46">
        <f>TRUNC(S44*(1-LOTE_01!$K$10),2)</f>
        <v>212.07</v>
      </c>
      <c r="I44" s="46">
        <f>TRUNC(T44*(1-LOTE_01!$K$10),2)</f>
        <v>452.71</v>
      </c>
      <c r="J44" s="100">
        <f t="shared" si="1"/>
        <v>0.22470000000000001</v>
      </c>
      <c r="K44" s="48">
        <f t="shared" si="2"/>
        <v>259.72000000000003</v>
      </c>
      <c r="L44" s="48">
        <f t="shared" si="3"/>
        <v>554.42999999999995</v>
      </c>
      <c r="M44" s="48">
        <f t="shared" si="4"/>
        <v>1298.5999999999999</v>
      </c>
      <c r="N44" s="48">
        <f t="shared" si="5"/>
        <v>2772.15</v>
      </c>
      <c r="O44" s="50">
        <f t="shared" si="6"/>
        <v>4070.75</v>
      </c>
      <c r="P44" s="50">
        <v>0</v>
      </c>
      <c r="Q44" s="76"/>
      <c r="R44" s="140">
        <f>IF((S9+S10)&gt;10,10,(S9+S10))</f>
        <v>5</v>
      </c>
      <c r="S44" s="79">
        <v>212.07</v>
      </c>
      <c r="T44" s="80">
        <v>452.71</v>
      </c>
    </row>
    <row r="45" spans="2:20" ht="42">
      <c r="B45" s="5" t="s">
        <v>177</v>
      </c>
      <c r="C45" s="45" t="s">
        <v>135</v>
      </c>
      <c r="D45" s="45">
        <v>97628</v>
      </c>
      <c r="E45" s="6" t="s">
        <v>178</v>
      </c>
      <c r="F45" s="45" t="s">
        <v>161</v>
      </c>
      <c r="G45" s="46">
        <f t="shared" si="0"/>
        <v>5</v>
      </c>
      <c r="H45" s="46">
        <f>TRUNC(S45*(1-LOTE_01!$K$10),2)</f>
        <v>98.77</v>
      </c>
      <c r="I45" s="46">
        <f>TRUNC(T45*(1-LOTE_01!$K$10),2)</f>
        <v>210.84</v>
      </c>
      <c r="J45" s="100">
        <f t="shared" si="1"/>
        <v>0.22470000000000001</v>
      </c>
      <c r="K45" s="48">
        <f t="shared" si="2"/>
        <v>120.96</v>
      </c>
      <c r="L45" s="48">
        <f t="shared" si="3"/>
        <v>258.20999999999998</v>
      </c>
      <c r="M45" s="48">
        <f t="shared" si="4"/>
        <v>604.79999999999995</v>
      </c>
      <c r="N45" s="48">
        <f t="shared" si="5"/>
        <v>1291.05</v>
      </c>
      <c r="O45" s="50">
        <f t="shared" si="6"/>
        <v>1895.85</v>
      </c>
      <c r="P45" s="50">
        <v>0</v>
      </c>
      <c r="Q45" s="76"/>
      <c r="R45" s="140">
        <f>IF((S10+S9)&gt;5,5,(S10+S9))</f>
        <v>5</v>
      </c>
      <c r="S45" s="79">
        <v>98.77000000000001</v>
      </c>
      <c r="T45" s="80">
        <v>210.84</v>
      </c>
    </row>
    <row r="46" spans="2:20" ht="28">
      <c r="B46" s="5" t="s">
        <v>179</v>
      </c>
      <c r="C46" s="45" t="s">
        <v>165</v>
      </c>
      <c r="D46" s="45" t="s">
        <v>180</v>
      </c>
      <c r="E46" s="6" t="s">
        <v>181</v>
      </c>
      <c r="F46" s="45" t="s">
        <v>182</v>
      </c>
      <c r="G46" s="46">
        <f t="shared" si="0"/>
        <v>5</v>
      </c>
      <c r="H46" s="46">
        <f>TRUNC(S46*(1-LOTE_01!$K$10),2)</f>
        <v>0</v>
      </c>
      <c r="I46" s="46">
        <f>TRUNC(T46*(1-LOTE_01!$K$10),2)</f>
        <v>195</v>
      </c>
      <c r="J46" s="100">
        <f t="shared" si="1"/>
        <v>0.22470000000000001</v>
      </c>
      <c r="K46" s="48">
        <f t="shared" si="2"/>
        <v>0</v>
      </c>
      <c r="L46" s="48">
        <f t="shared" si="3"/>
        <v>238.81</v>
      </c>
      <c r="M46" s="48">
        <f t="shared" si="4"/>
        <v>0</v>
      </c>
      <c r="N46" s="48">
        <f t="shared" si="5"/>
        <v>1194.05</v>
      </c>
      <c r="O46" s="50">
        <f t="shared" si="6"/>
        <v>1194.05</v>
      </c>
      <c r="P46" s="50">
        <v>0</v>
      </c>
      <c r="Q46" s="76"/>
      <c r="R46" s="140">
        <f>IF((S10+S9)&gt;5,5,(S10+S9))</f>
        <v>5</v>
      </c>
      <c r="S46" s="79">
        <v>0</v>
      </c>
      <c r="T46" s="80">
        <v>195</v>
      </c>
    </row>
    <row r="47" spans="2:20" ht="42">
      <c r="B47" s="5" t="s">
        <v>183</v>
      </c>
      <c r="C47" s="45" t="s">
        <v>135</v>
      </c>
      <c r="D47" s="45">
        <v>97631</v>
      </c>
      <c r="E47" s="6" t="s">
        <v>184</v>
      </c>
      <c r="F47" s="45" t="s">
        <v>121</v>
      </c>
      <c r="G47" s="46">
        <f t="shared" si="0"/>
        <v>350</v>
      </c>
      <c r="H47" s="46">
        <f>TRUNC(S47*(1-LOTE_01!$K$10),2)</f>
        <v>4.16</v>
      </c>
      <c r="I47" s="46">
        <f>TRUNC(T47*(1-LOTE_01!$K$10),2)</f>
        <v>9.3000000000000007</v>
      </c>
      <c r="J47" s="100">
        <f t="shared" si="1"/>
        <v>0.22470000000000001</v>
      </c>
      <c r="K47" s="48">
        <f t="shared" si="2"/>
        <v>5.09</v>
      </c>
      <c r="L47" s="48">
        <f t="shared" si="3"/>
        <v>11.38</v>
      </c>
      <c r="M47" s="48">
        <f t="shared" si="4"/>
        <v>1781.5</v>
      </c>
      <c r="N47" s="48">
        <f t="shared" si="5"/>
        <v>3983</v>
      </c>
      <c r="O47" s="50">
        <f t="shared" si="6"/>
        <v>5764.5</v>
      </c>
      <c r="P47" s="50">
        <v>0</v>
      </c>
      <c r="Q47" s="76"/>
      <c r="R47" s="140">
        <f>IF((50*S9+100*S10)&gt;1000,1000,(50*S9+100*S10))</f>
        <v>350</v>
      </c>
      <c r="S47" s="79">
        <v>4.16</v>
      </c>
      <c r="T47" s="80">
        <v>9.3000000000000007</v>
      </c>
    </row>
    <row r="48" spans="2:20" ht="42">
      <c r="B48" s="5" t="s">
        <v>185</v>
      </c>
      <c r="C48" s="45" t="s">
        <v>135</v>
      </c>
      <c r="D48" s="45">
        <v>97632</v>
      </c>
      <c r="E48" s="6" t="s">
        <v>186</v>
      </c>
      <c r="F48" s="45" t="s">
        <v>187</v>
      </c>
      <c r="G48" s="46">
        <f t="shared" si="0"/>
        <v>500</v>
      </c>
      <c r="H48" s="46">
        <f>TRUNC(S48*(1-LOTE_01!$K$10),2)</f>
        <v>0.96</v>
      </c>
      <c r="I48" s="46">
        <f>TRUNC(T48*(1-LOTE_01!$K$10),2)</f>
        <v>2.2400000000000002</v>
      </c>
      <c r="J48" s="100">
        <f t="shared" si="1"/>
        <v>0.22470000000000001</v>
      </c>
      <c r="K48" s="48">
        <f t="shared" si="2"/>
        <v>1.17</v>
      </c>
      <c r="L48" s="48">
        <f t="shared" si="3"/>
        <v>2.74</v>
      </c>
      <c r="M48" s="48">
        <f t="shared" si="4"/>
        <v>585</v>
      </c>
      <c r="N48" s="48">
        <f t="shared" si="5"/>
        <v>1370</v>
      </c>
      <c r="O48" s="50">
        <f t="shared" si="6"/>
        <v>1955</v>
      </c>
      <c r="P48" s="50">
        <v>0</v>
      </c>
      <c r="Q48" s="76"/>
      <c r="R48" s="140">
        <f>100*S9+100*S10</f>
        <v>500</v>
      </c>
      <c r="S48" s="79">
        <v>0.96</v>
      </c>
      <c r="T48" s="80">
        <v>2.2400000000000002</v>
      </c>
    </row>
    <row r="49" spans="2:20" ht="42">
      <c r="B49" s="5" t="s">
        <v>188</v>
      </c>
      <c r="C49" s="45" t="s">
        <v>135</v>
      </c>
      <c r="D49" s="45">
        <v>97633</v>
      </c>
      <c r="E49" s="6" t="s">
        <v>189</v>
      </c>
      <c r="F49" s="45" t="s">
        <v>121</v>
      </c>
      <c r="G49" s="46">
        <f t="shared" si="0"/>
        <v>950</v>
      </c>
      <c r="H49" s="46">
        <f>TRUNC(S49*(1-LOTE_01!$K$10),2)</f>
        <v>8.32</v>
      </c>
      <c r="I49" s="46">
        <f>TRUNC(T49*(1-LOTE_01!$K$10),2)</f>
        <v>19.68</v>
      </c>
      <c r="J49" s="100">
        <f t="shared" si="1"/>
        <v>0.22470000000000001</v>
      </c>
      <c r="K49" s="48">
        <f t="shared" si="2"/>
        <v>10.18</v>
      </c>
      <c r="L49" s="48">
        <f t="shared" si="3"/>
        <v>24.1</v>
      </c>
      <c r="M49" s="48">
        <f t="shared" si="4"/>
        <v>9671</v>
      </c>
      <c r="N49" s="48">
        <f t="shared" si="5"/>
        <v>22895</v>
      </c>
      <c r="O49" s="50">
        <f t="shared" si="6"/>
        <v>32566</v>
      </c>
      <c r="P49" s="50">
        <v>0</v>
      </c>
      <c r="Q49" s="76"/>
      <c r="R49" s="140">
        <f>400*S10+50*S9</f>
        <v>950</v>
      </c>
      <c r="S49" s="79">
        <v>8.32</v>
      </c>
      <c r="T49" s="80">
        <v>19.68</v>
      </c>
    </row>
    <row r="50" spans="2:20" ht="28">
      <c r="B50" s="5" t="s">
        <v>190</v>
      </c>
      <c r="C50" s="45" t="s">
        <v>165</v>
      </c>
      <c r="D50" s="45" t="s">
        <v>191</v>
      </c>
      <c r="E50" s="6" t="s">
        <v>192</v>
      </c>
      <c r="F50" s="45" t="s">
        <v>168</v>
      </c>
      <c r="G50" s="46">
        <f t="shared" si="0"/>
        <v>860</v>
      </c>
      <c r="H50" s="46">
        <f>TRUNC(S50*(1-LOTE_01!$K$10),2)</f>
        <v>0</v>
      </c>
      <c r="I50" s="46">
        <f>TRUNC(T50*(1-LOTE_01!$K$10),2)</f>
        <v>3.75</v>
      </c>
      <c r="J50" s="100">
        <f t="shared" si="1"/>
        <v>0.22470000000000001</v>
      </c>
      <c r="K50" s="48">
        <f t="shared" si="2"/>
        <v>0</v>
      </c>
      <c r="L50" s="48">
        <f t="shared" si="3"/>
        <v>4.59</v>
      </c>
      <c r="M50" s="48">
        <f t="shared" si="4"/>
        <v>0</v>
      </c>
      <c r="N50" s="48">
        <f t="shared" si="5"/>
        <v>3947.4</v>
      </c>
      <c r="O50" s="50">
        <f t="shared" si="6"/>
        <v>3947.4</v>
      </c>
      <c r="P50" s="50">
        <v>0</v>
      </c>
      <c r="Q50" s="76"/>
      <c r="R50" s="140">
        <f>400*S10+20*S9</f>
        <v>860</v>
      </c>
      <c r="S50" s="79">
        <v>0</v>
      </c>
      <c r="T50" s="80">
        <v>3.75</v>
      </c>
    </row>
    <row r="51" spans="2:20" ht="56">
      <c r="B51" s="5" t="s">
        <v>193</v>
      </c>
      <c r="C51" s="45" t="s">
        <v>135</v>
      </c>
      <c r="D51" s="45">
        <v>97627</v>
      </c>
      <c r="E51" s="6" t="s">
        <v>194</v>
      </c>
      <c r="F51" s="45" t="s">
        <v>161</v>
      </c>
      <c r="G51" s="46">
        <f t="shared" si="0"/>
        <v>5</v>
      </c>
      <c r="H51" s="46">
        <f>TRUNC(S51*(1-LOTE_01!$K$10),2)</f>
        <v>66.22</v>
      </c>
      <c r="I51" s="46">
        <f>TRUNC(T51*(1-LOTE_01!$K$10),2)</f>
        <v>144.79</v>
      </c>
      <c r="J51" s="100">
        <f t="shared" si="1"/>
        <v>0.22470000000000001</v>
      </c>
      <c r="K51" s="48">
        <f t="shared" si="2"/>
        <v>81.09</v>
      </c>
      <c r="L51" s="48">
        <f t="shared" si="3"/>
        <v>177.32</v>
      </c>
      <c r="M51" s="48">
        <f t="shared" si="4"/>
        <v>405.45</v>
      </c>
      <c r="N51" s="48">
        <f t="shared" si="5"/>
        <v>886.6</v>
      </c>
      <c r="O51" s="50">
        <f t="shared" si="6"/>
        <v>1292.05</v>
      </c>
      <c r="P51" s="50">
        <v>0</v>
      </c>
      <c r="Q51" s="76"/>
      <c r="R51" s="140">
        <f>IF((S9+S10)&gt;10,10,(S9+S10))</f>
        <v>5</v>
      </c>
      <c r="S51" s="79">
        <v>66.22</v>
      </c>
      <c r="T51" s="80">
        <v>144.79</v>
      </c>
    </row>
    <row r="52" spans="2:20" ht="28">
      <c r="B52" s="5" t="s">
        <v>195</v>
      </c>
      <c r="C52" s="45" t="s">
        <v>165</v>
      </c>
      <c r="D52" s="45" t="s">
        <v>196</v>
      </c>
      <c r="E52" s="6" t="s">
        <v>197</v>
      </c>
      <c r="F52" s="45" t="s">
        <v>168</v>
      </c>
      <c r="G52" s="46">
        <f t="shared" si="0"/>
        <v>350</v>
      </c>
      <c r="H52" s="46">
        <f>TRUNC(S52*(1-LOTE_01!$K$10),2)</f>
        <v>0</v>
      </c>
      <c r="I52" s="46">
        <f>TRUNC(T52*(1-LOTE_01!$K$10),2)</f>
        <v>19.5</v>
      </c>
      <c r="J52" s="100">
        <f t="shared" si="1"/>
        <v>0.22470000000000001</v>
      </c>
      <c r="K52" s="48">
        <f t="shared" si="2"/>
        <v>0</v>
      </c>
      <c r="L52" s="48">
        <f t="shared" si="3"/>
        <v>23.88</v>
      </c>
      <c r="M52" s="48">
        <f t="shared" si="4"/>
        <v>0</v>
      </c>
      <c r="N52" s="48">
        <f t="shared" si="5"/>
        <v>8358</v>
      </c>
      <c r="O52" s="50">
        <f t="shared" si="6"/>
        <v>8358</v>
      </c>
      <c r="P52" s="50">
        <v>0</v>
      </c>
      <c r="Q52" s="76"/>
      <c r="R52" s="140">
        <f>IF((50*S9+100*S10)&gt;1000,1000,(50*S9+100*S10))</f>
        <v>350</v>
      </c>
      <c r="S52" s="79">
        <v>0</v>
      </c>
      <c r="T52" s="80">
        <v>19.5</v>
      </c>
    </row>
    <row r="53" spans="2:20" ht="28">
      <c r="B53" s="5" t="s">
        <v>198</v>
      </c>
      <c r="C53" s="45" t="s">
        <v>165</v>
      </c>
      <c r="D53" s="45" t="s">
        <v>199</v>
      </c>
      <c r="E53" s="6" t="s">
        <v>200</v>
      </c>
      <c r="F53" s="45" t="s">
        <v>168</v>
      </c>
      <c r="G53" s="46">
        <f t="shared" si="0"/>
        <v>200</v>
      </c>
      <c r="H53" s="46">
        <f>TRUNC(S53*(1-LOTE_01!$K$10),2)</f>
        <v>0</v>
      </c>
      <c r="I53" s="46">
        <f>TRUNC(T53*(1-LOTE_01!$K$10),2)</f>
        <v>10.5</v>
      </c>
      <c r="J53" s="100">
        <f t="shared" si="1"/>
        <v>0.22470000000000001</v>
      </c>
      <c r="K53" s="48">
        <f t="shared" si="2"/>
        <v>0</v>
      </c>
      <c r="L53" s="48">
        <f t="shared" si="3"/>
        <v>12.85</v>
      </c>
      <c r="M53" s="48">
        <f t="shared" si="4"/>
        <v>0</v>
      </c>
      <c r="N53" s="48">
        <f t="shared" si="5"/>
        <v>2570</v>
      </c>
      <c r="O53" s="50">
        <f t="shared" si="6"/>
        <v>2570</v>
      </c>
      <c r="P53" s="50">
        <v>0</v>
      </c>
      <c r="Q53" s="76"/>
      <c r="R53" s="140">
        <f>IF(50*(S10+S9)&gt;200,200,50*(S10+S9))</f>
        <v>200</v>
      </c>
      <c r="S53" s="79">
        <v>0</v>
      </c>
      <c r="T53" s="80">
        <v>10.5</v>
      </c>
    </row>
    <row r="54" spans="2:20" ht="28">
      <c r="B54" s="5" t="s">
        <v>201</v>
      </c>
      <c r="C54" s="45" t="s">
        <v>165</v>
      </c>
      <c r="D54" s="45" t="s">
        <v>202</v>
      </c>
      <c r="E54" s="6" t="s">
        <v>203</v>
      </c>
      <c r="F54" s="45" t="s">
        <v>168</v>
      </c>
      <c r="G54" s="46">
        <f t="shared" si="0"/>
        <v>100</v>
      </c>
      <c r="H54" s="46">
        <f>TRUNC(S54*(1-LOTE_01!$K$10),2)</f>
        <v>0</v>
      </c>
      <c r="I54" s="46">
        <f>TRUNC(T54*(1-LOTE_01!$K$10),2)</f>
        <v>18.59</v>
      </c>
      <c r="J54" s="100">
        <f t="shared" si="1"/>
        <v>0.22470000000000001</v>
      </c>
      <c r="K54" s="48">
        <f t="shared" si="2"/>
        <v>0</v>
      </c>
      <c r="L54" s="48">
        <f t="shared" si="3"/>
        <v>22.76</v>
      </c>
      <c r="M54" s="48">
        <f t="shared" si="4"/>
        <v>0</v>
      </c>
      <c r="N54" s="48">
        <f t="shared" si="5"/>
        <v>2276</v>
      </c>
      <c r="O54" s="50">
        <f t="shared" si="6"/>
        <v>2276</v>
      </c>
      <c r="P54" s="50">
        <v>0</v>
      </c>
      <c r="Q54" s="76"/>
      <c r="R54" s="140">
        <f>IF(20*(S10+S9)&gt;200,200,20*(S10+S9))</f>
        <v>100</v>
      </c>
      <c r="S54" s="79">
        <v>0</v>
      </c>
      <c r="T54" s="80">
        <v>18.59</v>
      </c>
    </row>
    <row r="55" spans="2:20" ht="42">
      <c r="B55" s="5" t="s">
        <v>204</v>
      </c>
      <c r="C55" s="45" t="s">
        <v>165</v>
      </c>
      <c r="D55" s="45" t="s">
        <v>205</v>
      </c>
      <c r="E55" s="6" t="s">
        <v>206</v>
      </c>
      <c r="F55" s="45" t="s">
        <v>168</v>
      </c>
      <c r="G55" s="46">
        <f t="shared" si="0"/>
        <v>2000</v>
      </c>
      <c r="H55" s="46">
        <f>TRUNC(S55*(1-LOTE_01!$K$10),2)</f>
        <v>0</v>
      </c>
      <c r="I55" s="46">
        <f>TRUNC(T55*(1-LOTE_01!$K$10),2)</f>
        <v>21</v>
      </c>
      <c r="J55" s="100">
        <f t="shared" si="1"/>
        <v>0.22470000000000001</v>
      </c>
      <c r="K55" s="48">
        <f t="shared" si="2"/>
        <v>0</v>
      </c>
      <c r="L55" s="48">
        <f t="shared" si="3"/>
        <v>25.71</v>
      </c>
      <c r="M55" s="48">
        <f t="shared" si="4"/>
        <v>0</v>
      </c>
      <c r="N55" s="48">
        <f t="shared" si="5"/>
        <v>51420</v>
      </c>
      <c r="O55" s="50">
        <f t="shared" si="6"/>
        <v>51420</v>
      </c>
      <c r="P55" s="50">
        <v>0</v>
      </c>
      <c r="Q55" s="76"/>
      <c r="R55" s="140">
        <f>400*(S10+S9)</f>
        <v>2000</v>
      </c>
      <c r="S55" s="79">
        <v>0</v>
      </c>
      <c r="T55" s="80">
        <v>21</v>
      </c>
    </row>
    <row r="56" spans="2:20" ht="28">
      <c r="B56" s="5" t="s">
        <v>207</v>
      </c>
      <c r="C56" s="45" t="s">
        <v>165</v>
      </c>
      <c r="D56" s="45" t="s">
        <v>196</v>
      </c>
      <c r="E56" s="6" t="s">
        <v>197</v>
      </c>
      <c r="F56" s="45" t="s">
        <v>168</v>
      </c>
      <c r="G56" s="46">
        <f t="shared" si="0"/>
        <v>350</v>
      </c>
      <c r="H56" s="46">
        <f>TRUNC(S56*(1-LOTE_01!$K$10),2)</f>
        <v>0</v>
      </c>
      <c r="I56" s="46">
        <f>TRUNC(T56*(1-LOTE_01!$K$10),2)</f>
        <v>19.5</v>
      </c>
      <c r="J56" s="100">
        <f t="shared" si="1"/>
        <v>0.22470000000000001</v>
      </c>
      <c r="K56" s="48">
        <f t="shared" si="2"/>
        <v>0</v>
      </c>
      <c r="L56" s="48">
        <f t="shared" si="3"/>
        <v>23.88</v>
      </c>
      <c r="M56" s="48">
        <f t="shared" si="4"/>
        <v>0</v>
      </c>
      <c r="N56" s="48">
        <f t="shared" si="5"/>
        <v>8358</v>
      </c>
      <c r="O56" s="50">
        <f t="shared" si="6"/>
        <v>8358</v>
      </c>
      <c r="P56" s="50">
        <v>0</v>
      </c>
      <c r="Q56" s="76"/>
      <c r="R56" s="140">
        <f>IF((50*S9+100*S10)&gt;1000,1000,(50*S9+100*S10))</f>
        <v>350</v>
      </c>
      <c r="S56" s="79">
        <v>0</v>
      </c>
      <c r="T56" s="80">
        <v>19.5</v>
      </c>
    </row>
    <row r="57" spans="2:20" ht="42">
      <c r="B57" s="5" t="s">
        <v>208</v>
      </c>
      <c r="C57" s="45" t="s">
        <v>135</v>
      </c>
      <c r="D57" s="45">
        <v>97666</v>
      </c>
      <c r="E57" s="6" t="s">
        <v>209</v>
      </c>
      <c r="F57" s="45" t="s">
        <v>210</v>
      </c>
      <c r="G57" s="46">
        <f t="shared" si="0"/>
        <v>22</v>
      </c>
      <c r="H57" s="46">
        <f>TRUNC(S57*(1-LOTE_01!$K$10),2)</f>
        <v>3.29</v>
      </c>
      <c r="I57" s="46">
        <f>TRUNC(T57*(1-LOTE_01!$K$10),2)</f>
        <v>7.61</v>
      </c>
      <c r="J57" s="100">
        <f t="shared" si="1"/>
        <v>0.22470000000000001</v>
      </c>
      <c r="K57" s="48">
        <f t="shared" si="2"/>
        <v>4.0199999999999996</v>
      </c>
      <c r="L57" s="48">
        <f t="shared" si="3"/>
        <v>9.31</v>
      </c>
      <c r="M57" s="48">
        <f t="shared" si="4"/>
        <v>88.44</v>
      </c>
      <c r="N57" s="48">
        <f t="shared" si="5"/>
        <v>204.82</v>
      </c>
      <c r="O57" s="50">
        <f t="shared" si="6"/>
        <v>293.26</v>
      </c>
      <c r="P57" s="50">
        <v>0</v>
      </c>
      <c r="Q57" s="76"/>
      <c r="R57" s="140">
        <f>IF((2*S9+8*S10)&gt;30,30,(2*S9+8*S10))</f>
        <v>22</v>
      </c>
      <c r="S57" s="79">
        <v>3.29</v>
      </c>
      <c r="T57" s="80">
        <v>7.61</v>
      </c>
    </row>
    <row r="58" spans="2:20" ht="56">
      <c r="B58" s="5" t="s">
        <v>211</v>
      </c>
      <c r="C58" s="45" t="s">
        <v>135</v>
      </c>
      <c r="D58" s="45">
        <v>97635</v>
      </c>
      <c r="E58" s="6" t="s">
        <v>212</v>
      </c>
      <c r="F58" s="45" t="s">
        <v>121</v>
      </c>
      <c r="G58" s="46">
        <f t="shared" si="0"/>
        <v>300</v>
      </c>
      <c r="H58" s="46">
        <f>TRUNC(S58*(1-LOTE_01!$K$10),2)</f>
        <v>5.75</v>
      </c>
      <c r="I58" s="46">
        <f>TRUNC(T58*(1-LOTE_01!$K$10),2)</f>
        <v>14.65</v>
      </c>
      <c r="J58" s="100">
        <f t="shared" si="1"/>
        <v>0.22470000000000001</v>
      </c>
      <c r="K58" s="48">
        <f t="shared" si="2"/>
        <v>7.04</v>
      </c>
      <c r="L58" s="48">
        <f t="shared" si="3"/>
        <v>17.940000000000001</v>
      </c>
      <c r="M58" s="48">
        <f t="shared" si="4"/>
        <v>2112</v>
      </c>
      <c r="N58" s="48">
        <f t="shared" si="5"/>
        <v>5382</v>
      </c>
      <c r="O58" s="50">
        <f t="shared" si="6"/>
        <v>7494</v>
      </c>
      <c r="P58" s="50">
        <v>0</v>
      </c>
      <c r="Q58" s="76"/>
      <c r="R58" s="140">
        <f>IF((50*S9+100*S10)&gt;300,300,(50*S9+100*S10))</f>
        <v>300</v>
      </c>
      <c r="S58" s="79">
        <v>5.7499999999999982</v>
      </c>
      <c r="T58" s="80">
        <v>14.65</v>
      </c>
    </row>
    <row r="59" spans="2:20" ht="56">
      <c r="B59" s="5" t="s">
        <v>213</v>
      </c>
      <c r="C59" s="45" t="s">
        <v>135</v>
      </c>
      <c r="D59" s="45">
        <v>97643</v>
      </c>
      <c r="E59" s="6" t="s">
        <v>214</v>
      </c>
      <c r="F59" s="45" t="s">
        <v>121</v>
      </c>
      <c r="G59" s="46">
        <f t="shared" si="0"/>
        <v>200</v>
      </c>
      <c r="H59" s="46">
        <f>TRUNC(S59*(1-LOTE_01!$K$10),2)</f>
        <v>9.09</v>
      </c>
      <c r="I59" s="46">
        <f>TRUNC(T59*(1-LOTE_01!$K$10),2)</f>
        <v>20.74</v>
      </c>
      <c r="J59" s="100">
        <f t="shared" si="1"/>
        <v>0.22470000000000001</v>
      </c>
      <c r="K59" s="48">
        <f t="shared" si="2"/>
        <v>11.13</v>
      </c>
      <c r="L59" s="48">
        <f t="shared" si="3"/>
        <v>25.4</v>
      </c>
      <c r="M59" s="48">
        <f t="shared" si="4"/>
        <v>2226</v>
      </c>
      <c r="N59" s="48">
        <f t="shared" si="5"/>
        <v>5080</v>
      </c>
      <c r="O59" s="50">
        <f t="shared" si="6"/>
        <v>7306</v>
      </c>
      <c r="P59" s="50">
        <v>0</v>
      </c>
      <c r="Q59" s="76"/>
      <c r="R59" s="140">
        <f>IF((50*S9+50*S10)&gt;200,200,(50*S9+50*S10))</f>
        <v>200</v>
      </c>
      <c r="S59" s="79">
        <v>9.09</v>
      </c>
      <c r="T59" s="80">
        <v>20.74</v>
      </c>
    </row>
    <row r="60" spans="2:20" ht="28">
      <c r="B60" s="5" t="s">
        <v>215</v>
      </c>
      <c r="C60" s="45" t="s">
        <v>165</v>
      </c>
      <c r="D60" s="45" t="s">
        <v>216</v>
      </c>
      <c r="E60" s="6" t="s">
        <v>217</v>
      </c>
      <c r="F60" s="45" t="s">
        <v>168</v>
      </c>
      <c r="G60" s="46">
        <f t="shared" si="0"/>
        <v>50</v>
      </c>
      <c r="H60" s="46">
        <f>TRUNC(S60*(1-LOTE_01!$K$10),2)</f>
        <v>0</v>
      </c>
      <c r="I60" s="46">
        <f>TRUNC(T60*(1-LOTE_01!$K$10),2)</f>
        <v>1.5</v>
      </c>
      <c r="J60" s="100">
        <f t="shared" si="1"/>
        <v>0.22470000000000001</v>
      </c>
      <c r="K60" s="48">
        <f t="shared" si="2"/>
        <v>0</v>
      </c>
      <c r="L60" s="48">
        <f t="shared" si="3"/>
        <v>1.83</v>
      </c>
      <c r="M60" s="48">
        <f t="shared" si="4"/>
        <v>0</v>
      </c>
      <c r="N60" s="48">
        <f t="shared" si="5"/>
        <v>91.5</v>
      </c>
      <c r="O60" s="50">
        <f t="shared" si="6"/>
        <v>91.5</v>
      </c>
      <c r="P60" s="50">
        <v>0</v>
      </c>
      <c r="Q60" s="76"/>
      <c r="R60" s="140">
        <f>IF((50*S9+50*S10)&gt;50,50,(50*S9+50*S10))</f>
        <v>50</v>
      </c>
      <c r="S60" s="79">
        <v>0</v>
      </c>
      <c r="T60" s="80">
        <v>1.5</v>
      </c>
    </row>
    <row r="61" spans="2:20" ht="28">
      <c r="B61" s="5" t="s">
        <v>218</v>
      </c>
      <c r="C61" s="45" t="s">
        <v>165</v>
      </c>
      <c r="D61" s="45" t="s">
        <v>219</v>
      </c>
      <c r="E61" s="6" t="s">
        <v>220</v>
      </c>
      <c r="F61" s="45" t="s">
        <v>168</v>
      </c>
      <c r="G61" s="46">
        <f t="shared" si="0"/>
        <v>460</v>
      </c>
      <c r="H61" s="46">
        <f>TRUNC(S61*(1-LOTE_01!$K$10),2)</f>
        <v>0</v>
      </c>
      <c r="I61" s="46">
        <f>TRUNC(T61*(1-LOTE_01!$K$10),2)</f>
        <v>13.5</v>
      </c>
      <c r="J61" s="100">
        <f t="shared" si="1"/>
        <v>0.22470000000000001</v>
      </c>
      <c r="K61" s="48">
        <f t="shared" si="2"/>
        <v>0</v>
      </c>
      <c r="L61" s="48">
        <f t="shared" si="3"/>
        <v>16.53</v>
      </c>
      <c r="M61" s="48">
        <f t="shared" si="4"/>
        <v>0</v>
      </c>
      <c r="N61" s="48">
        <f t="shared" si="5"/>
        <v>7603.8</v>
      </c>
      <c r="O61" s="50">
        <f t="shared" si="6"/>
        <v>7603.8</v>
      </c>
      <c r="P61" s="50">
        <v>0</v>
      </c>
      <c r="Q61" s="76"/>
      <c r="R61" s="140">
        <f>IF((20*S9+200*S10)&gt;500,500,((20*S9+200*S10)))</f>
        <v>460</v>
      </c>
      <c r="S61" s="79">
        <v>0</v>
      </c>
      <c r="T61" s="80">
        <v>13.5</v>
      </c>
    </row>
    <row r="62" spans="2:20" ht="42">
      <c r="B62" s="5" t="s">
        <v>221</v>
      </c>
      <c r="C62" s="45" t="s">
        <v>135</v>
      </c>
      <c r="D62" s="45">
        <v>97641</v>
      </c>
      <c r="E62" s="6" t="s">
        <v>222</v>
      </c>
      <c r="F62" s="45" t="s">
        <v>121</v>
      </c>
      <c r="G62" s="46">
        <f t="shared" si="0"/>
        <v>55</v>
      </c>
      <c r="H62" s="46">
        <f>TRUNC(S62*(1-LOTE_01!$K$10),2)</f>
        <v>1.08</v>
      </c>
      <c r="I62" s="46">
        <f>TRUNC(T62*(1-LOTE_01!$K$10),2)</f>
        <v>2.37</v>
      </c>
      <c r="J62" s="100">
        <f t="shared" si="1"/>
        <v>0.22470000000000001</v>
      </c>
      <c r="K62" s="48">
        <f t="shared" si="2"/>
        <v>1.32</v>
      </c>
      <c r="L62" s="48">
        <f t="shared" si="3"/>
        <v>2.9</v>
      </c>
      <c r="M62" s="48">
        <f t="shared" si="4"/>
        <v>72.599999999999994</v>
      </c>
      <c r="N62" s="48">
        <f t="shared" si="5"/>
        <v>159.5</v>
      </c>
      <c r="O62" s="50">
        <f t="shared" si="6"/>
        <v>232.1</v>
      </c>
      <c r="P62" s="50">
        <v>0</v>
      </c>
      <c r="Q62" s="76"/>
      <c r="R62" s="140">
        <f>IF((5*S9+20*S10)&gt;500,500,(5*S9+20*S10))</f>
        <v>55</v>
      </c>
      <c r="S62" s="79">
        <v>1.08</v>
      </c>
      <c r="T62" s="80">
        <v>2.37</v>
      </c>
    </row>
    <row r="63" spans="2:20" ht="56">
      <c r="B63" s="5" t="s">
        <v>223</v>
      </c>
      <c r="C63" s="45" t="s">
        <v>135</v>
      </c>
      <c r="D63" s="45">
        <v>97640</v>
      </c>
      <c r="E63" s="6" t="s">
        <v>224</v>
      </c>
      <c r="F63" s="45" t="s">
        <v>121</v>
      </c>
      <c r="G63" s="46">
        <f t="shared" si="0"/>
        <v>460</v>
      </c>
      <c r="H63" s="46">
        <f>TRUNC(S63*(1-LOTE_01!$K$10),2)</f>
        <v>0.7</v>
      </c>
      <c r="I63" s="46">
        <f>TRUNC(T63*(1-LOTE_01!$K$10),2)</f>
        <v>1.53</v>
      </c>
      <c r="J63" s="100">
        <f t="shared" si="1"/>
        <v>0.22470000000000001</v>
      </c>
      <c r="K63" s="48">
        <f t="shared" si="2"/>
        <v>0.85</v>
      </c>
      <c r="L63" s="48">
        <f t="shared" si="3"/>
        <v>1.87</v>
      </c>
      <c r="M63" s="48">
        <f t="shared" si="4"/>
        <v>391</v>
      </c>
      <c r="N63" s="48">
        <f t="shared" si="5"/>
        <v>860.2</v>
      </c>
      <c r="O63" s="50">
        <f t="shared" si="6"/>
        <v>1251.2</v>
      </c>
      <c r="P63" s="50">
        <v>0</v>
      </c>
      <c r="Q63" s="76"/>
      <c r="R63" s="140">
        <f>IF((200*S9+200*S10)&gt;2000,2000,((20*S9+200*S10)))</f>
        <v>460</v>
      </c>
      <c r="S63" s="79">
        <v>0.7</v>
      </c>
      <c r="T63" s="80">
        <v>1.53</v>
      </c>
    </row>
    <row r="64" spans="2:20" ht="42">
      <c r="B64" s="5" t="s">
        <v>225</v>
      </c>
      <c r="C64" s="45" t="s">
        <v>135</v>
      </c>
      <c r="D64" s="45">
        <v>97663</v>
      </c>
      <c r="E64" s="6" t="s">
        <v>226</v>
      </c>
      <c r="F64" s="45" t="s">
        <v>210</v>
      </c>
      <c r="G64" s="46">
        <f t="shared" si="0"/>
        <v>250</v>
      </c>
      <c r="H64" s="46">
        <f>TRUNC(S64*(1-LOTE_01!$K$10),2)</f>
        <v>4.51</v>
      </c>
      <c r="I64" s="46">
        <f>TRUNC(T64*(1-LOTE_01!$K$10),2)</f>
        <v>10.44</v>
      </c>
      <c r="J64" s="100">
        <f t="shared" si="1"/>
        <v>0.22470000000000001</v>
      </c>
      <c r="K64" s="48">
        <f t="shared" si="2"/>
        <v>5.52</v>
      </c>
      <c r="L64" s="48">
        <f t="shared" si="3"/>
        <v>12.78</v>
      </c>
      <c r="M64" s="48">
        <f t="shared" si="4"/>
        <v>1380</v>
      </c>
      <c r="N64" s="48">
        <f t="shared" si="5"/>
        <v>3195</v>
      </c>
      <c r="O64" s="50">
        <f t="shared" si="6"/>
        <v>4575</v>
      </c>
      <c r="P64" s="50">
        <v>0</v>
      </c>
      <c r="Q64" s="76"/>
      <c r="R64" s="140">
        <f>50*(S9+S10)</f>
        <v>250</v>
      </c>
      <c r="S64" s="79">
        <v>4.51</v>
      </c>
      <c r="T64" s="80">
        <v>10.44</v>
      </c>
    </row>
    <row r="65" spans="2:20" ht="42">
      <c r="B65" s="5" t="s">
        <v>227</v>
      </c>
      <c r="C65" s="45" t="s">
        <v>135</v>
      </c>
      <c r="D65" s="45">
        <v>97638</v>
      </c>
      <c r="E65" s="6" t="s">
        <v>228</v>
      </c>
      <c r="F65" s="45" t="s">
        <v>121</v>
      </c>
      <c r="G65" s="46">
        <f t="shared" si="0"/>
        <v>260</v>
      </c>
      <c r="H65" s="46">
        <f>TRUNC(S65*(1-LOTE_01!$K$10),2)</f>
        <v>2.98</v>
      </c>
      <c r="I65" s="46">
        <f>TRUNC(T65*(1-LOTE_01!$K$10),2)</f>
        <v>6.55</v>
      </c>
      <c r="J65" s="100">
        <f t="shared" si="1"/>
        <v>0.22470000000000001</v>
      </c>
      <c r="K65" s="48">
        <f t="shared" si="2"/>
        <v>3.64</v>
      </c>
      <c r="L65" s="48">
        <f t="shared" si="3"/>
        <v>8.02</v>
      </c>
      <c r="M65" s="48">
        <f t="shared" si="4"/>
        <v>946.4</v>
      </c>
      <c r="N65" s="48">
        <f t="shared" si="5"/>
        <v>2085.1999999999998</v>
      </c>
      <c r="O65" s="50">
        <f t="shared" si="6"/>
        <v>3031.6</v>
      </c>
      <c r="P65" s="50">
        <v>0</v>
      </c>
      <c r="Q65" s="76"/>
      <c r="R65" s="140">
        <f>IF((20*S9+100*S10)&gt;500,500,(20*S9+100*S10))</f>
        <v>260</v>
      </c>
      <c r="S65" s="79">
        <v>2.9799999999999995</v>
      </c>
      <c r="T65" s="80">
        <v>6.55</v>
      </c>
    </row>
    <row r="66" spans="2:20" ht="56">
      <c r="B66" s="5" t="s">
        <v>229</v>
      </c>
      <c r="C66" s="45" t="s">
        <v>135</v>
      </c>
      <c r="D66" s="45">
        <v>97642</v>
      </c>
      <c r="E66" s="6" t="s">
        <v>230</v>
      </c>
      <c r="F66" s="45" t="s">
        <v>121</v>
      </c>
      <c r="G66" s="46">
        <f t="shared" si="0"/>
        <v>430</v>
      </c>
      <c r="H66" s="46">
        <f>TRUNC(S66*(1-LOTE_01!$K$10),2)</f>
        <v>1</v>
      </c>
      <c r="I66" s="46">
        <f>TRUNC(T66*(1-LOTE_01!$K$10),2)</f>
        <v>2.19</v>
      </c>
      <c r="J66" s="100">
        <f t="shared" si="1"/>
        <v>0.22470000000000001</v>
      </c>
      <c r="K66" s="48">
        <f t="shared" si="2"/>
        <v>1.22</v>
      </c>
      <c r="L66" s="48">
        <f t="shared" si="3"/>
        <v>2.68</v>
      </c>
      <c r="M66" s="48">
        <f t="shared" si="4"/>
        <v>524.6</v>
      </c>
      <c r="N66" s="48">
        <f t="shared" si="5"/>
        <v>1152.4000000000001</v>
      </c>
      <c r="O66" s="50">
        <f t="shared" si="6"/>
        <v>1677</v>
      </c>
      <c r="P66" s="50">
        <v>0</v>
      </c>
      <c r="Q66" s="76"/>
      <c r="R66" s="140">
        <f>IF((10*S9+200*S10)&gt;2000,2000,((10*S9+200*S10)))</f>
        <v>430</v>
      </c>
      <c r="S66" s="79">
        <v>1</v>
      </c>
      <c r="T66" s="80">
        <v>2.19</v>
      </c>
    </row>
    <row r="67" spans="2:20" ht="42">
      <c r="B67" s="5" t="s">
        <v>231</v>
      </c>
      <c r="C67" s="45" t="s">
        <v>135</v>
      </c>
      <c r="D67" s="45">
        <v>97650</v>
      </c>
      <c r="E67" s="6" t="s">
        <v>232</v>
      </c>
      <c r="F67" s="45" t="s">
        <v>121</v>
      </c>
      <c r="G67" s="46">
        <f t="shared" si="0"/>
        <v>260</v>
      </c>
      <c r="H67" s="46">
        <f>TRUNC(S67*(1-LOTE_01!$K$10),2)</f>
        <v>2.77</v>
      </c>
      <c r="I67" s="46">
        <f>TRUNC(T67*(1-LOTE_01!$K$10),2)</f>
        <v>6.27</v>
      </c>
      <c r="J67" s="100">
        <f t="shared" si="1"/>
        <v>0.22470000000000001</v>
      </c>
      <c r="K67" s="48">
        <f t="shared" si="2"/>
        <v>3.39</v>
      </c>
      <c r="L67" s="48">
        <f t="shared" si="3"/>
        <v>7.67</v>
      </c>
      <c r="M67" s="48">
        <f t="shared" si="4"/>
        <v>881.4</v>
      </c>
      <c r="N67" s="48">
        <f t="shared" si="5"/>
        <v>1994.2</v>
      </c>
      <c r="O67" s="50">
        <f t="shared" si="6"/>
        <v>2875.6</v>
      </c>
      <c r="P67" s="50">
        <v>0</v>
      </c>
      <c r="Q67" s="76"/>
      <c r="R67" s="140">
        <f>IF((20*S9+300*S10)&gt;1000,1000,(20*S9+100*S10))</f>
        <v>260</v>
      </c>
      <c r="S67" s="79">
        <v>2.7699999999999996</v>
      </c>
      <c r="T67" s="80">
        <v>6.27</v>
      </c>
    </row>
    <row r="68" spans="2:20" ht="56">
      <c r="B68" s="5" t="s">
        <v>233</v>
      </c>
      <c r="C68" s="45" t="s">
        <v>135</v>
      </c>
      <c r="D68" s="45">
        <v>97637</v>
      </c>
      <c r="E68" s="6" t="s">
        <v>234</v>
      </c>
      <c r="F68" s="45" t="s">
        <v>121</v>
      </c>
      <c r="G68" s="46">
        <f t="shared" si="0"/>
        <v>100</v>
      </c>
      <c r="H68" s="46">
        <f>TRUNC(S68*(1-LOTE_01!$K$10),2)</f>
        <v>1.03</v>
      </c>
      <c r="I68" s="46">
        <f>TRUNC(T68*(1-LOTE_01!$K$10),2)</f>
        <v>2.25</v>
      </c>
      <c r="J68" s="100">
        <f t="shared" si="1"/>
        <v>0.22470000000000001</v>
      </c>
      <c r="K68" s="48">
        <f t="shared" si="2"/>
        <v>1.26</v>
      </c>
      <c r="L68" s="48">
        <f t="shared" si="3"/>
        <v>2.75</v>
      </c>
      <c r="M68" s="48">
        <f t="shared" si="4"/>
        <v>126</v>
      </c>
      <c r="N68" s="48">
        <f t="shared" si="5"/>
        <v>275</v>
      </c>
      <c r="O68" s="50">
        <f t="shared" si="6"/>
        <v>401</v>
      </c>
      <c r="P68" s="50">
        <v>0</v>
      </c>
      <c r="Q68" s="76"/>
      <c r="R68" s="140">
        <f>IF((10*S9+30*3*S10)&gt;100,100,(10*S9+15*3*S10))</f>
        <v>100</v>
      </c>
      <c r="S68" s="79">
        <v>1.0299999999999998</v>
      </c>
      <c r="T68" s="80">
        <v>2.25</v>
      </c>
    </row>
    <row r="69" spans="2:20" ht="42">
      <c r="B69" s="5" t="s">
        <v>235</v>
      </c>
      <c r="C69" s="45" t="s">
        <v>135</v>
      </c>
      <c r="D69" s="45">
        <v>97644</v>
      </c>
      <c r="E69" s="6" t="s">
        <v>236</v>
      </c>
      <c r="F69" s="45" t="s">
        <v>121</v>
      </c>
      <c r="G69" s="46">
        <f t="shared" si="0"/>
        <v>28.35</v>
      </c>
      <c r="H69" s="46">
        <f>TRUNC(S69*(1-LOTE_01!$K$10),2)</f>
        <v>3.44</v>
      </c>
      <c r="I69" s="46">
        <f>TRUNC(T69*(1-LOTE_01!$K$10),2)</f>
        <v>7.84</v>
      </c>
      <c r="J69" s="100">
        <f t="shared" si="1"/>
        <v>0.22470000000000001</v>
      </c>
      <c r="K69" s="48">
        <f t="shared" si="2"/>
        <v>4.21</v>
      </c>
      <c r="L69" s="48">
        <f t="shared" si="3"/>
        <v>9.6</v>
      </c>
      <c r="M69" s="48">
        <f t="shared" si="4"/>
        <v>119.35</v>
      </c>
      <c r="N69" s="48">
        <f t="shared" si="5"/>
        <v>272.16000000000003</v>
      </c>
      <c r="O69" s="50">
        <f t="shared" si="6"/>
        <v>391.51</v>
      </c>
      <c r="P69" s="50">
        <v>0</v>
      </c>
      <c r="Q69" s="76"/>
      <c r="R69" s="140">
        <f>IF((0.9*2.1*3*S9+0.9*2.1*3*S10)&gt;100,100,(0.9*2.1*3*S9+0.9*2.1*3*S10))</f>
        <v>28.349999999999998</v>
      </c>
      <c r="S69" s="79">
        <v>3.4399999999999995</v>
      </c>
      <c r="T69" s="80">
        <v>7.84</v>
      </c>
    </row>
    <row r="70" spans="2:20" ht="42">
      <c r="B70" s="5" t="s">
        <v>237</v>
      </c>
      <c r="C70" s="45" t="s">
        <v>135</v>
      </c>
      <c r="D70" s="45">
        <v>97645</v>
      </c>
      <c r="E70" s="6" t="s">
        <v>238</v>
      </c>
      <c r="F70" s="45" t="s">
        <v>121</v>
      </c>
      <c r="G70" s="46">
        <f t="shared" si="0"/>
        <v>58.5</v>
      </c>
      <c r="H70" s="46">
        <f>TRUNC(S70*(1-LOTE_01!$K$10),2)</f>
        <v>8.9</v>
      </c>
      <c r="I70" s="46">
        <f>TRUNC(T70*(1-LOTE_01!$K$10),2)</f>
        <v>20.239999999999998</v>
      </c>
      <c r="J70" s="100">
        <f t="shared" si="1"/>
        <v>0.22470000000000001</v>
      </c>
      <c r="K70" s="48">
        <f t="shared" si="2"/>
        <v>10.89</v>
      </c>
      <c r="L70" s="48">
        <f t="shared" si="3"/>
        <v>24.78</v>
      </c>
      <c r="M70" s="48">
        <f t="shared" si="4"/>
        <v>637.05999999999995</v>
      </c>
      <c r="N70" s="48">
        <f t="shared" si="5"/>
        <v>1449.63</v>
      </c>
      <c r="O70" s="50">
        <f t="shared" si="6"/>
        <v>2086.69</v>
      </c>
      <c r="P70" s="50">
        <v>0</v>
      </c>
      <c r="Q70" s="76"/>
      <c r="R70" s="140">
        <f>IF((1.5*1*5*2*S9+1.5*1.5*3*(S10))&gt;100,100,(1.5*1*5*2*S9+1.5*1.5*3*(S10)))</f>
        <v>58.5</v>
      </c>
      <c r="S70" s="79">
        <v>8.9000000000000021</v>
      </c>
      <c r="T70" s="80">
        <v>20.239999999999998</v>
      </c>
    </row>
    <row r="71" spans="2:20" ht="56">
      <c r="B71" s="5" t="s">
        <v>239</v>
      </c>
      <c r="C71" s="45" t="s">
        <v>135</v>
      </c>
      <c r="D71" s="45">
        <v>97647</v>
      </c>
      <c r="E71" s="6" t="s">
        <v>240</v>
      </c>
      <c r="F71" s="45" t="s">
        <v>121</v>
      </c>
      <c r="G71" s="46">
        <f t="shared" si="0"/>
        <v>460</v>
      </c>
      <c r="H71" s="46">
        <f>TRUNC(S71*(1-LOTE_01!$K$10),2)</f>
        <v>1.29</v>
      </c>
      <c r="I71" s="46">
        <f>TRUNC(T71*(1-LOTE_01!$K$10),2)</f>
        <v>2.9</v>
      </c>
      <c r="J71" s="100">
        <f t="shared" si="1"/>
        <v>0.22470000000000001</v>
      </c>
      <c r="K71" s="48">
        <f t="shared" si="2"/>
        <v>1.57</v>
      </c>
      <c r="L71" s="48">
        <f t="shared" si="3"/>
        <v>3.55</v>
      </c>
      <c r="M71" s="48">
        <f t="shared" si="4"/>
        <v>722.2</v>
      </c>
      <c r="N71" s="48">
        <f t="shared" si="5"/>
        <v>1633</v>
      </c>
      <c r="O71" s="50">
        <f t="shared" si="6"/>
        <v>2355.1999999999998</v>
      </c>
      <c r="P71" s="50">
        <v>0</v>
      </c>
      <c r="Q71" s="76"/>
      <c r="R71" s="140">
        <f>IF((200*S9+300*S10)&gt;3000,3000,(20*S9+200*S10))</f>
        <v>460</v>
      </c>
      <c r="S71" s="79">
        <v>1.2900000000000005</v>
      </c>
      <c r="T71" s="80">
        <v>2.9</v>
      </c>
    </row>
    <row r="72" spans="2:20" ht="42">
      <c r="B72" s="5" t="s">
        <v>241</v>
      </c>
      <c r="C72" s="45" t="s">
        <v>97</v>
      </c>
      <c r="D72" s="45" t="s">
        <v>242</v>
      </c>
      <c r="E72" s="6" t="s">
        <v>243</v>
      </c>
      <c r="F72" s="45" t="s">
        <v>121</v>
      </c>
      <c r="G72" s="46">
        <f t="shared" si="0"/>
        <v>430</v>
      </c>
      <c r="H72" s="46">
        <f>TRUNC(S72*(1-LOTE_01!$K$10),2)</f>
        <v>5.8</v>
      </c>
      <c r="I72" s="46">
        <f>TRUNC(T72*(1-LOTE_01!$K$10),2)</f>
        <v>13.35</v>
      </c>
      <c r="J72" s="100">
        <f t="shared" si="1"/>
        <v>0.22470000000000001</v>
      </c>
      <c r="K72" s="48">
        <f t="shared" si="2"/>
        <v>7.1</v>
      </c>
      <c r="L72" s="48">
        <f t="shared" si="3"/>
        <v>16.34</v>
      </c>
      <c r="M72" s="48">
        <f t="shared" si="4"/>
        <v>3053</v>
      </c>
      <c r="N72" s="48">
        <f t="shared" si="5"/>
        <v>7026.2</v>
      </c>
      <c r="O72" s="50">
        <f t="shared" si="6"/>
        <v>10079.200000000001</v>
      </c>
      <c r="P72" s="50">
        <v>0</v>
      </c>
      <c r="Q72" s="76"/>
      <c r="R72" s="140">
        <f>10*S9+200*S10</f>
        <v>430</v>
      </c>
      <c r="S72" s="79">
        <v>5.8</v>
      </c>
      <c r="T72" s="80">
        <v>13.35</v>
      </c>
    </row>
    <row r="73" spans="2:20" ht="42">
      <c r="B73" s="5" t="s">
        <v>244</v>
      </c>
      <c r="C73" s="45" t="s">
        <v>135</v>
      </c>
      <c r="D73" s="45">
        <v>97655</v>
      </c>
      <c r="E73" s="6" t="s">
        <v>245</v>
      </c>
      <c r="F73" s="45" t="s">
        <v>121</v>
      </c>
      <c r="G73" s="46">
        <f t="shared" si="0"/>
        <v>260</v>
      </c>
      <c r="H73" s="46">
        <f>TRUNC(S73*(1-LOTE_01!$K$10),2)</f>
        <v>27.66</v>
      </c>
      <c r="I73" s="46">
        <f>TRUNC(T73*(1-LOTE_01!$K$10),2)</f>
        <v>14.21</v>
      </c>
      <c r="J73" s="100">
        <f t="shared" si="1"/>
        <v>0.22470000000000001</v>
      </c>
      <c r="K73" s="48">
        <f t="shared" si="2"/>
        <v>33.869999999999997</v>
      </c>
      <c r="L73" s="48">
        <f t="shared" si="3"/>
        <v>17.399999999999999</v>
      </c>
      <c r="M73" s="48">
        <f t="shared" si="4"/>
        <v>8806.2000000000007</v>
      </c>
      <c r="N73" s="48">
        <f t="shared" si="5"/>
        <v>4524</v>
      </c>
      <c r="O73" s="50">
        <f t="shared" si="6"/>
        <v>13330.2</v>
      </c>
      <c r="P73" s="50">
        <v>0</v>
      </c>
      <c r="Q73" s="76"/>
      <c r="R73" s="140">
        <f>IF((20*S9+100*S10)&gt;500,500,(20*S9+100*S10))</f>
        <v>260</v>
      </c>
      <c r="S73" s="79">
        <v>27.659999999999997</v>
      </c>
      <c r="T73" s="80">
        <v>14.21</v>
      </c>
    </row>
    <row r="74" spans="2:20" ht="42">
      <c r="B74" s="5" t="s">
        <v>246</v>
      </c>
      <c r="C74" s="45" t="s">
        <v>97</v>
      </c>
      <c r="D74" s="45" t="s">
        <v>247</v>
      </c>
      <c r="E74" s="6" t="s">
        <v>248</v>
      </c>
      <c r="F74" s="45" t="s">
        <v>104</v>
      </c>
      <c r="G74" s="46">
        <f t="shared" si="0"/>
        <v>5</v>
      </c>
      <c r="H74" s="46">
        <f>TRUNC(S74*(1-LOTE_01!$K$10),2)</f>
        <v>0</v>
      </c>
      <c r="I74" s="46">
        <f>TRUNC(T74*(1-LOTE_01!$K$10),2)</f>
        <v>69.7</v>
      </c>
      <c r="J74" s="100">
        <f t="shared" si="1"/>
        <v>0.22470000000000001</v>
      </c>
      <c r="K74" s="48">
        <f t="shared" si="2"/>
        <v>0</v>
      </c>
      <c r="L74" s="48">
        <f t="shared" si="3"/>
        <v>85.36</v>
      </c>
      <c r="M74" s="48">
        <f t="shared" si="4"/>
        <v>0</v>
      </c>
      <c r="N74" s="48">
        <f t="shared" si="5"/>
        <v>426.8</v>
      </c>
      <c r="O74" s="50">
        <f t="shared" si="6"/>
        <v>426.8</v>
      </c>
      <c r="P74" s="50">
        <v>0</v>
      </c>
      <c r="Q74" s="76"/>
      <c r="R74" s="140">
        <f>IF((1*S9+2*S10)&gt;20,20,(1*S9+1*S10))</f>
        <v>5</v>
      </c>
      <c r="S74" s="79">
        <v>0</v>
      </c>
      <c r="T74" s="80">
        <v>69.7</v>
      </c>
    </row>
    <row r="75" spans="2:20" ht="42">
      <c r="B75" s="5" t="s">
        <v>249</v>
      </c>
      <c r="C75" s="45" t="s">
        <v>135</v>
      </c>
      <c r="D75" s="45">
        <v>102190</v>
      </c>
      <c r="E75" s="6" t="s">
        <v>1770</v>
      </c>
      <c r="F75" s="45" t="s">
        <v>121</v>
      </c>
      <c r="G75" s="46">
        <f t="shared" si="0"/>
        <v>25</v>
      </c>
      <c r="H75" s="46">
        <f>TRUNC(S75*(1-LOTE_01!$K$10),2)</f>
        <v>6.1</v>
      </c>
      <c r="I75" s="46">
        <f>TRUNC(T75*(1-LOTE_01!$K$10),2)</f>
        <v>14.39</v>
      </c>
      <c r="J75" s="100">
        <f t="shared" si="1"/>
        <v>0.22470000000000001</v>
      </c>
      <c r="K75" s="48">
        <f t="shared" si="2"/>
        <v>7.47</v>
      </c>
      <c r="L75" s="48">
        <f t="shared" si="3"/>
        <v>17.62</v>
      </c>
      <c r="M75" s="48">
        <f t="shared" si="4"/>
        <v>186.75</v>
      </c>
      <c r="N75" s="48">
        <f t="shared" si="5"/>
        <v>440.5</v>
      </c>
      <c r="O75" s="50">
        <f t="shared" si="6"/>
        <v>627.25</v>
      </c>
      <c r="P75" s="50">
        <v>0</v>
      </c>
      <c r="Q75" s="76"/>
      <c r="R75" s="140">
        <f>IF((5*S9+5*S10)&gt;100,100,(5*S9+5*S10))</f>
        <v>25</v>
      </c>
      <c r="S75" s="79">
        <v>6.0999999999999979</v>
      </c>
      <c r="T75" s="80">
        <v>14.39</v>
      </c>
    </row>
    <row r="76" spans="2:20" ht="56">
      <c r="B76" s="5" t="s">
        <v>250</v>
      </c>
      <c r="C76" s="45" t="s">
        <v>135</v>
      </c>
      <c r="D76" s="45">
        <v>97662</v>
      </c>
      <c r="E76" s="6" t="s">
        <v>251</v>
      </c>
      <c r="F76" s="45" t="s">
        <v>187</v>
      </c>
      <c r="G76" s="46">
        <f t="shared" si="0"/>
        <v>215</v>
      </c>
      <c r="H76" s="46">
        <f>TRUNC(S76*(1-LOTE_01!$K$10),2)</f>
        <v>0.18</v>
      </c>
      <c r="I76" s="46">
        <f>TRUNC(T76*(1-LOTE_01!$K$10),2)</f>
        <v>0.41</v>
      </c>
      <c r="J76" s="100">
        <f t="shared" si="1"/>
        <v>0.22470000000000001</v>
      </c>
      <c r="K76" s="48">
        <f t="shared" si="2"/>
        <v>0.22</v>
      </c>
      <c r="L76" s="48">
        <f t="shared" si="3"/>
        <v>0.5</v>
      </c>
      <c r="M76" s="48">
        <f t="shared" si="4"/>
        <v>47.3</v>
      </c>
      <c r="N76" s="48">
        <f t="shared" si="5"/>
        <v>107.5</v>
      </c>
      <c r="O76" s="50">
        <f t="shared" si="6"/>
        <v>154.80000000000001</v>
      </c>
      <c r="P76" s="50">
        <v>0</v>
      </c>
      <c r="Q76" s="76"/>
      <c r="R76" s="140">
        <f>IF((5*S9+100*S10)&gt;500,500,(5*S9+100*S10))</f>
        <v>215</v>
      </c>
      <c r="S76" s="79">
        <v>0.18</v>
      </c>
      <c r="T76" s="80">
        <v>0.41</v>
      </c>
    </row>
    <row r="77" spans="2:20" ht="42">
      <c r="B77" s="5" t="s">
        <v>252</v>
      </c>
      <c r="C77" s="45" t="s">
        <v>135</v>
      </c>
      <c r="D77" s="45">
        <v>97664</v>
      </c>
      <c r="E77" s="6" t="s">
        <v>253</v>
      </c>
      <c r="F77" s="45" t="s">
        <v>210</v>
      </c>
      <c r="G77" s="46">
        <f t="shared" si="0"/>
        <v>22</v>
      </c>
      <c r="H77" s="46">
        <f>TRUNC(S77*(1-LOTE_01!$K$10),2)</f>
        <v>0.56999999999999995</v>
      </c>
      <c r="I77" s="46">
        <f>TRUNC(T77*(1-LOTE_01!$K$10),2)</f>
        <v>1.29</v>
      </c>
      <c r="J77" s="100">
        <f t="shared" si="1"/>
        <v>0.22470000000000001</v>
      </c>
      <c r="K77" s="48">
        <f t="shared" si="2"/>
        <v>0.69</v>
      </c>
      <c r="L77" s="48">
        <f t="shared" si="3"/>
        <v>1.57</v>
      </c>
      <c r="M77" s="48">
        <f t="shared" si="4"/>
        <v>15.18</v>
      </c>
      <c r="N77" s="48">
        <f t="shared" si="5"/>
        <v>34.54</v>
      </c>
      <c r="O77" s="50">
        <f t="shared" si="6"/>
        <v>49.72</v>
      </c>
      <c r="P77" s="50">
        <v>0</v>
      </c>
      <c r="Q77" s="76"/>
      <c r="R77" s="140">
        <f>IF((2*S9+8*S10)&gt;30,30,(2*S9+8*S10))</f>
        <v>22</v>
      </c>
      <c r="S77" s="79">
        <v>0.57000000000000006</v>
      </c>
      <c r="T77" s="80">
        <v>1.29</v>
      </c>
    </row>
    <row r="78" spans="2:20" ht="28">
      <c r="B78" s="5" t="s">
        <v>254</v>
      </c>
      <c r="C78" s="45" t="s">
        <v>97</v>
      </c>
      <c r="D78" s="45" t="s">
        <v>255</v>
      </c>
      <c r="E78" s="6" t="s">
        <v>256</v>
      </c>
      <c r="F78" s="45" t="s">
        <v>121</v>
      </c>
      <c r="G78" s="46">
        <f t="shared" si="0"/>
        <v>210</v>
      </c>
      <c r="H78" s="46">
        <f>TRUNC(S78*(1-LOTE_01!$K$10),2)</f>
        <v>2.48</v>
      </c>
      <c r="I78" s="46">
        <f>TRUNC(T78*(1-LOTE_01!$K$10),2)</f>
        <v>4.8899999999999997</v>
      </c>
      <c r="J78" s="100">
        <f t="shared" si="1"/>
        <v>0.22470000000000001</v>
      </c>
      <c r="K78" s="48">
        <f t="shared" si="2"/>
        <v>3.03</v>
      </c>
      <c r="L78" s="48">
        <f t="shared" si="3"/>
        <v>5.98</v>
      </c>
      <c r="M78" s="48">
        <f t="shared" si="4"/>
        <v>636.29999999999995</v>
      </c>
      <c r="N78" s="48">
        <f t="shared" si="5"/>
        <v>1255.8</v>
      </c>
      <c r="O78" s="50">
        <f t="shared" si="6"/>
        <v>1892.1</v>
      </c>
      <c r="P78" s="50">
        <v>0</v>
      </c>
      <c r="Q78" s="76"/>
      <c r="R78" s="140">
        <f>IF((30*S9+3*20*S10)&gt;500,500,(30*S9+3*20*S10))</f>
        <v>210</v>
      </c>
      <c r="S78" s="79">
        <v>2.48</v>
      </c>
      <c r="T78" s="80">
        <v>4.8899999999999997</v>
      </c>
    </row>
    <row r="79" spans="2:20" ht="28">
      <c r="B79" s="5" t="s">
        <v>257</v>
      </c>
      <c r="C79" s="45" t="s">
        <v>97</v>
      </c>
      <c r="D79" s="45" t="s">
        <v>258</v>
      </c>
      <c r="E79" s="6" t="s">
        <v>259</v>
      </c>
      <c r="F79" s="45" t="s">
        <v>121</v>
      </c>
      <c r="G79" s="46">
        <f t="shared" si="0"/>
        <v>5</v>
      </c>
      <c r="H79" s="46">
        <f>TRUNC(S79*(1-LOTE_01!$K$10),2)</f>
        <v>9.52</v>
      </c>
      <c r="I79" s="46">
        <f>TRUNC(T79*(1-LOTE_01!$K$10),2)</f>
        <v>20.21</v>
      </c>
      <c r="J79" s="100">
        <f t="shared" si="1"/>
        <v>0.22470000000000001</v>
      </c>
      <c r="K79" s="48">
        <f t="shared" si="2"/>
        <v>11.65</v>
      </c>
      <c r="L79" s="48">
        <f t="shared" si="3"/>
        <v>24.75</v>
      </c>
      <c r="M79" s="48">
        <f t="shared" si="4"/>
        <v>58.25</v>
      </c>
      <c r="N79" s="48">
        <f t="shared" si="5"/>
        <v>123.75</v>
      </c>
      <c r="O79" s="50">
        <f t="shared" si="6"/>
        <v>182</v>
      </c>
      <c r="P79" s="50">
        <v>0</v>
      </c>
      <c r="Q79" s="76"/>
      <c r="R79" s="140">
        <f>IF((S9+S10)&gt;20,20,(S9+S10))</f>
        <v>5</v>
      </c>
      <c r="S79" s="79">
        <v>9.52</v>
      </c>
      <c r="T79" s="80">
        <v>20.21</v>
      </c>
    </row>
    <row r="80" spans="2:20" ht="28">
      <c r="B80" s="5" t="s">
        <v>260</v>
      </c>
      <c r="C80" s="45" t="s">
        <v>97</v>
      </c>
      <c r="D80" s="45" t="s">
        <v>261</v>
      </c>
      <c r="E80" s="6" t="s">
        <v>262</v>
      </c>
      <c r="F80" s="45" t="s">
        <v>121</v>
      </c>
      <c r="G80" s="46">
        <f t="shared" si="0"/>
        <v>16</v>
      </c>
      <c r="H80" s="46">
        <f>TRUNC(S80*(1-LOTE_01!$K$10),2)</f>
        <v>7.63</v>
      </c>
      <c r="I80" s="46">
        <f>TRUNC(T80*(1-LOTE_01!$K$10),2)</f>
        <v>18.100000000000001</v>
      </c>
      <c r="J80" s="100">
        <f t="shared" si="1"/>
        <v>0.22470000000000001</v>
      </c>
      <c r="K80" s="48">
        <f t="shared" si="2"/>
        <v>9.34</v>
      </c>
      <c r="L80" s="48">
        <f t="shared" si="3"/>
        <v>22.16</v>
      </c>
      <c r="M80" s="48">
        <f t="shared" si="4"/>
        <v>149.44</v>
      </c>
      <c r="N80" s="48">
        <f t="shared" si="5"/>
        <v>354.56</v>
      </c>
      <c r="O80" s="50">
        <f t="shared" si="6"/>
        <v>504</v>
      </c>
      <c r="P80" s="50">
        <v>0</v>
      </c>
      <c r="Q80" s="76"/>
      <c r="R80" s="140">
        <f>IF((5*S10)&gt;50,50,(2*S9+5*S10))</f>
        <v>16</v>
      </c>
      <c r="S80" s="79">
        <v>7.63</v>
      </c>
      <c r="T80" s="80">
        <v>18.100000000000001</v>
      </c>
    </row>
    <row r="81" spans="2:20" ht="28">
      <c r="B81" s="5" t="s">
        <v>263</v>
      </c>
      <c r="C81" s="45" t="s">
        <v>97</v>
      </c>
      <c r="D81" s="45" t="s">
        <v>264</v>
      </c>
      <c r="E81" s="6" t="s">
        <v>265</v>
      </c>
      <c r="F81" s="45" t="s">
        <v>104</v>
      </c>
      <c r="G81" s="46">
        <f t="shared" ref="G81:G134" si="7">TRUNC(R81,2)</f>
        <v>5</v>
      </c>
      <c r="H81" s="46">
        <f>TRUNC(S81*(1-LOTE_01!$K$10),2)</f>
        <v>8.2799999999999994</v>
      </c>
      <c r="I81" s="46">
        <f>TRUNC(T81*(1-LOTE_01!$K$10),2)</f>
        <v>16.32</v>
      </c>
      <c r="J81" s="100">
        <f t="shared" ref="J81:J144" si="8">$J$4</f>
        <v>0.22470000000000001</v>
      </c>
      <c r="K81" s="48">
        <f t="shared" si="2"/>
        <v>10.14</v>
      </c>
      <c r="L81" s="48">
        <f t="shared" si="3"/>
        <v>19.98</v>
      </c>
      <c r="M81" s="48">
        <f t="shared" si="4"/>
        <v>50.7</v>
      </c>
      <c r="N81" s="48">
        <f t="shared" si="5"/>
        <v>99.9</v>
      </c>
      <c r="O81" s="50">
        <f t="shared" si="6"/>
        <v>150.6</v>
      </c>
      <c r="P81" s="50">
        <v>0</v>
      </c>
      <c r="Q81" s="76"/>
      <c r="R81" s="140">
        <f>1*S9+1*S10</f>
        <v>5</v>
      </c>
      <c r="S81" s="79">
        <v>8.2799999999999994</v>
      </c>
      <c r="T81" s="80">
        <v>16.32</v>
      </c>
    </row>
    <row r="82" spans="2:20" ht="28">
      <c r="B82" s="5" t="s">
        <v>266</v>
      </c>
      <c r="C82" s="45" t="s">
        <v>97</v>
      </c>
      <c r="D82" s="45" t="s">
        <v>267</v>
      </c>
      <c r="E82" s="6" t="s">
        <v>268</v>
      </c>
      <c r="F82" s="45" t="s">
        <v>104</v>
      </c>
      <c r="G82" s="46">
        <f t="shared" si="7"/>
        <v>10</v>
      </c>
      <c r="H82" s="46">
        <f>TRUNC(S82*(1-LOTE_01!$K$10),2)</f>
        <v>3.31</v>
      </c>
      <c r="I82" s="46">
        <f>TRUNC(T82*(1-LOTE_01!$K$10),2)</f>
        <v>6.52</v>
      </c>
      <c r="J82" s="100">
        <f t="shared" si="8"/>
        <v>0.22470000000000001</v>
      </c>
      <c r="K82" s="48">
        <f t="shared" si="2"/>
        <v>4.05</v>
      </c>
      <c r="L82" s="48">
        <f t="shared" si="3"/>
        <v>7.98</v>
      </c>
      <c r="M82" s="48">
        <f t="shared" si="4"/>
        <v>40.5</v>
      </c>
      <c r="N82" s="48">
        <f t="shared" si="5"/>
        <v>79.8</v>
      </c>
      <c r="O82" s="50">
        <f t="shared" si="6"/>
        <v>120.3</v>
      </c>
      <c r="P82" s="50">
        <v>0</v>
      </c>
      <c r="Q82" s="76"/>
      <c r="R82" s="140">
        <f>2*S9+2*(S10)</f>
        <v>10</v>
      </c>
      <c r="S82" s="79">
        <v>3.31</v>
      </c>
      <c r="T82" s="80">
        <v>6.52</v>
      </c>
    </row>
    <row r="83" spans="2:20" ht="28">
      <c r="B83" s="5" t="s">
        <v>269</v>
      </c>
      <c r="C83" s="45" t="s">
        <v>97</v>
      </c>
      <c r="D83" s="45" t="s">
        <v>270</v>
      </c>
      <c r="E83" s="6" t="s">
        <v>271</v>
      </c>
      <c r="F83" s="45" t="s">
        <v>104</v>
      </c>
      <c r="G83" s="46">
        <f t="shared" si="7"/>
        <v>10</v>
      </c>
      <c r="H83" s="46">
        <f>TRUNC(S83*(1-LOTE_01!$K$10),2)</f>
        <v>4.1399999999999997</v>
      </c>
      <c r="I83" s="46">
        <f>TRUNC(T83*(1-LOTE_01!$K$10),2)</f>
        <v>8.16</v>
      </c>
      <c r="J83" s="100">
        <f t="shared" si="8"/>
        <v>0.22470000000000001</v>
      </c>
      <c r="K83" s="48">
        <f t="shared" ref="K83:K146" si="9">TRUNC(H83*(1+J83),2)</f>
        <v>5.07</v>
      </c>
      <c r="L83" s="48">
        <f t="shared" ref="L83:L146" si="10">TRUNC(I83*(1+J83),2)</f>
        <v>9.99</v>
      </c>
      <c r="M83" s="48">
        <f t="shared" ref="M83:M146" si="11">TRUNC(K83*G83,2)</f>
        <v>50.7</v>
      </c>
      <c r="N83" s="48">
        <f t="shared" ref="N83:N146" si="12">TRUNC(L83*G83,2)</f>
        <v>99.9</v>
      </c>
      <c r="O83" s="50">
        <f t="shared" ref="O83:O146" si="13">TRUNC(M83+N83,2)</f>
        <v>150.6</v>
      </c>
      <c r="P83" s="50">
        <v>0</v>
      </c>
      <c r="Q83" s="76"/>
      <c r="R83" s="140">
        <f>2*S9+2*(S10)</f>
        <v>10</v>
      </c>
      <c r="S83" s="79">
        <v>4.1399999999999997</v>
      </c>
      <c r="T83" s="80">
        <v>8.16</v>
      </c>
    </row>
    <row r="84" spans="2:20">
      <c r="B84" s="5" t="s">
        <v>272</v>
      </c>
      <c r="C84" s="45" t="s">
        <v>97</v>
      </c>
      <c r="D84" s="45" t="s">
        <v>273</v>
      </c>
      <c r="E84" s="6" t="s">
        <v>274</v>
      </c>
      <c r="F84" s="45" t="s">
        <v>104</v>
      </c>
      <c r="G84" s="46">
        <f t="shared" si="7"/>
        <v>50</v>
      </c>
      <c r="H84" s="46">
        <f>TRUNC(S84*(1-LOTE_01!$K$10),2)</f>
        <v>1.65</v>
      </c>
      <c r="I84" s="46">
        <f>TRUNC(T84*(1-LOTE_01!$K$10),2)</f>
        <v>3.26</v>
      </c>
      <c r="J84" s="100">
        <f t="shared" si="8"/>
        <v>0.22470000000000001</v>
      </c>
      <c r="K84" s="48">
        <f t="shared" si="9"/>
        <v>2.02</v>
      </c>
      <c r="L84" s="48">
        <f t="shared" si="10"/>
        <v>3.99</v>
      </c>
      <c r="M84" s="48">
        <f t="shared" si="11"/>
        <v>101</v>
      </c>
      <c r="N84" s="48">
        <f t="shared" si="12"/>
        <v>199.5</v>
      </c>
      <c r="O84" s="50">
        <f t="shared" si="13"/>
        <v>300.5</v>
      </c>
      <c r="P84" s="50">
        <v>0</v>
      </c>
      <c r="Q84" s="76"/>
      <c r="R84" s="140">
        <f>10*S9+10*S10</f>
        <v>50</v>
      </c>
      <c r="S84" s="79">
        <v>1.65</v>
      </c>
      <c r="T84" s="80">
        <v>3.26</v>
      </c>
    </row>
    <row r="85" spans="2:20" ht="28">
      <c r="B85" s="5" t="s">
        <v>275</v>
      </c>
      <c r="C85" s="45" t="s">
        <v>97</v>
      </c>
      <c r="D85" s="45" t="s">
        <v>276</v>
      </c>
      <c r="E85" s="6" t="s">
        <v>277</v>
      </c>
      <c r="F85" s="45" t="s">
        <v>104</v>
      </c>
      <c r="G85" s="46">
        <f t="shared" si="7"/>
        <v>25</v>
      </c>
      <c r="H85" s="46">
        <f>TRUNC(S85*(1-LOTE_01!$K$10),2)</f>
        <v>3.31</v>
      </c>
      <c r="I85" s="46">
        <f>TRUNC(T85*(1-LOTE_01!$K$10),2)</f>
        <v>6.52</v>
      </c>
      <c r="J85" s="100">
        <f t="shared" si="8"/>
        <v>0.22470000000000001</v>
      </c>
      <c r="K85" s="48">
        <f t="shared" si="9"/>
        <v>4.05</v>
      </c>
      <c r="L85" s="48">
        <f t="shared" si="10"/>
        <v>7.98</v>
      </c>
      <c r="M85" s="48">
        <f t="shared" si="11"/>
        <v>101.25</v>
      </c>
      <c r="N85" s="48">
        <f t="shared" si="12"/>
        <v>199.5</v>
      </c>
      <c r="O85" s="50">
        <f t="shared" si="13"/>
        <v>300.75</v>
      </c>
      <c r="P85" s="50">
        <v>0</v>
      </c>
      <c r="Q85" s="76"/>
      <c r="R85" s="140">
        <f>5*S9+5*(S10)</f>
        <v>25</v>
      </c>
      <c r="S85" s="79">
        <v>3.31</v>
      </c>
      <c r="T85" s="80">
        <v>6.52</v>
      </c>
    </row>
    <row r="86" spans="2:20" ht="28">
      <c r="B86" s="5" t="s">
        <v>278</v>
      </c>
      <c r="C86" s="45" t="s">
        <v>97</v>
      </c>
      <c r="D86" s="45" t="s">
        <v>279</v>
      </c>
      <c r="E86" s="6" t="s">
        <v>280</v>
      </c>
      <c r="F86" s="45" t="s">
        <v>104</v>
      </c>
      <c r="G86" s="46">
        <f t="shared" si="7"/>
        <v>5</v>
      </c>
      <c r="H86" s="46">
        <f>TRUNC(S86*(1-LOTE_01!$K$10),2)</f>
        <v>675.6</v>
      </c>
      <c r="I86" s="46">
        <f>TRUNC(T86*(1-LOTE_01!$K$10),2)</f>
        <v>176.94</v>
      </c>
      <c r="J86" s="100">
        <f t="shared" si="8"/>
        <v>0.22470000000000001</v>
      </c>
      <c r="K86" s="48">
        <f t="shared" si="9"/>
        <v>827.4</v>
      </c>
      <c r="L86" s="48">
        <f t="shared" si="10"/>
        <v>216.69</v>
      </c>
      <c r="M86" s="48">
        <f t="shared" si="11"/>
        <v>4137</v>
      </c>
      <c r="N86" s="48">
        <f t="shared" si="12"/>
        <v>1083.45</v>
      </c>
      <c r="O86" s="50">
        <f t="shared" si="13"/>
        <v>5220.45</v>
      </c>
      <c r="P86" s="50">
        <v>0</v>
      </c>
      <c r="Q86" s="76"/>
      <c r="R86" s="140">
        <f>IF((1*S9+1*S10)&gt;10,10,(1*S9+1*S10))</f>
        <v>5</v>
      </c>
      <c r="S86" s="79">
        <v>675.6</v>
      </c>
      <c r="T86" s="80">
        <v>176.94</v>
      </c>
    </row>
    <row r="87" spans="2:20" ht="42">
      <c r="B87" s="5" t="s">
        <v>281</v>
      </c>
      <c r="C87" s="45" t="s">
        <v>97</v>
      </c>
      <c r="D87" s="45" t="s">
        <v>282</v>
      </c>
      <c r="E87" s="6" t="s">
        <v>283</v>
      </c>
      <c r="F87" s="45" t="s">
        <v>104</v>
      </c>
      <c r="G87" s="46">
        <f t="shared" si="7"/>
        <v>5</v>
      </c>
      <c r="H87" s="46">
        <f>TRUNC(S87*(1-LOTE_01!$K$10),2)</f>
        <v>342.81</v>
      </c>
      <c r="I87" s="46">
        <f>TRUNC(T87*(1-LOTE_01!$K$10),2)</f>
        <v>73.540000000000006</v>
      </c>
      <c r="J87" s="100">
        <f t="shared" si="8"/>
        <v>0.22470000000000001</v>
      </c>
      <c r="K87" s="48">
        <f t="shared" si="9"/>
        <v>419.83</v>
      </c>
      <c r="L87" s="48">
        <f t="shared" si="10"/>
        <v>90.06</v>
      </c>
      <c r="M87" s="48">
        <f t="shared" si="11"/>
        <v>2099.15</v>
      </c>
      <c r="N87" s="48">
        <f t="shared" si="12"/>
        <v>450.3</v>
      </c>
      <c r="O87" s="50">
        <f t="shared" si="13"/>
        <v>2549.4499999999998</v>
      </c>
      <c r="P87" s="50">
        <v>0</v>
      </c>
      <c r="Q87" s="76"/>
      <c r="R87" s="140">
        <f>1*S9+1*S10</f>
        <v>5</v>
      </c>
      <c r="S87" s="79">
        <v>342.81</v>
      </c>
      <c r="T87" s="80">
        <v>73.540000000000006</v>
      </c>
    </row>
    <row r="88" spans="2:20" ht="42">
      <c r="B88" s="5" t="s">
        <v>284</v>
      </c>
      <c r="C88" s="45" t="s">
        <v>97</v>
      </c>
      <c r="D88" s="45" t="s">
        <v>285</v>
      </c>
      <c r="E88" s="6" t="s">
        <v>286</v>
      </c>
      <c r="F88" s="45" t="s">
        <v>104</v>
      </c>
      <c r="G88" s="46">
        <f t="shared" si="7"/>
        <v>13</v>
      </c>
      <c r="H88" s="46">
        <f>TRUNC(S88*(1-LOTE_01!$K$10),2)</f>
        <v>16.34</v>
      </c>
      <c r="I88" s="46">
        <f>TRUNC(T88*(1-LOTE_01!$K$10),2)</f>
        <v>41.94</v>
      </c>
      <c r="J88" s="100">
        <f t="shared" si="8"/>
        <v>0.22470000000000001</v>
      </c>
      <c r="K88" s="48">
        <f t="shared" si="9"/>
        <v>20.010000000000002</v>
      </c>
      <c r="L88" s="48">
        <f t="shared" si="10"/>
        <v>51.36</v>
      </c>
      <c r="M88" s="48">
        <f t="shared" si="11"/>
        <v>260.13</v>
      </c>
      <c r="N88" s="48">
        <f t="shared" si="12"/>
        <v>667.68</v>
      </c>
      <c r="O88" s="50">
        <f t="shared" si="13"/>
        <v>927.81</v>
      </c>
      <c r="P88" s="50">
        <v>0</v>
      </c>
      <c r="Q88" s="76"/>
      <c r="R88" s="140">
        <f>IF((1*S9+5*S10)&gt;30,30,(1*S9+5*S10))</f>
        <v>13</v>
      </c>
      <c r="S88" s="79">
        <v>16.34</v>
      </c>
      <c r="T88" s="80">
        <v>41.94</v>
      </c>
    </row>
    <row r="89" spans="2:20" ht="28">
      <c r="B89" s="5" t="s">
        <v>287</v>
      </c>
      <c r="C89" s="45" t="s">
        <v>97</v>
      </c>
      <c r="D89" s="45" t="s">
        <v>288</v>
      </c>
      <c r="E89" s="6" t="s">
        <v>289</v>
      </c>
      <c r="F89" s="45" t="s">
        <v>104</v>
      </c>
      <c r="G89" s="46">
        <f t="shared" si="7"/>
        <v>13</v>
      </c>
      <c r="H89" s="46">
        <f>TRUNC(S89*(1-LOTE_01!$K$10),2)</f>
        <v>8.3000000000000007</v>
      </c>
      <c r="I89" s="46">
        <f>TRUNC(T89*(1-LOTE_01!$K$10),2)</f>
        <v>21.14</v>
      </c>
      <c r="J89" s="100">
        <f t="shared" si="8"/>
        <v>0.22470000000000001</v>
      </c>
      <c r="K89" s="48">
        <f t="shared" si="9"/>
        <v>10.16</v>
      </c>
      <c r="L89" s="48">
        <f t="shared" si="10"/>
        <v>25.89</v>
      </c>
      <c r="M89" s="48">
        <f t="shared" si="11"/>
        <v>132.08000000000001</v>
      </c>
      <c r="N89" s="48">
        <f t="shared" si="12"/>
        <v>336.57</v>
      </c>
      <c r="O89" s="50">
        <f t="shared" si="13"/>
        <v>468.65</v>
      </c>
      <c r="P89" s="50">
        <v>0</v>
      </c>
      <c r="Q89" s="76"/>
      <c r="R89" s="140">
        <f>IF((1*S9+5*S10)&gt;30,30,(1*S9+5*S10))</f>
        <v>13</v>
      </c>
      <c r="S89" s="79">
        <v>8.3000000000000007</v>
      </c>
      <c r="T89" s="80">
        <v>21.14</v>
      </c>
    </row>
    <row r="90" spans="2:20" ht="28">
      <c r="B90" s="5" t="s">
        <v>290</v>
      </c>
      <c r="C90" s="45" t="s">
        <v>135</v>
      </c>
      <c r="D90" s="45">
        <v>102192</v>
      </c>
      <c r="E90" s="6" t="s">
        <v>1771</v>
      </c>
      <c r="F90" s="45" t="s">
        <v>121</v>
      </c>
      <c r="G90" s="46">
        <f t="shared" si="7"/>
        <v>160</v>
      </c>
      <c r="H90" s="46">
        <f>TRUNC(S90*(1-LOTE_01!$K$10),2)</f>
        <v>5.83</v>
      </c>
      <c r="I90" s="46">
        <f>TRUNC(T90*(1-LOTE_01!$K$10),2)</f>
        <v>13.76</v>
      </c>
      <c r="J90" s="100">
        <f t="shared" si="8"/>
        <v>0.22470000000000001</v>
      </c>
      <c r="K90" s="48">
        <f t="shared" si="9"/>
        <v>7.14</v>
      </c>
      <c r="L90" s="48">
        <f t="shared" si="10"/>
        <v>16.850000000000001</v>
      </c>
      <c r="M90" s="48">
        <f t="shared" si="11"/>
        <v>1142.4000000000001</v>
      </c>
      <c r="N90" s="48">
        <f t="shared" si="12"/>
        <v>2696</v>
      </c>
      <c r="O90" s="50">
        <f t="shared" si="13"/>
        <v>3838.4</v>
      </c>
      <c r="P90" s="50">
        <v>0</v>
      </c>
      <c r="Q90" s="76"/>
      <c r="R90" s="140">
        <f>IF((20*S9+50*S10)&gt;500,500,50*S10+20*S9)</f>
        <v>160</v>
      </c>
      <c r="S90" s="79">
        <v>5.83</v>
      </c>
      <c r="T90" s="80">
        <v>13.76</v>
      </c>
    </row>
    <row r="91" spans="2:20" ht="42">
      <c r="B91" s="5" t="s">
        <v>291</v>
      </c>
      <c r="C91" s="45" t="s">
        <v>97</v>
      </c>
      <c r="D91" s="45" t="s">
        <v>292</v>
      </c>
      <c r="E91" s="6" t="s">
        <v>293</v>
      </c>
      <c r="F91" s="45" t="s">
        <v>104</v>
      </c>
      <c r="G91" s="46">
        <f t="shared" si="7"/>
        <v>5</v>
      </c>
      <c r="H91" s="46">
        <f>TRUNC(S91*(1-LOTE_01!$K$10),2)</f>
        <v>342.81</v>
      </c>
      <c r="I91" s="46">
        <f>TRUNC(T91*(1-LOTE_01!$K$10),2)</f>
        <v>73.64</v>
      </c>
      <c r="J91" s="100">
        <f t="shared" si="8"/>
        <v>0.22470000000000001</v>
      </c>
      <c r="K91" s="48">
        <f t="shared" si="9"/>
        <v>419.83</v>
      </c>
      <c r="L91" s="48">
        <f t="shared" si="10"/>
        <v>90.18</v>
      </c>
      <c r="M91" s="48">
        <f t="shared" si="11"/>
        <v>2099.15</v>
      </c>
      <c r="N91" s="48">
        <f t="shared" si="12"/>
        <v>450.9</v>
      </c>
      <c r="O91" s="50">
        <f t="shared" si="13"/>
        <v>2550.0500000000002</v>
      </c>
      <c r="P91" s="50">
        <v>0</v>
      </c>
      <c r="Q91" s="76"/>
      <c r="R91" s="140">
        <f>1*S9+1*S10</f>
        <v>5</v>
      </c>
      <c r="S91" s="79">
        <v>342.81</v>
      </c>
      <c r="T91" s="80">
        <v>73.64</v>
      </c>
    </row>
    <row r="92" spans="2:20" ht="28">
      <c r="B92" s="5" t="s">
        <v>294</v>
      </c>
      <c r="C92" s="45" t="s">
        <v>97</v>
      </c>
      <c r="D92" s="45" t="s">
        <v>295</v>
      </c>
      <c r="E92" s="6" t="s">
        <v>296</v>
      </c>
      <c r="F92" s="45" t="s">
        <v>121</v>
      </c>
      <c r="G92" s="46">
        <f t="shared" si="7"/>
        <v>5</v>
      </c>
      <c r="H92" s="46">
        <f>TRUNC(S92*(1-LOTE_01!$K$10),2)</f>
        <v>8.32</v>
      </c>
      <c r="I92" s="46">
        <f>TRUNC(T92*(1-LOTE_01!$K$10),2)</f>
        <v>25.72</v>
      </c>
      <c r="J92" s="100">
        <f t="shared" si="8"/>
        <v>0.22470000000000001</v>
      </c>
      <c r="K92" s="48">
        <f t="shared" si="9"/>
        <v>10.18</v>
      </c>
      <c r="L92" s="48">
        <f t="shared" si="10"/>
        <v>31.49</v>
      </c>
      <c r="M92" s="48">
        <f t="shared" si="11"/>
        <v>50.9</v>
      </c>
      <c r="N92" s="48">
        <f t="shared" si="12"/>
        <v>157.44999999999999</v>
      </c>
      <c r="O92" s="50">
        <f t="shared" si="13"/>
        <v>208.35</v>
      </c>
      <c r="P92" s="50">
        <v>0</v>
      </c>
      <c r="Q92" s="76"/>
      <c r="R92" s="140">
        <f>IF((1*S9+1*S10)&gt;10,10,(1*S9+1*S10))</f>
        <v>5</v>
      </c>
      <c r="S92" s="79">
        <v>8.32</v>
      </c>
      <c r="T92" s="80">
        <v>25.72</v>
      </c>
    </row>
    <row r="93" spans="2:20" ht="70">
      <c r="B93" s="5" t="s">
        <v>297</v>
      </c>
      <c r="C93" s="45" t="s">
        <v>97</v>
      </c>
      <c r="D93" s="45" t="s">
        <v>298</v>
      </c>
      <c r="E93" s="6" t="s">
        <v>299</v>
      </c>
      <c r="F93" s="45" t="s">
        <v>121</v>
      </c>
      <c r="G93" s="46">
        <f t="shared" si="7"/>
        <v>100</v>
      </c>
      <c r="H93" s="46">
        <f>TRUNC(S93*(1-LOTE_01!$K$10),2)</f>
        <v>0</v>
      </c>
      <c r="I93" s="46">
        <f>TRUNC(T93*(1-LOTE_01!$K$10),2)</f>
        <v>53.19</v>
      </c>
      <c r="J93" s="100">
        <f t="shared" si="8"/>
        <v>0.22470000000000001</v>
      </c>
      <c r="K93" s="48">
        <f t="shared" si="9"/>
        <v>0</v>
      </c>
      <c r="L93" s="48">
        <f t="shared" si="10"/>
        <v>65.14</v>
      </c>
      <c r="M93" s="48">
        <f t="shared" si="11"/>
        <v>0</v>
      </c>
      <c r="N93" s="48">
        <f t="shared" si="12"/>
        <v>6514</v>
      </c>
      <c r="O93" s="50">
        <f t="shared" si="13"/>
        <v>6514</v>
      </c>
      <c r="P93" s="50">
        <v>0</v>
      </c>
      <c r="Q93" s="76"/>
      <c r="R93" s="140">
        <f>20*S9+20*S10</f>
        <v>100</v>
      </c>
      <c r="S93" s="79">
        <v>0</v>
      </c>
      <c r="T93" s="80">
        <v>53.19</v>
      </c>
    </row>
    <row r="94" spans="2:20" ht="28">
      <c r="B94" s="5" t="s">
        <v>300</v>
      </c>
      <c r="C94" s="45" t="s">
        <v>97</v>
      </c>
      <c r="D94" s="45" t="s">
        <v>301</v>
      </c>
      <c r="E94" s="6" t="s">
        <v>302</v>
      </c>
      <c r="F94" s="45" t="s">
        <v>104</v>
      </c>
      <c r="G94" s="46">
        <f t="shared" si="7"/>
        <v>15</v>
      </c>
      <c r="H94" s="46">
        <f>TRUNC(S94*(1-LOTE_01!$K$10),2)</f>
        <v>1.65</v>
      </c>
      <c r="I94" s="46">
        <f>TRUNC(T94*(1-LOTE_01!$K$10),2)</f>
        <v>3.26</v>
      </c>
      <c r="J94" s="100">
        <f t="shared" si="8"/>
        <v>0.22470000000000001</v>
      </c>
      <c r="K94" s="48">
        <f t="shared" si="9"/>
        <v>2.02</v>
      </c>
      <c r="L94" s="48">
        <f t="shared" si="10"/>
        <v>3.99</v>
      </c>
      <c r="M94" s="48">
        <f t="shared" si="11"/>
        <v>30.3</v>
      </c>
      <c r="N94" s="48">
        <f t="shared" si="12"/>
        <v>59.85</v>
      </c>
      <c r="O94" s="50">
        <f t="shared" si="13"/>
        <v>90.15</v>
      </c>
      <c r="P94" s="50">
        <v>0</v>
      </c>
      <c r="Q94" s="76"/>
      <c r="R94" s="140">
        <f>3*S9+3*S10</f>
        <v>15</v>
      </c>
      <c r="S94" s="79">
        <v>1.65</v>
      </c>
      <c r="T94" s="80">
        <v>3.26</v>
      </c>
    </row>
    <row r="95" spans="2:20" ht="28">
      <c r="B95" s="5" t="s">
        <v>303</v>
      </c>
      <c r="C95" s="45" t="s">
        <v>97</v>
      </c>
      <c r="D95" s="45" t="s">
        <v>304</v>
      </c>
      <c r="E95" s="6" t="s">
        <v>305</v>
      </c>
      <c r="F95" s="45" t="s">
        <v>121</v>
      </c>
      <c r="G95" s="46">
        <f t="shared" si="7"/>
        <v>23</v>
      </c>
      <c r="H95" s="46">
        <f>TRUNC(S95*(1-LOTE_01!$K$10),2)</f>
        <v>6.37</v>
      </c>
      <c r="I95" s="46">
        <f>TRUNC(T95*(1-LOTE_01!$K$10),2)</f>
        <v>13.24</v>
      </c>
      <c r="J95" s="100">
        <f t="shared" si="8"/>
        <v>0.22470000000000001</v>
      </c>
      <c r="K95" s="48">
        <f t="shared" si="9"/>
        <v>7.8</v>
      </c>
      <c r="L95" s="48">
        <f t="shared" si="10"/>
        <v>16.21</v>
      </c>
      <c r="M95" s="48">
        <f t="shared" si="11"/>
        <v>179.4</v>
      </c>
      <c r="N95" s="48">
        <f t="shared" si="12"/>
        <v>372.83</v>
      </c>
      <c r="O95" s="50">
        <f t="shared" si="13"/>
        <v>552.23</v>
      </c>
      <c r="P95" s="50">
        <v>0</v>
      </c>
      <c r="Q95" s="76"/>
      <c r="R95" s="140">
        <f>IF((10*S10+1*S9)&gt;50,50,(10*S10+1*S9))</f>
        <v>23</v>
      </c>
      <c r="S95" s="79">
        <v>6.37</v>
      </c>
      <c r="T95" s="80">
        <v>13.24</v>
      </c>
    </row>
    <row r="96" spans="2:20" ht="28">
      <c r="B96" s="5" t="s">
        <v>306</v>
      </c>
      <c r="C96" s="45" t="s">
        <v>97</v>
      </c>
      <c r="D96" s="45" t="s">
        <v>307</v>
      </c>
      <c r="E96" s="6" t="s">
        <v>308</v>
      </c>
      <c r="F96" s="45" t="s">
        <v>104</v>
      </c>
      <c r="G96" s="46">
        <f t="shared" si="7"/>
        <v>7</v>
      </c>
      <c r="H96" s="46">
        <f>TRUNC(S96*(1-LOTE_01!$K$10),2)</f>
        <v>10.85</v>
      </c>
      <c r="I96" s="46">
        <f>TRUNC(T96*(1-LOTE_01!$K$10),2)</f>
        <v>24.27</v>
      </c>
      <c r="J96" s="100">
        <f t="shared" si="8"/>
        <v>0.22470000000000001</v>
      </c>
      <c r="K96" s="48">
        <f t="shared" si="9"/>
        <v>13.28</v>
      </c>
      <c r="L96" s="48">
        <f t="shared" si="10"/>
        <v>29.72</v>
      </c>
      <c r="M96" s="48">
        <f t="shared" si="11"/>
        <v>92.96</v>
      </c>
      <c r="N96" s="48">
        <f t="shared" si="12"/>
        <v>208.04</v>
      </c>
      <c r="O96" s="50">
        <f t="shared" si="13"/>
        <v>301</v>
      </c>
      <c r="P96" s="50">
        <v>0</v>
      </c>
      <c r="Q96" s="76"/>
      <c r="R96" s="140">
        <f>IF((1*S9+2*S10)&gt;10,10,(1*S9+2*S10))</f>
        <v>7</v>
      </c>
      <c r="S96" s="79">
        <v>10.85</v>
      </c>
      <c r="T96" s="80">
        <v>24.27</v>
      </c>
    </row>
    <row r="97" spans="2:20">
      <c r="B97" s="5" t="s">
        <v>309</v>
      </c>
      <c r="C97" s="45" t="s">
        <v>97</v>
      </c>
      <c r="D97" s="45" t="s">
        <v>310</v>
      </c>
      <c r="E97" s="6" t="s">
        <v>311</v>
      </c>
      <c r="F97" s="45" t="s">
        <v>104</v>
      </c>
      <c r="G97" s="46">
        <f t="shared" si="7"/>
        <v>100</v>
      </c>
      <c r="H97" s="46">
        <f>TRUNC(S97*(1-LOTE_01!$K$10),2)</f>
        <v>0.82</v>
      </c>
      <c r="I97" s="46">
        <f>TRUNC(T97*(1-LOTE_01!$K$10),2)</f>
        <v>1.63</v>
      </c>
      <c r="J97" s="100">
        <f t="shared" si="8"/>
        <v>0.22470000000000001</v>
      </c>
      <c r="K97" s="48">
        <f t="shared" si="9"/>
        <v>1</v>
      </c>
      <c r="L97" s="48">
        <f t="shared" si="10"/>
        <v>1.99</v>
      </c>
      <c r="M97" s="48">
        <f t="shared" si="11"/>
        <v>100</v>
      </c>
      <c r="N97" s="48">
        <f t="shared" si="12"/>
        <v>199</v>
      </c>
      <c r="O97" s="50">
        <f t="shared" si="13"/>
        <v>299</v>
      </c>
      <c r="P97" s="50">
        <v>0</v>
      </c>
      <c r="Q97" s="76"/>
      <c r="R97" s="140">
        <f>20*S9+20*S10</f>
        <v>100</v>
      </c>
      <c r="S97" s="79">
        <v>0.82</v>
      </c>
      <c r="T97" s="80">
        <v>1.63</v>
      </c>
    </row>
    <row r="98" spans="2:20" ht="42">
      <c r="B98" s="5" t="s">
        <v>312</v>
      </c>
      <c r="C98" s="45" t="s">
        <v>97</v>
      </c>
      <c r="D98" s="45" t="s">
        <v>313</v>
      </c>
      <c r="E98" s="6" t="s">
        <v>314</v>
      </c>
      <c r="F98" s="45" t="s">
        <v>104</v>
      </c>
      <c r="G98" s="46">
        <f t="shared" si="7"/>
        <v>5</v>
      </c>
      <c r="H98" s="46">
        <f>TRUNC(S98*(1-LOTE_01!$K$10),2)</f>
        <v>16.600000000000001</v>
      </c>
      <c r="I98" s="46">
        <f>TRUNC(T98*(1-LOTE_01!$K$10),2)</f>
        <v>42.29</v>
      </c>
      <c r="J98" s="100">
        <f t="shared" si="8"/>
        <v>0.22470000000000001</v>
      </c>
      <c r="K98" s="48">
        <f t="shared" si="9"/>
        <v>20.329999999999998</v>
      </c>
      <c r="L98" s="48">
        <f t="shared" si="10"/>
        <v>51.79</v>
      </c>
      <c r="M98" s="48">
        <f t="shared" si="11"/>
        <v>101.65</v>
      </c>
      <c r="N98" s="48">
        <f t="shared" si="12"/>
        <v>258.95</v>
      </c>
      <c r="O98" s="50">
        <f t="shared" si="13"/>
        <v>360.6</v>
      </c>
      <c r="P98" s="50">
        <v>0</v>
      </c>
      <c r="Q98" s="76"/>
      <c r="R98" s="140">
        <f>IF((1*S9+1*S10)&gt;5,5,(1*S9+1*S10))</f>
        <v>5</v>
      </c>
      <c r="S98" s="79">
        <v>16.600000000000001</v>
      </c>
      <c r="T98" s="80">
        <v>42.29</v>
      </c>
    </row>
    <row r="99" spans="2:20" ht="28">
      <c r="B99" s="5" t="s">
        <v>315</v>
      </c>
      <c r="C99" s="45" t="s">
        <v>97</v>
      </c>
      <c r="D99" s="45" t="s">
        <v>316</v>
      </c>
      <c r="E99" s="6" t="s">
        <v>317</v>
      </c>
      <c r="F99" s="45" t="s">
        <v>104</v>
      </c>
      <c r="G99" s="46">
        <f t="shared" si="7"/>
        <v>10</v>
      </c>
      <c r="H99" s="46">
        <f>TRUNC(S99*(1-LOTE_01!$K$10),2)</f>
        <v>2.0099999999999998</v>
      </c>
      <c r="I99" s="46">
        <f>TRUNC(T99*(1-LOTE_01!$K$10),2)</f>
        <v>6.04</v>
      </c>
      <c r="J99" s="100">
        <f t="shared" si="8"/>
        <v>0.22470000000000001</v>
      </c>
      <c r="K99" s="48">
        <f t="shared" si="9"/>
        <v>2.46</v>
      </c>
      <c r="L99" s="48">
        <f t="shared" si="10"/>
        <v>7.39</v>
      </c>
      <c r="M99" s="48">
        <f t="shared" si="11"/>
        <v>24.6</v>
      </c>
      <c r="N99" s="48">
        <f t="shared" si="12"/>
        <v>73.900000000000006</v>
      </c>
      <c r="O99" s="50">
        <f t="shared" si="13"/>
        <v>98.5</v>
      </c>
      <c r="P99" s="50">
        <v>0</v>
      </c>
      <c r="Q99" s="76"/>
      <c r="R99" s="140">
        <f>IF((2*S9+2*S10)&gt;50,50,(2*S9+2*S10))</f>
        <v>10</v>
      </c>
      <c r="S99" s="79">
        <v>2.0099999999999998</v>
      </c>
      <c r="T99" s="80">
        <v>6.04</v>
      </c>
    </row>
    <row r="100" spans="2:20" ht="28">
      <c r="B100" s="5" t="s">
        <v>318</v>
      </c>
      <c r="C100" s="45" t="s">
        <v>97</v>
      </c>
      <c r="D100" s="45" t="s">
        <v>319</v>
      </c>
      <c r="E100" s="6" t="s">
        <v>320</v>
      </c>
      <c r="F100" s="45" t="s">
        <v>187</v>
      </c>
      <c r="G100" s="46">
        <f t="shared" si="7"/>
        <v>90</v>
      </c>
      <c r="H100" s="46">
        <f>TRUNC(S100*(1-LOTE_01!$K$10),2)</f>
        <v>2.31</v>
      </c>
      <c r="I100" s="46">
        <f>TRUNC(T100*(1-LOTE_01!$K$10),2)</f>
        <v>4.53</v>
      </c>
      <c r="J100" s="100">
        <f t="shared" si="8"/>
        <v>0.22470000000000001</v>
      </c>
      <c r="K100" s="48">
        <f t="shared" si="9"/>
        <v>2.82</v>
      </c>
      <c r="L100" s="48">
        <f t="shared" si="10"/>
        <v>5.54</v>
      </c>
      <c r="M100" s="48">
        <f t="shared" si="11"/>
        <v>253.8</v>
      </c>
      <c r="N100" s="48">
        <f t="shared" si="12"/>
        <v>498.6</v>
      </c>
      <c r="O100" s="50">
        <f t="shared" si="13"/>
        <v>752.4</v>
      </c>
      <c r="P100" s="50">
        <v>0</v>
      </c>
      <c r="Q100" s="76"/>
      <c r="R100" s="140">
        <f>IF((10*S9+30*S10)&gt;100,100,(10*S9+30*S10))</f>
        <v>90</v>
      </c>
      <c r="S100" s="79">
        <v>2.31</v>
      </c>
      <c r="T100" s="80">
        <v>4.53</v>
      </c>
    </row>
    <row r="101" spans="2:20" ht="28">
      <c r="B101" s="5" t="s">
        <v>321</v>
      </c>
      <c r="C101" s="45" t="s">
        <v>97</v>
      </c>
      <c r="D101" s="45" t="s">
        <v>322</v>
      </c>
      <c r="E101" s="6" t="s">
        <v>323</v>
      </c>
      <c r="F101" s="45" t="s">
        <v>121</v>
      </c>
      <c r="G101" s="46">
        <f t="shared" si="7"/>
        <v>50</v>
      </c>
      <c r="H101" s="46">
        <f>TRUNC(S101*(1-LOTE_01!$K$10),2)</f>
        <v>9.9499999999999993</v>
      </c>
      <c r="I101" s="46">
        <f>TRUNC(T101*(1-LOTE_01!$K$10),2)</f>
        <v>23.44</v>
      </c>
      <c r="J101" s="100">
        <f t="shared" si="8"/>
        <v>0.22470000000000001</v>
      </c>
      <c r="K101" s="48">
        <f t="shared" si="9"/>
        <v>12.18</v>
      </c>
      <c r="L101" s="48">
        <f t="shared" si="10"/>
        <v>28.7</v>
      </c>
      <c r="M101" s="48">
        <f t="shared" si="11"/>
        <v>609</v>
      </c>
      <c r="N101" s="48">
        <f t="shared" si="12"/>
        <v>1435</v>
      </c>
      <c r="O101" s="50">
        <f t="shared" si="13"/>
        <v>2044</v>
      </c>
      <c r="P101" s="50">
        <v>0</v>
      </c>
      <c r="Q101" s="76"/>
      <c r="R101" s="140">
        <f>10*S9+10*S10</f>
        <v>50</v>
      </c>
      <c r="S101" s="79">
        <v>9.9499999999999993</v>
      </c>
      <c r="T101" s="80">
        <v>23.44</v>
      </c>
    </row>
    <row r="102" spans="2:20" ht="28">
      <c r="B102" s="5" t="s">
        <v>324</v>
      </c>
      <c r="C102" s="45" t="s">
        <v>97</v>
      </c>
      <c r="D102" s="45" t="s">
        <v>325</v>
      </c>
      <c r="E102" s="6" t="s">
        <v>326</v>
      </c>
      <c r="F102" s="45" t="s">
        <v>104</v>
      </c>
      <c r="G102" s="46">
        <f t="shared" si="7"/>
        <v>12</v>
      </c>
      <c r="H102" s="46">
        <f>TRUNC(S102*(1-LOTE_01!$K$10),2)</f>
        <v>4.0199999999999996</v>
      </c>
      <c r="I102" s="46">
        <f>TRUNC(T102*(1-LOTE_01!$K$10),2)</f>
        <v>12.09</v>
      </c>
      <c r="J102" s="100">
        <f t="shared" si="8"/>
        <v>0.22470000000000001</v>
      </c>
      <c r="K102" s="48">
        <f t="shared" si="9"/>
        <v>4.92</v>
      </c>
      <c r="L102" s="48">
        <f t="shared" si="10"/>
        <v>14.8</v>
      </c>
      <c r="M102" s="48">
        <f t="shared" si="11"/>
        <v>59.04</v>
      </c>
      <c r="N102" s="48">
        <f t="shared" si="12"/>
        <v>177.6</v>
      </c>
      <c r="O102" s="50">
        <f t="shared" si="13"/>
        <v>236.64</v>
      </c>
      <c r="P102" s="50">
        <v>0</v>
      </c>
      <c r="Q102" s="76"/>
      <c r="R102" s="140">
        <f>2*S9+3*S10</f>
        <v>12</v>
      </c>
      <c r="S102" s="79">
        <v>4.0199999999999996</v>
      </c>
      <c r="T102" s="80">
        <v>12.09</v>
      </c>
    </row>
    <row r="103" spans="2:20" ht="28">
      <c r="B103" s="5" t="s">
        <v>327</v>
      </c>
      <c r="C103" s="45" t="s">
        <v>97</v>
      </c>
      <c r="D103" s="45" t="s">
        <v>328</v>
      </c>
      <c r="E103" s="6" t="s">
        <v>329</v>
      </c>
      <c r="F103" s="45" t="s">
        <v>104</v>
      </c>
      <c r="G103" s="46">
        <f t="shared" si="7"/>
        <v>5</v>
      </c>
      <c r="H103" s="46">
        <f>TRUNC(S103*(1-LOTE_01!$K$10),2)</f>
        <v>29.73</v>
      </c>
      <c r="I103" s="46">
        <f>TRUNC(T103*(1-LOTE_01!$K$10),2)</f>
        <v>70.23</v>
      </c>
      <c r="J103" s="100">
        <f t="shared" si="8"/>
        <v>0.22470000000000001</v>
      </c>
      <c r="K103" s="48">
        <f t="shared" si="9"/>
        <v>36.409999999999997</v>
      </c>
      <c r="L103" s="48">
        <f t="shared" si="10"/>
        <v>86.01</v>
      </c>
      <c r="M103" s="48">
        <f t="shared" si="11"/>
        <v>182.05</v>
      </c>
      <c r="N103" s="48">
        <f t="shared" si="12"/>
        <v>430.05</v>
      </c>
      <c r="O103" s="50">
        <f t="shared" si="13"/>
        <v>612.1</v>
      </c>
      <c r="P103" s="50">
        <v>0</v>
      </c>
      <c r="Q103" s="76"/>
      <c r="R103" s="140">
        <f>IF((1*S9+1*S10)&gt;10,10,(1*S9+1*S10))</f>
        <v>5</v>
      </c>
      <c r="S103" s="79">
        <v>29.73</v>
      </c>
      <c r="T103" s="80">
        <v>70.23</v>
      </c>
    </row>
    <row r="104" spans="2:20" ht="28">
      <c r="B104" s="5" t="s">
        <v>330</v>
      </c>
      <c r="C104" s="45" t="s">
        <v>97</v>
      </c>
      <c r="D104" s="45" t="s">
        <v>331</v>
      </c>
      <c r="E104" s="6" t="s">
        <v>332</v>
      </c>
      <c r="F104" s="45" t="s">
        <v>104</v>
      </c>
      <c r="G104" s="46">
        <f t="shared" si="7"/>
        <v>5</v>
      </c>
      <c r="H104" s="46">
        <f>TRUNC(S104*(1-LOTE_01!$K$10),2)</f>
        <v>5748.54</v>
      </c>
      <c r="I104" s="46">
        <f>TRUNC(T104*(1-LOTE_01!$K$10),2)</f>
        <v>673.15</v>
      </c>
      <c r="J104" s="100">
        <f t="shared" si="8"/>
        <v>0.22470000000000001</v>
      </c>
      <c r="K104" s="48">
        <f t="shared" si="9"/>
        <v>7040.23</v>
      </c>
      <c r="L104" s="48">
        <f t="shared" si="10"/>
        <v>824.4</v>
      </c>
      <c r="M104" s="48">
        <f t="shared" si="11"/>
        <v>35201.15</v>
      </c>
      <c r="N104" s="48">
        <f t="shared" si="12"/>
        <v>4122</v>
      </c>
      <c r="O104" s="50">
        <f t="shared" si="13"/>
        <v>39323.15</v>
      </c>
      <c r="P104" s="50">
        <v>0</v>
      </c>
      <c r="Q104" s="76"/>
      <c r="R104" s="140">
        <f>IF((1*S9+1*S10)&gt;10,10,(1*S9+1*S10))</f>
        <v>5</v>
      </c>
      <c r="S104" s="79">
        <v>5748.54</v>
      </c>
      <c r="T104" s="80">
        <v>673.15</v>
      </c>
    </row>
    <row r="105" spans="2:20" ht="28">
      <c r="B105" s="5" t="s">
        <v>333</v>
      </c>
      <c r="C105" s="45" t="s">
        <v>97</v>
      </c>
      <c r="D105" s="45" t="s">
        <v>334</v>
      </c>
      <c r="E105" s="6" t="s">
        <v>335</v>
      </c>
      <c r="F105" s="45" t="s">
        <v>104</v>
      </c>
      <c r="G105" s="46">
        <f t="shared" si="7"/>
        <v>14</v>
      </c>
      <c r="H105" s="46">
        <f>TRUNC(S105*(1-LOTE_01!$K$10),2)</f>
        <v>2.48</v>
      </c>
      <c r="I105" s="46">
        <f>TRUNC(T105*(1-LOTE_01!$K$10),2)</f>
        <v>4.8899999999999997</v>
      </c>
      <c r="J105" s="100">
        <f t="shared" si="8"/>
        <v>0.22470000000000001</v>
      </c>
      <c r="K105" s="48">
        <f t="shared" si="9"/>
        <v>3.03</v>
      </c>
      <c r="L105" s="48">
        <f t="shared" si="10"/>
        <v>5.98</v>
      </c>
      <c r="M105" s="48">
        <f t="shared" si="11"/>
        <v>42.42</v>
      </c>
      <c r="N105" s="48">
        <f t="shared" si="12"/>
        <v>83.72</v>
      </c>
      <c r="O105" s="50">
        <f t="shared" si="13"/>
        <v>126.14</v>
      </c>
      <c r="P105" s="50">
        <v>0</v>
      </c>
      <c r="Q105" s="76"/>
      <c r="R105" s="140">
        <f>2*S9+4*S10</f>
        <v>14</v>
      </c>
      <c r="S105" s="79">
        <v>2.48</v>
      </c>
      <c r="T105" s="80">
        <v>4.8899999999999997</v>
      </c>
    </row>
    <row r="106" spans="2:20">
      <c r="B106" s="5" t="s">
        <v>336</v>
      </c>
      <c r="C106" s="45" t="s">
        <v>97</v>
      </c>
      <c r="D106" s="45" t="s">
        <v>337</v>
      </c>
      <c r="E106" s="6" t="s">
        <v>338</v>
      </c>
      <c r="F106" s="45" t="s">
        <v>104</v>
      </c>
      <c r="G106" s="46">
        <f t="shared" si="7"/>
        <v>120</v>
      </c>
      <c r="H106" s="46">
        <f>TRUNC(S106*(1-LOTE_01!$K$10),2)</f>
        <v>0.82</v>
      </c>
      <c r="I106" s="46">
        <f>TRUNC(T106*(1-LOTE_01!$K$10),2)</f>
        <v>1.63</v>
      </c>
      <c r="J106" s="100">
        <f t="shared" si="8"/>
        <v>0.22470000000000001</v>
      </c>
      <c r="K106" s="48">
        <f t="shared" si="9"/>
        <v>1</v>
      </c>
      <c r="L106" s="48">
        <f t="shared" si="10"/>
        <v>1.99</v>
      </c>
      <c r="M106" s="48">
        <f t="shared" si="11"/>
        <v>120</v>
      </c>
      <c r="N106" s="48">
        <f t="shared" si="12"/>
        <v>238.8</v>
      </c>
      <c r="O106" s="50">
        <f t="shared" si="13"/>
        <v>358.8</v>
      </c>
      <c r="P106" s="50">
        <v>0</v>
      </c>
      <c r="Q106" s="76"/>
      <c r="R106" s="140">
        <f>20*S9+30*S10</f>
        <v>120</v>
      </c>
      <c r="S106" s="79">
        <v>0.82</v>
      </c>
      <c r="T106" s="80">
        <v>1.63</v>
      </c>
    </row>
    <row r="107" spans="2:20" ht="28">
      <c r="B107" s="5" t="s">
        <v>339</v>
      </c>
      <c r="C107" s="45" t="s">
        <v>97</v>
      </c>
      <c r="D107" s="45" t="s">
        <v>301</v>
      </c>
      <c r="E107" s="6" t="s">
        <v>302</v>
      </c>
      <c r="F107" s="45" t="s">
        <v>104</v>
      </c>
      <c r="G107" s="46">
        <f t="shared" si="7"/>
        <v>10</v>
      </c>
      <c r="H107" s="46">
        <f>TRUNC(S107*(1-LOTE_01!$K$10),2)</f>
        <v>1.65</v>
      </c>
      <c r="I107" s="46">
        <f>TRUNC(T107*(1-LOTE_01!$K$10),2)</f>
        <v>3.26</v>
      </c>
      <c r="J107" s="100">
        <f t="shared" si="8"/>
        <v>0.22470000000000001</v>
      </c>
      <c r="K107" s="48">
        <f t="shared" si="9"/>
        <v>2.02</v>
      </c>
      <c r="L107" s="48">
        <f t="shared" si="10"/>
        <v>3.99</v>
      </c>
      <c r="M107" s="48">
        <f t="shared" si="11"/>
        <v>20.2</v>
      </c>
      <c r="N107" s="48">
        <f t="shared" si="12"/>
        <v>39.9</v>
      </c>
      <c r="O107" s="50">
        <f t="shared" si="13"/>
        <v>60.1</v>
      </c>
      <c r="P107" s="50">
        <v>0</v>
      </c>
      <c r="Q107" s="76"/>
      <c r="R107" s="140">
        <f>2*S9+2*S10</f>
        <v>10</v>
      </c>
      <c r="S107" s="79">
        <v>1.65</v>
      </c>
      <c r="T107" s="80">
        <v>3.26</v>
      </c>
    </row>
    <row r="108" spans="2:20" ht="42">
      <c r="B108" s="5" t="s">
        <v>340</v>
      </c>
      <c r="C108" s="45" t="s">
        <v>135</v>
      </c>
      <c r="D108" s="45">
        <v>90436</v>
      </c>
      <c r="E108" s="6" t="s">
        <v>341</v>
      </c>
      <c r="F108" s="45" t="s">
        <v>210</v>
      </c>
      <c r="G108" s="46">
        <f t="shared" si="7"/>
        <v>10</v>
      </c>
      <c r="H108" s="46">
        <f>TRUNC(S108*(1-LOTE_01!$K$10),2)</f>
        <v>4.29</v>
      </c>
      <c r="I108" s="46">
        <f>TRUNC(T108*(1-LOTE_01!$K$10),2)</f>
        <v>13.58</v>
      </c>
      <c r="J108" s="100">
        <f t="shared" si="8"/>
        <v>0.22470000000000001</v>
      </c>
      <c r="K108" s="48">
        <f t="shared" si="9"/>
        <v>5.25</v>
      </c>
      <c r="L108" s="48">
        <f t="shared" si="10"/>
        <v>16.63</v>
      </c>
      <c r="M108" s="48">
        <f t="shared" si="11"/>
        <v>52.5</v>
      </c>
      <c r="N108" s="48">
        <f t="shared" si="12"/>
        <v>166.3</v>
      </c>
      <c r="O108" s="50">
        <f t="shared" si="13"/>
        <v>218.8</v>
      </c>
      <c r="P108" s="50">
        <v>0</v>
      </c>
      <c r="Q108" s="76"/>
      <c r="R108" s="140">
        <f>IF((2*S9+2*S10)&gt;20,20,(2*S9+2*S10))</f>
        <v>10</v>
      </c>
      <c r="S108" s="79">
        <v>4.2900000000000009</v>
      </c>
      <c r="T108" s="80">
        <v>13.58</v>
      </c>
    </row>
    <row r="109" spans="2:20" ht="56">
      <c r="B109" s="5" t="s">
        <v>342</v>
      </c>
      <c r="C109" s="45" t="s">
        <v>135</v>
      </c>
      <c r="D109" s="45">
        <v>90437</v>
      </c>
      <c r="E109" s="6" t="s">
        <v>343</v>
      </c>
      <c r="F109" s="45" t="s">
        <v>210</v>
      </c>
      <c r="G109" s="46">
        <f t="shared" si="7"/>
        <v>10</v>
      </c>
      <c r="H109" s="46">
        <f>TRUNC(S109*(1-LOTE_01!$K$10),2)</f>
        <v>11.45</v>
      </c>
      <c r="I109" s="46">
        <f>TRUNC(T109*(1-LOTE_01!$K$10),2)</f>
        <v>36.19</v>
      </c>
      <c r="J109" s="100">
        <f t="shared" si="8"/>
        <v>0.22470000000000001</v>
      </c>
      <c r="K109" s="48">
        <f t="shared" si="9"/>
        <v>14.02</v>
      </c>
      <c r="L109" s="48">
        <f t="shared" si="10"/>
        <v>44.32</v>
      </c>
      <c r="M109" s="48">
        <f t="shared" si="11"/>
        <v>140.19999999999999</v>
      </c>
      <c r="N109" s="48">
        <f t="shared" si="12"/>
        <v>443.2</v>
      </c>
      <c r="O109" s="50">
        <f t="shared" si="13"/>
        <v>583.4</v>
      </c>
      <c r="P109" s="50">
        <v>0</v>
      </c>
      <c r="Q109" s="76"/>
      <c r="R109" s="140">
        <f>IF((2*S9+2*S10)&gt;20,20,(2*S9+2*S10))</f>
        <v>10</v>
      </c>
      <c r="S109" s="79">
        <v>11.450000000000003</v>
      </c>
      <c r="T109" s="80">
        <v>36.19</v>
      </c>
    </row>
    <row r="110" spans="2:20" ht="56">
      <c r="B110" s="5" t="s">
        <v>344</v>
      </c>
      <c r="C110" s="45" t="s">
        <v>135</v>
      </c>
      <c r="D110" s="45">
        <v>90438</v>
      </c>
      <c r="E110" s="6" t="s">
        <v>345</v>
      </c>
      <c r="F110" s="45" t="s">
        <v>210</v>
      </c>
      <c r="G110" s="46">
        <f t="shared" si="7"/>
        <v>10</v>
      </c>
      <c r="H110" s="46">
        <f>TRUNC(S110*(1-LOTE_01!$K$10),2)</f>
        <v>16.73</v>
      </c>
      <c r="I110" s="46">
        <f>TRUNC(T110*(1-LOTE_01!$K$10),2)</f>
        <v>52.85</v>
      </c>
      <c r="J110" s="100">
        <f t="shared" si="8"/>
        <v>0.22470000000000001</v>
      </c>
      <c r="K110" s="48">
        <f t="shared" si="9"/>
        <v>20.48</v>
      </c>
      <c r="L110" s="48">
        <f t="shared" si="10"/>
        <v>64.72</v>
      </c>
      <c r="M110" s="48">
        <f t="shared" si="11"/>
        <v>204.8</v>
      </c>
      <c r="N110" s="48">
        <f t="shared" si="12"/>
        <v>647.20000000000005</v>
      </c>
      <c r="O110" s="50">
        <f t="shared" si="13"/>
        <v>852</v>
      </c>
      <c r="P110" s="50">
        <v>0</v>
      </c>
      <c r="Q110" s="76"/>
      <c r="R110" s="140">
        <f>IF((2*S9+2*S10)&gt;20,20,(2*S9+2*S10))</f>
        <v>10</v>
      </c>
      <c r="S110" s="79">
        <v>16.729999999999997</v>
      </c>
      <c r="T110" s="80">
        <v>52.85</v>
      </c>
    </row>
    <row r="111" spans="2:20" ht="56">
      <c r="B111" s="5" t="s">
        <v>346</v>
      </c>
      <c r="C111" s="45" t="s">
        <v>135</v>
      </c>
      <c r="D111" s="45">
        <v>90439</v>
      </c>
      <c r="E111" s="6" t="s">
        <v>347</v>
      </c>
      <c r="F111" s="45" t="s">
        <v>210</v>
      </c>
      <c r="G111" s="46">
        <f t="shared" si="7"/>
        <v>10</v>
      </c>
      <c r="H111" s="46">
        <f>TRUNC(S111*(1-LOTE_01!$K$10),2)</f>
        <v>3.19</v>
      </c>
      <c r="I111" s="46">
        <f>TRUNC(T111*(1-LOTE_01!$K$10),2)</f>
        <v>7.55</v>
      </c>
      <c r="J111" s="100">
        <f t="shared" si="8"/>
        <v>0.22470000000000001</v>
      </c>
      <c r="K111" s="48">
        <f t="shared" si="9"/>
        <v>3.9</v>
      </c>
      <c r="L111" s="48">
        <f t="shared" si="10"/>
        <v>9.24</v>
      </c>
      <c r="M111" s="48">
        <f t="shared" si="11"/>
        <v>39</v>
      </c>
      <c r="N111" s="48">
        <f t="shared" si="12"/>
        <v>92.4</v>
      </c>
      <c r="O111" s="50">
        <f t="shared" si="13"/>
        <v>131.4</v>
      </c>
      <c r="P111" s="50">
        <v>0</v>
      </c>
      <c r="Q111" s="76"/>
      <c r="R111" s="140">
        <f>IF((2*S9+2*S10)&gt;10,10,(2*S9+2*S10))</f>
        <v>10</v>
      </c>
      <c r="S111" s="79">
        <v>3.1900000000000004</v>
      </c>
      <c r="T111" s="80">
        <v>7.55</v>
      </c>
    </row>
    <row r="112" spans="2:20" ht="70">
      <c r="B112" s="5" t="s">
        <v>348</v>
      </c>
      <c r="C112" s="45" t="s">
        <v>135</v>
      </c>
      <c r="D112" s="45">
        <v>90440</v>
      </c>
      <c r="E112" s="6" t="s">
        <v>349</v>
      </c>
      <c r="F112" s="45" t="s">
        <v>210</v>
      </c>
      <c r="G112" s="46">
        <f t="shared" si="7"/>
        <v>10</v>
      </c>
      <c r="H112" s="46">
        <f>TRUNC(S112*(1-LOTE_01!$K$10),2)</f>
        <v>8.4700000000000006</v>
      </c>
      <c r="I112" s="46">
        <f>TRUNC(T112*(1-LOTE_01!$K$10),2)</f>
        <v>20.170000000000002</v>
      </c>
      <c r="J112" s="100">
        <f t="shared" si="8"/>
        <v>0.22470000000000001</v>
      </c>
      <c r="K112" s="48">
        <f t="shared" si="9"/>
        <v>10.37</v>
      </c>
      <c r="L112" s="48">
        <f t="shared" si="10"/>
        <v>24.7</v>
      </c>
      <c r="M112" s="48">
        <f t="shared" si="11"/>
        <v>103.7</v>
      </c>
      <c r="N112" s="48">
        <f t="shared" si="12"/>
        <v>247</v>
      </c>
      <c r="O112" s="50">
        <f t="shared" si="13"/>
        <v>350.7</v>
      </c>
      <c r="P112" s="50">
        <v>0</v>
      </c>
      <c r="Q112" s="76"/>
      <c r="R112" s="140">
        <f>IF((2*S9+2*S10)&gt;10,10,(2*S9+2*S10))</f>
        <v>10</v>
      </c>
      <c r="S112" s="79">
        <v>8.4699999999999989</v>
      </c>
      <c r="T112" s="80">
        <v>20.170000000000002</v>
      </c>
    </row>
    <row r="113" spans="2:20" ht="70">
      <c r="B113" s="5" t="s">
        <v>350</v>
      </c>
      <c r="C113" s="45" t="s">
        <v>135</v>
      </c>
      <c r="D113" s="45">
        <v>90441</v>
      </c>
      <c r="E113" s="6" t="s">
        <v>351</v>
      </c>
      <c r="F113" s="45" t="s">
        <v>210</v>
      </c>
      <c r="G113" s="46">
        <f t="shared" si="7"/>
        <v>10</v>
      </c>
      <c r="H113" s="46">
        <f>TRUNC(S113*(1-LOTE_01!$K$10),2)</f>
        <v>12.37</v>
      </c>
      <c r="I113" s="46">
        <f>TRUNC(T113*(1-LOTE_01!$K$10),2)</f>
        <v>29.47</v>
      </c>
      <c r="J113" s="100">
        <f t="shared" si="8"/>
        <v>0.22470000000000001</v>
      </c>
      <c r="K113" s="48">
        <f t="shared" si="9"/>
        <v>15.14</v>
      </c>
      <c r="L113" s="48">
        <f t="shared" si="10"/>
        <v>36.090000000000003</v>
      </c>
      <c r="M113" s="48">
        <f t="shared" si="11"/>
        <v>151.4</v>
      </c>
      <c r="N113" s="48">
        <f t="shared" si="12"/>
        <v>360.9</v>
      </c>
      <c r="O113" s="50">
        <f t="shared" si="13"/>
        <v>512.29999999999995</v>
      </c>
      <c r="P113" s="50">
        <v>0</v>
      </c>
      <c r="Q113" s="76"/>
      <c r="R113" s="140">
        <f>IF((2*S9+2*S10)&gt;10,10,(2*S9+2*S10))</f>
        <v>10</v>
      </c>
      <c r="S113" s="79">
        <v>12.370000000000005</v>
      </c>
      <c r="T113" s="80">
        <v>29.47</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50">
        <f>SUM(O115:O123)</f>
        <v>560.55000000000007</v>
      </c>
      <c r="Q114" s="76"/>
      <c r="R114" s="154"/>
      <c r="S114" s="79" t="s">
        <v>22</v>
      </c>
      <c r="T114" s="80" t="s">
        <v>22</v>
      </c>
    </row>
    <row r="115" spans="2:20" ht="28">
      <c r="B115" s="5" t="s">
        <v>352</v>
      </c>
      <c r="C115" s="45" t="s">
        <v>135</v>
      </c>
      <c r="D115" s="45">
        <v>94319</v>
      </c>
      <c r="E115" s="6" t="s">
        <v>353</v>
      </c>
      <c r="F115" s="45" t="s">
        <v>161</v>
      </c>
      <c r="G115" s="46">
        <f>IF($S$11=0,0,TRUNC(R115,2))</f>
        <v>1</v>
      </c>
      <c r="H115" s="46">
        <f>TRUNC(S115*(1-LOTE_01!$K$10),2)</f>
        <v>66.290000000000006</v>
      </c>
      <c r="I115" s="46">
        <f>TRUNC(T115*(1-LOTE_01!$K$10),2)</f>
        <v>17.739999999999998</v>
      </c>
      <c r="J115" s="100">
        <f t="shared" si="8"/>
        <v>0.22470000000000001</v>
      </c>
      <c r="K115" s="48">
        <f t="shared" si="9"/>
        <v>81.180000000000007</v>
      </c>
      <c r="L115" s="48">
        <f t="shared" si="10"/>
        <v>21.72</v>
      </c>
      <c r="M115" s="48">
        <f t="shared" si="11"/>
        <v>81.180000000000007</v>
      </c>
      <c r="N115" s="48">
        <f t="shared" si="12"/>
        <v>21.72</v>
      </c>
      <c r="O115" s="50">
        <f t="shared" si="13"/>
        <v>102.9</v>
      </c>
      <c r="P115" s="50">
        <v>0</v>
      </c>
      <c r="Q115" s="76"/>
      <c r="R115" s="140">
        <f>IF((1*S10)&gt;5,5,1)</f>
        <v>1</v>
      </c>
      <c r="S115" s="79">
        <v>66.290000000000006</v>
      </c>
      <c r="T115" s="80">
        <v>17.739999999999998</v>
      </c>
    </row>
    <row r="116" spans="2:20" ht="28">
      <c r="B116" s="5" t="s">
        <v>354</v>
      </c>
      <c r="C116" s="45" t="s">
        <v>135</v>
      </c>
      <c r="D116" s="45">
        <v>94342</v>
      </c>
      <c r="E116" s="6" t="s">
        <v>355</v>
      </c>
      <c r="F116" s="45" t="s">
        <v>161</v>
      </c>
      <c r="G116" s="46">
        <f t="shared" ref="G116:G123" si="14">IF($S$11=0,0,TRUNC(R116,2))</f>
        <v>1</v>
      </c>
      <c r="H116" s="46">
        <f>TRUNC(S116*(1-LOTE_01!$K$10),2)</f>
        <v>58.87</v>
      </c>
      <c r="I116" s="46">
        <f>TRUNC(T116*(1-LOTE_01!$K$10),2)</f>
        <v>18.2</v>
      </c>
      <c r="J116" s="100">
        <f t="shared" si="8"/>
        <v>0.22470000000000001</v>
      </c>
      <c r="K116" s="48">
        <f t="shared" si="9"/>
        <v>72.09</v>
      </c>
      <c r="L116" s="48">
        <f t="shared" si="10"/>
        <v>22.28</v>
      </c>
      <c r="M116" s="48">
        <f t="shared" si="11"/>
        <v>72.09</v>
      </c>
      <c r="N116" s="48">
        <f t="shared" si="12"/>
        <v>22.28</v>
      </c>
      <c r="O116" s="50">
        <f t="shared" si="13"/>
        <v>94.37</v>
      </c>
      <c r="P116" s="50">
        <v>0</v>
      </c>
      <c r="Q116" s="76"/>
      <c r="R116" s="140">
        <f>IF((1*S10)&gt;5,5,1)</f>
        <v>1</v>
      </c>
      <c r="S116" s="79">
        <v>58.86999999999999</v>
      </c>
      <c r="T116" s="80">
        <v>18.2</v>
      </c>
    </row>
    <row r="117" spans="2:20" ht="28">
      <c r="B117" s="5" t="s">
        <v>356</v>
      </c>
      <c r="C117" s="45" t="s">
        <v>165</v>
      </c>
      <c r="D117" s="45" t="s">
        <v>357</v>
      </c>
      <c r="E117" s="6" t="s">
        <v>358</v>
      </c>
      <c r="F117" s="45" t="s">
        <v>182</v>
      </c>
      <c r="G117" s="46">
        <f t="shared" si="14"/>
        <v>1</v>
      </c>
      <c r="H117" s="46">
        <f>TRUNC(S117*(1-LOTE_01!$K$10),2)</f>
        <v>14.6</v>
      </c>
      <c r="I117" s="46">
        <f>TRUNC(T117*(1-LOTE_01!$K$10),2)</f>
        <v>0.7</v>
      </c>
      <c r="J117" s="100">
        <f t="shared" si="8"/>
        <v>0.22470000000000001</v>
      </c>
      <c r="K117" s="48">
        <f t="shared" si="9"/>
        <v>17.88</v>
      </c>
      <c r="L117" s="48">
        <f t="shared" si="10"/>
        <v>0.85</v>
      </c>
      <c r="M117" s="48">
        <f t="shared" si="11"/>
        <v>17.88</v>
      </c>
      <c r="N117" s="48">
        <f t="shared" si="12"/>
        <v>0.85</v>
      </c>
      <c r="O117" s="50">
        <f t="shared" si="13"/>
        <v>18.73</v>
      </c>
      <c r="P117" s="50">
        <v>0</v>
      </c>
      <c r="Q117" s="76"/>
      <c r="R117" s="140">
        <f>IF((1*S10)&gt;5,5,1)</f>
        <v>1</v>
      </c>
      <c r="S117" s="79">
        <v>14.6</v>
      </c>
      <c r="T117" s="80">
        <v>0.7</v>
      </c>
    </row>
    <row r="118" spans="2:20" ht="28">
      <c r="B118" s="5" t="s">
        <v>359</v>
      </c>
      <c r="C118" s="45" t="s">
        <v>165</v>
      </c>
      <c r="D118" s="45" t="s">
        <v>360</v>
      </c>
      <c r="E118" s="6" t="s">
        <v>361</v>
      </c>
      <c r="F118" s="45" t="s">
        <v>182</v>
      </c>
      <c r="G118" s="46">
        <f t="shared" si="14"/>
        <v>1</v>
      </c>
      <c r="H118" s="46">
        <f>TRUNC(S118*(1-LOTE_01!$K$10),2)</f>
        <v>24.77</v>
      </c>
      <c r="I118" s="46">
        <f>TRUNC(T118*(1-LOTE_01!$K$10),2)</f>
        <v>28.37</v>
      </c>
      <c r="J118" s="100">
        <f t="shared" si="8"/>
        <v>0.22470000000000001</v>
      </c>
      <c r="K118" s="48">
        <f t="shared" si="9"/>
        <v>30.33</v>
      </c>
      <c r="L118" s="48">
        <f t="shared" si="10"/>
        <v>34.74</v>
      </c>
      <c r="M118" s="48">
        <f t="shared" si="11"/>
        <v>30.33</v>
      </c>
      <c r="N118" s="48">
        <f t="shared" si="12"/>
        <v>34.74</v>
      </c>
      <c r="O118" s="50">
        <f t="shared" si="13"/>
        <v>65.069999999999993</v>
      </c>
      <c r="P118" s="50">
        <v>0</v>
      </c>
      <c r="Q118" s="76"/>
      <c r="R118" s="140">
        <f>IF((1*S10)&gt;5,5,1)</f>
        <v>1</v>
      </c>
      <c r="S118" s="79">
        <v>24.77</v>
      </c>
      <c r="T118" s="80">
        <v>28.37</v>
      </c>
    </row>
    <row r="119" spans="2:20" ht="28">
      <c r="B119" s="5" t="s">
        <v>362</v>
      </c>
      <c r="C119" s="45" t="s">
        <v>135</v>
      </c>
      <c r="D119" s="45">
        <v>93358</v>
      </c>
      <c r="E119" s="6" t="s">
        <v>363</v>
      </c>
      <c r="F119" s="45" t="s">
        <v>161</v>
      </c>
      <c r="G119" s="46">
        <f t="shared" si="14"/>
        <v>1</v>
      </c>
      <c r="H119" s="46">
        <f>TRUNC(S119*(1-LOTE_01!$K$10),2)</f>
        <v>32.729999999999997</v>
      </c>
      <c r="I119" s="46">
        <f>TRUNC(T119*(1-LOTE_01!$K$10),2)</f>
        <v>64.58</v>
      </c>
      <c r="J119" s="100">
        <f t="shared" si="8"/>
        <v>0.22470000000000001</v>
      </c>
      <c r="K119" s="48">
        <f t="shared" si="9"/>
        <v>40.08</v>
      </c>
      <c r="L119" s="48">
        <f t="shared" si="10"/>
        <v>79.09</v>
      </c>
      <c r="M119" s="48">
        <f t="shared" si="11"/>
        <v>40.08</v>
      </c>
      <c r="N119" s="48">
        <f t="shared" si="12"/>
        <v>79.09</v>
      </c>
      <c r="O119" s="50">
        <f t="shared" si="13"/>
        <v>119.17</v>
      </c>
      <c r="P119" s="50">
        <v>0</v>
      </c>
      <c r="Q119" s="76"/>
      <c r="R119" s="140">
        <f>IF((1*S10)&gt;5,5,1)</f>
        <v>1</v>
      </c>
      <c r="S119" s="79">
        <v>32.730000000000004</v>
      </c>
      <c r="T119" s="80">
        <v>64.58</v>
      </c>
    </row>
    <row r="120" spans="2:20" ht="28">
      <c r="B120" s="5" t="s">
        <v>364</v>
      </c>
      <c r="C120" s="45" t="s">
        <v>165</v>
      </c>
      <c r="D120" s="45" t="s">
        <v>365</v>
      </c>
      <c r="E120" s="6" t="s">
        <v>366</v>
      </c>
      <c r="F120" s="45" t="s">
        <v>182</v>
      </c>
      <c r="G120" s="46">
        <f t="shared" si="14"/>
        <v>1</v>
      </c>
      <c r="H120" s="46">
        <f>TRUNC(S120*(1-LOTE_01!$K$10),2)</f>
        <v>0</v>
      </c>
      <c r="I120" s="46">
        <f>TRUNC(T120*(1-LOTE_01!$K$10),2)</f>
        <v>52.71</v>
      </c>
      <c r="J120" s="100">
        <f t="shared" si="8"/>
        <v>0.22470000000000001</v>
      </c>
      <c r="K120" s="48">
        <f t="shared" si="9"/>
        <v>0</v>
      </c>
      <c r="L120" s="48">
        <f t="shared" si="10"/>
        <v>64.55</v>
      </c>
      <c r="M120" s="48">
        <f t="shared" si="11"/>
        <v>0</v>
      </c>
      <c r="N120" s="48">
        <f t="shared" si="12"/>
        <v>64.55</v>
      </c>
      <c r="O120" s="50">
        <f t="shared" si="13"/>
        <v>64.55</v>
      </c>
      <c r="P120" s="50">
        <v>0</v>
      </c>
      <c r="Q120" s="76"/>
      <c r="R120" s="140">
        <f>IF((1*S10)&gt;5,5,1)</f>
        <v>1</v>
      </c>
      <c r="S120" s="79">
        <v>0</v>
      </c>
      <c r="T120" s="80">
        <v>52.71</v>
      </c>
    </row>
    <row r="121" spans="2:20" ht="28">
      <c r="B121" s="5" t="s">
        <v>367</v>
      </c>
      <c r="C121" s="45" t="s">
        <v>165</v>
      </c>
      <c r="D121" s="45" t="s">
        <v>368</v>
      </c>
      <c r="E121" s="6" t="s">
        <v>369</v>
      </c>
      <c r="F121" s="45" t="s">
        <v>182</v>
      </c>
      <c r="G121" s="46">
        <f t="shared" si="14"/>
        <v>1</v>
      </c>
      <c r="H121" s="46">
        <f>TRUNC(S121*(1-LOTE_01!$K$10),2)</f>
        <v>0</v>
      </c>
      <c r="I121" s="46">
        <f>TRUNC(T121*(1-LOTE_01!$K$10),2)</f>
        <v>5.93</v>
      </c>
      <c r="J121" s="100">
        <f t="shared" si="8"/>
        <v>0.22470000000000001</v>
      </c>
      <c r="K121" s="48">
        <f t="shared" si="9"/>
        <v>0</v>
      </c>
      <c r="L121" s="48">
        <f t="shared" si="10"/>
        <v>7.26</v>
      </c>
      <c r="M121" s="48">
        <f t="shared" si="11"/>
        <v>0</v>
      </c>
      <c r="N121" s="48">
        <f t="shared" si="12"/>
        <v>7.26</v>
      </c>
      <c r="O121" s="50">
        <f t="shared" si="13"/>
        <v>7.26</v>
      </c>
      <c r="P121" s="50">
        <v>0</v>
      </c>
      <c r="Q121" s="76"/>
      <c r="R121" s="140">
        <f>IF((1*S10)&gt;5,5,1)</f>
        <v>1</v>
      </c>
      <c r="S121" s="79">
        <v>0</v>
      </c>
      <c r="T121" s="80">
        <v>5.93</v>
      </c>
    </row>
    <row r="122" spans="2:20" ht="28">
      <c r="B122" s="5" t="s">
        <v>370</v>
      </c>
      <c r="C122" s="45" t="s">
        <v>165</v>
      </c>
      <c r="D122" s="45" t="s">
        <v>371</v>
      </c>
      <c r="E122" s="6" t="s">
        <v>372</v>
      </c>
      <c r="F122" s="45" t="s">
        <v>182</v>
      </c>
      <c r="G122" s="46">
        <f t="shared" si="14"/>
        <v>1</v>
      </c>
      <c r="H122" s="46">
        <f>TRUNC(S122*(1-LOTE_01!$K$10),2)</f>
        <v>0</v>
      </c>
      <c r="I122" s="46">
        <f>TRUNC(T122*(1-LOTE_01!$K$10),2)</f>
        <v>52.5</v>
      </c>
      <c r="J122" s="100">
        <f t="shared" si="8"/>
        <v>0.22470000000000001</v>
      </c>
      <c r="K122" s="48">
        <f t="shared" si="9"/>
        <v>0</v>
      </c>
      <c r="L122" s="48">
        <f t="shared" si="10"/>
        <v>64.290000000000006</v>
      </c>
      <c r="M122" s="48">
        <f t="shared" si="11"/>
        <v>0</v>
      </c>
      <c r="N122" s="48">
        <f t="shared" si="12"/>
        <v>64.290000000000006</v>
      </c>
      <c r="O122" s="50">
        <f t="shared" si="13"/>
        <v>64.290000000000006</v>
      </c>
      <c r="P122" s="50">
        <v>0</v>
      </c>
      <c r="Q122" s="76"/>
      <c r="R122" s="140">
        <f>IF((1*S10)&gt;5,5,1)</f>
        <v>1</v>
      </c>
      <c r="S122" s="79">
        <v>0</v>
      </c>
      <c r="T122" s="80">
        <v>52.5</v>
      </c>
    </row>
    <row r="123" spans="2:20" ht="28">
      <c r="B123" s="5" t="s">
        <v>373</v>
      </c>
      <c r="C123" s="45" t="s">
        <v>165</v>
      </c>
      <c r="D123" s="45" t="s">
        <v>374</v>
      </c>
      <c r="E123" s="6" t="s">
        <v>375</v>
      </c>
      <c r="F123" s="45" t="s">
        <v>168</v>
      </c>
      <c r="G123" s="46">
        <f t="shared" si="14"/>
        <v>1</v>
      </c>
      <c r="H123" s="46">
        <f>TRUNC(S123*(1-LOTE_01!$K$10),2)</f>
        <v>0</v>
      </c>
      <c r="I123" s="46">
        <f>TRUNC(T123*(1-LOTE_01!$K$10),2)</f>
        <v>19.77</v>
      </c>
      <c r="J123" s="100">
        <f t="shared" si="8"/>
        <v>0.22470000000000001</v>
      </c>
      <c r="K123" s="48">
        <f t="shared" si="9"/>
        <v>0</v>
      </c>
      <c r="L123" s="48">
        <f t="shared" si="10"/>
        <v>24.21</v>
      </c>
      <c r="M123" s="48">
        <f t="shared" si="11"/>
        <v>0</v>
      </c>
      <c r="N123" s="48">
        <f t="shared" si="12"/>
        <v>24.21</v>
      </c>
      <c r="O123" s="50">
        <f t="shared" si="13"/>
        <v>24.21</v>
      </c>
      <c r="P123" s="50">
        <v>0</v>
      </c>
      <c r="Q123" s="76"/>
      <c r="R123" s="140">
        <f>IF((1*S10)&gt;5,5,1)</f>
        <v>1</v>
      </c>
      <c r="S123" s="79">
        <v>0</v>
      </c>
      <c r="T123" s="80">
        <v>19.77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50">
        <f>SUM(O125:O133)</f>
        <v>8154.4000000000005</v>
      </c>
      <c r="Q124" s="76"/>
      <c r="R124" s="154"/>
      <c r="S124" s="79" t="s">
        <v>22</v>
      </c>
      <c r="T124" s="80" t="s">
        <v>22</v>
      </c>
    </row>
    <row r="125" spans="2:20" ht="70">
      <c r="B125" s="5" t="s">
        <v>376</v>
      </c>
      <c r="C125" s="45" t="s">
        <v>135</v>
      </c>
      <c r="D125" s="45">
        <v>94962</v>
      </c>
      <c r="E125" s="6" t="s">
        <v>377</v>
      </c>
      <c r="F125" s="45" t="s">
        <v>161</v>
      </c>
      <c r="G125" s="46">
        <f t="shared" ref="G125:G131" si="15">IF($S$11=0,0,TRUNC(R125,2))</f>
        <v>1</v>
      </c>
      <c r="H125" s="46">
        <f>TRUNC(S125*(1-LOTE_01!$K$10),2)</f>
        <v>591.61</v>
      </c>
      <c r="I125" s="46">
        <f>TRUNC(T125*(1-LOTE_01!$K$10),2)</f>
        <v>55.16</v>
      </c>
      <c r="J125" s="100">
        <f t="shared" si="8"/>
        <v>0.22470000000000001</v>
      </c>
      <c r="K125" s="48">
        <f t="shared" si="9"/>
        <v>724.54</v>
      </c>
      <c r="L125" s="48">
        <f t="shared" si="10"/>
        <v>67.55</v>
      </c>
      <c r="M125" s="48">
        <f t="shared" si="11"/>
        <v>724.54</v>
      </c>
      <c r="N125" s="48">
        <f t="shared" si="12"/>
        <v>67.55</v>
      </c>
      <c r="O125" s="50">
        <f t="shared" si="13"/>
        <v>792.09</v>
      </c>
      <c r="P125" s="50">
        <v>0</v>
      </c>
      <c r="Q125" s="76"/>
      <c r="R125" s="140">
        <f>IF((1*S10)&gt;5,5,1)</f>
        <v>1</v>
      </c>
      <c r="S125" s="79">
        <v>591.61</v>
      </c>
      <c r="T125" s="80">
        <v>55.16</v>
      </c>
    </row>
    <row r="126" spans="2:20" ht="56">
      <c r="B126" s="5" t="s">
        <v>378</v>
      </c>
      <c r="C126" s="45" t="s">
        <v>135</v>
      </c>
      <c r="D126" s="45">
        <v>94963</v>
      </c>
      <c r="E126" s="6" t="s">
        <v>379</v>
      </c>
      <c r="F126" s="45" t="s">
        <v>161</v>
      </c>
      <c r="G126" s="46">
        <f t="shared" si="15"/>
        <v>1</v>
      </c>
      <c r="H126" s="46">
        <f>TRUNC(S126*(1-LOTE_01!$K$10),2)</f>
        <v>686.75</v>
      </c>
      <c r="I126" s="46">
        <f>TRUNC(T126*(1-LOTE_01!$K$10),2)</f>
        <v>54.55</v>
      </c>
      <c r="J126" s="100">
        <f t="shared" si="8"/>
        <v>0.22470000000000001</v>
      </c>
      <c r="K126" s="48">
        <f t="shared" si="9"/>
        <v>841.06</v>
      </c>
      <c r="L126" s="48">
        <f t="shared" si="10"/>
        <v>66.8</v>
      </c>
      <c r="M126" s="48">
        <f t="shared" si="11"/>
        <v>841.06</v>
      </c>
      <c r="N126" s="48">
        <f t="shared" si="12"/>
        <v>66.8</v>
      </c>
      <c r="O126" s="50">
        <f t="shared" si="13"/>
        <v>907.86</v>
      </c>
      <c r="P126" s="50">
        <v>0</v>
      </c>
      <c r="Q126" s="76"/>
      <c r="R126" s="140">
        <f>IF((1*S10)&gt;5,5,1)</f>
        <v>1</v>
      </c>
      <c r="S126" s="79">
        <v>686.75</v>
      </c>
      <c r="T126" s="80">
        <v>54.55</v>
      </c>
    </row>
    <row r="127" spans="2:20" ht="56">
      <c r="B127" s="5" t="s">
        <v>380</v>
      </c>
      <c r="C127" s="45" t="s">
        <v>135</v>
      </c>
      <c r="D127" s="45">
        <v>94964</v>
      </c>
      <c r="E127" s="6" t="s">
        <v>381</v>
      </c>
      <c r="F127" s="45" t="s">
        <v>161</v>
      </c>
      <c r="G127" s="46">
        <f t="shared" si="15"/>
        <v>1</v>
      </c>
      <c r="H127" s="46">
        <f>TRUNC(S127*(1-LOTE_01!$K$10),2)</f>
        <v>768.12</v>
      </c>
      <c r="I127" s="46">
        <f>TRUNC(T127*(1-LOTE_01!$K$10),2)</f>
        <v>59.41</v>
      </c>
      <c r="J127" s="100">
        <f t="shared" si="8"/>
        <v>0.22470000000000001</v>
      </c>
      <c r="K127" s="48">
        <f t="shared" si="9"/>
        <v>940.71</v>
      </c>
      <c r="L127" s="48">
        <f t="shared" si="10"/>
        <v>72.75</v>
      </c>
      <c r="M127" s="48">
        <f t="shared" si="11"/>
        <v>940.71</v>
      </c>
      <c r="N127" s="48">
        <f t="shared" si="12"/>
        <v>72.75</v>
      </c>
      <c r="O127" s="50">
        <f t="shared" si="13"/>
        <v>1013.46</v>
      </c>
      <c r="P127" s="50">
        <v>0</v>
      </c>
      <c r="Q127" s="76"/>
      <c r="R127" s="140">
        <f>IF((1*S10)&gt;5,5,1)</f>
        <v>1</v>
      </c>
      <c r="S127" s="79">
        <v>768.12</v>
      </c>
      <c r="T127" s="80">
        <v>59.41</v>
      </c>
    </row>
    <row r="128" spans="2:20" ht="56">
      <c r="B128" s="5" t="s">
        <v>382</v>
      </c>
      <c r="C128" s="45" t="s">
        <v>135</v>
      </c>
      <c r="D128" s="45">
        <v>94965</v>
      </c>
      <c r="E128" s="6" t="s">
        <v>383</v>
      </c>
      <c r="F128" s="45" t="s">
        <v>161</v>
      </c>
      <c r="G128" s="46">
        <f t="shared" si="15"/>
        <v>1</v>
      </c>
      <c r="H128" s="46">
        <f>TRUNC(S128*(1-LOTE_01!$K$10),2)</f>
        <v>826.69</v>
      </c>
      <c r="I128" s="46">
        <f>TRUNC(T128*(1-LOTE_01!$K$10),2)</f>
        <v>54.07</v>
      </c>
      <c r="J128" s="100">
        <f t="shared" si="8"/>
        <v>0.22470000000000001</v>
      </c>
      <c r="K128" s="48">
        <f t="shared" si="9"/>
        <v>1012.44</v>
      </c>
      <c r="L128" s="48">
        <f t="shared" si="10"/>
        <v>66.209999999999994</v>
      </c>
      <c r="M128" s="48">
        <f t="shared" si="11"/>
        <v>1012.44</v>
      </c>
      <c r="N128" s="48">
        <f t="shared" si="12"/>
        <v>66.209999999999994</v>
      </c>
      <c r="O128" s="50">
        <f t="shared" si="13"/>
        <v>1078.6500000000001</v>
      </c>
      <c r="P128" s="50">
        <v>0</v>
      </c>
      <c r="Q128" s="76"/>
      <c r="R128" s="140">
        <f>IF((1*S10)&gt;5,5,1)</f>
        <v>1</v>
      </c>
      <c r="S128" s="79">
        <v>826.68999999999994</v>
      </c>
      <c r="T128" s="80">
        <v>54.07</v>
      </c>
    </row>
    <row r="129" spans="2:20" ht="42">
      <c r="B129" s="5" t="s">
        <v>384</v>
      </c>
      <c r="C129" s="45" t="s">
        <v>135</v>
      </c>
      <c r="D129" s="45">
        <v>102487</v>
      </c>
      <c r="E129" s="6" t="s">
        <v>385</v>
      </c>
      <c r="F129" s="45" t="s">
        <v>161</v>
      </c>
      <c r="G129" s="46">
        <f t="shared" si="15"/>
        <v>1</v>
      </c>
      <c r="H129" s="46">
        <f>TRUNC(S129*(1-LOTE_01!$K$10),2)</f>
        <v>755.03</v>
      </c>
      <c r="I129" s="46">
        <f>TRUNC(T129*(1-LOTE_01!$K$10),2)</f>
        <v>177.91</v>
      </c>
      <c r="J129" s="100">
        <f t="shared" si="8"/>
        <v>0.22470000000000001</v>
      </c>
      <c r="K129" s="48">
        <f t="shared" si="9"/>
        <v>924.68</v>
      </c>
      <c r="L129" s="48">
        <f t="shared" si="10"/>
        <v>217.88</v>
      </c>
      <c r="M129" s="48">
        <f t="shared" si="11"/>
        <v>924.68</v>
      </c>
      <c r="N129" s="48">
        <f t="shared" si="12"/>
        <v>217.88</v>
      </c>
      <c r="O129" s="50">
        <f t="shared" si="13"/>
        <v>1142.56</v>
      </c>
      <c r="P129" s="50">
        <v>0</v>
      </c>
      <c r="Q129" s="76"/>
      <c r="R129" s="140">
        <f>IF((1*S10)&gt;5,5,1)</f>
        <v>1</v>
      </c>
      <c r="S129" s="79">
        <v>755.03000000000009</v>
      </c>
      <c r="T129" s="80">
        <v>177.91</v>
      </c>
    </row>
    <row r="130" spans="2:20" ht="28">
      <c r="B130" s="5" t="s">
        <v>386</v>
      </c>
      <c r="C130" s="45" t="s">
        <v>165</v>
      </c>
      <c r="D130" s="45" t="s">
        <v>387</v>
      </c>
      <c r="E130" s="6" t="s">
        <v>388</v>
      </c>
      <c r="F130" s="45" t="s">
        <v>168</v>
      </c>
      <c r="G130" s="46">
        <f t="shared" si="15"/>
        <v>5</v>
      </c>
      <c r="H130" s="46">
        <f>TRUNC(S130*(1-LOTE_01!$K$10),2)</f>
        <v>112.26</v>
      </c>
      <c r="I130" s="46">
        <f>TRUNC(T130*(1-LOTE_01!$K$10),2)</f>
        <v>69.27</v>
      </c>
      <c r="J130" s="100">
        <f t="shared" si="8"/>
        <v>0.22470000000000001</v>
      </c>
      <c r="K130" s="48">
        <f t="shared" si="9"/>
        <v>137.47999999999999</v>
      </c>
      <c r="L130" s="48">
        <f t="shared" si="10"/>
        <v>84.83</v>
      </c>
      <c r="M130" s="48">
        <f t="shared" si="11"/>
        <v>687.4</v>
      </c>
      <c r="N130" s="48">
        <f t="shared" si="12"/>
        <v>424.15</v>
      </c>
      <c r="O130" s="50">
        <f t="shared" si="13"/>
        <v>1111.55</v>
      </c>
      <c r="P130" s="50">
        <v>0</v>
      </c>
      <c r="Q130" s="76"/>
      <c r="R130" s="140">
        <f>IF((5*S10)&gt;20,20,5)</f>
        <v>5</v>
      </c>
      <c r="S130" s="79">
        <v>112.26</v>
      </c>
      <c r="T130" s="80">
        <v>69.27</v>
      </c>
    </row>
    <row r="131" spans="2:20" ht="42">
      <c r="B131" s="5" t="s">
        <v>389</v>
      </c>
      <c r="C131" s="45" t="s">
        <v>135</v>
      </c>
      <c r="D131" s="45">
        <v>103670</v>
      </c>
      <c r="E131" s="6" t="s">
        <v>390</v>
      </c>
      <c r="F131" s="45" t="s">
        <v>161</v>
      </c>
      <c r="G131" s="46">
        <f t="shared" si="15"/>
        <v>1</v>
      </c>
      <c r="H131" s="46">
        <f>TRUNC(S131*(1-LOTE_01!$K$10),2)</f>
        <v>103.59</v>
      </c>
      <c r="I131" s="46">
        <f>TRUNC(T131*(1-LOTE_01!$K$10),2)</f>
        <v>247.32</v>
      </c>
      <c r="J131" s="100">
        <f t="shared" si="8"/>
        <v>0.22470000000000001</v>
      </c>
      <c r="K131" s="48">
        <f t="shared" si="9"/>
        <v>126.86</v>
      </c>
      <c r="L131" s="48">
        <f t="shared" si="10"/>
        <v>302.89</v>
      </c>
      <c r="M131" s="48">
        <f t="shared" si="11"/>
        <v>126.86</v>
      </c>
      <c r="N131" s="48">
        <f t="shared" si="12"/>
        <v>302.89</v>
      </c>
      <c r="O131" s="50">
        <f t="shared" si="13"/>
        <v>429.75</v>
      </c>
      <c r="P131" s="50">
        <v>0</v>
      </c>
      <c r="Q131" s="76"/>
      <c r="R131" s="140">
        <f>IF((1*S10)&gt;5,5,1)</f>
        <v>1</v>
      </c>
      <c r="S131" s="79">
        <v>103.59000000000003</v>
      </c>
      <c r="T131" s="80">
        <v>247.32</v>
      </c>
    </row>
    <row r="132" spans="2:20" ht="56">
      <c r="B132" s="5" t="s">
        <v>391</v>
      </c>
      <c r="C132" s="45" t="s">
        <v>135</v>
      </c>
      <c r="D132" s="45">
        <v>95240</v>
      </c>
      <c r="E132" s="6" t="s">
        <v>392</v>
      </c>
      <c r="F132" s="45" t="s">
        <v>121</v>
      </c>
      <c r="G132" s="46">
        <f t="shared" si="7"/>
        <v>7</v>
      </c>
      <c r="H132" s="46">
        <f>TRUNC(S132*(1-LOTE_01!$K$10),2)</f>
        <v>22.34</v>
      </c>
      <c r="I132" s="46">
        <f>TRUNC(T132*(1-LOTE_01!$K$10),2)</f>
        <v>6.19</v>
      </c>
      <c r="J132" s="100">
        <f t="shared" si="8"/>
        <v>0.22470000000000001</v>
      </c>
      <c r="K132" s="48">
        <f t="shared" si="9"/>
        <v>27.35</v>
      </c>
      <c r="L132" s="48">
        <f t="shared" si="10"/>
        <v>7.58</v>
      </c>
      <c r="M132" s="48">
        <f t="shared" si="11"/>
        <v>191.45</v>
      </c>
      <c r="N132" s="48">
        <f t="shared" si="12"/>
        <v>53.06</v>
      </c>
      <c r="O132" s="50">
        <f t="shared" si="13"/>
        <v>244.51</v>
      </c>
      <c r="P132" s="50">
        <v>0</v>
      </c>
      <c r="Q132" s="76"/>
      <c r="R132" s="140">
        <f>IF((S9+2*S10)&gt;20,20,(S9+2*S10))</f>
        <v>7</v>
      </c>
      <c r="S132" s="79">
        <v>22.34</v>
      </c>
      <c r="T132" s="80">
        <v>6.19</v>
      </c>
    </row>
    <row r="133" spans="2:20" ht="28">
      <c r="B133" s="5" t="s">
        <v>393</v>
      </c>
      <c r="C133" s="45" t="s">
        <v>97</v>
      </c>
      <c r="D133" s="45" t="s">
        <v>394</v>
      </c>
      <c r="E133" s="6" t="s">
        <v>395</v>
      </c>
      <c r="F133" s="45" t="s">
        <v>161</v>
      </c>
      <c r="G133" s="46">
        <f>IF($S$11=0,0,TRUNC(R133,2))</f>
        <v>1</v>
      </c>
      <c r="H133" s="46">
        <f>TRUNC(S133*(1-LOTE_01!$K$10),2)</f>
        <v>857.82</v>
      </c>
      <c r="I133" s="46">
        <f>TRUNC(T133*(1-LOTE_01!$K$10),2)</f>
        <v>313.06</v>
      </c>
      <c r="J133" s="100">
        <f t="shared" si="8"/>
        <v>0.22470000000000001</v>
      </c>
      <c r="K133" s="48">
        <f t="shared" si="9"/>
        <v>1050.57</v>
      </c>
      <c r="L133" s="48">
        <f t="shared" si="10"/>
        <v>383.4</v>
      </c>
      <c r="M133" s="48">
        <f t="shared" si="11"/>
        <v>1050.57</v>
      </c>
      <c r="N133" s="48">
        <f t="shared" si="12"/>
        <v>383.4</v>
      </c>
      <c r="O133" s="50">
        <f t="shared" si="13"/>
        <v>1433.97</v>
      </c>
      <c r="P133" s="50">
        <v>0</v>
      </c>
      <c r="Q133" s="76"/>
      <c r="R133" s="140">
        <f>IF((1*S10)&gt;5,5,1)</f>
        <v>1</v>
      </c>
      <c r="S133" s="79">
        <v>857.82</v>
      </c>
      <c r="T133" s="80">
        <v>313.06</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50">
        <f>SUM(O135:O149)</f>
        <v>35504.47</v>
      </c>
      <c r="Q134" s="76"/>
      <c r="R134" s="154"/>
      <c r="S134" s="79" t="s">
        <v>22</v>
      </c>
      <c r="T134" s="80" t="s">
        <v>22</v>
      </c>
    </row>
    <row r="135" spans="2:20" ht="28">
      <c r="B135" s="5" t="s">
        <v>396</v>
      </c>
      <c r="C135" s="45" t="s">
        <v>135</v>
      </c>
      <c r="D135" s="45">
        <v>96543</v>
      </c>
      <c r="E135" s="6" t="s">
        <v>397</v>
      </c>
      <c r="F135" s="45" t="s">
        <v>398</v>
      </c>
      <c r="G135" s="46">
        <f t="shared" ref="G135:G149" si="16">IF($S$11=0,0,TRUNC(R135,2))</f>
        <v>50</v>
      </c>
      <c r="H135" s="46">
        <f>TRUNC(S135*(1-LOTE_01!$K$10),2)</f>
        <v>13.51</v>
      </c>
      <c r="I135" s="46">
        <f>TRUNC(T135*(1-LOTE_01!$K$10),2)</f>
        <v>9.5500000000000007</v>
      </c>
      <c r="J135" s="100">
        <f t="shared" si="8"/>
        <v>0.22470000000000001</v>
      </c>
      <c r="K135" s="48">
        <f t="shared" si="9"/>
        <v>16.54</v>
      </c>
      <c r="L135" s="48">
        <f t="shared" si="10"/>
        <v>11.69</v>
      </c>
      <c r="M135" s="48">
        <f t="shared" si="11"/>
        <v>827</v>
      </c>
      <c r="N135" s="48">
        <f t="shared" si="12"/>
        <v>584.5</v>
      </c>
      <c r="O135" s="50">
        <f t="shared" si="13"/>
        <v>1411.5</v>
      </c>
      <c r="P135" s="50">
        <v>0</v>
      </c>
      <c r="Q135" s="76"/>
      <c r="R135" s="140">
        <f>IF(20*S10&gt;=80,200,50)</f>
        <v>50</v>
      </c>
      <c r="S135" s="79">
        <v>13.509999999999998</v>
      </c>
      <c r="T135" s="80">
        <v>9.5500000000000007</v>
      </c>
    </row>
    <row r="136" spans="2:20" ht="42">
      <c r="B136" s="5" t="s">
        <v>399</v>
      </c>
      <c r="C136" s="45" t="s">
        <v>165</v>
      </c>
      <c r="D136" s="45" t="s">
        <v>400</v>
      </c>
      <c r="E136" s="6" t="s">
        <v>401</v>
      </c>
      <c r="F136" s="45" t="s">
        <v>402</v>
      </c>
      <c r="G136" s="46">
        <f t="shared" si="16"/>
        <v>50</v>
      </c>
      <c r="H136" s="46">
        <f>TRUNC(S136*(1-LOTE_01!$K$10),2)</f>
        <v>9.11</v>
      </c>
      <c r="I136" s="46">
        <f>TRUNC(T136*(1-LOTE_01!$K$10),2)</f>
        <v>4.1900000000000004</v>
      </c>
      <c r="J136" s="100">
        <f t="shared" si="8"/>
        <v>0.22470000000000001</v>
      </c>
      <c r="K136" s="48">
        <f t="shared" si="9"/>
        <v>11.15</v>
      </c>
      <c r="L136" s="48">
        <f t="shared" si="10"/>
        <v>5.13</v>
      </c>
      <c r="M136" s="48">
        <f t="shared" si="11"/>
        <v>557.5</v>
      </c>
      <c r="N136" s="48">
        <f t="shared" si="12"/>
        <v>256.5</v>
      </c>
      <c r="O136" s="50">
        <f t="shared" si="13"/>
        <v>814</v>
      </c>
      <c r="P136" s="50">
        <v>0</v>
      </c>
      <c r="Q136" s="76"/>
      <c r="R136" s="140">
        <f>IF(20*S10&gt;=80,200,50)</f>
        <v>50</v>
      </c>
      <c r="S136" s="79">
        <v>9.11</v>
      </c>
      <c r="T136" s="80">
        <v>4.1900000000000004</v>
      </c>
    </row>
    <row r="137" spans="2:20" ht="42">
      <c r="B137" s="5" t="s">
        <v>403</v>
      </c>
      <c r="C137" s="45" t="s">
        <v>165</v>
      </c>
      <c r="D137" s="45" t="s">
        <v>404</v>
      </c>
      <c r="E137" s="6" t="s">
        <v>405</v>
      </c>
      <c r="F137" s="45" t="s">
        <v>402</v>
      </c>
      <c r="G137" s="46">
        <f t="shared" si="16"/>
        <v>50</v>
      </c>
      <c r="H137" s="46">
        <f>TRUNC(S137*(1-LOTE_01!$K$10),2)</f>
        <v>18.34</v>
      </c>
      <c r="I137" s="46">
        <f>TRUNC(T137*(1-LOTE_01!$K$10),2)</f>
        <v>4.1900000000000004</v>
      </c>
      <c r="J137" s="100">
        <f t="shared" si="8"/>
        <v>0.22470000000000001</v>
      </c>
      <c r="K137" s="48">
        <f t="shared" si="9"/>
        <v>22.46</v>
      </c>
      <c r="L137" s="48">
        <f t="shared" si="10"/>
        <v>5.13</v>
      </c>
      <c r="M137" s="48">
        <f t="shared" si="11"/>
        <v>1123</v>
      </c>
      <c r="N137" s="48">
        <f t="shared" si="12"/>
        <v>256.5</v>
      </c>
      <c r="O137" s="50">
        <f t="shared" si="13"/>
        <v>1379.5</v>
      </c>
      <c r="P137" s="50">
        <v>0</v>
      </c>
      <c r="Q137" s="76"/>
      <c r="R137" s="140">
        <f>IF(20*S10&gt;=80,200,50)</f>
        <v>50</v>
      </c>
      <c r="S137" s="79">
        <v>18.34</v>
      </c>
      <c r="T137" s="80">
        <v>4.1900000000000004</v>
      </c>
    </row>
    <row r="138" spans="2:20" ht="42">
      <c r="B138" s="5" t="s">
        <v>406</v>
      </c>
      <c r="C138" s="45" t="s">
        <v>165</v>
      </c>
      <c r="D138" s="45" t="s">
        <v>407</v>
      </c>
      <c r="E138" s="6" t="s">
        <v>408</v>
      </c>
      <c r="F138" s="45" t="s">
        <v>402</v>
      </c>
      <c r="G138" s="46">
        <f t="shared" si="16"/>
        <v>50</v>
      </c>
      <c r="H138" s="46">
        <f>TRUNC(S138*(1-LOTE_01!$K$10),2)</f>
        <v>24.48</v>
      </c>
      <c r="I138" s="46">
        <f>TRUNC(T138*(1-LOTE_01!$K$10),2)</f>
        <v>2.62</v>
      </c>
      <c r="J138" s="100">
        <f t="shared" si="8"/>
        <v>0.22470000000000001</v>
      </c>
      <c r="K138" s="48">
        <f t="shared" si="9"/>
        <v>29.98</v>
      </c>
      <c r="L138" s="48">
        <f t="shared" si="10"/>
        <v>3.2</v>
      </c>
      <c r="M138" s="48">
        <f t="shared" si="11"/>
        <v>1499</v>
      </c>
      <c r="N138" s="48">
        <f t="shared" si="12"/>
        <v>160</v>
      </c>
      <c r="O138" s="50">
        <f t="shared" si="13"/>
        <v>1659</v>
      </c>
      <c r="P138" s="50">
        <v>0</v>
      </c>
      <c r="Q138" s="76"/>
      <c r="R138" s="140">
        <f>IF(20*S10&gt;=80,200,50)</f>
        <v>50</v>
      </c>
      <c r="S138" s="79">
        <v>24.48</v>
      </c>
      <c r="T138" s="80">
        <v>2.62</v>
      </c>
    </row>
    <row r="139" spans="2:20" ht="28">
      <c r="B139" s="5" t="s">
        <v>409</v>
      </c>
      <c r="C139" s="45" t="s">
        <v>165</v>
      </c>
      <c r="D139" s="45" t="s">
        <v>410</v>
      </c>
      <c r="E139" s="6" t="s">
        <v>411</v>
      </c>
      <c r="F139" s="45" t="s">
        <v>168</v>
      </c>
      <c r="G139" s="46">
        <f t="shared" si="16"/>
        <v>50</v>
      </c>
      <c r="H139" s="46">
        <f>TRUNC(S139*(1-LOTE_01!$K$10),2)</f>
        <v>53.04</v>
      </c>
      <c r="I139" s="46">
        <f>TRUNC(T139*(1-LOTE_01!$K$10),2)</f>
        <v>2</v>
      </c>
      <c r="J139" s="100">
        <f t="shared" si="8"/>
        <v>0.22470000000000001</v>
      </c>
      <c r="K139" s="48">
        <f t="shared" si="9"/>
        <v>64.95</v>
      </c>
      <c r="L139" s="48">
        <f t="shared" si="10"/>
        <v>2.44</v>
      </c>
      <c r="M139" s="48">
        <f t="shared" si="11"/>
        <v>3247.5</v>
      </c>
      <c r="N139" s="48">
        <f t="shared" si="12"/>
        <v>122</v>
      </c>
      <c r="O139" s="50">
        <f t="shared" si="13"/>
        <v>3369.5</v>
      </c>
      <c r="P139" s="50">
        <v>0</v>
      </c>
      <c r="Q139" s="76"/>
      <c r="R139" s="140">
        <f>IF(20*S10&gt;=50,100,50)</f>
        <v>50</v>
      </c>
      <c r="S139" s="79">
        <v>53.04</v>
      </c>
      <c r="T139" s="80">
        <v>2</v>
      </c>
    </row>
    <row r="140" spans="2:20" ht="70">
      <c r="B140" s="5" t="s">
        <v>412</v>
      </c>
      <c r="C140" s="45" t="s">
        <v>135</v>
      </c>
      <c r="D140" s="45">
        <v>102475</v>
      </c>
      <c r="E140" s="6" t="s">
        <v>413</v>
      </c>
      <c r="F140" s="45" t="s">
        <v>161</v>
      </c>
      <c r="G140" s="46">
        <f t="shared" si="16"/>
        <v>1</v>
      </c>
      <c r="H140" s="46">
        <f>TRUNC(S140*(1-LOTE_01!$K$10),2)</f>
        <v>744.71</v>
      </c>
      <c r="I140" s="46">
        <f>TRUNC(T140*(1-LOTE_01!$K$10),2)</f>
        <v>61.42</v>
      </c>
      <c r="J140" s="100">
        <f t="shared" si="8"/>
        <v>0.22470000000000001</v>
      </c>
      <c r="K140" s="48">
        <f t="shared" si="9"/>
        <v>912.04</v>
      </c>
      <c r="L140" s="48">
        <f t="shared" si="10"/>
        <v>75.22</v>
      </c>
      <c r="M140" s="48">
        <f t="shared" si="11"/>
        <v>912.04</v>
      </c>
      <c r="N140" s="48">
        <f t="shared" si="12"/>
        <v>75.22</v>
      </c>
      <c r="O140" s="50">
        <f t="shared" si="13"/>
        <v>987.26</v>
      </c>
      <c r="P140" s="50">
        <v>0</v>
      </c>
      <c r="Q140" s="76"/>
      <c r="R140" s="140">
        <f>IF(S10&gt;5,5,1)</f>
        <v>1</v>
      </c>
      <c r="S140" s="79">
        <v>744.71</v>
      </c>
      <c r="T140" s="80">
        <v>61.42</v>
      </c>
    </row>
    <row r="141" spans="2:20" ht="42">
      <c r="B141" s="5" t="s">
        <v>414</v>
      </c>
      <c r="C141" s="45" t="s">
        <v>165</v>
      </c>
      <c r="D141" s="45" t="s">
        <v>415</v>
      </c>
      <c r="E141" s="6" t="s">
        <v>416</v>
      </c>
      <c r="F141" s="45" t="s">
        <v>168</v>
      </c>
      <c r="G141" s="46">
        <f t="shared" si="16"/>
        <v>10</v>
      </c>
      <c r="H141" s="46">
        <f>TRUNC(S141*(1-LOTE_01!$K$10),2)</f>
        <v>107.75</v>
      </c>
      <c r="I141" s="46">
        <f>TRUNC(T141*(1-LOTE_01!$K$10),2)</f>
        <v>6.92</v>
      </c>
      <c r="J141" s="100">
        <f t="shared" si="8"/>
        <v>0.22470000000000001</v>
      </c>
      <c r="K141" s="48">
        <f t="shared" si="9"/>
        <v>131.96</v>
      </c>
      <c r="L141" s="48">
        <f t="shared" si="10"/>
        <v>8.4700000000000006</v>
      </c>
      <c r="M141" s="48">
        <f t="shared" si="11"/>
        <v>1319.6</v>
      </c>
      <c r="N141" s="48">
        <f t="shared" si="12"/>
        <v>84.7</v>
      </c>
      <c r="O141" s="50">
        <f t="shared" si="13"/>
        <v>1404.3</v>
      </c>
      <c r="P141" s="50">
        <v>0</v>
      </c>
      <c r="Q141" s="76"/>
      <c r="R141" s="140">
        <f>IF(S10*10&gt;100,100,10)</f>
        <v>10</v>
      </c>
      <c r="S141" s="79">
        <v>107.75</v>
      </c>
      <c r="T141" s="80">
        <v>6.92</v>
      </c>
    </row>
    <row r="142" spans="2:20" ht="56">
      <c r="B142" s="5" t="s">
        <v>417</v>
      </c>
      <c r="C142" s="45" t="s">
        <v>135</v>
      </c>
      <c r="D142" s="45">
        <v>94969</v>
      </c>
      <c r="E142" s="6" t="s">
        <v>418</v>
      </c>
      <c r="F142" s="45" t="s">
        <v>161</v>
      </c>
      <c r="G142" s="46">
        <f t="shared" si="16"/>
        <v>1</v>
      </c>
      <c r="H142" s="46">
        <f>TRUNC(S142*(1-LOTE_01!$K$10),2)</f>
        <v>687.62</v>
      </c>
      <c r="I142" s="46">
        <f>TRUNC(T142*(1-LOTE_01!$K$10),2)</f>
        <v>47.48</v>
      </c>
      <c r="J142" s="100">
        <f t="shared" si="8"/>
        <v>0.22470000000000001</v>
      </c>
      <c r="K142" s="48">
        <f t="shared" si="9"/>
        <v>842.12</v>
      </c>
      <c r="L142" s="48">
        <f t="shared" si="10"/>
        <v>58.14</v>
      </c>
      <c r="M142" s="48">
        <f t="shared" si="11"/>
        <v>842.12</v>
      </c>
      <c r="N142" s="48">
        <f t="shared" si="12"/>
        <v>58.14</v>
      </c>
      <c r="O142" s="50">
        <f t="shared" si="13"/>
        <v>900.26</v>
      </c>
      <c r="P142" s="50">
        <v>0</v>
      </c>
      <c r="Q142" s="76"/>
      <c r="R142" s="140">
        <f>IF(S10&gt;5,10,1)</f>
        <v>1</v>
      </c>
      <c r="S142" s="79">
        <v>687.62</v>
      </c>
      <c r="T142" s="80">
        <v>47.48</v>
      </c>
    </row>
    <row r="143" spans="2:20" ht="56">
      <c r="B143" s="5" t="s">
        <v>419</v>
      </c>
      <c r="C143" s="45" t="s">
        <v>135</v>
      </c>
      <c r="D143" s="45">
        <v>92263</v>
      </c>
      <c r="E143" s="6" t="s">
        <v>420</v>
      </c>
      <c r="F143" s="45" t="s">
        <v>121</v>
      </c>
      <c r="G143" s="46">
        <f t="shared" si="16"/>
        <v>20</v>
      </c>
      <c r="H143" s="46">
        <f>TRUNC(S143*(1-LOTE_01!$K$10),2)</f>
        <v>129.26</v>
      </c>
      <c r="I143" s="46">
        <f>TRUNC(T143*(1-LOTE_01!$K$10),2)</f>
        <v>41.71</v>
      </c>
      <c r="J143" s="100">
        <f t="shared" si="8"/>
        <v>0.22470000000000001</v>
      </c>
      <c r="K143" s="48">
        <f t="shared" si="9"/>
        <v>158.30000000000001</v>
      </c>
      <c r="L143" s="48">
        <f t="shared" si="10"/>
        <v>51.08</v>
      </c>
      <c r="M143" s="48">
        <f t="shared" si="11"/>
        <v>3166</v>
      </c>
      <c r="N143" s="48">
        <f t="shared" si="12"/>
        <v>1021.6</v>
      </c>
      <c r="O143" s="50">
        <f t="shared" si="13"/>
        <v>4187.6000000000004</v>
      </c>
      <c r="P143" s="50">
        <v>0</v>
      </c>
      <c r="Q143" s="76"/>
      <c r="R143" s="140">
        <f>IF(S10&gt;5,100,20)</f>
        <v>20</v>
      </c>
      <c r="S143" s="79">
        <v>129.26</v>
      </c>
      <c r="T143" s="80">
        <v>41.71</v>
      </c>
    </row>
    <row r="144" spans="2:20" ht="70">
      <c r="B144" s="5" t="s">
        <v>421</v>
      </c>
      <c r="C144" s="45" t="s">
        <v>135</v>
      </c>
      <c r="D144" s="45">
        <v>92409</v>
      </c>
      <c r="E144" s="6" t="s">
        <v>422</v>
      </c>
      <c r="F144" s="45" t="s">
        <v>121</v>
      </c>
      <c r="G144" s="46">
        <f t="shared" si="16"/>
        <v>20</v>
      </c>
      <c r="H144" s="46">
        <f>TRUNC(S144*(1-LOTE_01!$K$10),2)</f>
        <v>122.56</v>
      </c>
      <c r="I144" s="46">
        <f>TRUNC(T144*(1-LOTE_01!$K$10),2)</f>
        <v>107.67</v>
      </c>
      <c r="J144" s="100">
        <f t="shared" si="8"/>
        <v>0.22470000000000001</v>
      </c>
      <c r="K144" s="48">
        <f t="shared" si="9"/>
        <v>150.09</v>
      </c>
      <c r="L144" s="48">
        <f t="shared" si="10"/>
        <v>131.86000000000001</v>
      </c>
      <c r="M144" s="48">
        <f t="shared" si="11"/>
        <v>3001.8</v>
      </c>
      <c r="N144" s="48">
        <f t="shared" si="12"/>
        <v>2637.2</v>
      </c>
      <c r="O144" s="50">
        <f t="shared" si="13"/>
        <v>5639</v>
      </c>
      <c r="P144" s="50">
        <v>0</v>
      </c>
      <c r="Q144" s="76"/>
      <c r="R144" s="140">
        <f>IF(S10&gt;5,100,20)</f>
        <v>20</v>
      </c>
      <c r="S144" s="79">
        <v>122.55999999999999</v>
      </c>
      <c r="T144" s="80">
        <v>107.67</v>
      </c>
    </row>
    <row r="145" spans="2:20" ht="56">
      <c r="B145" s="5" t="s">
        <v>423</v>
      </c>
      <c r="C145" s="45" t="s">
        <v>135</v>
      </c>
      <c r="D145" s="45">
        <v>92482</v>
      </c>
      <c r="E145" s="6" t="s">
        <v>424</v>
      </c>
      <c r="F145" s="45" t="s">
        <v>121</v>
      </c>
      <c r="G145" s="46">
        <f t="shared" si="16"/>
        <v>20</v>
      </c>
      <c r="H145" s="46">
        <f>TRUNC(S145*(1-LOTE_01!$K$10),2)</f>
        <v>171.24</v>
      </c>
      <c r="I145" s="46">
        <f>TRUNC(T145*(1-LOTE_01!$K$10),2)</f>
        <v>117.28</v>
      </c>
      <c r="J145" s="100">
        <f t="shared" ref="J145:J209" si="17">$J$4</f>
        <v>0.22470000000000001</v>
      </c>
      <c r="K145" s="48">
        <f t="shared" si="9"/>
        <v>209.71</v>
      </c>
      <c r="L145" s="48">
        <f t="shared" si="10"/>
        <v>143.63</v>
      </c>
      <c r="M145" s="48">
        <f t="shared" si="11"/>
        <v>4194.2</v>
      </c>
      <c r="N145" s="48">
        <f t="shared" si="12"/>
        <v>2872.6</v>
      </c>
      <c r="O145" s="50">
        <f t="shared" si="13"/>
        <v>7066.8</v>
      </c>
      <c r="P145" s="50">
        <v>0</v>
      </c>
      <c r="Q145" s="76"/>
      <c r="R145" s="140">
        <f>IF(S10&gt;5,100,20)</f>
        <v>20</v>
      </c>
      <c r="S145" s="79">
        <v>171.23999999999998</v>
      </c>
      <c r="T145" s="80">
        <v>117.28</v>
      </c>
    </row>
    <row r="146" spans="2:20" ht="70">
      <c r="B146" s="5" t="s">
        <v>425</v>
      </c>
      <c r="C146" s="45" t="s">
        <v>135</v>
      </c>
      <c r="D146" s="45">
        <v>101963</v>
      </c>
      <c r="E146" s="6" t="s">
        <v>426</v>
      </c>
      <c r="F146" s="45" t="s">
        <v>121</v>
      </c>
      <c r="G146" s="46">
        <f t="shared" si="16"/>
        <v>20</v>
      </c>
      <c r="H146" s="46">
        <f>TRUNC(S146*(1-LOTE_01!$K$10),2)</f>
        <v>187.03</v>
      </c>
      <c r="I146" s="46">
        <f>TRUNC(T146*(1-LOTE_01!$K$10),2)</f>
        <v>32.28</v>
      </c>
      <c r="J146" s="100">
        <f t="shared" si="17"/>
        <v>0.22470000000000001</v>
      </c>
      <c r="K146" s="48">
        <f t="shared" si="9"/>
        <v>229.05</v>
      </c>
      <c r="L146" s="48">
        <f t="shared" si="10"/>
        <v>39.53</v>
      </c>
      <c r="M146" s="48">
        <f t="shared" si="11"/>
        <v>4581</v>
      </c>
      <c r="N146" s="48">
        <f t="shared" si="12"/>
        <v>790.6</v>
      </c>
      <c r="O146" s="50">
        <f t="shared" si="13"/>
        <v>5371.6</v>
      </c>
      <c r="P146" s="50">
        <v>0</v>
      </c>
      <c r="Q146" s="76"/>
      <c r="R146" s="140">
        <f>IF(S10&gt;5,100,20)</f>
        <v>20</v>
      </c>
      <c r="S146" s="79">
        <v>187.03</v>
      </c>
      <c r="T146" s="80">
        <v>32.28</v>
      </c>
    </row>
    <row r="147" spans="2:20" ht="42">
      <c r="B147" s="5" t="s">
        <v>427</v>
      </c>
      <c r="C147" s="45" t="s">
        <v>135</v>
      </c>
      <c r="D147" s="45">
        <v>103670</v>
      </c>
      <c r="E147" s="6" t="s">
        <v>390</v>
      </c>
      <c r="F147" s="45" t="s">
        <v>161</v>
      </c>
      <c r="G147" s="46">
        <f t="shared" si="16"/>
        <v>1</v>
      </c>
      <c r="H147" s="46">
        <f>TRUNC(S147*(1-LOTE_01!$K$10),2)</f>
        <v>103.59</v>
      </c>
      <c r="I147" s="46">
        <f>TRUNC(T147*(1-LOTE_01!$K$10),2)</f>
        <v>247.32</v>
      </c>
      <c r="J147" s="100">
        <f t="shared" si="17"/>
        <v>0.22470000000000001</v>
      </c>
      <c r="K147" s="48">
        <f t="shared" ref="K147:K209" si="18">TRUNC(H147*(1+J147),2)</f>
        <v>126.86</v>
      </c>
      <c r="L147" s="48">
        <f t="shared" ref="L147:L209" si="19">TRUNC(I147*(1+J147),2)</f>
        <v>302.89</v>
      </c>
      <c r="M147" s="48">
        <f t="shared" ref="M147:M209" si="20">TRUNC(K147*G147,2)</f>
        <v>126.86</v>
      </c>
      <c r="N147" s="48">
        <f t="shared" ref="N147:N209" si="21">TRUNC(L147*G147,2)</f>
        <v>302.89</v>
      </c>
      <c r="O147" s="50">
        <f t="shared" ref="O147:O209" si="22">TRUNC(M147+N147,2)</f>
        <v>429.75</v>
      </c>
      <c r="P147" s="50">
        <v>0</v>
      </c>
      <c r="Q147" s="76"/>
      <c r="R147" s="140">
        <f>IF(S10&gt;5,5,1)</f>
        <v>1</v>
      </c>
      <c r="S147" s="79">
        <v>103.59000000000003</v>
      </c>
      <c r="T147" s="80">
        <v>247.32</v>
      </c>
    </row>
    <row r="148" spans="2:20" ht="42">
      <c r="B148" s="5" t="s">
        <v>428</v>
      </c>
      <c r="C148" s="45" t="s">
        <v>135</v>
      </c>
      <c r="D148" s="45">
        <v>105036</v>
      </c>
      <c r="E148" s="6" t="s">
        <v>429</v>
      </c>
      <c r="F148" s="45" t="s">
        <v>187</v>
      </c>
      <c r="G148" s="46">
        <f t="shared" si="16"/>
        <v>5</v>
      </c>
      <c r="H148" s="46">
        <f>TRUNC(S148*(1-LOTE_01!$K$10),2)</f>
        <v>33.71</v>
      </c>
      <c r="I148" s="46">
        <f>TRUNC(T148*(1-LOTE_01!$K$10),2)</f>
        <v>26.72</v>
      </c>
      <c r="J148" s="100">
        <f t="shared" si="17"/>
        <v>0.22470000000000001</v>
      </c>
      <c r="K148" s="48">
        <f t="shared" si="18"/>
        <v>41.28</v>
      </c>
      <c r="L148" s="48">
        <f t="shared" si="19"/>
        <v>32.72</v>
      </c>
      <c r="M148" s="48">
        <f t="shared" si="20"/>
        <v>206.4</v>
      </c>
      <c r="N148" s="48">
        <f t="shared" si="21"/>
        <v>163.6</v>
      </c>
      <c r="O148" s="50">
        <f t="shared" si="22"/>
        <v>370</v>
      </c>
      <c r="P148" s="50">
        <v>0</v>
      </c>
      <c r="Q148" s="76"/>
      <c r="R148" s="140">
        <f>IF(S10&gt;=5,20,5)</f>
        <v>5</v>
      </c>
      <c r="S148" s="79">
        <v>33.71</v>
      </c>
      <c r="T148" s="80">
        <v>26.72</v>
      </c>
    </row>
    <row r="149" spans="2:20" ht="42">
      <c r="B149" s="5" t="s">
        <v>430</v>
      </c>
      <c r="C149" s="45" t="s">
        <v>135</v>
      </c>
      <c r="D149" s="45">
        <v>94588</v>
      </c>
      <c r="E149" s="6" t="s">
        <v>431</v>
      </c>
      <c r="F149" s="45" t="s">
        <v>187</v>
      </c>
      <c r="G149" s="46">
        <f t="shared" si="16"/>
        <v>5</v>
      </c>
      <c r="H149" s="46">
        <f>TRUNC(S149*(1-LOTE_01!$K$10),2)</f>
        <v>54.65</v>
      </c>
      <c r="I149" s="46">
        <f>TRUNC(T149*(1-LOTE_01!$K$10),2)</f>
        <v>29.37</v>
      </c>
      <c r="J149" s="100">
        <f t="shared" si="17"/>
        <v>0.22470000000000001</v>
      </c>
      <c r="K149" s="48">
        <f t="shared" si="18"/>
        <v>66.92</v>
      </c>
      <c r="L149" s="48">
        <f t="shared" si="19"/>
        <v>35.96</v>
      </c>
      <c r="M149" s="48">
        <f t="shared" si="20"/>
        <v>334.6</v>
      </c>
      <c r="N149" s="48">
        <f t="shared" si="21"/>
        <v>179.8</v>
      </c>
      <c r="O149" s="50">
        <f t="shared" si="22"/>
        <v>514.4</v>
      </c>
      <c r="P149" s="50">
        <v>0</v>
      </c>
      <c r="Q149" s="76"/>
      <c r="R149" s="140">
        <f>IF(S10&gt;=5,20,5)</f>
        <v>5</v>
      </c>
      <c r="S149" s="79">
        <v>54.649999999999991</v>
      </c>
      <c r="T149" s="80">
        <v>29.37</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50">
        <f>SUM(O151:O169)</f>
        <v>750971</v>
      </c>
      <c r="Q150" s="76"/>
      <c r="R150" s="154"/>
      <c r="S150" s="79" t="s">
        <v>22</v>
      </c>
      <c r="T150" s="80" t="s">
        <v>22</v>
      </c>
    </row>
    <row r="151" spans="2:20" ht="28">
      <c r="B151" s="5" t="s">
        <v>432</v>
      </c>
      <c r="C151" s="45" t="s">
        <v>135</v>
      </c>
      <c r="D151" s="45">
        <v>98458</v>
      </c>
      <c r="E151" s="6" t="s">
        <v>433</v>
      </c>
      <c r="F151" s="45" t="s">
        <v>121</v>
      </c>
      <c r="G151" s="46">
        <f t="shared" si="23"/>
        <v>200</v>
      </c>
      <c r="H151" s="46">
        <f>TRUNC(S151*(1-LOTE_01!$K$10),2)</f>
        <v>70.83</v>
      </c>
      <c r="I151" s="46">
        <f>TRUNC(T151*(1-LOTE_01!$K$10),2)</f>
        <v>29.9</v>
      </c>
      <c r="J151" s="100">
        <f t="shared" si="17"/>
        <v>0.22470000000000001</v>
      </c>
      <c r="K151" s="48">
        <f t="shared" si="18"/>
        <v>86.74</v>
      </c>
      <c r="L151" s="48">
        <f t="shared" si="19"/>
        <v>36.61</v>
      </c>
      <c r="M151" s="48">
        <f t="shared" si="20"/>
        <v>17348</v>
      </c>
      <c r="N151" s="48">
        <f t="shared" si="21"/>
        <v>7322</v>
      </c>
      <c r="O151" s="50">
        <f t="shared" si="22"/>
        <v>24670</v>
      </c>
      <c r="P151" s="50">
        <v>0</v>
      </c>
      <c r="Q151" s="76"/>
      <c r="R151" s="140">
        <f>IF((15*3*S9+15*3*S10)&gt;200,200,(15*3*S9+15*3*S10))</f>
        <v>200</v>
      </c>
      <c r="S151" s="79">
        <v>70.830000000000013</v>
      </c>
      <c r="T151" s="80">
        <v>29.9</v>
      </c>
    </row>
    <row r="152" spans="2:20" ht="70">
      <c r="B152" s="5" t="s">
        <v>434</v>
      </c>
      <c r="C152" s="45" t="s">
        <v>135</v>
      </c>
      <c r="D152" s="45">
        <v>103329</v>
      </c>
      <c r="E152" s="6" t="s">
        <v>435</v>
      </c>
      <c r="F152" s="45" t="s">
        <v>121</v>
      </c>
      <c r="G152" s="46">
        <f t="shared" si="23"/>
        <v>160</v>
      </c>
      <c r="H152" s="46">
        <f>TRUNC(S152*(1-LOTE_01!$K$10),2)</f>
        <v>53.34</v>
      </c>
      <c r="I152" s="46">
        <f>TRUNC(T152*(1-LOTE_01!$K$10),2)</f>
        <v>56.18</v>
      </c>
      <c r="J152" s="100">
        <f t="shared" si="17"/>
        <v>0.22470000000000001</v>
      </c>
      <c r="K152" s="48">
        <f t="shared" si="18"/>
        <v>65.319999999999993</v>
      </c>
      <c r="L152" s="48">
        <f t="shared" si="19"/>
        <v>68.8</v>
      </c>
      <c r="M152" s="48">
        <f t="shared" si="20"/>
        <v>10451.200000000001</v>
      </c>
      <c r="N152" s="48">
        <f t="shared" si="21"/>
        <v>11008</v>
      </c>
      <c r="O152" s="50">
        <f t="shared" si="22"/>
        <v>21459.200000000001</v>
      </c>
      <c r="P152" s="50">
        <v>0</v>
      </c>
      <c r="Q152" s="76"/>
      <c r="R152" s="140">
        <f>IF((20*S9+50*S10)&gt;1000,1000,(20*S9+50*S10))</f>
        <v>160</v>
      </c>
      <c r="S152" s="79">
        <v>53.339999999999996</v>
      </c>
      <c r="T152" s="80">
        <v>56.18</v>
      </c>
    </row>
    <row r="153" spans="2:20" ht="70">
      <c r="B153" s="5" t="s">
        <v>436</v>
      </c>
      <c r="C153" s="45" t="s">
        <v>135</v>
      </c>
      <c r="D153" s="45">
        <v>103331</v>
      </c>
      <c r="E153" s="6" t="s">
        <v>437</v>
      </c>
      <c r="F153" s="45" t="s">
        <v>121</v>
      </c>
      <c r="G153" s="46">
        <f t="shared" si="23"/>
        <v>160</v>
      </c>
      <c r="H153" s="46">
        <f>TRUNC(S153*(1-LOTE_01!$K$10),2)</f>
        <v>52.81</v>
      </c>
      <c r="I153" s="46">
        <f>TRUNC(T153*(1-LOTE_01!$K$10),2)</f>
        <v>42.37</v>
      </c>
      <c r="J153" s="100">
        <f t="shared" si="17"/>
        <v>0.22470000000000001</v>
      </c>
      <c r="K153" s="48">
        <f t="shared" si="18"/>
        <v>64.67</v>
      </c>
      <c r="L153" s="48">
        <f t="shared" si="19"/>
        <v>51.89</v>
      </c>
      <c r="M153" s="48">
        <f t="shared" si="20"/>
        <v>10347.200000000001</v>
      </c>
      <c r="N153" s="48">
        <f t="shared" si="21"/>
        <v>8302.4</v>
      </c>
      <c r="O153" s="50">
        <f t="shared" si="22"/>
        <v>18649.599999999999</v>
      </c>
      <c r="P153" s="50">
        <v>0</v>
      </c>
      <c r="Q153" s="76"/>
      <c r="R153" s="140">
        <f>IF((20*S9+50*S10)&gt;1000,1000,(20*S9+50*S10))</f>
        <v>160</v>
      </c>
      <c r="S153" s="79">
        <v>52.810000000000009</v>
      </c>
      <c r="T153" s="80">
        <v>42.37</v>
      </c>
    </row>
    <row r="154" spans="2:20" ht="70">
      <c r="B154" s="5" t="s">
        <v>438</v>
      </c>
      <c r="C154" s="45" t="s">
        <v>135</v>
      </c>
      <c r="D154" s="45">
        <v>96358</v>
      </c>
      <c r="E154" s="6" t="s">
        <v>439</v>
      </c>
      <c r="F154" s="45" t="s">
        <v>121</v>
      </c>
      <c r="G154" s="46">
        <f t="shared" si="23"/>
        <v>160</v>
      </c>
      <c r="H154" s="46">
        <f>TRUNC(S154*(1-LOTE_01!$K$10),2)</f>
        <v>86.36</v>
      </c>
      <c r="I154" s="46">
        <f>TRUNC(T154*(1-LOTE_01!$K$10),2)</f>
        <v>10.68</v>
      </c>
      <c r="J154" s="100">
        <f t="shared" si="17"/>
        <v>0.22470000000000001</v>
      </c>
      <c r="K154" s="48">
        <f t="shared" si="18"/>
        <v>105.76</v>
      </c>
      <c r="L154" s="48">
        <f t="shared" si="19"/>
        <v>13.07</v>
      </c>
      <c r="M154" s="48">
        <f t="shared" si="20"/>
        <v>16921.599999999999</v>
      </c>
      <c r="N154" s="48">
        <f t="shared" si="21"/>
        <v>2091.1999999999998</v>
      </c>
      <c r="O154" s="50">
        <f t="shared" si="22"/>
        <v>19012.8</v>
      </c>
      <c r="P154" s="50">
        <v>0</v>
      </c>
      <c r="Q154" s="76"/>
      <c r="R154" s="140">
        <f>IF((20*S9+50*S10)&gt;500,500,(20*S9+50*S10))</f>
        <v>160</v>
      </c>
      <c r="S154" s="79">
        <v>86.360000000000014</v>
      </c>
      <c r="T154" s="80">
        <v>10.68</v>
      </c>
    </row>
    <row r="155" spans="2:20" ht="98">
      <c r="B155" s="5" t="s">
        <v>440</v>
      </c>
      <c r="C155" s="45" t="s">
        <v>135</v>
      </c>
      <c r="D155" s="45">
        <v>96359</v>
      </c>
      <c r="E155" s="6" t="s">
        <v>441</v>
      </c>
      <c r="F155" s="45" t="s">
        <v>121</v>
      </c>
      <c r="G155" s="46">
        <f t="shared" si="23"/>
        <v>160</v>
      </c>
      <c r="H155" s="46">
        <f>TRUNC(S155*(1-LOTE_01!$K$10),2)</f>
        <v>95.66</v>
      </c>
      <c r="I155" s="46">
        <f>TRUNC(T155*(1-LOTE_01!$K$10),2)</f>
        <v>11.96</v>
      </c>
      <c r="J155" s="100">
        <f t="shared" si="17"/>
        <v>0.22470000000000001</v>
      </c>
      <c r="K155" s="48">
        <f t="shared" si="18"/>
        <v>117.15</v>
      </c>
      <c r="L155" s="48">
        <f t="shared" si="19"/>
        <v>14.64</v>
      </c>
      <c r="M155" s="48">
        <f t="shared" si="20"/>
        <v>18744</v>
      </c>
      <c r="N155" s="48">
        <f t="shared" si="21"/>
        <v>2342.4</v>
      </c>
      <c r="O155" s="50">
        <f t="shared" si="22"/>
        <v>21086.400000000001</v>
      </c>
      <c r="P155" s="50">
        <v>0</v>
      </c>
      <c r="Q155" s="76"/>
      <c r="R155" s="140">
        <f>IF((20*S9+50*S10)&gt;500,500,(20*S9+50*S10))</f>
        <v>160</v>
      </c>
      <c r="S155" s="79">
        <v>95.66</v>
      </c>
      <c r="T155" s="80">
        <v>11.96</v>
      </c>
    </row>
    <row r="156" spans="2:20" ht="42">
      <c r="B156" s="5" t="s">
        <v>442</v>
      </c>
      <c r="C156" s="45" t="s">
        <v>97</v>
      </c>
      <c r="D156" s="45" t="s">
        <v>443</v>
      </c>
      <c r="E156" s="6" t="s">
        <v>444</v>
      </c>
      <c r="F156" s="45" t="s">
        <v>121</v>
      </c>
      <c r="G156" s="46">
        <f t="shared" si="23"/>
        <v>100</v>
      </c>
      <c r="H156" s="46">
        <f>TRUNC(S156*(1-LOTE_01!$K$10),2)</f>
        <v>405.08</v>
      </c>
      <c r="I156" s="46">
        <f>TRUNC(T156*(1-LOTE_01!$K$10),2)</f>
        <v>119.19</v>
      </c>
      <c r="J156" s="100">
        <f t="shared" si="17"/>
        <v>0.22470000000000001</v>
      </c>
      <c r="K156" s="48">
        <f t="shared" si="18"/>
        <v>496.1</v>
      </c>
      <c r="L156" s="48">
        <f t="shared" si="19"/>
        <v>145.97</v>
      </c>
      <c r="M156" s="48">
        <f t="shared" si="20"/>
        <v>49610</v>
      </c>
      <c r="N156" s="48">
        <f t="shared" si="21"/>
        <v>14597</v>
      </c>
      <c r="O156" s="50">
        <f t="shared" si="22"/>
        <v>64207</v>
      </c>
      <c r="P156" s="50">
        <v>0</v>
      </c>
      <c r="Q156" s="76"/>
      <c r="R156" s="140">
        <f>IF((20*S9+20*S10)&gt;200,200,(20*S9+20*S10))</f>
        <v>100</v>
      </c>
      <c r="S156" s="79">
        <v>405.08</v>
      </c>
      <c r="T156" s="80">
        <v>119.19</v>
      </c>
    </row>
    <row r="157" spans="2:20" ht="42">
      <c r="B157" s="5" t="s">
        <v>445</v>
      </c>
      <c r="C157" s="45" t="s">
        <v>135</v>
      </c>
      <c r="D157" s="45">
        <v>102180</v>
      </c>
      <c r="E157" s="6" t="s">
        <v>1772</v>
      </c>
      <c r="F157" s="45" t="s">
        <v>121</v>
      </c>
      <c r="G157" s="46">
        <f t="shared" si="23"/>
        <v>100</v>
      </c>
      <c r="H157" s="46">
        <f>TRUNC(S157*(1-LOTE_01!$K$10),2)</f>
        <v>438.46</v>
      </c>
      <c r="I157" s="46">
        <f>TRUNC(T157*(1-LOTE_01!$K$10),2)</f>
        <v>53.19</v>
      </c>
      <c r="J157" s="100">
        <f t="shared" si="17"/>
        <v>0.22470000000000001</v>
      </c>
      <c r="K157" s="48">
        <f t="shared" si="18"/>
        <v>536.98</v>
      </c>
      <c r="L157" s="48">
        <f t="shared" si="19"/>
        <v>65.14</v>
      </c>
      <c r="M157" s="48">
        <f t="shared" si="20"/>
        <v>53698</v>
      </c>
      <c r="N157" s="48">
        <f t="shared" si="21"/>
        <v>6514</v>
      </c>
      <c r="O157" s="50">
        <f t="shared" si="22"/>
        <v>60212</v>
      </c>
      <c r="P157" s="50">
        <v>0</v>
      </c>
      <c r="Q157" s="76"/>
      <c r="R157" s="140">
        <f>IF((20*S9+20*S10)&gt;100,100,(20*S9+20*S10))</f>
        <v>100</v>
      </c>
      <c r="S157" s="79">
        <v>438.46</v>
      </c>
      <c r="T157" s="80">
        <v>53.19</v>
      </c>
    </row>
    <row r="158" spans="2:20" ht="42">
      <c r="B158" s="5" t="s">
        <v>446</v>
      </c>
      <c r="C158" s="45" t="s">
        <v>135</v>
      </c>
      <c r="D158" s="45">
        <v>102181</v>
      </c>
      <c r="E158" s="6" t="s">
        <v>1773</v>
      </c>
      <c r="F158" s="45" t="s">
        <v>121</v>
      </c>
      <c r="G158" s="46">
        <f t="shared" si="23"/>
        <v>100</v>
      </c>
      <c r="H158" s="46">
        <f>TRUNC(S158*(1-LOTE_01!$K$10),2)</f>
        <v>543.25</v>
      </c>
      <c r="I158" s="46">
        <f>TRUNC(T158*(1-LOTE_01!$K$10),2)</f>
        <v>50.27</v>
      </c>
      <c r="J158" s="100">
        <f t="shared" si="17"/>
        <v>0.22470000000000001</v>
      </c>
      <c r="K158" s="48">
        <f t="shared" si="18"/>
        <v>665.31</v>
      </c>
      <c r="L158" s="48">
        <f t="shared" si="19"/>
        <v>61.56</v>
      </c>
      <c r="M158" s="48">
        <f t="shared" si="20"/>
        <v>66531</v>
      </c>
      <c r="N158" s="48">
        <f t="shared" si="21"/>
        <v>6156</v>
      </c>
      <c r="O158" s="50">
        <f t="shared" si="22"/>
        <v>72687</v>
      </c>
      <c r="P158" s="50">
        <v>0</v>
      </c>
      <c r="Q158" s="76"/>
      <c r="R158" s="140">
        <f>IF((20*S9+20*S10)&gt;200,200,(20*S9+20*S10))</f>
        <v>100</v>
      </c>
      <c r="S158" s="79">
        <v>543.25</v>
      </c>
      <c r="T158" s="80">
        <v>50.27</v>
      </c>
    </row>
    <row r="159" spans="2:20" ht="56">
      <c r="B159" s="5" t="s">
        <v>447</v>
      </c>
      <c r="C159" s="45" t="s">
        <v>97</v>
      </c>
      <c r="D159" s="45" t="s">
        <v>448</v>
      </c>
      <c r="E159" s="6" t="s">
        <v>449</v>
      </c>
      <c r="F159" s="45" t="s">
        <v>121</v>
      </c>
      <c r="G159" s="46">
        <f t="shared" si="23"/>
        <v>100</v>
      </c>
      <c r="H159" s="46">
        <f>TRUNC(S159*(1-LOTE_01!$K$10),2)</f>
        <v>143.80000000000001</v>
      </c>
      <c r="I159" s="46">
        <f>TRUNC(T159*(1-LOTE_01!$K$10),2)</f>
        <v>50.27</v>
      </c>
      <c r="J159" s="100">
        <f t="shared" si="17"/>
        <v>0.22470000000000001</v>
      </c>
      <c r="K159" s="48">
        <f t="shared" si="18"/>
        <v>176.11</v>
      </c>
      <c r="L159" s="48">
        <f t="shared" si="19"/>
        <v>61.56</v>
      </c>
      <c r="M159" s="48">
        <f t="shared" si="20"/>
        <v>17611</v>
      </c>
      <c r="N159" s="48">
        <f t="shared" si="21"/>
        <v>6156</v>
      </c>
      <c r="O159" s="50">
        <f t="shared" si="22"/>
        <v>23767</v>
      </c>
      <c r="P159" s="50">
        <v>0</v>
      </c>
      <c r="Q159" s="76"/>
      <c r="R159" s="140">
        <f>IF((20*S9+20*S10)&gt;200,200,(20*S9+20*S10))</f>
        <v>100</v>
      </c>
      <c r="S159" s="79">
        <v>143.80000000000001</v>
      </c>
      <c r="T159" s="80">
        <v>50.27</v>
      </c>
    </row>
    <row r="160" spans="2:20" ht="56">
      <c r="B160" s="5" t="s">
        <v>450</v>
      </c>
      <c r="C160" s="45" t="s">
        <v>135</v>
      </c>
      <c r="D160" s="45">
        <v>102253</v>
      </c>
      <c r="E160" s="6" t="s">
        <v>1774</v>
      </c>
      <c r="F160" s="45" t="s">
        <v>121</v>
      </c>
      <c r="G160" s="46">
        <f>IF($S$11=0,0,TRUNC(R160,2))</f>
        <v>5</v>
      </c>
      <c r="H160" s="46">
        <f>TRUNC(S160*(1-LOTE_01!$K$10),2)</f>
        <v>886.05</v>
      </c>
      <c r="I160" s="46">
        <f>TRUNC(T160*(1-LOTE_01!$K$10),2)</f>
        <v>83.36</v>
      </c>
      <c r="J160" s="100">
        <f t="shared" si="17"/>
        <v>0.22470000000000001</v>
      </c>
      <c r="K160" s="48">
        <f t="shared" si="18"/>
        <v>1085.1400000000001</v>
      </c>
      <c r="L160" s="48">
        <f t="shared" si="19"/>
        <v>102.09</v>
      </c>
      <c r="M160" s="48">
        <f t="shared" si="20"/>
        <v>5425.7</v>
      </c>
      <c r="N160" s="48">
        <f t="shared" si="21"/>
        <v>510.45</v>
      </c>
      <c r="O160" s="50">
        <f t="shared" si="22"/>
        <v>5936.15</v>
      </c>
      <c r="P160" s="50">
        <v>0</v>
      </c>
      <c r="Q160" s="76"/>
      <c r="R160" s="140">
        <f>IF(S10&gt;=5,10,5)</f>
        <v>5</v>
      </c>
      <c r="S160" s="79">
        <v>886.05</v>
      </c>
      <c r="T160" s="80">
        <v>83.36</v>
      </c>
    </row>
    <row r="161" spans="2:20" ht="42">
      <c r="B161" s="5" t="s">
        <v>451</v>
      </c>
      <c r="C161" s="45" t="s">
        <v>165</v>
      </c>
      <c r="D161" s="45" t="s">
        <v>452</v>
      </c>
      <c r="E161" s="6" t="s">
        <v>453</v>
      </c>
      <c r="F161" s="45" t="s">
        <v>168</v>
      </c>
      <c r="G161" s="46">
        <f t="shared" si="23"/>
        <v>250</v>
      </c>
      <c r="H161" s="46">
        <f>TRUNC(S161*(1-LOTE_01!$K$10),2)</f>
        <v>406.96</v>
      </c>
      <c r="I161" s="46">
        <f>TRUNC(T161*(1-LOTE_01!$K$10),2)</f>
        <v>0</v>
      </c>
      <c r="J161" s="100">
        <f t="shared" si="17"/>
        <v>0.22470000000000001</v>
      </c>
      <c r="K161" s="48">
        <f t="shared" si="18"/>
        <v>498.4</v>
      </c>
      <c r="L161" s="48">
        <f t="shared" si="19"/>
        <v>0</v>
      </c>
      <c r="M161" s="48">
        <f t="shared" si="20"/>
        <v>124600</v>
      </c>
      <c r="N161" s="48">
        <f t="shared" si="21"/>
        <v>0</v>
      </c>
      <c r="O161" s="50">
        <f t="shared" si="22"/>
        <v>124600</v>
      </c>
      <c r="P161" s="50">
        <v>0</v>
      </c>
      <c r="Q161" s="76"/>
      <c r="R161" s="140">
        <f>IF((50*S9+50*S10)&gt;500,500,(50*S9+50*S10))</f>
        <v>250</v>
      </c>
      <c r="S161" s="79">
        <v>406.96</v>
      </c>
      <c r="T161" s="80">
        <v>0</v>
      </c>
    </row>
    <row r="162" spans="2:20" ht="56">
      <c r="B162" s="5" t="s">
        <v>454</v>
      </c>
      <c r="C162" s="45" t="s">
        <v>165</v>
      </c>
      <c r="D162" s="45" t="s">
        <v>455</v>
      </c>
      <c r="E162" s="6" t="s">
        <v>456</v>
      </c>
      <c r="F162" s="45" t="s">
        <v>168</v>
      </c>
      <c r="G162" s="46">
        <f t="shared" si="23"/>
        <v>100</v>
      </c>
      <c r="H162" s="46">
        <f>TRUNC(S162*(1-LOTE_01!$K$10),2)</f>
        <v>772.2</v>
      </c>
      <c r="I162" s="46">
        <f>TRUNC(T162*(1-LOTE_01!$K$10),2)</f>
        <v>0</v>
      </c>
      <c r="J162" s="100">
        <f t="shared" si="17"/>
        <v>0.22470000000000001</v>
      </c>
      <c r="K162" s="48">
        <f t="shared" si="18"/>
        <v>945.71</v>
      </c>
      <c r="L162" s="48">
        <f t="shared" si="19"/>
        <v>0</v>
      </c>
      <c r="M162" s="48">
        <f t="shared" si="20"/>
        <v>94571</v>
      </c>
      <c r="N162" s="48">
        <f t="shared" si="21"/>
        <v>0</v>
      </c>
      <c r="O162" s="50">
        <f t="shared" si="22"/>
        <v>94571</v>
      </c>
      <c r="P162" s="50">
        <v>0</v>
      </c>
      <c r="Q162" s="76"/>
      <c r="R162" s="140">
        <f>IF((50*S9+50*S10)&gt;100,100,(50*S9+50*S10))</f>
        <v>100</v>
      </c>
      <c r="S162" s="79">
        <v>772.2</v>
      </c>
      <c r="T162" s="80">
        <v>0</v>
      </c>
    </row>
    <row r="163" spans="2:20" ht="56">
      <c r="B163" s="5" t="s">
        <v>457</v>
      </c>
      <c r="C163" s="45" t="s">
        <v>97</v>
      </c>
      <c r="D163" s="45" t="s">
        <v>458</v>
      </c>
      <c r="E163" s="6" t="s">
        <v>459</v>
      </c>
      <c r="F163" s="45" t="s">
        <v>121</v>
      </c>
      <c r="G163" s="46">
        <f t="shared" si="23"/>
        <v>100</v>
      </c>
      <c r="H163" s="46">
        <f>TRUNC(S163*(1-LOTE_01!$K$10),2)</f>
        <v>92.21</v>
      </c>
      <c r="I163" s="46">
        <f>TRUNC(T163*(1-LOTE_01!$K$10),2)</f>
        <v>30.08</v>
      </c>
      <c r="J163" s="100">
        <f t="shared" si="17"/>
        <v>0.22470000000000001</v>
      </c>
      <c r="K163" s="48">
        <f t="shared" si="18"/>
        <v>112.92</v>
      </c>
      <c r="L163" s="48">
        <f t="shared" si="19"/>
        <v>36.83</v>
      </c>
      <c r="M163" s="48">
        <f t="shared" si="20"/>
        <v>11292</v>
      </c>
      <c r="N163" s="48">
        <f t="shared" si="21"/>
        <v>3683</v>
      </c>
      <c r="O163" s="50">
        <f t="shared" si="22"/>
        <v>14975</v>
      </c>
      <c r="P163" s="50">
        <v>0</v>
      </c>
      <c r="Q163" s="76"/>
      <c r="R163" s="140">
        <f>IF((50*S9+50*S10)&gt;100,100,(50*S9+50*S10))</f>
        <v>100</v>
      </c>
      <c r="S163" s="79">
        <v>92.21</v>
      </c>
      <c r="T163" s="80">
        <v>30.08</v>
      </c>
    </row>
    <row r="164" spans="2:20" ht="42">
      <c r="B164" s="5" t="s">
        <v>460</v>
      </c>
      <c r="C164" s="45" t="s">
        <v>97</v>
      </c>
      <c r="D164" s="45" t="s">
        <v>461</v>
      </c>
      <c r="E164" s="6" t="s">
        <v>462</v>
      </c>
      <c r="F164" s="45" t="s">
        <v>121</v>
      </c>
      <c r="G164" s="46">
        <f t="shared" si="23"/>
        <v>200</v>
      </c>
      <c r="H164" s="46">
        <f>TRUNC(S164*(1-LOTE_01!$K$10),2)</f>
        <v>81.680000000000007</v>
      </c>
      <c r="I164" s="46">
        <f>TRUNC(T164*(1-LOTE_01!$K$10),2)</f>
        <v>30.08</v>
      </c>
      <c r="J164" s="100">
        <f t="shared" si="17"/>
        <v>0.22470000000000001</v>
      </c>
      <c r="K164" s="48">
        <f t="shared" si="18"/>
        <v>100.03</v>
      </c>
      <c r="L164" s="48">
        <f t="shared" si="19"/>
        <v>36.83</v>
      </c>
      <c r="M164" s="48">
        <f t="shared" si="20"/>
        <v>20006</v>
      </c>
      <c r="N164" s="48">
        <f t="shared" si="21"/>
        <v>7366</v>
      </c>
      <c r="O164" s="50">
        <f t="shared" si="22"/>
        <v>27372</v>
      </c>
      <c r="P164" s="50">
        <v>0</v>
      </c>
      <c r="Q164" s="76"/>
      <c r="R164" s="140">
        <f>IF((50*S9+50*S10)&gt;200,200,(50*S9+50*S10))</f>
        <v>200</v>
      </c>
      <c r="S164" s="79">
        <v>81.680000000000007</v>
      </c>
      <c r="T164" s="80">
        <v>30.08</v>
      </c>
    </row>
    <row r="165" spans="2:20" ht="28">
      <c r="B165" s="5" t="s">
        <v>463</v>
      </c>
      <c r="C165" s="45" t="s">
        <v>97</v>
      </c>
      <c r="D165" s="45" t="s">
        <v>464</v>
      </c>
      <c r="E165" s="6" t="s">
        <v>465</v>
      </c>
      <c r="F165" s="45" t="s">
        <v>121</v>
      </c>
      <c r="G165" s="46">
        <f t="shared" si="23"/>
        <v>250</v>
      </c>
      <c r="H165" s="46">
        <f>TRUNC(S165*(1-LOTE_01!$K$10),2)</f>
        <v>8.16</v>
      </c>
      <c r="I165" s="46">
        <f>TRUNC(T165*(1-LOTE_01!$K$10),2)</f>
        <v>20.25</v>
      </c>
      <c r="J165" s="100">
        <f t="shared" si="17"/>
        <v>0.22470000000000001</v>
      </c>
      <c r="K165" s="48">
        <f t="shared" si="18"/>
        <v>9.99</v>
      </c>
      <c r="L165" s="48">
        <f t="shared" si="19"/>
        <v>24.8</v>
      </c>
      <c r="M165" s="48">
        <f t="shared" si="20"/>
        <v>2497.5</v>
      </c>
      <c r="N165" s="48">
        <f t="shared" si="21"/>
        <v>6200</v>
      </c>
      <c r="O165" s="50">
        <f t="shared" si="22"/>
        <v>8697.5</v>
      </c>
      <c r="P165" s="50">
        <v>0</v>
      </c>
      <c r="Q165" s="76"/>
      <c r="R165" s="140">
        <f>IF((50*S9+50*S10)&gt;500,500,(50*S9+50*S10))</f>
        <v>250</v>
      </c>
      <c r="S165" s="79">
        <v>8.16</v>
      </c>
      <c r="T165" s="80">
        <v>20.25</v>
      </c>
    </row>
    <row r="166" spans="2:20" ht="56">
      <c r="B166" s="5" t="s">
        <v>466</v>
      </c>
      <c r="C166" s="45" t="s">
        <v>97</v>
      </c>
      <c r="D166" s="45" t="s">
        <v>467</v>
      </c>
      <c r="E166" s="6" t="s">
        <v>468</v>
      </c>
      <c r="F166" s="45" t="s">
        <v>121</v>
      </c>
      <c r="G166" s="46">
        <f t="shared" si="23"/>
        <v>150</v>
      </c>
      <c r="H166" s="46">
        <f>TRUNC(S166*(1-LOTE_01!$K$10),2)</f>
        <v>388.44</v>
      </c>
      <c r="I166" s="46">
        <f>TRUNC(T166*(1-LOTE_01!$K$10),2)</f>
        <v>154.4</v>
      </c>
      <c r="J166" s="100">
        <f t="shared" si="17"/>
        <v>0.22470000000000001</v>
      </c>
      <c r="K166" s="48">
        <f t="shared" si="18"/>
        <v>475.72</v>
      </c>
      <c r="L166" s="48">
        <f t="shared" si="19"/>
        <v>189.09</v>
      </c>
      <c r="M166" s="48">
        <f t="shared" si="20"/>
        <v>71358</v>
      </c>
      <c r="N166" s="48">
        <f t="shared" si="21"/>
        <v>28363.5</v>
      </c>
      <c r="O166" s="50">
        <f t="shared" si="22"/>
        <v>99721.5</v>
      </c>
      <c r="P166" s="50">
        <v>0</v>
      </c>
      <c r="Q166" s="76"/>
      <c r="R166" s="140">
        <f>30*S9+30*S10</f>
        <v>150</v>
      </c>
      <c r="S166" s="79">
        <v>388.44</v>
      </c>
      <c r="T166" s="80">
        <v>154.4</v>
      </c>
    </row>
    <row r="167" spans="2:20" ht="42">
      <c r="B167" s="5" t="s">
        <v>469</v>
      </c>
      <c r="C167" s="45" t="s">
        <v>135</v>
      </c>
      <c r="D167" s="45">
        <v>102162</v>
      </c>
      <c r="E167" s="6" t="s">
        <v>1775</v>
      </c>
      <c r="F167" s="45" t="s">
        <v>121</v>
      </c>
      <c r="G167" s="46">
        <f t="shared" si="23"/>
        <v>35</v>
      </c>
      <c r="H167" s="46">
        <f>TRUNC(S167*(1-LOTE_01!$K$10),2)</f>
        <v>287.64999999999998</v>
      </c>
      <c r="I167" s="46">
        <f>TRUNC(T167*(1-LOTE_01!$K$10),2)</f>
        <v>27.79</v>
      </c>
      <c r="J167" s="100">
        <f t="shared" si="17"/>
        <v>0.22470000000000001</v>
      </c>
      <c r="K167" s="48">
        <f t="shared" si="18"/>
        <v>352.28</v>
      </c>
      <c r="L167" s="48">
        <f t="shared" si="19"/>
        <v>34.03</v>
      </c>
      <c r="M167" s="48">
        <f t="shared" si="20"/>
        <v>12329.8</v>
      </c>
      <c r="N167" s="48">
        <f t="shared" si="21"/>
        <v>1191.05</v>
      </c>
      <c r="O167" s="50">
        <f t="shared" si="22"/>
        <v>13520.85</v>
      </c>
      <c r="P167" s="50">
        <v>0</v>
      </c>
      <c r="Q167" s="76"/>
      <c r="R167" s="140">
        <f>IF((5*S9+10*S10)&gt;50,50,(5*S9+10*S10))</f>
        <v>35</v>
      </c>
      <c r="S167" s="79">
        <v>287.64999999999998</v>
      </c>
      <c r="T167" s="80">
        <v>27.79</v>
      </c>
    </row>
    <row r="168" spans="2:20" ht="42">
      <c r="B168" s="5" t="s">
        <v>470</v>
      </c>
      <c r="C168" s="45" t="s">
        <v>135</v>
      </c>
      <c r="D168" s="45">
        <v>102166</v>
      </c>
      <c r="E168" s="6" t="s">
        <v>1776</v>
      </c>
      <c r="F168" s="45" t="s">
        <v>121</v>
      </c>
      <c r="G168" s="46">
        <f t="shared" si="23"/>
        <v>35</v>
      </c>
      <c r="H168" s="46">
        <f>TRUNC(S168*(1-LOTE_01!$K$10),2)</f>
        <v>307.37</v>
      </c>
      <c r="I168" s="46">
        <f>TRUNC(T168*(1-LOTE_01!$K$10),2)</f>
        <v>17.2</v>
      </c>
      <c r="J168" s="100">
        <f t="shared" si="17"/>
        <v>0.22470000000000001</v>
      </c>
      <c r="K168" s="48">
        <f t="shared" si="18"/>
        <v>376.43</v>
      </c>
      <c r="L168" s="48">
        <f t="shared" si="19"/>
        <v>21.06</v>
      </c>
      <c r="M168" s="48">
        <f t="shared" si="20"/>
        <v>13175.05</v>
      </c>
      <c r="N168" s="48">
        <f t="shared" si="21"/>
        <v>737.1</v>
      </c>
      <c r="O168" s="50">
        <f t="shared" si="22"/>
        <v>13912.15</v>
      </c>
      <c r="P168" s="50">
        <v>0</v>
      </c>
      <c r="Q168" s="76"/>
      <c r="R168" s="140">
        <f>IF((5*S9+10*S10)&gt;50,50,(5*S9+10*S10))</f>
        <v>35</v>
      </c>
      <c r="S168" s="79">
        <v>307.37</v>
      </c>
      <c r="T168" s="80">
        <v>17.2</v>
      </c>
    </row>
    <row r="169" spans="2:20" ht="42">
      <c r="B169" s="5" t="s">
        <v>471</v>
      </c>
      <c r="C169" s="45" t="s">
        <v>135</v>
      </c>
      <c r="D169" s="45">
        <v>102172</v>
      </c>
      <c r="E169" s="6" t="s">
        <v>1777</v>
      </c>
      <c r="F169" s="45" t="s">
        <v>121</v>
      </c>
      <c r="G169" s="46">
        <f t="shared" si="23"/>
        <v>35</v>
      </c>
      <c r="H169" s="46">
        <f>TRUNC(S169*(1-LOTE_01!$K$10),2)</f>
        <v>493.91</v>
      </c>
      <c r="I169" s="46">
        <f>TRUNC(T169*(1-LOTE_01!$K$10),2)</f>
        <v>17.329999999999998</v>
      </c>
      <c r="J169" s="100">
        <f t="shared" si="17"/>
        <v>0.22470000000000001</v>
      </c>
      <c r="K169" s="48">
        <f t="shared" si="18"/>
        <v>604.89</v>
      </c>
      <c r="L169" s="48">
        <f t="shared" si="19"/>
        <v>21.22</v>
      </c>
      <c r="M169" s="48">
        <f t="shared" si="20"/>
        <v>21171.15</v>
      </c>
      <c r="N169" s="48">
        <f t="shared" si="21"/>
        <v>742.7</v>
      </c>
      <c r="O169" s="50">
        <f t="shared" si="22"/>
        <v>21913.85</v>
      </c>
      <c r="P169" s="50">
        <v>0</v>
      </c>
      <c r="Q169" s="76"/>
      <c r="R169" s="140">
        <f>IF((5*S9+10*S10)&gt;50,50,(5*S9+10*S10))</f>
        <v>35</v>
      </c>
      <c r="S169" s="79">
        <v>493.91</v>
      </c>
      <c r="T169" s="80">
        <v>17.329999999999998</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50">
        <f>SUM(O171:O178)</f>
        <v>195285.9</v>
      </c>
      <c r="Q170" s="76"/>
      <c r="R170" s="154"/>
      <c r="S170" s="79" t="s">
        <v>22</v>
      </c>
      <c r="T170" s="80" t="s">
        <v>22</v>
      </c>
    </row>
    <row r="171" spans="2:20" ht="84">
      <c r="B171" s="5" t="s">
        <v>472</v>
      </c>
      <c r="C171" s="45" t="s">
        <v>135</v>
      </c>
      <c r="D171" s="45">
        <v>87893</v>
      </c>
      <c r="E171" s="6" t="s">
        <v>473</v>
      </c>
      <c r="F171" s="45" t="s">
        <v>121</v>
      </c>
      <c r="G171" s="46">
        <f t="shared" si="23"/>
        <v>640</v>
      </c>
      <c r="H171" s="46">
        <f>TRUNC(S171*(1-LOTE_01!$K$10),2)</f>
        <v>4.8099999999999996</v>
      </c>
      <c r="I171" s="46">
        <f>TRUNC(T171*(1-LOTE_01!$K$10),2)</f>
        <v>4.82</v>
      </c>
      <c r="J171" s="100">
        <f t="shared" si="17"/>
        <v>0.22470000000000001</v>
      </c>
      <c r="K171" s="48">
        <f t="shared" si="18"/>
        <v>5.89</v>
      </c>
      <c r="L171" s="48">
        <f t="shared" si="19"/>
        <v>5.9</v>
      </c>
      <c r="M171" s="48">
        <f t="shared" si="20"/>
        <v>3769.6</v>
      </c>
      <c r="N171" s="48">
        <f t="shared" si="21"/>
        <v>3776</v>
      </c>
      <c r="O171" s="50">
        <f t="shared" si="22"/>
        <v>7545.6</v>
      </c>
      <c r="P171" s="50">
        <v>0</v>
      </c>
      <c r="Q171" s="76"/>
      <c r="R171" s="140">
        <f>(R152+R153)*2</f>
        <v>640</v>
      </c>
      <c r="S171" s="79">
        <v>4.8100000000000005</v>
      </c>
      <c r="T171" s="80">
        <v>4.82</v>
      </c>
    </row>
    <row r="172" spans="2:20" ht="84">
      <c r="B172" s="5" t="s">
        <v>474</v>
      </c>
      <c r="C172" s="45" t="s">
        <v>135</v>
      </c>
      <c r="D172" s="45">
        <v>87530</v>
      </c>
      <c r="E172" s="6" t="s">
        <v>475</v>
      </c>
      <c r="F172" s="45" t="s">
        <v>121</v>
      </c>
      <c r="G172" s="46">
        <f t="shared" si="23"/>
        <v>640</v>
      </c>
      <c r="H172" s="46">
        <f>TRUNC(S172*(1-LOTE_01!$K$10),2)</f>
        <v>27.77</v>
      </c>
      <c r="I172" s="46">
        <f>TRUNC(T172*(1-LOTE_01!$K$10),2)</f>
        <v>20.88</v>
      </c>
      <c r="J172" s="100">
        <f t="shared" si="17"/>
        <v>0.22470000000000001</v>
      </c>
      <c r="K172" s="48">
        <f t="shared" si="18"/>
        <v>34</v>
      </c>
      <c r="L172" s="48">
        <f t="shared" si="19"/>
        <v>25.57</v>
      </c>
      <c r="M172" s="48">
        <f t="shared" si="20"/>
        <v>21760</v>
      </c>
      <c r="N172" s="48">
        <f t="shared" si="21"/>
        <v>16364.8</v>
      </c>
      <c r="O172" s="50">
        <f t="shared" si="22"/>
        <v>38124.800000000003</v>
      </c>
      <c r="P172" s="50">
        <v>0</v>
      </c>
      <c r="Q172" s="76"/>
      <c r="R172" s="140">
        <f>(R152+R153)*2</f>
        <v>640</v>
      </c>
      <c r="S172" s="79">
        <v>27.77</v>
      </c>
      <c r="T172" s="80">
        <v>20.88</v>
      </c>
    </row>
    <row r="173" spans="2:20" ht="84">
      <c r="B173" s="5" t="s">
        <v>476</v>
      </c>
      <c r="C173" s="45" t="s">
        <v>135</v>
      </c>
      <c r="D173" s="45">
        <v>87528</v>
      </c>
      <c r="E173" s="6" t="s">
        <v>477</v>
      </c>
      <c r="F173" s="45" t="s">
        <v>121</v>
      </c>
      <c r="G173" s="46">
        <f t="shared" si="23"/>
        <v>130</v>
      </c>
      <c r="H173" s="46">
        <f>TRUNC(S173*(1-LOTE_01!$K$10),2)</f>
        <v>28.79</v>
      </c>
      <c r="I173" s="46">
        <f>TRUNC(T173*(1-LOTE_01!$K$10),2)</f>
        <v>23.54</v>
      </c>
      <c r="J173" s="100">
        <f t="shared" si="17"/>
        <v>0.22470000000000001</v>
      </c>
      <c r="K173" s="48">
        <f t="shared" si="18"/>
        <v>35.25</v>
      </c>
      <c r="L173" s="48">
        <f t="shared" si="19"/>
        <v>28.82</v>
      </c>
      <c r="M173" s="48">
        <f t="shared" si="20"/>
        <v>4582.5</v>
      </c>
      <c r="N173" s="48">
        <f t="shared" si="21"/>
        <v>3746.6</v>
      </c>
      <c r="O173" s="50">
        <f t="shared" si="22"/>
        <v>8329.1</v>
      </c>
      <c r="P173" s="50">
        <v>0</v>
      </c>
      <c r="Q173" s="76"/>
      <c r="R173" s="140">
        <f>R175</f>
        <v>130</v>
      </c>
      <c r="S173" s="79">
        <v>28.79</v>
      </c>
      <c r="T173" s="80">
        <v>23.54</v>
      </c>
    </row>
    <row r="174" spans="2:20" ht="56">
      <c r="B174" s="5" t="s">
        <v>478</v>
      </c>
      <c r="C174" s="45" t="s">
        <v>135</v>
      </c>
      <c r="D174" s="45">
        <v>87244</v>
      </c>
      <c r="E174" s="6" t="s">
        <v>479</v>
      </c>
      <c r="F174" s="45" t="s">
        <v>121</v>
      </c>
      <c r="G174" s="46">
        <f t="shared" si="23"/>
        <v>130</v>
      </c>
      <c r="H174" s="46">
        <f>TRUNC(S174*(1-LOTE_01!$K$10),2)</f>
        <v>297.77</v>
      </c>
      <c r="I174" s="46">
        <f>TRUNC(T174*(1-LOTE_01!$K$10),2)</f>
        <v>41.45</v>
      </c>
      <c r="J174" s="100">
        <f t="shared" si="17"/>
        <v>0.22470000000000001</v>
      </c>
      <c r="K174" s="48">
        <f t="shared" si="18"/>
        <v>364.67</v>
      </c>
      <c r="L174" s="48">
        <f t="shared" si="19"/>
        <v>50.76</v>
      </c>
      <c r="M174" s="48">
        <f t="shared" si="20"/>
        <v>47407.1</v>
      </c>
      <c r="N174" s="48">
        <f t="shared" si="21"/>
        <v>6598.8</v>
      </c>
      <c r="O174" s="50">
        <f t="shared" si="22"/>
        <v>54005.9</v>
      </c>
      <c r="P174" s="50">
        <v>0</v>
      </c>
      <c r="Q174" s="76"/>
      <c r="R174" s="140">
        <f>IF((50*S10)&gt;200,200,(10*S9+50*S10))</f>
        <v>130</v>
      </c>
      <c r="S174" s="79">
        <v>297.77000000000004</v>
      </c>
      <c r="T174" s="80">
        <v>41.45</v>
      </c>
    </row>
    <row r="175" spans="2:20" ht="70">
      <c r="B175" s="5" t="s">
        <v>480</v>
      </c>
      <c r="C175" s="45" t="s">
        <v>135</v>
      </c>
      <c r="D175" s="45">
        <v>87265</v>
      </c>
      <c r="E175" s="6" t="s">
        <v>481</v>
      </c>
      <c r="F175" s="45" t="s">
        <v>121</v>
      </c>
      <c r="G175" s="46">
        <f t="shared" si="23"/>
        <v>130</v>
      </c>
      <c r="H175" s="46">
        <f>TRUNC(S175*(1-LOTE_01!$K$10),2)</f>
        <v>55.45</v>
      </c>
      <c r="I175" s="46">
        <f>TRUNC(T175*(1-LOTE_01!$K$10),2)</f>
        <v>19.52</v>
      </c>
      <c r="J175" s="100">
        <f t="shared" si="17"/>
        <v>0.22470000000000001</v>
      </c>
      <c r="K175" s="48">
        <f t="shared" si="18"/>
        <v>67.900000000000006</v>
      </c>
      <c r="L175" s="48">
        <f t="shared" si="19"/>
        <v>23.9</v>
      </c>
      <c r="M175" s="48">
        <f t="shared" si="20"/>
        <v>8827</v>
      </c>
      <c r="N175" s="48">
        <f t="shared" si="21"/>
        <v>3107</v>
      </c>
      <c r="O175" s="50">
        <f t="shared" si="22"/>
        <v>11934</v>
      </c>
      <c r="P175" s="50">
        <v>0</v>
      </c>
      <c r="Q175" s="76"/>
      <c r="R175" s="140">
        <f>IF((50*S10)&gt;200,200,(10*S9+50*S10))</f>
        <v>130</v>
      </c>
      <c r="S175" s="79">
        <v>55.45</v>
      </c>
      <c r="T175" s="80">
        <v>19.52</v>
      </c>
    </row>
    <row r="176" spans="2:20" ht="70">
      <c r="B176" s="5" t="s">
        <v>482</v>
      </c>
      <c r="C176" s="45" t="s">
        <v>135</v>
      </c>
      <c r="D176" s="45">
        <v>87251</v>
      </c>
      <c r="E176" s="6" t="s">
        <v>483</v>
      </c>
      <c r="F176" s="45" t="s">
        <v>121</v>
      </c>
      <c r="G176" s="46">
        <f t="shared" si="23"/>
        <v>90</v>
      </c>
      <c r="H176" s="46">
        <f>TRUNC(S176*(1-LOTE_01!$K$10),2)</f>
        <v>58.91</v>
      </c>
      <c r="I176" s="46">
        <f>TRUNC(T176*(1-LOTE_01!$K$10),2)</f>
        <v>9.16</v>
      </c>
      <c r="J176" s="100">
        <f t="shared" si="17"/>
        <v>0.22470000000000001</v>
      </c>
      <c r="K176" s="48">
        <f t="shared" si="18"/>
        <v>72.14</v>
      </c>
      <c r="L176" s="48">
        <f t="shared" si="19"/>
        <v>11.21</v>
      </c>
      <c r="M176" s="48">
        <f t="shared" si="20"/>
        <v>6492.6</v>
      </c>
      <c r="N176" s="48">
        <f t="shared" si="21"/>
        <v>1008.9</v>
      </c>
      <c r="O176" s="50">
        <f t="shared" si="22"/>
        <v>7501.5</v>
      </c>
      <c r="P176" s="50">
        <v>0</v>
      </c>
      <c r="Q176" s="76"/>
      <c r="R176" s="140">
        <f>IF((30*S10)&gt;100,100,(10*S9+30*S10))</f>
        <v>90</v>
      </c>
      <c r="S176" s="79">
        <v>58.91</v>
      </c>
      <c r="T176" s="80">
        <v>9.16</v>
      </c>
    </row>
    <row r="177" spans="2:20" ht="42">
      <c r="B177" s="5" t="s">
        <v>1752</v>
      </c>
      <c r="C177" s="45" t="s">
        <v>165</v>
      </c>
      <c r="D177" s="45" t="s">
        <v>1753</v>
      </c>
      <c r="E177" s="6" t="s">
        <v>1754</v>
      </c>
      <c r="F177" s="45" t="s">
        <v>168</v>
      </c>
      <c r="G177" s="46">
        <f t="shared" si="23"/>
        <v>250</v>
      </c>
      <c r="H177" s="46">
        <f>TRUNC(S177*(1-LOTE_01!$K$10),2)</f>
        <v>128.02000000000001</v>
      </c>
      <c r="I177" s="46">
        <f>TRUNC(T177*(1-LOTE_01!$K$10),2)</f>
        <v>5.74</v>
      </c>
      <c r="J177" s="100">
        <f t="shared" si="17"/>
        <v>0.22470000000000001</v>
      </c>
      <c r="K177" s="48">
        <f t="shared" si="18"/>
        <v>156.78</v>
      </c>
      <c r="L177" s="48">
        <f t="shared" si="19"/>
        <v>7.02</v>
      </c>
      <c r="M177" s="48">
        <f t="shared" si="20"/>
        <v>39195</v>
      </c>
      <c r="N177" s="48">
        <f t="shared" si="21"/>
        <v>1755</v>
      </c>
      <c r="O177" s="50">
        <f t="shared" si="22"/>
        <v>40950</v>
      </c>
      <c r="P177" s="50"/>
      <c r="Q177" s="76"/>
      <c r="R177" s="148">
        <f>50*(S9+S10)</f>
        <v>250</v>
      </c>
      <c r="S177" s="46">
        <v>128.02000000000001</v>
      </c>
      <c r="T177" s="47">
        <v>5.74</v>
      </c>
    </row>
    <row r="178" spans="2:20" ht="42">
      <c r="B178" s="5" t="s">
        <v>1755</v>
      </c>
      <c r="C178" s="45" t="s">
        <v>97</v>
      </c>
      <c r="D178" s="45" t="s">
        <v>1756</v>
      </c>
      <c r="E178" s="6" t="s">
        <v>1757</v>
      </c>
      <c r="F178" s="45" t="s">
        <v>121</v>
      </c>
      <c r="G178" s="46">
        <f t="shared" si="23"/>
        <v>250</v>
      </c>
      <c r="H178" s="46">
        <f>TRUNC(S178*(1-LOTE_01!$K$10),2)</f>
        <v>56.95</v>
      </c>
      <c r="I178" s="46">
        <f>TRUNC(T178*(1-LOTE_01!$K$10),2)</f>
        <v>30.9</v>
      </c>
      <c r="J178" s="100">
        <f t="shared" si="17"/>
        <v>0.22470000000000001</v>
      </c>
      <c r="K178" s="48">
        <f t="shared" si="18"/>
        <v>69.739999999999995</v>
      </c>
      <c r="L178" s="48">
        <f t="shared" si="19"/>
        <v>37.840000000000003</v>
      </c>
      <c r="M178" s="48">
        <f t="shared" si="20"/>
        <v>17435</v>
      </c>
      <c r="N178" s="48">
        <f t="shared" si="21"/>
        <v>9460</v>
      </c>
      <c r="O178" s="50">
        <f t="shared" si="22"/>
        <v>26895</v>
      </c>
      <c r="P178" s="50"/>
      <c r="Q178" s="76"/>
      <c r="R178" s="140">
        <f>50*(S9+S10)</f>
        <v>250</v>
      </c>
      <c r="S178" s="46">
        <v>56.95</v>
      </c>
      <c r="T178" s="47">
        <v>30.9</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50">
        <f>SUM(O180:O187)</f>
        <v>179014.6</v>
      </c>
      <c r="Q179" s="76"/>
      <c r="R179" s="154"/>
      <c r="S179" s="79" t="s">
        <v>22</v>
      </c>
      <c r="T179" s="80" t="s">
        <v>22</v>
      </c>
    </row>
    <row r="180" spans="2:20" ht="70">
      <c r="B180" s="5" t="s">
        <v>484</v>
      </c>
      <c r="C180" s="45" t="s">
        <v>97</v>
      </c>
      <c r="D180" s="45" t="s">
        <v>485</v>
      </c>
      <c r="E180" s="6" t="s">
        <v>486</v>
      </c>
      <c r="F180" s="45" t="s">
        <v>121</v>
      </c>
      <c r="G180" s="46">
        <f t="shared" si="23"/>
        <v>250</v>
      </c>
      <c r="H180" s="46">
        <f>TRUNC(S180*(1-LOTE_01!$K$10),2)</f>
        <v>12.83</v>
      </c>
      <c r="I180" s="46">
        <f>TRUNC(T180*(1-LOTE_01!$K$10),2)</f>
        <v>13.52</v>
      </c>
      <c r="J180" s="100">
        <f t="shared" si="17"/>
        <v>0.22470000000000001</v>
      </c>
      <c r="K180" s="48">
        <f t="shared" si="18"/>
        <v>15.71</v>
      </c>
      <c r="L180" s="48">
        <f t="shared" si="19"/>
        <v>16.55</v>
      </c>
      <c r="M180" s="48">
        <f t="shared" si="20"/>
        <v>3927.5</v>
      </c>
      <c r="N180" s="48">
        <f t="shared" si="21"/>
        <v>4137.5</v>
      </c>
      <c r="O180" s="50">
        <f t="shared" si="22"/>
        <v>8065</v>
      </c>
      <c r="P180" s="50">
        <v>0</v>
      </c>
      <c r="Q180" s="76"/>
      <c r="R180" s="140">
        <f>50*S9+50*S10</f>
        <v>250</v>
      </c>
      <c r="S180" s="79">
        <v>12.83</v>
      </c>
      <c r="T180" s="80">
        <v>13.52</v>
      </c>
    </row>
    <row r="181" spans="2:20" ht="42">
      <c r="B181" s="5" t="s">
        <v>487</v>
      </c>
      <c r="C181" s="45" t="s">
        <v>165</v>
      </c>
      <c r="D181" s="45" t="s">
        <v>488</v>
      </c>
      <c r="E181" s="6" t="s">
        <v>489</v>
      </c>
      <c r="F181" s="45" t="s">
        <v>168</v>
      </c>
      <c r="G181" s="46">
        <f t="shared" si="23"/>
        <v>860</v>
      </c>
      <c r="H181" s="46">
        <f>TRUNC(S181*(1-LOTE_01!$K$10),2)</f>
        <v>134.74</v>
      </c>
      <c r="I181" s="46">
        <f>TRUNC(T181*(1-LOTE_01!$K$10),2)</f>
        <v>0</v>
      </c>
      <c r="J181" s="100">
        <f t="shared" si="17"/>
        <v>0.22470000000000001</v>
      </c>
      <c r="K181" s="48">
        <f t="shared" si="18"/>
        <v>165.01</v>
      </c>
      <c r="L181" s="48">
        <f t="shared" si="19"/>
        <v>0</v>
      </c>
      <c r="M181" s="48">
        <f t="shared" si="20"/>
        <v>141908.6</v>
      </c>
      <c r="N181" s="48">
        <f t="shared" si="21"/>
        <v>0</v>
      </c>
      <c r="O181" s="50">
        <f t="shared" si="22"/>
        <v>141908.6</v>
      </c>
      <c r="P181" s="50">
        <v>0</v>
      </c>
      <c r="Q181" s="76"/>
      <c r="R181" s="140">
        <f>20*S9+400*S10</f>
        <v>860</v>
      </c>
      <c r="S181" s="79">
        <v>134.74</v>
      </c>
      <c r="T181" s="80">
        <v>0</v>
      </c>
    </row>
    <row r="182" spans="2:20" ht="28">
      <c r="B182" s="5" t="s">
        <v>490</v>
      </c>
      <c r="C182" s="45" t="s">
        <v>135</v>
      </c>
      <c r="D182" s="45">
        <v>96113</v>
      </c>
      <c r="E182" s="6" t="s">
        <v>491</v>
      </c>
      <c r="F182" s="45" t="s">
        <v>121</v>
      </c>
      <c r="G182" s="46">
        <f t="shared" si="23"/>
        <v>50</v>
      </c>
      <c r="H182" s="46">
        <f>TRUNC(S182*(1-LOTE_01!$K$10),2)</f>
        <v>28.5</v>
      </c>
      <c r="I182" s="46">
        <f>TRUNC(T182*(1-LOTE_01!$K$10),2)</f>
        <v>25.27</v>
      </c>
      <c r="J182" s="100">
        <f t="shared" si="17"/>
        <v>0.22470000000000001</v>
      </c>
      <c r="K182" s="48">
        <f t="shared" si="18"/>
        <v>34.9</v>
      </c>
      <c r="L182" s="48">
        <f t="shared" si="19"/>
        <v>30.94</v>
      </c>
      <c r="M182" s="48">
        <f t="shared" si="20"/>
        <v>1745</v>
      </c>
      <c r="N182" s="48">
        <f t="shared" si="21"/>
        <v>1547</v>
      </c>
      <c r="O182" s="50">
        <f t="shared" si="22"/>
        <v>3292</v>
      </c>
      <c r="P182" s="50">
        <v>0</v>
      </c>
      <c r="Q182" s="76"/>
      <c r="R182" s="140">
        <f>IF((10*S10)&gt;100,100,(10*S9+10*S10))</f>
        <v>50</v>
      </c>
      <c r="S182" s="79">
        <v>28.500000000000004</v>
      </c>
      <c r="T182" s="80">
        <v>25.27</v>
      </c>
    </row>
    <row r="183" spans="2:20" ht="42">
      <c r="B183" s="5" t="s">
        <v>492</v>
      </c>
      <c r="C183" s="45" t="s">
        <v>135</v>
      </c>
      <c r="D183" s="45">
        <v>99054</v>
      </c>
      <c r="E183" s="6" t="s">
        <v>493</v>
      </c>
      <c r="F183" s="45" t="s">
        <v>121</v>
      </c>
      <c r="G183" s="46">
        <f t="shared" si="23"/>
        <v>100</v>
      </c>
      <c r="H183" s="46">
        <f>TRUNC(S183*(1-LOTE_01!$K$10),2)</f>
        <v>32.82</v>
      </c>
      <c r="I183" s="46">
        <f>TRUNC(T183*(1-LOTE_01!$K$10),2)</f>
        <v>35.700000000000003</v>
      </c>
      <c r="J183" s="100">
        <f t="shared" si="17"/>
        <v>0.22470000000000001</v>
      </c>
      <c r="K183" s="48">
        <f t="shared" si="18"/>
        <v>40.19</v>
      </c>
      <c r="L183" s="48">
        <f t="shared" si="19"/>
        <v>43.72</v>
      </c>
      <c r="M183" s="48">
        <f t="shared" si="20"/>
        <v>4019</v>
      </c>
      <c r="N183" s="48">
        <f t="shared" si="21"/>
        <v>4372</v>
      </c>
      <c r="O183" s="50">
        <f t="shared" si="22"/>
        <v>8391</v>
      </c>
      <c r="P183" s="50">
        <v>0</v>
      </c>
      <c r="Q183" s="76"/>
      <c r="R183" s="140">
        <f>IF((20*S10+20*S9)&gt;100,100,(20*S10+20*S9))</f>
        <v>100</v>
      </c>
      <c r="S183" s="79">
        <v>32.819999999999993</v>
      </c>
      <c r="T183" s="80">
        <v>35.700000000000003</v>
      </c>
    </row>
    <row r="184" spans="2:20" ht="28">
      <c r="B184" s="5" t="s">
        <v>494</v>
      </c>
      <c r="C184" s="45" t="s">
        <v>135</v>
      </c>
      <c r="D184" s="45">
        <v>96120</v>
      </c>
      <c r="E184" s="6" t="s">
        <v>495</v>
      </c>
      <c r="F184" s="45" t="s">
        <v>187</v>
      </c>
      <c r="G184" s="46">
        <f t="shared" si="23"/>
        <v>100</v>
      </c>
      <c r="H184" s="46">
        <f>TRUNC(S184*(1-LOTE_01!$K$10),2)</f>
        <v>2.0699999999999998</v>
      </c>
      <c r="I184" s="46">
        <f>TRUNC(T184*(1-LOTE_01!$K$10),2)</f>
        <v>1.43</v>
      </c>
      <c r="J184" s="100">
        <f t="shared" si="17"/>
        <v>0.22470000000000001</v>
      </c>
      <c r="K184" s="48">
        <f t="shared" si="18"/>
        <v>2.5299999999999998</v>
      </c>
      <c r="L184" s="48">
        <f t="shared" si="19"/>
        <v>1.75</v>
      </c>
      <c r="M184" s="48">
        <f t="shared" si="20"/>
        <v>253</v>
      </c>
      <c r="N184" s="48">
        <f t="shared" si="21"/>
        <v>175</v>
      </c>
      <c r="O184" s="50">
        <f t="shared" si="22"/>
        <v>428</v>
      </c>
      <c r="P184" s="50">
        <v>0</v>
      </c>
      <c r="Q184" s="76"/>
      <c r="R184" s="140">
        <f>IF((20*S10+20*S9)&gt;500,500,(20*S10+20*S9))</f>
        <v>100</v>
      </c>
      <c r="S184" s="79">
        <v>2.0700000000000003</v>
      </c>
      <c r="T184" s="80">
        <v>1.43</v>
      </c>
    </row>
    <row r="185" spans="2:20" ht="56">
      <c r="B185" s="5" t="s">
        <v>496</v>
      </c>
      <c r="C185" s="45" t="s">
        <v>135</v>
      </c>
      <c r="D185" s="45">
        <v>96486</v>
      </c>
      <c r="E185" s="6" t="s">
        <v>497</v>
      </c>
      <c r="F185" s="45" t="s">
        <v>121</v>
      </c>
      <c r="G185" s="46">
        <f t="shared" si="23"/>
        <v>100</v>
      </c>
      <c r="H185" s="46">
        <f>TRUNC(S185*(1-LOTE_01!$K$10),2)</f>
        <v>60.27</v>
      </c>
      <c r="I185" s="46">
        <f>TRUNC(T185*(1-LOTE_01!$K$10),2)</f>
        <v>9.99</v>
      </c>
      <c r="J185" s="100">
        <f t="shared" si="17"/>
        <v>0.22470000000000001</v>
      </c>
      <c r="K185" s="48">
        <f t="shared" si="18"/>
        <v>73.81</v>
      </c>
      <c r="L185" s="48">
        <f t="shared" si="19"/>
        <v>12.23</v>
      </c>
      <c r="M185" s="48">
        <f t="shared" si="20"/>
        <v>7381</v>
      </c>
      <c r="N185" s="48">
        <f t="shared" si="21"/>
        <v>1223</v>
      </c>
      <c r="O185" s="50">
        <f t="shared" si="22"/>
        <v>8604</v>
      </c>
      <c r="P185" s="50">
        <v>0</v>
      </c>
      <c r="Q185" s="76"/>
      <c r="R185" s="140">
        <f>IF((20*S10+20*S9)&gt;100,100,(20*S10+20*S9))</f>
        <v>100</v>
      </c>
      <c r="S185" s="79">
        <v>60.27</v>
      </c>
      <c r="T185" s="80">
        <v>9.99</v>
      </c>
    </row>
    <row r="186" spans="2:20" ht="42">
      <c r="B186" s="5" t="s">
        <v>498</v>
      </c>
      <c r="C186" s="45" t="s">
        <v>135</v>
      </c>
      <c r="D186" s="45">
        <v>96114</v>
      </c>
      <c r="E186" s="6" t="s">
        <v>499</v>
      </c>
      <c r="F186" s="45" t="s">
        <v>121</v>
      </c>
      <c r="G186" s="46">
        <f t="shared" si="23"/>
        <v>50</v>
      </c>
      <c r="H186" s="46">
        <f>TRUNC(S186*(1-LOTE_01!$K$10),2)</f>
        <v>64.3</v>
      </c>
      <c r="I186" s="46">
        <f>TRUNC(T186*(1-LOTE_01!$K$10),2)</f>
        <v>13.97</v>
      </c>
      <c r="J186" s="100">
        <f t="shared" si="17"/>
        <v>0.22470000000000001</v>
      </c>
      <c r="K186" s="48">
        <f t="shared" si="18"/>
        <v>78.739999999999995</v>
      </c>
      <c r="L186" s="48">
        <f t="shared" si="19"/>
        <v>17.100000000000001</v>
      </c>
      <c r="M186" s="48">
        <f t="shared" si="20"/>
        <v>3937</v>
      </c>
      <c r="N186" s="48">
        <f t="shared" si="21"/>
        <v>855</v>
      </c>
      <c r="O186" s="50">
        <f t="shared" si="22"/>
        <v>4792</v>
      </c>
      <c r="P186" s="50">
        <v>0</v>
      </c>
      <c r="Q186" s="76"/>
      <c r="R186" s="140">
        <f>IF((10*S10)&gt;100,100,(10*S9+10*S10))</f>
        <v>50</v>
      </c>
      <c r="S186" s="79">
        <v>64.3</v>
      </c>
      <c r="T186" s="80">
        <v>13.97</v>
      </c>
    </row>
    <row r="187" spans="2:20" ht="42">
      <c r="B187" s="5" t="s">
        <v>500</v>
      </c>
      <c r="C187" s="45" t="s">
        <v>135</v>
      </c>
      <c r="D187" s="45">
        <v>96123</v>
      </c>
      <c r="E187" s="6" t="s">
        <v>501</v>
      </c>
      <c r="F187" s="45" t="s">
        <v>187</v>
      </c>
      <c r="G187" s="46">
        <f t="shared" si="23"/>
        <v>100</v>
      </c>
      <c r="H187" s="46">
        <f>TRUNC(S187*(1-LOTE_01!$K$10),2)</f>
        <v>22.7</v>
      </c>
      <c r="I187" s="46">
        <f>TRUNC(T187*(1-LOTE_01!$K$10),2)</f>
        <v>6.16</v>
      </c>
      <c r="J187" s="100">
        <f t="shared" si="17"/>
        <v>0.22470000000000001</v>
      </c>
      <c r="K187" s="48">
        <f t="shared" si="18"/>
        <v>27.8</v>
      </c>
      <c r="L187" s="48">
        <f t="shared" si="19"/>
        <v>7.54</v>
      </c>
      <c r="M187" s="48">
        <f t="shared" si="20"/>
        <v>2780</v>
      </c>
      <c r="N187" s="48">
        <f t="shared" si="21"/>
        <v>754</v>
      </c>
      <c r="O187" s="50">
        <f t="shared" si="22"/>
        <v>3534</v>
      </c>
      <c r="P187" s="50">
        <v>0</v>
      </c>
      <c r="Q187" s="76"/>
      <c r="R187" s="140">
        <f>20*S10+20*S9</f>
        <v>100</v>
      </c>
      <c r="S187" s="79">
        <v>22.7</v>
      </c>
      <c r="T187" s="80">
        <v>6.16</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50">
        <f>SUM(O189:O196)</f>
        <v>839679.9</v>
      </c>
      <c r="Q188" s="76"/>
      <c r="R188" s="154"/>
      <c r="S188" s="79" t="s">
        <v>22</v>
      </c>
      <c r="T188" s="80" t="s">
        <v>22</v>
      </c>
    </row>
    <row r="189" spans="2:20" ht="84">
      <c r="B189" s="5" t="s">
        <v>502</v>
      </c>
      <c r="C189" s="45" t="s">
        <v>135</v>
      </c>
      <c r="D189" s="45">
        <v>87632</v>
      </c>
      <c r="E189" s="6" t="s">
        <v>503</v>
      </c>
      <c r="F189" s="45" t="s">
        <v>121</v>
      </c>
      <c r="G189" s="46">
        <f t="shared" si="23"/>
        <v>2000</v>
      </c>
      <c r="H189" s="46">
        <f>TRUNC(S189*(1-LOTE_01!$K$10),2)</f>
        <v>47.01</v>
      </c>
      <c r="I189" s="46">
        <f>TRUNC(T189*(1-LOTE_01!$K$10),2)</f>
        <v>14.64</v>
      </c>
      <c r="J189" s="100">
        <f t="shared" si="17"/>
        <v>0.22470000000000001</v>
      </c>
      <c r="K189" s="48">
        <f t="shared" si="18"/>
        <v>57.57</v>
      </c>
      <c r="L189" s="48">
        <f t="shared" si="19"/>
        <v>17.920000000000002</v>
      </c>
      <c r="M189" s="48">
        <f t="shared" si="20"/>
        <v>115140</v>
      </c>
      <c r="N189" s="48">
        <f t="shared" si="21"/>
        <v>35840</v>
      </c>
      <c r="O189" s="50">
        <f t="shared" si="22"/>
        <v>150980</v>
      </c>
      <c r="P189" s="50">
        <v>0</v>
      </c>
      <c r="Q189" s="76"/>
      <c r="R189" s="140">
        <f>400*S10+400*S9</f>
        <v>2000</v>
      </c>
      <c r="S189" s="79">
        <v>47.01</v>
      </c>
      <c r="T189" s="80">
        <v>14.64</v>
      </c>
    </row>
    <row r="190" spans="2:20" ht="56">
      <c r="B190" s="5" t="s">
        <v>504</v>
      </c>
      <c r="C190" s="45" t="s">
        <v>135</v>
      </c>
      <c r="D190" s="45">
        <v>101749</v>
      </c>
      <c r="E190" s="6" t="s">
        <v>1778</v>
      </c>
      <c r="F190" s="45" t="s">
        <v>121</v>
      </c>
      <c r="G190" s="46">
        <f t="shared" si="23"/>
        <v>550</v>
      </c>
      <c r="H190" s="46">
        <f>TRUNC(S190*(1-LOTE_01!$K$10),2)</f>
        <v>52.38</v>
      </c>
      <c r="I190" s="46">
        <f>TRUNC(T190*(1-LOTE_01!$K$10),2)</f>
        <v>13.39</v>
      </c>
      <c r="J190" s="100">
        <f t="shared" si="17"/>
        <v>0.22470000000000001</v>
      </c>
      <c r="K190" s="48">
        <f t="shared" si="18"/>
        <v>64.14</v>
      </c>
      <c r="L190" s="48">
        <f t="shared" si="19"/>
        <v>16.39</v>
      </c>
      <c r="M190" s="48">
        <f t="shared" si="20"/>
        <v>35277</v>
      </c>
      <c r="N190" s="48">
        <f t="shared" si="21"/>
        <v>9014.5</v>
      </c>
      <c r="O190" s="50">
        <f t="shared" si="22"/>
        <v>44291.5</v>
      </c>
      <c r="P190" s="50">
        <v>0</v>
      </c>
      <c r="Q190" s="76"/>
      <c r="R190" s="140">
        <f>IF((50*S9+200*S10)&gt;1500,1500,(50*S9+200*S10))</f>
        <v>550</v>
      </c>
      <c r="S190" s="79">
        <v>52.379999999999995</v>
      </c>
      <c r="T190" s="80">
        <v>13.39</v>
      </c>
    </row>
    <row r="191" spans="2:20" ht="126">
      <c r="B191" s="5" t="s">
        <v>505</v>
      </c>
      <c r="C191" s="45" t="s">
        <v>97</v>
      </c>
      <c r="D191" s="45" t="s">
        <v>506</v>
      </c>
      <c r="E191" s="6" t="s">
        <v>507</v>
      </c>
      <c r="F191" s="45" t="s">
        <v>121</v>
      </c>
      <c r="G191" s="46">
        <f t="shared" si="23"/>
        <v>1100</v>
      </c>
      <c r="H191" s="46">
        <f>TRUNC(S191*(1-LOTE_01!$K$10),2)</f>
        <v>252.06</v>
      </c>
      <c r="I191" s="46">
        <f>TRUNC(T191*(1-LOTE_01!$K$10),2)</f>
        <v>41.06</v>
      </c>
      <c r="J191" s="100">
        <f t="shared" si="17"/>
        <v>0.22470000000000001</v>
      </c>
      <c r="K191" s="48">
        <f t="shared" si="18"/>
        <v>308.69</v>
      </c>
      <c r="L191" s="48">
        <f t="shared" si="19"/>
        <v>50.28</v>
      </c>
      <c r="M191" s="48">
        <f t="shared" si="20"/>
        <v>339559</v>
      </c>
      <c r="N191" s="48">
        <f t="shared" si="21"/>
        <v>55308</v>
      </c>
      <c r="O191" s="50">
        <f t="shared" si="22"/>
        <v>394867</v>
      </c>
      <c r="P191" s="50">
        <v>0</v>
      </c>
      <c r="Q191" s="76"/>
      <c r="R191" s="141">
        <f>400*S10+100*S9</f>
        <v>1100</v>
      </c>
      <c r="S191" s="79">
        <v>252.06</v>
      </c>
      <c r="T191" s="80">
        <v>41.06</v>
      </c>
    </row>
    <row r="192" spans="2:20" ht="140">
      <c r="B192" s="5" t="s">
        <v>508</v>
      </c>
      <c r="C192" s="45" t="s">
        <v>97</v>
      </c>
      <c r="D192" s="45" t="s">
        <v>509</v>
      </c>
      <c r="E192" s="6" t="s">
        <v>510</v>
      </c>
      <c r="F192" s="45" t="s">
        <v>121</v>
      </c>
      <c r="G192" s="46">
        <f t="shared" si="23"/>
        <v>440</v>
      </c>
      <c r="H192" s="46">
        <f>TRUNC(S192*(1-LOTE_01!$K$10),2)</f>
        <v>317.45</v>
      </c>
      <c r="I192" s="46">
        <f>TRUNC(T192*(1-LOTE_01!$K$10),2)</f>
        <v>41.06</v>
      </c>
      <c r="J192" s="100">
        <f t="shared" si="17"/>
        <v>0.22470000000000001</v>
      </c>
      <c r="K192" s="48">
        <f t="shared" si="18"/>
        <v>388.78</v>
      </c>
      <c r="L192" s="48">
        <f t="shared" si="19"/>
        <v>50.28</v>
      </c>
      <c r="M192" s="48">
        <f t="shared" si="20"/>
        <v>171063.2</v>
      </c>
      <c r="N192" s="48">
        <f t="shared" si="21"/>
        <v>22123.200000000001</v>
      </c>
      <c r="O192" s="50">
        <f t="shared" si="22"/>
        <v>193186.4</v>
      </c>
      <c r="P192" s="50">
        <v>0</v>
      </c>
      <c r="Q192" s="76"/>
      <c r="R192" s="141">
        <f>14*5*(S10)+100*S9</f>
        <v>440</v>
      </c>
      <c r="S192" s="79">
        <v>317.45</v>
      </c>
      <c r="T192" s="80">
        <v>41.06</v>
      </c>
    </row>
    <row r="193" spans="2:20" ht="42">
      <c r="B193" s="5" t="s">
        <v>511</v>
      </c>
      <c r="C193" s="45" t="s">
        <v>135</v>
      </c>
      <c r="D193" s="45">
        <v>101736</v>
      </c>
      <c r="E193" s="6" t="s">
        <v>1779</v>
      </c>
      <c r="F193" s="45" t="s">
        <v>121</v>
      </c>
      <c r="G193" s="46">
        <f t="shared" si="23"/>
        <v>10</v>
      </c>
      <c r="H193" s="46">
        <f>TRUNC(S193*(1-LOTE_01!$K$10),2)</f>
        <v>97.92</v>
      </c>
      <c r="I193" s="46">
        <f>TRUNC(T193*(1-LOTE_01!$K$10),2)</f>
        <v>15.79</v>
      </c>
      <c r="J193" s="100">
        <f t="shared" si="17"/>
        <v>0.22470000000000001</v>
      </c>
      <c r="K193" s="48">
        <f t="shared" si="18"/>
        <v>119.92</v>
      </c>
      <c r="L193" s="48">
        <f t="shared" si="19"/>
        <v>19.329999999999998</v>
      </c>
      <c r="M193" s="48">
        <f t="shared" si="20"/>
        <v>1199.2</v>
      </c>
      <c r="N193" s="48">
        <f t="shared" si="21"/>
        <v>193.3</v>
      </c>
      <c r="O193" s="50">
        <f t="shared" si="22"/>
        <v>1392.5</v>
      </c>
      <c r="P193" s="50">
        <v>0</v>
      </c>
      <c r="Q193" s="76"/>
      <c r="R193" s="141">
        <f>IF(2*(S10+S9)&gt;50,500,2*(S9+S10))</f>
        <v>10</v>
      </c>
      <c r="S193" s="79">
        <v>97.919999999999987</v>
      </c>
      <c r="T193" s="80">
        <v>15.79</v>
      </c>
    </row>
    <row r="194" spans="2:20" ht="70">
      <c r="B194" s="5" t="s">
        <v>512</v>
      </c>
      <c r="C194" s="45" t="s">
        <v>135</v>
      </c>
      <c r="D194" s="45">
        <v>94995</v>
      </c>
      <c r="E194" s="6" t="s">
        <v>1780</v>
      </c>
      <c r="F194" s="45" t="s">
        <v>121</v>
      </c>
      <c r="G194" s="46">
        <f t="shared" si="23"/>
        <v>250</v>
      </c>
      <c r="H194" s="46">
        <f>TRUNC(S194*(1-LOTE_01!$K$10),2)</f>
        <v>133.72</v>
      </c>
      <c r="I194" s="46">
        <f>TRUNC(T194*(1-LOTE_01!$K$10),2)</f>
        <v>8.83</v>
      </c>
      <c r="J194" s="100">
        <f t="shared" si="17"/>
        <v>0.22470000000000001</v>
      </c>
      <c r="K194" s="48">
        <f t="shared" si="18"/>
        <v>163.76</v>
      </c>
      <c r="L194" s="48">
        <f t="shared" si="19"/>
        <v>10.81</v>
      </c>
      <c r="M194" s="48">
        <f t="shared" si="20"/>
        <v>40940</v>
      </c>
      <c r="N194" s="48">
        <f t="shared" si="21"/>
        <v>2702.5</v>
      </c>
      <c r="O194" s="50">
        <f t="shared" si="22"/>
        <v>43642.5</v>
      </c>
      <c r="P194" s="50">
        <v>0</v>
      </c>
      <c r="Q194" s="76"/>
      <c r="R194" s="141">
        <f>IF(50*(S10+S9)&gt;500,500,50*(S9+S10))</f>
        <v>250</v>
      </c>
      <c r="S194" s="79">
        <v>133.72</v>
      </c>
      <c r="T194" s="80">
        <v>8.83</v>
      </c>
    </row>
    <row r="195" spans="2:20" ht="28">
      <c r="B195" s="5" t="s">
        <v>513</v>
      </c>
      <c r="C195" s="45" t="s">
        <v>165</v>
      </c>
      <c r="D195" s="45" t="s">
        <v>514</v>
      </c>
      <c r="E195" s="6" t="s">
        <v>515</v>
      </c>
      <c r="F195" s="45" t="s">
        <v>168</v>
      </c>
      <c r="G195" s="46">
        <f t="shared" si="23"/>
        <v>500</v>
      </c>
      <c r="H195" s="46">
        <f>TRUNC(S195*(1-LOTE_01!$K$10),2)</f>
        <v>5.82</v>
      </c>
      <c r="I195" s="46">
        <f>TRUNC(T195*(1-LOTE_01!$K$10),2)</f>
        <v>3.29</v>
      </c>
      <c r="J195" s="100">
        <f t="shared" si="17"/>
        <v>0.22470000000000001</v>
      </c>
      <c r="K195" s="48">
        <f t="shared" si="18"/>
        <v>7.12</v>
      </c>
      <c r="L195" s="48">
        <f t="shared" si="19"/>
        <v>4.0199999999999996</v>
      </c>
      <c r="M195" s="48">
        <f t="shared" si="20"/>
        <v>3560</v>
      </c>
      <c r="N195" s="48">
        <f t="shared" si="21"/>
        <v>2010</v>
      </c>
      <c r="O195" s="50">
        <f t="shared" si="22"/>
        <v>5570</v>
      </c>
      <c r="P195" s="50">
        <v>0</v>
      </c>
      <c r="Q195" s="76"/>
      <c r="R195" s="140">
        <f>100*(S9+S10)</f>
        <v>500</v>
      </c>
      <c r="S195" s="79">
        <v>5.82</v>
      </c>
      <c r="T195" s="80">
        <v>3.29</v>
      </c>
    </row>
    <row r="196" spans="2:20">
      <c r="B196" s="5" t="s">
        <v>516</v>
      </c>
      <c r="C196" s="45" t="s">
        <v>97</v>
      </c>
      <c r="D196" s="45" t="s">
        <v>517</v>
      </c>
      <c r="E196" s="6" t="s">
        <v>518</v>
      </c>
      <c r="F196" s="45" t="s">
        <v>519</v>
      </c>
      <c r="G196" s="46">
        <f t="shared" si="23"/>
        <v>1000</v>
      </c>
      <c r="H196" s="46">
        <f>TRUNC(S196*(1-LOTE_01!$K$10),2)</f>
        <v>3.08</v>
      </c>
      <c r="I196" s="46">
        <f>TRUNC(T196*(1-LOTE_01!$K$10),2)</f>
        <v>1.62</v>
      </c>
      <c r="J196" s="100">
        <f t="shared" si="17"/>
        <v>0.22470000000000001</v>
      </c>
      <c r="K196" s="48">
        <f t="shared" si="18"/>
        <v>3.77</v>
      </c>
      <c r="L196" s="48">
        <f t="shared" si="19"/>
        <v>1.98</v>
      </c>
      <c r="M196" s="48">
        <f t="shared" si="20"/>
        <v>3770</v>
      </c>
      <c r="N196" s="48">
        <f t="shared" si="21"/>
        <v>1980</v>
      </c>
      <c r="O196" s="50">
        <f t="shared" si="22"/>
        <v>5750</v>
      </c>
      <c r="P196" s="50">
        <v>0</v>
      </c>
      <c r="Q196" s="76"/>
      <c r="R196" s="140">
        <f>IF((200*S9+200*S10)&gt;1000,1000,(200*S9+200*S10))</f>
        <v>1000</v>
      </c>
      <c r="S196" s="79">
        <v>3.08</v>
      </c>
      <c r="T196" s="80">
        <v>1.62</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50">
        <f>SUM(O198:O206)</f>
        <v>86948.6</v>
      </c>
      <c r="Q197" s="76"/>
      <c r="R197" s="154"/>
      <c r="S197" s="79" t="s">
        <v>22</v>
      </c>
      <c r="T197" s="80" t="s">
        <v>22</v>
      </c>
    </row>
    <row r="198" spans="2:20" ht="42">
      <c r="B198" s="5" t="s">
        <v>520</v>
      </c>
      <c r="C198" s="45" t="s">
        <v>135</v>
      </c>
      <c r="D198" s="45">
        <v>88648</v>
      </c>
      <c r="E198" s="6" t="s">
        <v>521</v>
      </c>
      <c r="F198" s="45" t="s">
        <v>187</v>
      </c>
      <c r="G198" s="46">
        <f t="shared" si="23"/>
        <v>50</v>
      </c>
      <c r="H198" s="46">
        <f>TRUNC(S198*(1-LOTE_01!$K$10),2)</f>
        <v>7.35</v>
      </c>
      <c r="I198" s="46">
        <f>TRUNC(T198*(1-LOTE_01!$K$10),2)</f>
        <v>2.5099999999999998</v>
      </c>
      <c r="J198" s="100">
        <f t="shared" si="17"/>
        <v>0.22470000000000001</v>
      </c>
      <c r="K198" s="48">
        <f t="shared" si="18"/>
        <v>9</v>
      </c>
      <c r="L198" s="48">
        <f t="shared" si="19"/>
        <v>3.07</v>
      </c>
      <c r="M198" s="48">
        <f t="shared" si="20"/>
        <v>450</v>
      </c>
      <c r="N198" s="48">
        <f t="shared" si="21"/>
        <v>153.5</v>
      </c>
      <c r="O198" s="50">
        <f t="shared" si="22"/>
        <v>603.5</v>
      </c>
      <c r="P198" s="50">
        <v>0</v>
      </c>
      <c r="Q198" s="76"/>
      <c r="R198" s="140">
        <f>IF((20*S10)&gt;100,100,(10*S9+10*S10))</f>
        <v>50</v>
      </c>
      <c r="S198" s="79">
        <v>7.35</v>
      </c>
      <c r="T198" s="80">
        <v>2.5099999999999998</v>
      </c>
    </row>
    <row r="199" spans="2:20" ht="42">
      <c r="B199" s="5" t="s">
        <v>522</v>
      </c>
      <c r="C199" s="45" t="s">
        <v>135</v>
      </c>
      <c r="D199" s="45">
        <v>88650</v>
      </c>
      <c r="E199" s="6" t="s">
        <v>523</v>
      </c>
      <c r="F199" s="45" t="s">
        <v>187</v>
      </c>
      <c r="G199" s="46">
        <f t="shared" si="23"/>
        <v>320</v>
      </c>
      <c r="H199" s="46">
        <f>TRUNC(S199*(1-LOTE_01!$K$10),2)</f>
        <v>11.59</v>
      </c>
      <c r="I199" s="46">
        <f>TRUNC(T199*(1-LOTE_01!$K$10),2)</f>
        <v>2.98</v>
      </c>
      <c r="J199" s="100">
        <f t="shared" si="17"/>
        <v>0.22470000000000001</v>
      </c>
      <c r="K199" s="48">
        <f t="shared" si="18"/>
        <v>14.19</v>
      </c>
      <c r="L199" s="48">
        <f t="shared" si="19"/>
        <v>3.64</v>
      </c>
      <c r="M199" s="48">
        <f t="shared" si="20"/>
        <v>4540.8</v>
      </c>
      <c r="N199" s="48">
        <f t="shared" si="21"/>
        <v>1164.8</v>
      </c>
      <c r="O199" s="50">
        <f t="shared" si="22"/>
        <v>5705.6</v>
      </c>
      <c r="P199" s="50">
        <v>0</v>
      </c>
      <c r="Q199" s="76"/>
      <c r="R199" s="141">
        <f>85*S10+50*S9</f>
        <v>320</v>
      </c>
      <c r="S199" s="79">
        <v>11.59</v>
      </c>
      <c r="T199" s="80">
        <v>2.98</v>
      </c>
    </row>
    <row r="200" spans="2:20" ht="126">
      <c r="B200" s="5" t="s">
        <v>524</v>
      </c>
      <c r="C200" s="45" t="s">
        <v>97</v>
      </c>
      <c r="D200" s="45" t="s">
        <v>525</v>
      </c>
      <c r="E200" s="6" t="s">
        <v>526</v>
      </c>
      <c r="F200" s="45" t="s">
        <v>187</v>
      </c>
      <c r="G200" s="46">
        <f t="shared" si="23"/>
        <v>1000</v>
      </c>
      <c r="H200" s="46">
        <f>TRUNC(S200*(1-LOTE_01!$K$10),2)</f>
        <v>34.36</v>
      </c>
      <c r="I200" s="46">
        <f>TRUNC(T200*(1-LOTE_01!$K$10),2)</f>
        <v>3.2</v>
      </c>
      <c r="J200" s="100">
        <f t="shared" si="17"/>
        <v>0.22470000000000001</v>
      </c>
      <c r="K200" s="48">
        <f t="shared" si="18"/>
        <v>42.08</v>
      </c>
      <c r="L200" s="48">
        <f t="shared" si="19"/>
        <v>3.91</v>
      </c>
      <c r="M200" s="48">
        <f t="shared" si="20"/>
        <v>42080</v>
      </c>
      <c r="N200" s="48">
        <f t="shared" si="21"/>
        <v>3910</v>
      </c>
      <c r="O200" s="50">
        <f t="shared" si="22"/>
        <v>45990</v>
      </c>
      <c r="P200" s="50">
        <v>0</v>
      </c>
      <c r="Q200" s="76"/>
      <c r="R200" s="140">
        <f>200*(S10+S9)</f>
        <v>1000</v>
      </c>
      <c r="S200" s="79">
        <v>34.36</v>
      </c>
      <c r="T200" s="80">
        <v>3.2</v>
      </c>
    </row>
    <row r="201" spans="2:20" ht="42">
      <c r="B201" s="5" t="s">
        <v>527</v>
      </c>
      <c r="C201" s="45" t="s">
        <v>135</v>
      </c>
      <c r="D201" s="45">
        <v>101738</v>
      </c>
      <c r="E201" s="6" t="s">
        <v>1781</v>
      </c>
      <c r="F201" s="45" t="s">
        <v>187</v>
      </c>
      <c r="G201" s="46">
        <f t="shared" si="23"/>
        <v>50</v>
      </c>
      <c r="H201" s="46">
        <f>TRUNC(S201*(1-LOTE_01!$K$10),2)</f>
        <v>32.869999999999997</v>
      </c>
      <c r="I201" s="46">
        <f>TRUNC(T201*(1-LOTE_01!$K$10),2)</f>
        <v>11.09</v>
      </c>
      <c r="J201" s="100">
        <f t="shared" si="17"/>
        <v>0.22470000000000001</v>
      </c>
      <c r="K201" s="48">
        <f t="shared" si="18"/>
        <v>40.25</v>
      </c>
      <c r="L201" s="48">
        <f t="shared" si="19"/>
        <v>13.58</v>
      </c>
      <c r="M201" s="48">
        <f t="shared" si="20"/>
        <v>2012.5</v>
      </c>
      <c r="N201" s="48">
        <f t="shared" si="21"/>
        <v>679</v>
      </c>
      <c r="O201" s="50">
        <f t="shared" si="22"/>
        <v>2691.5</v>
      </c>
      <c r="P201" s="50">
        <v>0</v>
      </c>
      <c r="Q201" s="76"/>
      <c r="R201" s="140">
        <f>IF((S9*5+20*S10)&gt;50,50,(5*S9+10*S10))</f>
        <v>50</v>
      </c>
      <c r="S201" s="79">
        <v>32.870000000000005</v>
      </c>
      <c r="T201" s="80">
        <v>11.09</v>
      </c>
    </row>
    <row r="202" spans="2:20" ht="28">
      <c r="B202" s="5" t="s">
        <v>528</v>
      </c>
      <c r="C202" s="45" t="s">
        <v>165</v>
      </c>
      <c r="D202" s="45" t="s">
        <v>529</v>
      </c>
      <c r="E202" s="6" t="s">
        <v>530</v>
      </c>
      <c r="F202" s="45" t="s">
        <v>531</v>
      </c>
      <c r="G202" s="46">
        <f t="shared" si="23"/>
        <v>50</v>
      </c>
      <c r="H202" s="46">
        <f>TRUNC(S202*(1-LOTE_01!$K$10),2)</f>
        <v>30.12</v>
      </c>
      <c r="I202" s="46">
        <f>TRUNC(T202*(1-LOTE_01!$K$10),2)</f>
        <v>1.28</v>
      </c>
      <c r="J202" s="100">
        <f t="shared" si="17"/>
        <v>0.22470000000000001</v>
      </c>
      <c r="K202" s="48">
        <f t="shared" si="18"/>
        <v>36.880000000000003</v>
      </c>
      <c r="L202" s="48">
        <f t="shared" si="19"/>
        <v>1.56</v>
      </c>
      <c r="M202" s="48">
        <f t="shared" si="20"/>
        <v>1844</v>
      </c>
      <c r="N202" s="48">
        <f t="shared" si="21"/>
        <v>78</v>
      </c>
      <c r="O202" s="50">
        <f t="shared" si="22"/>
        <v>1922</v>
      </c>
      <c r="P202" s="50">
        <v>0</v>
      </c>
      <c r="Q202" s="76"/>
      <c r="R202" s="140">
        <f>IF((S9*5+20*S10)&gt;50,50,(5*S9+10*S10))</f>
        <v>50</v>
      </c>
      <c r="S202" s="79">
        <v>30.12</v>
      </c>
      <c r="T202" s="80">
        <v>1.28</v>
      </c>
    </row>
    <row r="203" spans="2:20" ht="28">
      <c r="B203" s="5" t="s">
        <v>532</v>
      </c>
      <c r="C203" s="45" t="s">
        <v>135</v>
      </c>
      <c r="D203" s="45">
        <v>98685</v>
      </c>
      <c r="E203" s="6" t="s">
        <v>1782</v>
      </c>
      <c r="F203" s="45" t="s">
        <v>187</v>
      </c>
      <c r="G203" s="46">
        <f t="shared" si="23"/>
        <v>50</v>
      </c>
      <c r="H203" s="46">
        <f>TRUNC(S203*(1-LOTE_01!$K$10),2)</f>
        <v>83.55</v>
      </c>
      <c r="I203" s="46">
        <f>TRUNC(T203*(1-LOTE_01!$K$10),2)</f>
        <v>10.16</v>
      </c>
      <c r="J203" s="100">
        <f t="shared" si="17"/>
        <v>0.22470000000000001</v>
      </c>
      <c r="K203" s="48">
        <f t="shared" si="18"/>
        <v>102.32</v>
      </c>
      <c r="L203" s="48">
        <f t="shared" si="19"/>
        <v>12.44</v>
      </c>
      <c r="M203" s="48">
        <f t="shared" si="20"/>
        <v>5116</v>
      </c>
      <c r="N203" s="48">
        <f t="shared" si="21"/>
        <v>622</v>
      </c>
      <c r="O203" s="50">
        <f t="shared" si="22"/>
        <v>5738</v>
      </c>
      <c r="P203" s="50">
        <v>0</v>
      </c>
      <c r="Q203" s="76"/>
      <c r="R203" s="140">
        <f>IF((S9*5+20*S10)&gt;50,50,(5*S9+10*S10))</f>
        <v>50</v>
      </c>
      <c r="S203" s="79">
        <v>83.55</v>
      </c>
      <c r="T203" s="80">
        <v>10.16</v>
      </c>
    </row>
    <row r="204" spans="2:20" ht="28">
      <c r="B204" s="5" t="s">
        <v>533</v>
      </c>
      <c r="C204" s="45" t="s">
        <v>135</v>
      </c>
      <c r="D204" s="45">
        <v>98689</v>
      </c>
      <c r="E204" s="6" t="s">
        <v>1783</v>
      </c>
      <c r="F204" s="45" t="s">
        <v>187</v>
      </c>
      <c r="G204" s="46">
        <f t="shared" si="23"/>
        <v>50</v>
      </c>
      <c r="H204" s="46">
        <f>TRUNC(S204*(1-LOTE_01!$K$10),2)</f>
        <v>122.22</v>
      </c>
      <c r="I204" s="46">
        <f>TRUNC(T204*(1-LOTE_01!$K$10),2)</f>
        <v>19.87</v>
      </c>
      <c r="J204" s="100">
        <f t="shared" si="17"/>
        <v>0.22470000000000001</v>
      </c>
      <c r="K204" s="48">
        <f t="shared" si="18"/>
        <v>149.68</v>
      </c>
      <c r="L204" s="48">
        <f t="shared" si="19"/>
        <v>24.33</v>
      </c>
      <c r="M204" s="48">
        <f t="shared" si="20"/>
        <v>7484</v>
      </c>
      <c r="N204" s="48">
        <f t="shared" si="21"/>
        <v>1216.5</v>
      </c>
      <c r="O204" s="50">
        <f t="shared" si="22"/>
        <v>8700.5</v>
      </c>
      <c r="P204" s="50">
        <v>0</v>
      </c>
      <c r="Q204" s="76"/>
      <c r="R204" s="140">
        <f>IF((S9*5+20*S10)&gt;50,50,(5*S9+10*S10))</f>
        <v>50</v>
      </c>
      <c r="S204" s="79">
        <v>122.22</v>
      </c>
      <c r="T204" s="80">
        <v>19.87</v>
      </c>
    </row>
    <row r="205" spans="2:20" ht="28">
      <c r="B205" s="5" t="s">
        <v>534</v>
      </c>
      <c r="C205" s="45" t="s">
        <v>135</v>
      </c>
      <c r="D205" s="45">
        <v>98695</v>
      </c>
      <c r="E205" s="6" t="s">
        <v>1784</v>
      </c>
      <c r="F205" s="45" t="s">
        <v>187</v>
      </c>
      <c r="G205" s="46">
        <f t="shared" si="23"/>
        <v>50</v>
      </c>
      <c r="H205" s="46">
        <f>TRUNC(S205*(1-LOTE_01!$K$10),2)</f>
        <v>110.15</v>
      </c>
      <c r="I205" s="46">
        <f>TRUNC(T205*(1-LOTE_01!$K$10),2)</f>
        <v>18.149999999999999</v>
      </c>
      <c r="J205" s="100">
        <f t="shared" si="17"/>
        <v>0.22470000000000001</v>
      </c>
      <c r="K205" s="48">
        <f t="shared" si="18"/>
        <v>134.9</v>
      </c>
      <c r="L205" s="48">
        <f t="shared" si="19"/>
        <v>22.22</v>
      </c>
      <c r="M205" s="48">
        <f t="shared" si="20"/>
        <v>6745</v>
      </c>
      <c r="N205" s="48">
        <f t="shared" si="21"/>
        <v>1111</v>
      </c>
      <c r="O205" s="50">
        <f t="shared" si="22"/>
        <v>7856</v>
      </c>
      <c r="P205" s="50">
        <v>0</v>
      </c>
      <c r="Q205" s="76"/>
      <c r="R205" s="140">
        <f>IF((S9*5+20*S10)&gt;50,50,(5*S9+10*S10))</f>
        <v>50</v>
      </c>
      <c r="S205" s="79">
        <v>110.15</v>
      </c>
      <c r="T205" s="80">
        <v>18.149999999999999</v>
      </c>
    </row>
    <row r="206" spans="2:20" ht="28">
      <c r="B206" s="5" t="s">
        <v>535</v>
      </c>
      <c r="C206" s="45" t="s">
        <v>165</v>
      </c>
      <c r="D206" s="45" t="s">
        <v>536</v>
      </c>
      <c r="E206" s="6" t="s">
        <v>537</v>
      </c>
      <c r="F206" s="45" t="s">
        <v>531</v>
      </c>
      <c r="G206" s="46">
        <f t="shared" si="23"/>
        <v>50</v>
      </c>
      <c r="H206" s="46">
        <f>TRUNC(S206*(1-LOTE_01!$K$10),2)</f>
        <v>124.82</v>
      </c>
      <c r="I206" s="46">
        <f>TRUNC(T206*(1-LOTE_01!$K$10),2)</f>
        <v>1.61</v>
      </c>
      <c r="J206" s="100">
        <f t="shared" si="17"/>
        <v>0.22470000000000001</v>
      </c>
      <c r="K206" s="48">
        <f t="shared" si="18"/>
        <v>152.86000000000001</v>
      </c>
      <c r="L206" s="48">
        <f t="shared" si="19"/>
        <v>1.97</v>
      </c>
      <c r="M206" s="48">
        <f t="shared" si="20"/>
        <v>7643</v>
      </c>
      <c r="N206" s="48">
        <f t="shared" si="21"/>
        <v>98.5</v>
      </c>
      <c r="O206" s="50">
        <f t="shared" si="22"/>
        <v>7741.5</v>
      </c>
      <c r="P206" s="50">
        <v>0</v>
      </c>
      <c r="Q206" s="76"/>
      <c r="R206" s="140">
        <f>IF((S9*5+20*S10)&gt;50,50,(5*S9+10*S10))</f>
        <v>50</v>
      </c>
      <c r="S206" s="79">
        <v>124.82</v>
      </c>
      <c r="T206" s="80">
        <v>1.61</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50">
        <f>SUM(O208:O241)</f>
        <v>697279.41</v>
      </c>
      <c r="Q207" s="76"/>
      <c r="R207" s="154"/>
      <c r="S207" s="79" t="s">
        <v>22</v>
      </c>
      <c r="T207" s="80" t="s">
        <v>22</v>
      </c>
    </row>
    <row r="208" spans="2:20" ht="42">
      <c r="B208" s="5" t="s">
        <v>538</v>
      </c>
      <c r="C208" s="45" t="s">
        <v>97</v>
      </c>
      <c r="D208" s="45" t="s">
        <v>539</v>
      </c>
      <c r="E208" s="6" t="s">
        <v>540</v>
      </c>
      <c r="F208" s="45" t="s">
        <v>104</v>
      </c>
      <c r="G208" s="46">
        <f t="shared" si="23"/>
        <v>10</v>
      </c>
      <c r="H208" s="46">
        <f>TRUNC(S208*(1-LOTE_01!$K$10),2)</f>
        <v>31.41</v>
      </c>
      <c r="I208" s="46">
        <f>TRUNC(T208*(1-LOTE_01!$K$10),2)</f>
        <v>74.180000000000007</v>
      </c>
      <c r="J208" s="100">
        <f t="shared" si="17"/>
        <v>0.22470000000000001</v>
      </c>
      <c r="K208" s="48">
        <f t="shared" si="18"/>
        <v>38.46</v>
      </c>
      <c r="L208" s="48">
        <f t="shared" si="19"/>
        <v>90.84</v>
      </c>
      <c r="M208" s="48">
        <f t="shared" si="20"/>
        <v>384.6</v>
      </c>
      <c r="N208" s="48">
        <f t="shared" si="21"/>
        <v>908.4</v>
      </c>
      <c r="O208" s="50">
        <f t="shared" si="22"/>
        <v>1293</v>
      </c>
      <c r="P208" s="50">
        <v>0</v>
      </c>
      <c r="Q208" s="76"/>
      <c r="R208" s="140">
        <f>IF((2*S9+2*S10)&gt;20,20,(2*S9+2*S10))</f>
        <v>10</v>
      </c>
      <c r="S208" s="79">
        <v>31.41</v>
      </c>
      <c r="T208" s="80">
        <v>74.180000000000007</v>
      </c>
    </row>
    <row r="209" spans="2:20" ht="28">
      <c r="B209" s="5" t="s">
        <v>541</v>
      </c>
      <c r="C209" s="45" t="s">
        <v>97</v>
      </c>
      <c r="D209" s="45" t="s">
        <v>542</v>
      </c>
      <c r="E209" s="6" t="s">
        <v>543</v>
      </c>
      <c r="F209" s="45" t="s">
        <v>104</v>
      </c>
      <c r="G209" s="46">
        <f t="shared" si="23"/>
        <v>5</v>
      </c>
      <c r="H209" s="46">
        <f>TRUNC(S209*(1-LOTE_01!$K$10),2)</f>
        <v>0</v>
      </c>
      <c r="I209" s="46">
        <f>TRUNC(T209*(1-LOTE_01!$K$10),2)</f>
        <v>118.98</v>
      </c>
      <c r="J209" s="100">
        <f t="shared" si="17"/>
        <v>0.22470000000000001</v>
      </c>
      <c r="K209" s="48">
        <f t="shared" si="18"/>
        <v>0</v>
      </c>
      <c r="L209" s="48">
        <f t="shared" si="19"/>
        <v>145.71</v>
      </c>
      <c r="M209" s="48">
        <f t="shared" si="20"/>
        <v>0</v>
      </c>
      <c r="N209" s="48">
        <f t="shared" si="21"/>
        <v>728.55</v>
      </c>
      <c r="O209" s="50">
        <f t="shared" si="22"/>
        <v>728.55</v>
      </c>
      <c r="P209" s="50">
        <v>0</v>
      </c>
      <c r="Q209" s="76"/>
      <c r="R209" s="140">
        <f>IF((1*S9+1*S10)&gt;10,10,(1*S9+1*S10))</f>
        <v>5</v>
      </c>
      <c r="S209" s="79">
        <v>0</v>
      </c>
      <c r="T209" s="80">
        <v>118.98</v>
      </c>
    </row>
    <row r="210" spans="2:20" ht="42">
      <c r="B210" s="5" t="s">
        <v>544</v>
      </c>
      <c r="C210" s="45" t="s">
        <v>135</v>
      </c>
      <c r="D210" s="45">
        <v>102182</v>
      </c>
      <c r="E210" s="6" t="s">
        <v>1785</v>
      </c>
      <c r="F210" s="45" t="s">
        <v>210</v>
      </c>
      <c r="G210" s="46">
        <f t="shared" ref="G210:G273" si="24">TRUNC(R210,2)</f>
        <v>10</v>
      </c>
      <c r="H210" s="46">
        <f>TRUNC(S210*(1-LOTE_01!$K$10),2)</f>
        <v>1168.3599999999999</v>
      </c>
      <c r="I210" s="46">
        <f>TRUNC(T210*(1-LOTE_01!$K$10),2)</f>
        <v>69.7</v>
      </c>
      <c r="J210" s="100">
        <f t="shared" ref="J210:J273" si="25">$J$4</f>
        <v>0.22470000000000001</v>
      </c>
      <c r="K210" s="48">
        <f t="shared" ref="K210:K273" si="26">TRUNC(H210*(1+J210),2)</f>
        <v>1430.89</v>
      </c>
      <c r="L210" s="48">
        <f t="shared" ref="L210:L273" si="27">TRUNC(I210*(1+J210),2)</f>
        <v>85.36</v>
      </c>
      <c r="M210" s="48">
        <f t="shared" ref="M210:M273" si="28">TRUNC(K210*G210,2)</f>
        <v>14308.9</v>
      </c>
      <c r="N210" s="48">
        <f t="shared" ref="N210:N273" si="29">TRUNC(L210*G210,2)</f>
        <v>853.6</v>
      </c>
      <c r="O210" s="50">
        <f t="shared" ref="O210:O273" si="30">TRUNC(M210+N210,2)</f>
        <v>15162.5</v>
      </c>
      <c r="P210" s="50">
        <v>0</v>
      </c>
      <c r="Q210" s="76"/>
      <c r="R210" s="140">
        <f>IF((2*S9+2*S10)&gt;20,20,(2*S9+2*S10))</f>
        <v>10</v>
      </c>
      <c r="S210" s="79">
        <v>1168.3599999999999</v>
      </c>
      <c r="T210" s="80">
        <v>69.7</v>
      </c>
    </row>
    <row r="211" spans="2:20" ht="56">
      <c r="B211" s="5" t="s">
        <v>545</v>
      </c>
      <c r="C211" s="45" t="s">
        <v>135</v>
      </c>
      <c r="D211" s="45">
        <v>102183</v>
      </c>
      <c r="E211" s="6" t="s">
        <v>1786</v>
      </c>
      <c r="F211" s="45" t="s">
        <v>210</v>
      </c>
      <c r="G211" s="46">
        <f t="shared" si="24"/>
        <v>5</v>
      </c>
      <c r="H211" s="46">
        <f>TRUNC(S211*(1-LOTE_01!$K$10),2)</f>
        <v>2199.67</v>
      </c>
      <c r="I211" s="46">
        <f>TRUNC(T211*(1-LOTE_01!$K$10),2)</f>
        <v>139.9</v>
      </c>
      <c r="J211" s="100">
        <f t="shared" si="25"/>
        <v>0.22470000000000001</v>
      </c>
      <c r="K211" s="48">
        <f t="shared" si="26"/>
        <v>2693.93</v>
      </c>
      <c r="L211" s="48">
        <f t="shared" si="27"/>
        <v>171.33</v>
      </c>
      <c r="M211" s="48">
        <f t="shared" si="28"/>
        <v>13469.65</v>
      </c>
      <c r="N211" s="48">
        <f t="shared" si="29"/>
        <v>856.65</v>
      </c>
      <c r="O211" s="50">
        <f t="shared" si="30"/>
        <v>14326.3</v>
      </c>
      <c r="P211" s="50">
        <v>0</v>
      </c>
      <c r="Q211" s="76"/>
      <c r="R211" s="140">
        <f>IF((1*S9+1*S10)&gt;10,10,(1*S9+1*S10))</f>
        <v>5</v>
      </c>
      <c r="S211" s="79">
        <v>2199.67</v>
      </c>
      <c r="T211" s="80">
        <v>139.9</v>
      </c>
    </row>
    <row r="212" spans="2:20" ht="56">
      <c r="B212" s="5" t="s">
        <v>546</v>
      </c>
      <c r="C212" s="45" t="s">
        <v>135</v>
      </c>
      <c r="D212" s="45">
        <v>102184</v>
      </c>
      <c r="E212" s="6" t="s">
        <v>1787</v>
      </c>
      <c r="F212" s="45" t="s">
        <v>210</v>
      </c>
      <c r="G212" s="46">
        <f t="shared" si="24"/>
        <v>5</v>
      </c>
      <c r="H212" s="46">
        <f>TRUNC(S212*(1-LOTE_01!$K$10),2)</f>
        <v>1994.49</v>
      </c>
      <c r="I212" s="46">
        <f>TRUNC(T212*(1-LOTE_01!$K$10),2)</f>
        <v>118.98</v>
      </c>
      <c r="J212" s="100">
        <f t="shared" si="25"/>
        <v>0.22470000000000001</v>
      </c>
      <c r="K212" s="48">
        <f t="shared" si="26"/>
        <v>2442.65</v>
      </c>
      <c r="L212" s="48">
        <f t="shared" si="27"/>
        <v>145.71</v>
      </c>
      <c r="M212" s="48">
        <f t="shared" si="28"/>
        <v>12213.25</v>
      </c>
      <c r="N212" s="48">
        <f t="shared" si="29"/>
        <v>728.55</v>
      </c>
      <c r="O212" s="50">
        <f t="shared" si="30"/>
        <v>12941.8</v>
      </c>
      <c r="P212" s="50">
        <v>0</v>
      </c>
      <c r="Q212" s="76"/>
      <c r="R212" s="140">
        <f>IF((1*S9+1*S10)&gt;10,10,(1*S9+1*S10))</f>
        <v>5</v>
      </c>
      <c r="S212" s="79">
        <v>1994.4899999999998</v>
      </c>
      <c r="T212" s="80">
        <v>118.98</v>
      </c>
    </row>
    <row r="213" spans="2:20" ht="70">
      <c r="B213" s="5" t="s">
        <v>547</v>
      </c>
      <c r="C213" s="45" t="s">
        <v>135</v>
      </c>
      <c r="D213" s="45">
        <v>102185</v>
      </c>
      <c r="E213" s="6" t="s">
        <v>1788</v>
      </c>
      <c r="F213" s="45" t="s">
        <v>210</v>
      </c>
      <c r="G213" s="46">
        <f t="shared" si="24"/>
        <v>5</v>
      </c>
      <c r="H213" s="46">
        <f>TRUNC(S213*(1-LOTE_01!$K$10),2)</f>
        <v>3993.02</v>
      </c>
      <c r="I213" s="46">
        <f>TRUNC(T213*(1-LOTE_01!$K$10),2)</f>
        <v>247.2</v>
      </c>
      <c r="J213" s="100">
        <f t="shared" si="25"/>
        <v>0.22470000000000001</v>
      </c>
      <c r="K213" s="48">
        <f t="shared" si="26"/>
        <v>4890.25</v>
      </c>
      <c r="L213" s="48">
        <f t="shared" si="27"/>
        <v>302.74</v>
      </c>
      <c r="M213" s="48">
        <f t="shared" si="28"/>
        <v>24451.25</v>
      </c>
      <c r="N213" s="48">
        <f t="shared" si="29"/>
        <v>1513.7</v>
      </c>
      <c r="O213" s="50">
        <f t="shared" si="30"/>
        <v>25964.95</v>
      </c>
      <c r="P213" s="50">
        <v>0</v>
      </c>
      <c r="Q213" s="76"/>
      <c r="R213" s="140">
        <f>IF((1*S9+1*S10)&gt;10,10,(1*S9+1*S10))</f>
        <v>5</v>
      </c>
      <c r="S213" s="79">
        <v>3993.0200000000004</v>
      </c>
      <c r="T213" s="80">
        <v>247.2</v>
      </c>
    </row>
    <row r="214" spans="2:20" ht="28">
      <c r="B214" s="5" t="s">
        <v>548</v>
      </c>
      <c r="C214" s="45" t="s">
        <v>97</v>
      </c>
      <c r="D214" s="45" t="s">
        <v>549</v>
      </c>
      <c r="E214" s="6" t="s">
        <v>550</v>
      </c>
      <c r="F214" s="45" t="s">
        <v>104</v>
      </c>
      <c r="G214" s="46">
        <f t="shared" si="24"/>
        <v>10</v>
      </c>
      <c r="H214" s="46">
        <f>TRUNC(S214*(1-LOTE_01!$K$10),2)</f>
        <v>18.66</v>
      </c>
      <c r="I214" s="46">
        <f>TRUNC(T214*(1-LOTE_01!$K$10),2)</f>
        <v>51.02</v>
      </c>
      <c r="J214" s="100">
        <f t="shared" si="25"/>
        <v>0.22470000000000001</v>
      </c>
      <c r="K214" s="48">
        <f t="shared" si="26"/>
        <v>22.85</v>
      </c>
      <c r="L214" s="48">
        <f t="shared" si="27"/>
        <v>62.48</v>
      </c>
      <c r="M214" s="48">
        <f t="shared" si="28"/>
        <v>228.5</v>
      </c>
      <c r="N214" s="48">
        <f t="shared" si="29"/>
        <v>624.79999999999995</v>
      </c>
      <c r="O214" s="50">
        <f t="shared" si="30"/>
        <v>853.3</v>
      </c>
      <c r="P214" s="50">
        <v>0</v>
      </c>
      <c r="Q214" s="76"/>
      <c r="R214" s="140">
        <f>IF((2*S9+2*S10)&gt;50,50,(2*S9+2*S10))</f>
        <v>10</v>
      </c>
      <c r="S214" s="79">
        <v>18.66</v>
      </c>
      <c r="T214" s="80">
        <v>51.02</v>
      </c>
    </row>
    <row r="215" spans="2:20" ht="70">
      <c r="B215" s="5" t="s">
        <v>551</v>
      </c>
      <c r="C215" s="45" t="s">
        <v>135</v>
      </c>
      <c r="D215" s="45">
        <v>100695</v>
      </c>
      <c r="E215" s="6" t="s">
        <v>1789</v>
      </c>
      <c r="F215" s="45" t="s">
        <v>210</v>
      </c>
      <c r="G215" s="46">
        <f t="shared" si="24"/>
        <v>10</v>
      </c>
      <c r="H215" s="46">
        <f>TRUNC(S215*(1-LOTE_01!$K$10),2)</f>
        <v>26.41</v>
      </c>
      <c r="I215" s="46">
        <f>TRUNC(T215*(1-LOTE_01!$K$10),2)</f>
        <v>63.22</v>
      </c>
      <c r="J215" s="100">
        <f t="shared" si="25"/>
        <v>0.22470000000000001</v>
      </c>
      <c r="K215" s="48">
        <f t="shared" si="26"/>
        <v>32.340000000000003</v>
      </c>
      <c r="L215" s="48">
        <f t="shared" si="27"/>
        <v>77.42</v>
      </c>
      <c r="M215" s="48">
        <f t="shared" si="28"/>
        <v>323.39999999999998</v>
      </c>
      <c r="N215" s="48">
        <f t="shared" si="29"/>
        <v>774.2</v>
      </c>
      <c r="O215" s="50">
        <f t="shared" si="30"/>
        <v>1097.5999999999999</v>
      </c>
      <c r="P215" s="50">
        <v>0</v>
      </c>
      <c r="Q215" s="76"/>
      <c r="R215" s="140">
        <f>IF((2*S9+2*S10)&gt;50,50,(2*S9+2*S10))</f>
        <v>10</v>
      </c>
      <c r="S215" s="79">
        <v>26.409999999999997</v>
      </c>
      <c r="T215" s="80">
        <v>63.22</v>
      </c>
    </row>
    <row r="216" spans="2:20" ht="70">
      <c r="B216" s="5" t="s">
        <v>552</v>
      </c>
      <c r="C216" s="45" t="s">
        <v>135</v>
      </c>
      <c r="D216" s="45">
        <v>100697</v>
      </c>
      <c r="E216" s="6" t="s">
        <v>1790</v>
      </c>
      <c r="F216" s="45" t="s">
        <v>210</v>
      </c>
      <c r="G216" s="46">
        <f t="shared" si="24"/>
        <v>10</v>
      </c>
      <c r="H216" s="46">
        <f>TRUNC(S216*(1-LOTE_01!$K$10),2)</f>
        <v>31.95</v>
      </c>
      <c r="I216" s="46">
        <f>TRUNC(T216*(1-LOTE_01!$K$10),2)</f>
        <v>77.44</v>
      </c>
      <c r="J216" s="100">
        <f t="shared" si="25"/>
        <v>0.22470000000000001</v>
      </c>
      <c r="K216" s="48">
        <f t="shared" si="26"/>
        <v>39.119999999999997</v>
      </c>
      <c r="L216" s="48">
        <f t="shared" si="27"/>
        <v>94.84</v>
      </c>
      <c r="M216" s="48">
        <f t="shared" si="28"/>
        <v>391.2</v>
      </c>
      <c r="N216" s="48">
        <f t="shared" si="29"/>
        <v>948.4</v>
      </c>
      <c r="O216" s="50">
        <f t="shared" si="30"/>
        <v>1339.6</v>
      </c>
      <c r="P216" s="50">
        <v>0</v>
      </c>
      <c r="Q216" s="76"/>
      <c r="R216" s="140">
        <f>IF((2*S9+2*S10)&gt;50,50,(2*S9+2*S10))</f>
        <v>10</v>
      </c>
      <c r="S216" s="79">
        <v>31.950000000000003</v>
      </c>
      <c r="T216" s="80">
        <v>77.44</v>
      </c>
    </row>
    <row r="217" spans="2:20" ht="70">
      <c r="B217" s="5" t="s">
        <v>553</v>
      </c>
      <c r="C217" s="45" t="s">
        <v>135</v>
      </c>
      <c r="D217" s="45">
        <v>90820</v>
      </c>
      <c r="E217" s="6" t="s">
        <v>1791</v>
      </c>
      <c r="F217" s="45" t="s">
        <v>210</v>
      </c>
      <c r="G217" s="46">
        <f t="shared" si="24"/>
        <v>5</v>
      </c>
      <c r="H217" s="46">
        <f>TRUNC(S217*(1-LOTE_01!$K$10),2)</f>
        <v>267.33999999999997</v>
      </c>
      <c r="I217" s="46">
        <f>TRUNC(T217*(1-LOTE_01!$K$10),2)</f>
        <v>37.840000000000003</v>
      </c>
      <c r="J217" s="100">
        <f t="shared" si="25"/>
        <v>0.22470000000000001</v>
      </c>
      <c r="K217" s="48">
        <f t="shared" si="26"/>
        <v>327.41000000000003</v>
      </c>
      <c r="L217" s="48">
        <f t="shared" si="27"/>
        <v>46.34</v>
      </c>
      <c r="M217" s="48">
        <f t="shared" si="28"/>
        <v>1637.05</v>
      </c>
      <c r="N217" s="48">
        <f t="shared" si="29"/>
        <v>231.7</v>
      </c>
      <c r="O217" s="50">
        <f t="shared" si="30"/>
        <v>1868.75</v>
      </c>
      <c r="P217" s="50">
        <v>0</v>
      </c>
      <c r="Q217" s="76"/>
      <c r="R217" s="140">
        <f>IF((1*S9+1*S10)&gt;50,50,(1*S9+1*S10))</f>
        <v>5</v>
      </c>
      <c r="S217" s="79">
        <v>267.34000000000003</v>
      </c>
      <c r="T217" s="80">
        <v>37.840000000000003</v>
      </c>
    </row>
    <row r="218" spans="2:20" ht="70">
      <c r="B218" s="5" t="s">
        <v>554</v>
      </c>
      <c r="C218" s="45" t="s">
        <v>135</v>
      </c>
      <c r="D218" s="45">
        <v>90822</v>
      </c>
      <c r="E218" s="6" t="s">
        <v>1792</v>
      </c>
      <c r="F218" s="45" t="s">
        <v>210</v>
      </c>
      <c r="G218" s="46">
        <f t="shared" si="24"/>
        <v>10</v>
      </c>
      <c r="H218" s="46">
        <f>TRUNC(S218*(1-LOTE_01!$K$10),2)</f>
        <v>291.02999999999997</v>
      </c>
      <c r="I218" s="46">
        <f>TRUNC(T218*(1-LOTE_01!$K$10),2)</f>
        <v>45.92</v>
      </c>
      <c r="J218" s="100">
        <f t="shared" si="25"/>
        <v>0.22470000000000001</v>
      </c>
      <c r="K218" s="48">
        <f t="shared" si="26"/>
        <v>356.42</v>
      </c>
      <c r="L218" s="48">
        <f t="shared" si="27"/>
        <v>56.23</v>
      </c>
      <c r="M218" s="48">
        <f t="shared" si="28"/>
        <v>3564.2</v>
      </c>
      <c r="N218" s="48">
        <f t="shared" si="29"/>
        <v>562.29999999999995</v>
      </c>
      <c r="O218" s="50">
        <f t="shared" si="30"/>
        <v>4126.5</v>
      </c>
      <c r="P218" s="50">
        <v>0</v>
      </c>
      <c r="Q218" s="76"/>
      <c r="R218" s="140">
        <f>IF((2*S9+2*S10)&gt;50,50,(2*S9+2*S10))</f>
        <v>10</v>
      </c>
      <c r="S218" s="79">
        <v>291.02999999999997</v>
      </c>
      <c r="T218" s="80">
        <v>45.92</v>
      </c>
    </row>
    <row r="219" spans="2:20" ht="70">
      <c r="B219" s="5" t="s">
        <v>555</v>
      </c>
      <c r="C219" s="45" t="s">
        <v>135</v>
      </c>
      <c r="D219" s="45">
        <v>90823</v>
      </c>
      <c r="E219" s="6" t="s">
        <v>1793</v>
      </c>
      <c r="F219" s="45" t="s">
        <v>210</v>
      </c>
      <c r="G219" s="46">
        <f t="shared" si="24"/>
        <v>10</v>
      </c>
      <c r="H219" s="46">
        <f>TRUNC(S219*(1-LOTE_01!$K$10),2)</f>
        <v>356.05</v>
      </c>
      <c r="I219" s="46">
        <f>TRUNC(T219*(1-LOTE_01!$K$10),2)</f>
        <v>49.05</v>
      </c>
      <c r="J219" s="100">
        <f t="shared" si="25"/>
        <v>0.22470000000000001</v>
      </c>
      <c r="K219" s="48">
        <f t="shared" si="26"/>
        <v>436.05</v>
      </c>
      <c r="L219" s="48">
        <f t="shared" si="27"/>
        <v>60.07</v>
      </c>
      <c r="M219" s="48">
        <f t="shared" si="28"/>
        <v>4360.5</v>
      </c>
      <c r="N219" s="48">
        <f t="shared" si="29"/>
        <v>600.70000000000005</v>
      </c>
      <c r="O219" s="50">
        <f t="shared" si="30"/>
        <v>4961.2</v>
      </c>
      <c r="P219" s="50">
        <v>0</v>
      </c>
      <c r="Q219" s="76"/>
      <c r="R219" s="140">
        <f>IF((2*S9+2*S10)&gt;50,50,(2*S9+2*S10))</f>
        <v>10</v>
      </c>
      <c r="S219" s="79">
        <v>356.05</v>
      </c>
      <c r="T219" s="80">
        <v>49.05</v>
      </c>
    </row>
    <row r="220" spans="2:20" ht="28">
      <c r="B220" s="5" t="s">
        <v>556</v>
      </c>
      <c r="C220" s="45" t="s">
        <v>165</v>
      </c>
      <c r="D220" s="45" t="s">
        <v>557</v>
      </c>
      <c r="E220" s="6" t="s">
        <v>558</v>
      </c>
      <c r="F220" s="45" t="s">
        <v>559</v>
      </c>
      <c r="G220" s="46">
        <f t="shared" si="24"/>
        <v>10</v>
      </c>
      <c r="H220" s="46">
        <f>TRUNC(S220*(1-LOTE_01!$K$10),2)</f>
        <v>892.01</v>
      </c>
      <c r="I220" s="46">
        <f>TRUNC(T220*(1-LOTE_01!$K$10),2)</f>
        <v>163.52000000000001</v>
      </c>
      <c r="J220" s="100">
        <f t="shared" si="25"/>
        <v>0.22470000000000001</v>
      </c>
      <c r="K220" s="48">
        <f t="shared" si="26"/>
        <v>1092.44</v>
      </c>
      <c r="L220" s="48">
        <f t="shared" si="27"/>
        <v>200.26</v>
      </c>
      <c r="M220" s="48">
        <f t="shared" si="28"/>
        <v>10924.4</v>
      </c>
      <c r="N220" s="48">
        <f t="shared" si="29"/>
        <v>2002.6</v>
      </c>
      <c r="O220" s="50">
        <f t="shared" si="30"/>
        <v>12927</v>
      </c>
      <c r="P220" s="50">
        <v>0</v>
      </c>
      <c r="Q220" s="76"/>
      <c r="R220" s="140">
        <f>IF((2*S9+2*S10)&gt;50,50,(2*S9+2*S10))</f>
        <v>10</v>
      </c>
      <c r="S220" s="79">
        <v>892.01</v>
      </c>
      <c r="T220" s="80">
        <v>163.52000000000001</v>
      </c>
    </row>
    <row r="221" spans="2:20" ht="28">
      <c r="B221" s="5" t="s">
        <v>560</v>
      </c>
      <c r="C221" s="45" t="s">
        <v>165</v>
      </c>
      <c r="D221" s="45" t="s">
        <v>561</v>
      </c>
      <c r="E221" s="6" t="s">
        <v>562</v>
      </c>
      <c r="F221" s="45" t="s">
        <v>559</v>
      </c>
      <c r="G221" s="46">
        <f t="shared" si="24"/>
        <v>5</v>
      </c>
      <c r="H221" s="46">
        <f>TRUNC(S221*(1-LOTE_01!$K$10),2)</f>
        <v>1795.08</v>
      </c>
      <c r="I221" s="46">
        <f>TRUNC(T221*(1-LOTE_01!$K$10),2)</f>
        <v>163.52000000000001</v>
      </c>
      <c r="J221" s="100">
        <f t="shared" si="25"/>
        <v>0.22470000000000001</v>
      </c>
      <c r="K221" s="48">
        <f t="shared" si="26"/>
        <v>2198.4299999999998</v>
      </c>
      <c r="L221" s="48">
        <f t="shared" si="27"/>
        <v>200.26</v>
      </c>
      <c r="M221" s="48">
        <f t="shared" si="28"/>
        <v>10992.15</v>
      </c>
      <c r="N221" s="48">
        <f t="shared" si="29"/>
        <v>1001.3</v>
      </c>
      <c r="O221" s="50">
        <f t="shared" si="30"/>
        <v>11993.45</v>
      </c>
      <c r="P221" s="50">
        <v>0</v>
      </c>
      <c r="Q221" s="76"/>
      <c r="R221" s="140">
        <f>IF((1*S9+1*S10)&gt;20,20,(1*S9+1*S10))</f>
        <v>5</v>
      </c>
      <c r="S221" s="79">
        <v>1795.08</v>
      </c>
      <c r="T221" s="80">
        <v>163.52000000000001</v>
      </c>
    </row>
    <row r="222" spans="2:20" ht="98">
      <c r="B222" s="5" t="s">
        <v>563</v>
      </c>
      <c r="C222" s="45" t="s">
        <v>135</v>
      </c>
      <c r="D222" s="45">
        <v>90793</v>
      </c>
      <c r="E222" s="6" t="s">
        <v>1794</v>
      </c>
      <c r="F222" s="45" t="s">
        <v>210</v>
      </c>
      <c r="G222" s="46">
        <f t="shared" si="24"/>
        <v>10</v>
      </c>
      <c r="H222" s="46">
        <f>TRUNC(S222*(1-LOTE_01!$K$10),2)</f>
        <v>876.42</v>
      </c>
      <c r="I222" s="46">
        <f>TRUNC(T222*(1-LOTE_01!$K$10),2)</f>
        <v>25.43</v>
      </c>
      <c r="J222" s="100">
        <f t="shared" si="25"/>
        <v>0.22470000000000001</v>
      </c>
      <c r="K222" s="48">
        <f t="shared" si="26"/>
        <v>1073.3499999999999</v>
      </c>
      <c r="L222" s="48">
        <f t="shared" si="27"/>
        <v>31.14</v>
      </c>
      <c r="M222" s="48">
        <f t="shared" si="28"/>
        <v>10733.5</v>
      </c>
      <c r="N222" s="48">
        <f t="shared" si="29"/>
        <v>311.39999999999998</v>
      </c>
      <c r="O222" s="50">
        <f t="shared" si="30"/>
        <v>11044.9</v>
      </c>
      <c r="P222" s="50">
        <v>0</v>
      </c>
      <c r="Q222" s="76"/>
      <c r="R222" s="140">
        <f>IF((2*S9+2*S10)&gt;20,20,(2*S9+2*S10))</f>
        <v>10</v>
      </c>
      <c r="S222" s="79">
        <v>876.42000000000007</v>
      </c>
      <c r="T222" s="80">
        <v>25.43</v>
      </c>
    </row>
    <row r="223" spans="2:20" ht="56">
      <c r="B223" s="5" t="s">
        <v>564</v>
      </c>
      <c r="C223" s="45" t="s">
        <v>97</v>
      </c>
      <c r="D223" s="45" t="s">
        <v>565</v>
      </c>
      <c r="E223" s="6" t="s">
        <v>566</v>
      </c>
      <c r="F223" s="45" t="s">
        <v>104</v>
      </c>
      <c r="G223" s="46">
        <f t="shared" si="24"/>
        <v>25</v>
      </c>
      <c r="H223" s="46">
        <f>TRUNC(S223*(1-LOTE_01!$K$10),2)</f>
        <v>1704.84</v>
      </c>
      <c r="I223" s="46">
        <f>TRUNC(T223*(1-LOTE_01!$K$10),2)</f>
        <v>55.95</v>
      </c>
      <c r="J223" s="100">
        <f t="shared" si="25"/>
        <v>0.22470000000000001</v>
      </c>
      <c r="K223" s="48">
        <f t="shared" si="26"/>
        <v>2087.91</v>
      </c>
      <c r="L223" s="48">
        <f t="shared" si="27"/>
        <v>68.52</v>
      </c>
      <c r="M223" s="48">
        <f t="shared" si="28"/>
        <v>52197.75</v>
      </c>
      <c r="N223" s="48">
        <f t="shared" si="29"/>
        <v>1713</v>
      </c>
      <c r="O223" s="50">
        <f t="shared" si="30"/>
        <v>53910.75</v>
      </c>
      <c r="P223" s="50">
        <v>0</v>
      </c>
      <c r="Q223" s="76"/>
      <c r="R223" s="140">
        <f>5*(S9+S10)</f>
        <v>25</v>
      </c>
      <c r="S223" s="79">
        <v>1704.84</v>
      </c>
      <c r="T223" s="80">
        <v>55.95</v>
      </c>
    </row>
    <row r="224" spans="2:20" ht="28">
      <c r="B224" s="5" t="s">
        <v>567</v>
      </c>
      <c r="C224" s="45" t="s">
        <v>97</v>
      </c>
      <c r="D224" s="45" t="s">
        <v>568</v>
      </c>
      <c r="E224" s="6" t="s">
        <v>569</v>
      </c>
      <c r="F224" s="45" t="s">
        <v>104</v>
      </c>
      <c r="G224" s="46">
        <f t="shared" si="24"/>
        <v>10</v>
      </c>
      <c r="H224" s="46">
        <f>TRUNC(S224*(1-LOTE_01!$K$10),2)</f>
        <v>291.07</v>
      </c>
      <c r="I224" s="46">
        <f>TRUNC(T224*(1-LOTE_01!$K$10),2)</f>
        <v>16.2</v>
      </c>
      <c r="J224" s="100">
        <f t="shared" si="25"/>
        <v>0.22470000000000001</v>
      </c>
      <c r="K224" s="48">
        <f t="shared" si="26"/>
        <v>356.47</v>
      </c>
      <c r="L224" s="48">
        <f t="shared" si="27"/>
        <v>19.84</v>
      </c>
      <c r="M224" s="48">
        <f t="shared" si="28"/>
        <v>3564.7</v>
      </c>
      <c r="N224" s="48">
        <f t="shared" si="29"/>
        <v>198.4</v>
      </c>
      <c r="O224" s="50">
        <f t="shared" si="30"/>
        <v>3763.1</v>
      </c>
      <c r="P224" s="50">
        <v>0</v>
      </c>
      <c r="Q224" s="76"/>
      <c r="R224" s="140">
        <f>IF((2*S9+2*S10)&gt;50,50,(2*S9+2*S10))</f>
        <v>10</v>
      </c>
      <c r="S224" s="79">
        <v>291.07</v>
      </c>
      <c r="T224" s="80">
        <v>16.2</v>
      </c>
    </row>
    <row r="225" spans="2:20" ht="42">
      <c r="B225" s="5" t="s">
        <v>570</v>
      </c>
      <c r="C225" s="45" t="s">
        <v>135</v>
      </c>
      <c r="D225" s="45">
        <v>100701</v>
      </c>
      <c r="E225" s="6" t="s">
        <v>1795</v>
      </c>
      <c r="F225" s="45" t="s">
        <v>121</v>
      </c>
      <c r="G225" s="46">
        <f t="shared" si="24"/>
        <v>29</v>
      </c>
      <c r="H225" s="46">
        <f>TRUNC(S225*(1-LOTE_01!$K$10),2)</f>
        <v>679.24</v>
      </c>
      <c r="I225" s="46">
        <f>TRUNC(T225*(1-LOTE_01!$K$10),2)</f>
        <v>16.13</v>
      </c>
      <c r="J225" s="100">
        <f t="shared" si="25"/>
        <v>0.22470000000000001</v>
      </c>
      <c r="K225" s="48">
        <f t="shared" si="26"/>
        <v>831.86</v>
      </c>
      <c r="L225" s="48">
        <f t="shared" si="27"/>
        <v>19.75</v>
      </c>
      <c r="M225" s="48">
        <f t="shared" si="28"/>
        <v>24123.94</v>
      </c>
      <c r="N225" s="48">
        <f t="shared" si="29"/>
        <v>572.75</v>
      </c>
      <c r="O225" s="50">
        <f t="shared" si="30"/>
        <v>24696.69</v>
      </c>
      <c r="P225" s="50">
        <v>0</v>
      </c>
      <c r="Q225" s="76"/>
      <c r="R225" s="140">
        <f>IF((5*S9+7*S10)&gt;100,100,(5*S9+7*S10))</f>
        <v>29</v>
      </c>
      <c r="S225" s="79">
        <v>679.24</v>
      </c>
      <c r="T225" s="80">
        <v>16.13</v>
      </c>
    </row>
    <row r="226" spans="2:20" ht="42">
      <c r="B226" s="5" t="s">
        <v>571</v>
      </c>
      <c r="C226" s="45" t="s">
        <v>135</v>
      </c>
      <c r="D226" s="45">
        <v>90838</v>
      </c>
      <c r="E226" s="6" t="s">
        <v>1796</v>
      </c>
      <c r="F226" s="45" t="s">
        <v>210</v>
      </c>
      <c r="G226" s="46">
        <f t="shared" si="24"/>
        <v>5</v>
      </c>
      <c r="H226" s="46">
        <f>TRUNC(S226*(1-LOTE_01!$K$10),2)</f>
        <v>1598.95</v>
      </c>
      <c r="I226" s="46">
        <f>TRUNC(T226*(1-LOTE_01!$K$10),2)</f>
        <v>112.43</v>
      </c>
      <c r="J226" s="100">
        <f t="shared" si="25"/>
        <v>0.22470000000000001</v>
      </c>
      <c r="K226" s="48">
        <f t="shared" si="26"/>
        <v>1958.23</v>
      </c>
      <c r="L226" s="48">
        <f t="shared" si="27"/>
        <v>137.69</v>
      </c>
      <c r="M226" s="48">
        <f t="shared" si="28"/>
        <v>9791.15</v>
      </c>
      <c r="N226" s="48">
        <f t="shared" si="29"/>
        <v>688.45</v>
      </c>
      <c r="O226" s="50">
        <f t="shared" si="30"/>
        <v>10479.6</v>
      </c>
      <c r="P226" s="50">
        <v>0</v>
      </c>
      <c r="Q226" s="76"/>
      <c r="R226" s="140">
        <f>IF((1*S9+1*S10)&gt;10,10,(1*S9+1*S10))</f>
        <v>5</v>
      </c>
      <c r="S226" s="79">
        <v>1598.95</v>
      </c>
      <c r="T226" s="80">
        <v>112.43</v>
      </c>
    </row>
    <row r="227" spans="2:20" ht="56">
      <c r="B227" s="5" t="s">
        <v>572</v>
      </c>
      <c r="C227" s="45" t="s">
        <v>135</v>
      </c>
      <c r="D227" s="45">
        <v>91341</v>
      </c>
      <c r="E227" s="6" t="s">
        <v>1797</v>
      </c>
      <c r="F227" s="45" t="s">
        <v>121</v>
      </c>
      <c r="G227" s="46">
        <f t="shared" si="24"/>
        <v>7</v>
      </c>
      <c r="H227" s="46">
        <f>TRUNC(S227*(1-LOTE_01!$K$10),2)</f>
        <v>696.91</v>
      </c>
      <c r="I227" s="46">
        <f>TRUNC(T227*(1-LOTE_01!$K$10),2)</f>
        <v>12.55</v>
      </c>
      <c r="J227" s="100">
        <f t="shared" si="25"/>
        <v>0.22470000000000001</v>
      </c>
      <c r="K227" s="48">
        <f t="shared" si="26"/>
        <v>853.5</v>
      </c>
      <c r="L227" s="48">
        <f t="shared" si="27"/>
        <v>15.36</v>
      </c>
      <c r="M227" s="48">
        <f t="shared" si="28"/>
        <v>5974.5</v>
      </c>
      <c r="N227" s="48">
        <f t="shared" si="29"/>
        <v>107.52</v>
      </c>
      <c r="O227" s="50">
        <f t="shared" si="30"/>
        <v>6082.02</v>
      </c>
      <c r="P227" s="50">
        <v>0</v>
      </c>
      <c r="Q227" s="76"/>
      <c r="R227" s="140">
        <f>IF((1*S9+2*S10)&gt;20,20,(1*S9+2*S10))</f>
        <v>7</v>
      </c>
      <c r="S227" s="79">
        <v>696.91000000000008</v>
      </c>
      <c r="T227" s="80">
        <v>12.55</v>
      </c>
    </row>
    <row r="228" spans="2:20" ht="56">
      <c r="B228" s="5" t="s">
        <v>573</v>
      </c>
      <c r="C228" s="45" t="s">
        <v>135</v>
      </c>
      <c r="D228" s="45">
        <v>100702</v>
      </c>
      <c r="E228" s="6" t="s">
        <v>1798</v>
      </c>
      <c r="F228" s="45" t="s">
        <v>121</v>
      </c>
      <c r="G228" s="46">
        <f t="shared" si="24"/>
        <v>50</v>
      </c>
      <c r="H228" s="46">
        <f>TRUNC(S228*(1-LOTE_01!$K$10),2)</f>
        <v>495.49</v>
      </c>
      <c r="I228" s="46">
        <f>TRUNC(T228*(1-LOTE_01!$K$10),2)</f>
        <v>9.2799999999999994</v>
      </c>
      <c r="J228" s="100">
        <f t="shared" si="25"/>
        <v>0.22470000000000001</v>
      </c>
      <c r="K228" s="48">
        <f t="shared" si="26"/>
        <v>606.82000000000005</v>
      </c>
      <c r="L228" s="48">
        <f t="shared" si="27"/>
        <v>11.36</v>
      </c>
      <c r="M228" s="48">
        <f t="shared" si="28"/>
        <v>30341</v>
      </c>
      <c r="N228" s="48">
        <f t="shared" si="29"/>
        <v>568</v>
      </c>
      <c r="O228" s="50">
        <f t="shared" si="30"/>
        <v>30909</v>
      </c>
      <c r="P228" s="50">
        <v>0</v>
      </c>
      <c r="Q228" s="76"/>
      <c r="R228" s="140">
        <f>IF((10*S9+10*S10)&gt;50,50,(10*S9+10*S10))</f>
        <v>50</v>
      </c>
      <c r="S228" s="79">
        <v>495.49</v>
      </c>
      <c r="T228" s="80">
        <v>9.2799999999999994</v>
      </c>
    </row>
    <row r="229" spans="2:20" ht="112">
      <c r="B229" s="5" t="s">
        <v>574</v>
      </c>
      <c r="C229" s="45" t="s">
        <v>135</v>
      </c>
      <c r="D229" s="45">
        <v>94569</v>
      </c>
      <c r="E229" s="6" t="s">
        <v>575</v>
      </c>
      <c r="F229" s="45" t="s">
        <v>121</v>
      </c>
      <c r="G229" s="46">
        <f t="shared" si="24"/>
        <v>25</v>
      </c>
      <c r="H229" s="46">
        <f>TRUNC(S229*(1-LOTE_01!$K$10),2)</f>
        <v>634.29999999999995</v>
      </c>
      <c r="I229" s="46">
        <f>TRUNC(T229*(1-LOTE_01!$K$10),2)</f>
        <v>32.75</v>
      </c>
      <c r="J229" s="100">
        <f t="shared" si="25"/>
        <v>0.22470000000000001</v>
      </c>
      <c r="K229" s="48">
        <f t="shared" si="26"/>
        <v>776.82</v>
      </c>
      <c r="L229" s="48">
        <f t="shared" si="27"/>
        <v>40.1</v>
      </c>
      <c r="M229" s="48">
        <f t="shared" si="28"/>
        <v>19420.5</v>
      </c>
      <c r="N229" s="48">
        <f t="shared" si="29"/>
        <v>1002.5</v>
      </c>
      <c r="O229" s="50">
        <f t="shared" si="30"/>
        <v>20423</v>
      </c>
      <c r="P229" s="50">
        <v>0</v>
      </c>
      <c r="Q229" s="76"/>
      <c r="R229" s="140">
        <f>IF((5*S9+5*S10)&gt;50,50,(5*S9+5*S10))</f>
        <v>25</v>
      </c>
      <c r="S229" s="79">
        <v>634.29999999999995</v>
      </c>
      <c r="T229" s="80">
        <v>32.75</v>
      </c>
    </row>
    <row r="230" spans="2:20" ht="140">
      <c r="B230" s="5" t="s">
        <v>576</v>
      </c>
      <c r="C230" s="45" t="s">
        <v>135</v>
      </c>
      <c r="D230" s="45">
        <v>94570</v>
      </c>
      <c r="E230" s="6" t="s">
        <v>577</v>
      </c>
      <c r="F230" s="45" t="s">
        <v>121</v>
      </c>
      <c r="G230" s="46">
        <f t="shared" si="24"/>
        <v>25</v>
      </c>
      <c r="H230" s="46">
        <f>TRUNC(S230*(1-LOTE_01!$K$10),2)</f>
        <v>341.52</v>
      </c>
      <c r="I230" s="46">
        <f>TRUNC(T230*(1-LOTE_01!$K$10),2)</f>
        <v>10.119999999999999</v>
      </c>
      <c r="J230" s="100">
        <f t="shared" si="25"/>
        <v>0.22470000000000001</v>
      </c>
      <c r="K230" s="48">
        <f t="shared" si="26"/>
        <v>418.25</v>
      </c>
      <c r="L230" s="48">
        <f t="shared" si="27"/>
        <v>12.39</v>
      </c>
      <c r="M230" s="48">
        <f t="shared" si="28"/>
        <v>10456.25</v>
      </c>
      <c r="N230" s="48">
        <f t="shared" si="29"/>
        <v>309.75</v>
      </c>
      <c r="O230" s="50">
        <f t="shared" si="30"/>
        <v>10766</v>
      </c>
      <c r="P230" s="50">
        <v>0</v>
      </c>
      <c r="Q230" s="76"/>
      <c r="R230" s="140">
        <f>IF((5*S9+5*S10)&gt;50,50,(5*S9+5*S10))</f>
        <v>25</v>
      </c>
      <c r="S230" s="79">
        <v>341.52</v>
      </c>
      <c r="T230" s="80">
        <v>10.119999999999999</v>
      </c>
    </row>
    <row r="231" spans="2:20" ht="98">
      <c r="B231" s="5" t="s">
        <v>578</v>
      </c>
      <c r="C231" s="45" t="s">
        <v>135</v>
      </c>
      <c r="D231" s="45">
        <v>100674</v>
      </c>
      <c r="E231" s="6" t="s">
        <v>579</v>
      </c>
      <c r="F231" s="45" t="s">
        <v>121</v>
      </c>
      <c r="G231" s="46">
        <f t="shared" si="24"/>
        <v>25</v>
      </c>
      <c r="H231" s="46">
        <f>TRUNC(S231*(1-LOTE_01!$K$10),2)</f>
        <v>739.45</v>
      </c>
      <c r="I231" s="46">
        <f>TRUNC(T231*(1-LOTE_01!$K$10),2)</f>
        <v>24.05</v>
      </c>
      <c r="J231" s="100">
        <f t="shared" si="25"/>
        <v>0.22470000000000001</v>
      </c>
      <c r="K231" s="48">
        <f t="shared" si="26"/>
        <v>905.6</v>
      </c>
      <c r="L231" s="48">
        <f t="shared" si="27"/>
        <v>29.45</v>
      </c>
      <c r="M231" s="48">
        <f t="shared" si="28"/>
        <v>22640</v>
      </c>
      <c r="N231" s="48">
        <f t="shared" si="29"/>
        <v>736.25</v>
      </c>
      <c r="O231" s="50">
        <f t="shared" si="30"/>
        <v>23376.25</v>
      </c>
      <c r="P231" s="50">
        <v>0</v>
      </c>
      <c r="Q231" s="76"/>
      <c r="R231" s="140">
        <f>IF((5*S9+5*S10)&gt;50,50,(5*S9+5*S10))</f>
        <v>25</v>
      </c>
      <c r="S231" s="79">
        <v>739.45</v>
      </c>
      <c r="T231" s="80">
        <v>24.05</v>
      </c>
    </row>
    <row r="232" spans="2:20" ht="140">
      <c r="B232" s="5" t="s">
        <v>580</v>
      </c>
      <c r="C232" s="45" t="s">
        <v>135</v>
      </c>
      <c r="D232" s="45">
        <v>94573</v>
      </c>
      <c r="E232" s="6" t="s">
        <v>581</v>
      </c>
      <c r="F232" s="45" t="s">
        <v>121</v>
      </c>
      <c r="G232" s="46">
        <f t="shared" si="24"/>
        <v>25</v>
      </c>
      <c r="H232" s="46">
        <f>TRUNC(S232*(1-LOTE_01!$K$10),2)</f>
        <v>380.58</v>
      </c>
      <c r="I232" s="46">
        <f>TRUNC(T232*(1-LOTE_01!$K$10),2)</f>
        <v>10.07</v>
      </c>
      <c r="J232" s="100">
        <f t="shared" si="25"/>
        <v>0.22470000000000001</v>
      </c>
      <c r="K232" s="48">
        <f t="shared" si="26"/>
        <v>466.09</v>
      </c>
      <c r="L232" s="48">
        <f t="shared" si="27"/>
        <v>12.33</v>
      </c>
      <c r="M232" s="48">
        <f t="shared" si="28"/>
        <v>11652.25</v>
      </c>
      <c r="N232" s="48">
        <f t="shared" si="29"/>
        <v>308.25</v>
      </c>
      <c r="O232" s="50">
        <f t="shared" si="30"/>
        <v>11960.5</v>
      </c>
      <c r="P232" s="50">
        <v>0</v>
      </c>
      <c r="Q232" s="76"/>
      <c r="R232" s="140">
        <f>IF((5*S9+5*S10)&gt;50,50,(5*S9+5*S10))</f>
        <v>25</v>
      </c>
      <c r="S232" s="79">
        <v>380.58</v>
      </c>
      <c r="T232" s="80">
        <v>10.07</v>
      </c>
    </row>
    <row r="233" spans="2:20" ht="28">
      <c r="B233" s="5" t="s">
        <v>582</v>
      </c>
      <c r="C233" s="45" t="s">
        <v>165</v>
      </c>
      <c r="D233" s="45" t="s">
        <v>583</v>
      </c>
      <c r="E233" s="6" t="s">
        <v>584</v>
      </c>
      <c r="F233" s="45" t="s">
        <v>168</v>
      </c>
      <c r="G233" s="46">
        <f t="shared" si="24"/>
        <v>100</v>
      </c>
      <c r="H233" s="46">
        <f>TRUNC(S233*(1-LOTE_01!$K$10),2)</f>
        <v>652.55999999999995</v>
      </c>
      <c r="I233" s="46">
        <f>TRUNC(T233*(1-LOTE_01!$K$10),2)</f>
        <v>94.19</v>
      </c>
      <c r="J233" s="100">
        <f t="shared" si="25"/>
        <v>0.22470000000000001</v>
      </c>
      <c r="K233" s="48">
        <f t="shared" si="26"/>
        <v>799.19</v>
      </c>
      <c r="L233" s="48">
        <f t="shared" si="27"/>
        <v>115.35</v>
      </c>
      <c r="M233" s="48">
        <f t="shared" si="28"/>
        <v>79919</v>
      </c>
      <c r="N233" s="48">
        <f t="shared" si="29"/>
        <v>11535</v>
      </c>
      <c r="O233" s="50">
        <f t="shared" si="30"/>
        <v>91454</v>
      </c>
      <c r="P233" s="50">
        <v>0</v>
      </c>
      <c r="Q233" s="76"/>
      <c r="R233" s="140">
        <f>IF((20*S9+20*S10)&gt;100,100,(20*S9+20*S10))</f>
        <v>100</v>
      </c>
      <c r="S233" s="79">
        <v>652.55999999999995</v>
      </c>
      <c r="T233" s="80">
        <v>94.19</v>
      </c>
    </row>
    <row r="234" spans="2:20" ht="42">
      <c r="B234" s="5" t="s">
        <v>585</v>
      </c>
      <c r="C234" s="45" t="s">
        <v>135</v>
      </c>
      <c r="D234" s="45">
        <v>99861</v>
      </c>
      <c r="E234" s="6" t="s">
        <v>1799</v>
      </c>
      <c r="F234" s="45" t="s">
        <v>121</v>
      </c>
      <c r="G234" s="46">
        <f t="shared" si="24"/>
        <v>100</v>
      </c>
      <c r="H234" s="46">
        <f>TRUNC(S234*(1-LOTE_01!$K$10),2)</f>
        <v>292.85000000000002</v>
      </c>
      <c r="I234" s="46">
        <f>TRUNC(T234*(1-LOTE_01!$K$10),2)</f>
        <v>264.2</v>
      </c>
      <c r="J234" s="100">
        <f t="shared" si="25"/>
        <v>0.22470000000000001</v>
      </c>
      <c r="K234" s="48">
        <f t="shared" si="26"/>
        <v>358.65</v>
      </c>
      <c r="L234" s="48">
        <f t="shared" si="27"/>
        <v>323.56</v>
      </c>
      <c r="M234" s="48">
        <f t="shared" si="28"/>
        <v>35865</v>
      </c>
      <c r="N234" s="48">
        <f t="shared" si="29"/>
        <v>32356</v>
      </c>
      <c r="O234" s="50">
        <f t="shared" si="30"/>
        <v>68221</v>
      </c>
      <c r="P234" s="50">
        <v>0</v>
      </c>
      <c r="Q234" s="76"/>
      <c r="R234" s="140">
        <f>IF((20*S9+20*S10)&gt;100,100,(20*S9+20*S10))</f>
        <v>100</v>
      </c>
      <c r="S234" s="79">
        <v>292.84999999999997</v>
      </c>
      <c r="T234" s="80">
        <v>264.2</v>
      </c>
    </row>
    <row r="235" spans="2:20" ht="28">
      <c r="B235" s="5" t="s">
        <v>586</v>
      </c>
      <c r="C235" s="45" t="s">
        <v>97</v>
      </c>
      <c r="D235" s="45" t="s">
        <v>587</v>
      </c>
      <c r="E235" s="6" t="s">
        <v>588</v>
      </c>
      <c r="F235" s="45" t="s">
        <v>187</v>
      </c>
      <c r="G235" s="46">
        <f t="shared" si="24"/>
        <v>50</v>
      </c>
      <c r="H235" s="46">
        <f>TRUNC(S235*(1-LOTE_01!$K$10),2)</f>
        <v>408.15</v>
      </c>
      <c r="I235" s="46">
        <f>TRUNC(T235*(1-LOTE_01!$K$10),2)</f>
        <v>51.82</v>
      </c>
      <c r="J235" s="100">
        <f t="shared" si="25"/>
        <v>0.22470000000000001</v>
      </c>
      <c r="K235" s="48">
        <f t="shared" si="26"/>
        <v>499.86</v>
      </c>
      <c r="L235" s="48">
        <f t="shared" si="27"/>
        <v>63.46</v>
      </c>
      <c r="M235" s="48">
        <f t="shared" si="28"/>
        <v>24993</v>
      </c>
      <c r="N235" s="48">
        <f t="shared" si="29"/>
        <v>3173</v>
      </c>
      <c r="O235" s="50">
        <f t="shared" si="30"/>
        <v>28166</v>
      </c>
      <c r="P235" s="50">
        <v>0</v>
      </c>
      <c r="Q235" s="76"/>
      <c r="R235" s="140">
        <f>IF((10*S10+10*S9)&gt;100,100,(10*S10+10*S9))</f>
        <v>50</v>
      </c>
      <c r="S235" s="79">
        <v>408.15</v>
      </c>
      <c r="T235" s="80">
        <v>51.82</v>
      </c>
    </row>
    <row r="236" spans="2:20" ht="28">
      <c r="B236" s="5" t="s">
        <v>589</v>
      </c>
      <c r="C236" s="45" t="s">
        <v>165</v>
      </c>
      <c r="D236" s="45" t="s">
        <v>590</v>
      </c>
      <c r="E236" s="6" t="s">
        <v>591</v>
      </c>
      <c r="F236" s="45" t="s">
        <v>559</v>
      </c>
      <c r="G236" s="46">
        <f t="shared" si="24"/>
        <v>5</v>
      </c>
      <c r="H236" s="46">
        <f>TRUNC(S236*(1-LOTE_01!$K$10),2)</f>
        <v>1008.6</v>
      </c>
      <c r="I236" s="46">
        <f>TRUNC(T236*(1-LOTE_01!$K$10),2)</f>
        <v>18.84</v>
      </c>
      <c r="J236" s="100">
        <f t="shared" si="25"/>
        <v>0.22470000000000001</v>
      </c>
      <c r="K236" s="48">
        <f t="shared" si="26"/>
        <v>1235.23</v>
      </c>
      <c r="L236" s="48">
        <f t="shared" si="27"/>
        <v>23.07</v>
      </c>
      <c r="M236" s="48">
        <f t="shared" si="28"/>
        <v>6176.15</v>
      </c>
      <c r="N236" s="48">
        <f t="shared" si="29"/>
        <v>115.35</v>
      </c>
      <c r="O236" s="50">
        <f t="shared" si="30"/>
        <v>6291.5</v>
      </c>
      <c r="P236" s="50">
        <v>0</v>
      </c>
      <c r="Q236" s="76"/>
      <c r="R236" s="140">
        <f>IF((1*S9+1*S10)&gt;10,10,(1*S9+1*S10))</f>
        <v>5</v>
      </c>
      <c r="S236" s="79">
        <v>1008.6</v>
      </c>
      <c r="T236" s="80">
        <v>18.84</v>
      </c>
    </row>
    <row r="237" spans="2:20" ht="42">
      <c r="B237" s="5" t="s">
        <v>592</v>
      </c>
      <c r="C237" s="45" t="s">
        <v>97</v>
      </c>
      <c r="D237" s="45" t="s">
        <v>593</v>
      </c>
      <c r="E237" s="6" t="s">
        <v>594</v>
      </c>
      <c r="F237" s="45" t="s">
        <v>187</v>
      </c>
      <c r="G237" s="46">
        <f t="shared" si="24"/>
        <v>500</v>
      </c>
      <c r="H237" s="46">
        <f>TRUNC(S237*(1-LOTE_01!$K$10),2)</f>
        <v>93.49</v>
      </c>
      <c r="I237" s="46">
        <f>TRUNC(T237*(1-LOTE_01!$K$10),2)</f>
        <v>105.05</v>
      </c>
      <c r="J237" s="100">
        <f t="shared" si="25"/>
        <v>0.22470000000000001</v>
      </c>
      <c r="K237" s="48">
        <f t="shared" si="26"/>
        <v>114.49</v>
      </c>
      <c r="L237" s="48">
        <f t="shared" si="27"/>
        <v>128.65</v>
      </c>
      <c r="M237" s="48">
        <f t="shared" si="28"/>
        <v>57245</v>
      </c>
      <c r="N237" s="48">
        <f t="shared" si="29"/>
        <v>64325</v>
      </c>
      <c r="O237" s="50">
        <f t="shared" si="30"/>
        <v>121570</v>
      </c>
      <c r="P237" s="50">
        <v>0</v>
      </c>
      <c r="Q237" s="76"/>
      <c r="R237" s="140">
        <f>IF((100*S9+100*S10)&gt;1500,1500,(100*S9+100*S10))</f>
        <v>500</v>
      </c>
      <c r="S237" s="79">
        <v>93.49</v>
      </c>
      <c r="T237" s="80">
        <v>105.05</v>
      </c>
    </row>
    <row r="238" spans="2:20" ht="28">
      <c r="B238" s="5" t="s">
        <v>595</v>
      </c>
      <c r="C238" s="45" t="s">
        <v>165</v>
      </c>
      <c r="D238" s="45" t="s">
        <v>596</v>
      </c>
      <c r="E238" s="6" t="s">
        <v>597</v>
      </c>
      <c r="F238" s="45" t="s">
        <v>531</v>
      </c>
      <c r="G238" s="46">
        <f t="shared" si="24"/>
        <v>5</v>
      </c>
      <c r="H238" s="46">
        <f>TRUNC(S238*(1-LOTE_01!$K$10),2)</f>
        <v>129.37</v>
      </c>
      <c r="I238" s="46">
        <f>TRUNC(T238*(1-LOTE_01!$K$10),2)</f>
        <v>31.4</v>
      </c>
      <c r="J238" s="100">
        <f t="shared" si="25"/>
        <v>0.22470000000000001</v>
      </c>
      <c r="K238" s="48">
        <f t="shared" si="26"/>
        <v>158.43</v>
      </c>
      <c r="L238" s="48">
        <f t="shared" si="27"/>
        <v>38.450000000000003</v>
      </c>
      <c r="M238" s="48">
        <f t="shared" si="28"/>
        <v>792.15</v>
      </c>
      <c r="N238" s="48">
        <f t="shared" si="29"/>
        <v>192.25</v>
      </c>
      <c r="O238" s="50">
        <f t="shared" si="30"/>
        <v>984.4</v>
      </c>
      <c r="P238" s="50">
        <v>0</v>
      </c>
      <c r="Q238" s="76"/>
      <c r="R238" s="140">
        <f>IF((1*S9+1*S10)&gt;10,10,(1*S9+1*S10))</f>
        <v>5</v>
      </c>
      <c r="S238" s="79">
        <v>129.37</v>
      </c>
      <c r="T238" s="80">
        <v>31.4</v>
      </c>
    </row>
    <row r="239" spans="2:20" ht="28">
      <c r="B239" s="5" t="s">
        <v>598</v>
      </c>
      <c r="C239" s="45" t="s">
        <v>165</v>
      </c>
      <c r="D239" s="45" t="s">
        <v>599</v>
      </c>
      <c r="E239" s="6" t="s">
        <v>600</v>
      </c>
      <c r="F239" s="45" t="s">
        <v>559</v>
      </c>
      <c r="G239" s="46">
        <f t="shared" si="24"/>
        <v>5</v>
      </c>
      <c r="H239" s="46">
        <f>TRUNC(S239*(1-LOTE_01!$K$10),2)</f>
        <v>37.82</v>
      </c>
      <c r="I239" s="46">
        <f>TRUNC(T239*(1-LOTE_01!$K$10),2)</f>
        <v>1.91</v>
      </c>
      <c r="J239" s="100">
        <f t="shared" si="25"/>
        <v>0.22470000000000001</v>
      </c>
      <c r="K239" s="48">
        <f t="shared" si="26"/>
        <v>46.31</v>
      </c>
      <c r="L239" s="48">
        <f t="shared" si="27"/>
        <v>2.33</v>
      </c>
      <c r="M239" s="48">
        <f t="shared" si="28"/>
        <v>231.55</v>
      </c>
      <c r="N239" s="48">
        <f t="shared" si="29"/>
        <v>11.65</v>
      </c>
      <c r="O239" s="50">
        <f t="shared" si="30"/>
        <v>243.2</v>
      </c>
      <c r="P239" s="50">
        <v>0</v>
      </c>
      <c r="Q239" s="76"/>
      <c r="R239" s="140">
        <f>IF((1*S9+1*S10)&gt;10,10,(1*S9+1*S10))</f>
        <v>5</v>
      </c>
      <c r="S239" s="79">
        <v>37.82</v>
      </c>
      <c r="T239" s="80">
        <v>1.91</v>
      </c>
    </row>
    <row r="240" spans="2:20" ht="28">
      <c r="B240" s="5" t="s">
        <v>601</v>
      </c>
      <c r="C240" s="45" t="s">
        <v>97</v>
      </c>
      <c r="D240" s="45" t="s">
        <v>602</v>
      </c>
      <c r="E240" s="6" t="s">
        <v>603</v>
      </c>
      <c r="F240" s="45" t="s">
        <v>121</v>
      </c>
      <c r="G240" s="46">
        <f t="shared" si="24"/>
        <v>25</v>
      </c>
      <c r="H240" s="46">
        <f>TRUNC(S240*(1-LOTE_01!$K$10),2)</f>
        <v>333.61</v>
      </c>
      <c r="I240" s="46">
        <f>TRUNC(T240*(1-LOTE_01!$K$10),2)</f>
        <v>383.24</v>
      </c>
      <c r="J240" s="100">
        <f t="shared" si="25"/>
        <v>0.22470000000000001</v>
      </c>
      <c r="K240" s="48">
        <f t="shared" si="26"/>
        <v>408.57</v>
      </c>
      <c r="L240" s="48">
        <f t="shared" si="27"/>
        <v>469.35</v>
      </c>
      <c r="M240" s="48">
        <f t="shared" si="28"/>
        <v>10214.25</v>
      </c>
      <c r="N240" s="48">
        <f t="shared" si="29"/>
        <v>11733.75</v>
      </c>
      <c r="O240" s="50">
        <f t="shared" si="30"/>
        <v>21948</v>
      </c>
      <c r="P240" s="50">
        <v>0</v>
      </c>
      <c r="Q240" s="76"/>
      <c r="R240" s="140">
        <f>IF((5*S9+5*S10)&gt;50,50,(5*S9+5*S10))</f>
        <v>25</v>
      </c>
      <c r="S240" s="79">
        <v>333.61</v>
      </c>
      <c r="T240" s="80">
        <v>383.24</v>
      </c>
    </row>
    <row r="241" spans="2:20" ht="28">
      <c r="B241" s="5" t="s">
        <v>604</v>
      </c>
      <c r="C241" s="45" t="s">
        <v>97</v>
      </c>
      <c r="D241" s="45" t="s">
        <v>605</v>
      </c>
      <c r="E241" s="6" t="s">
        <v>606</v>
      </c>
      <c r="F241" s="45" t="s">
        <v>187</v>
      </c>
      <c r="G241" s="46">
        <f t="shared" si="24"/>
        <v>500</v>
      </c>
      <c r="H241" s="46">
        <f>TRUNC(S241*(1-LOTE_01!$K$10),2)</f>
        <v>46.6</v>
      </c>
      <c r="I241" s="46">
        <f>TRUNC(T241*(1-LOTE_01!$K$10),2)</f>
        <v>21.02</v>
      </c>
      <c r="J241" s="100">
        <f t="shared" si="25"/>
        <v>0.22470000000000001</v>
      </c>
      <c r="K241" s="48">
        <f t="shared" si="26"/>
        <v>57.07</v>
      </c>
      <c r="L241" s="48">
        <f t="shared" si="27"/>
        <v>25.74</v>
      </c>
      <c r="M241" s="48">
        <f t="shared" si="28"/>
        <v>28535</v>
      </c>
      <c r="N241" s="48">
        <f t="shared" si="29"/>
        <v>12870</v>
      </c>
      <c r="O241" s="50">
        <f t="shared" si="30"/>
        <v>41405</v>
      </c>
      <c r="P241" s="50">
        <v>0</v>
      </c>
      <c r="Q241" s="76"/>
      <c r="R241" s="140">
        <f>IF((100*S10+100*S9)&gt;500,500,(100*S10+100*S9))</f>
        <v>500</v>
      </c>
      <c r="S241" s="79">
        <v>46.6</v>
      </c>
      <c r="T241" s="80">
        <v>21.02</v>
      </c>
    </row>
    <row r="242" spans="2:20">
      <c r="B242" s="101" t="s">
        <v>43</v>
      </c>
      <c r="C242" s="102" t="s">
        <v>21</v>
      </c>
      <c r="D242" s="102" t="s">
        <v>21</v>
      </c>
      <c r="E242" s="103" t="s">
        <v>46</v>
      </c>
      <c r="F242" s="102" t="s">
        <v>21</v>
      </c>
      <c r="G242" s="46">
        <f t="shared" si="24"/>
        <v>0</v>
      </c>
      <c r="H242" s="46"/>
      <c r="I242" s="46"/>
      <c r="J242" s="105"/>
      <c r="K242" s="48">
        <f t="shared" si="26"/>
        <v>0</v>
      </c>
      <c r="L242" s="48">
        <f t="shared" si="27"/>
        <v>0</v>
      </c>
      <c r="M242" s="48">
        <f t="shared" si="28"/>
        <v>0</v>
      </c>
      <c r="N242" s="48">
        <f t="shared" si="29"/>
        <v>0</v>
      </c>
      <c r="O242" s="50">
        <f t="shared" si="30"/>
        <v>0</v>
      </c>
      <c r="P242" s="50">
        <f>SUM(O243:O252)</f>
        <v>29370.089999999997</v>
      </c>
      <c r="Q242" s="76"/>
      <c r="R242" s="154"/>
      <c r="S242" s="79" t="s">
        <v>22</v>
      </c>
      <c r="T242" s="80" t="s">
        <v>22</v>
      </c>
    </row>
    <row r="243" spans="2:20" ht="28">
      <c r="B243" s="5" t="s">
        <v>607</v>
      </c>
      <c r="C243" s="45" t="s">
        <v>135</v>
      </c>
      <c r="D243" s="45">
        <v>102188</v>
      </c>
      <c r="E243" s="6" t="s">
        <v>1800</v>
      </c>
      <c r="F243" s="45" t="s">
        <v>210</v>
      </c>
      <c r="G243" s="46">
        <f t="shared" si="24"/>
        <v>5</v>
      </c>
      <c r="H243" s="46">
        <f>TRUNC(S243*(1-LOTE_01!$K$10),2)</f>
        <v>833.05</v>
      </c>
      <c r="I243" s="46">
        <f>TRUNC(T243*(1-LOTE_01!$K$10),2)</f>
        <v>67.150000000000006</v>
      </c>
      <c r="J243" s="100">
        <f t="shared" si="25"/>
        <v>0.22470000000000001</v>
      </c>
      <c r="K243" s="48">
        <f t="shared" si="26"/>
        <v>1020.23</v>
      </c>
      <c r="L243" s="48">
        <f t="shared" si="27"/>
        <v>82.23</v>
      </c>
      <c r="M243" s="48">
        <f t="shared" si="28"/>
        <v>5101.1499999999996</v>
      </c>
      <c r="N243" s="48">
        <f t="shared" si="29"/>
        <v>411.15</v>
      </c>
      <c r="O243" s="50">
        <f t="shared" si="30"/>
        <v>5512.3</v>
      </c>
      <c r="P243" s="50">
        <v>0</v>
      </c>
      <c r="Q243" s="76"/>
      <c r="R243" s="140">
        <f>IF((1*S9+1*S10)&gt;10,10,(1*S9+1*S10))</f>
        <v>5</v>
      </c>
      <c r="S243" s="79">
        <v>833.05000000000007</v>
      </c>
      <c r="T243" s="80">
        <v>67.150000000000006</v>
      </c>
    </row>
    <row r="244" spans="2:20" ht="98">
      <c r="B244" s="5" t="s">
        <v>608</v>
      </c>
      <c r="C244" s="45" t="s">
        <v>135</v>
      </c>
      <c r="D244" s="45">
        <v>102189</v>
      </c>
      <c r="E244" s="6" t="s">
        <v>1801</v>
      </c>
      <c r="F244" s="45" t="s">
        <v>210</v>
      </c>
      <c r="G244" s="46">
        <f t="shared" si="24"/>
        <v>5</v>
      </c>
      <c r="H244" s="46">
        <f>TRUNC(S244*(1-LOTE_01!$K$10),2)</f>
        <v>173.96</v>
      </c>
      <c r="I244" s="46">
        <f>TRUNC(T244*(1-LOTE_01!$K$10),2)</f>
        <v>71.67</v>
      </c>
      <c r="J244" s="100">
        <f t="shared" si="25"/>
        <v>0.22470000000000001</v>
      </c>
      <c r="K244" s="48">
        <f t="shared" si="26"/>
        <v>213.04</v>
      </c>
      <c r="L244" s="48">
        <f t="shared" si="27"/>
        <v>87.77</v>
      </c>
      <c r="M244" s="48">
        <f t="shared" si="28"/>
        <v>1065.2</v>
      </c>
      <c r="N244" s="48">
        <f t="shared" si="29"/>
        <v>438.85</v>
      </c>
      <c r="O244" s="50">
        <f t="shared" si="30"/>
        <v>1504.05</v>
      </c>
      <c r="P244" s="50">
        <v>0</v>
      </c>
      <c r="Q244" s="76"/>
      <c r="R244" s="140">
        <f>IF((1*S9+1*S10)&gt;10,10,(1*S9+1*S10))</f>
        <v>5</v>
      </c>
      <c r="S244" s="79">
        <v>173.95999999999998</v>
      </c>
      <c r="T244" s="80">
        <v>71.67</v>
      </c>
    </row>
    <row r="245" spans="2:20" ht="28">
      <c r="B245" s="5" t="s">
        <v>609</v>
      </c>
      <c r="C245" s="45" t="s">
        <v>135</v>
      </c>
      <c r="D245" s="45">
        <v>100705</v>
      </c>
      <c r="E245" s="6" t="s">
        <v>1802</v>
      </c>
      <c r="F245" s="45" t="s">
        <v>210</v>
      </c>
      <c r="G245" s="46">
        <f t="shared" si="24"/>
        <v>26</v>
      </c>
      <c r="H245" s="46">
        <f>TRUNC(S245*(1-LOTE_01!$K$10),2)</f>
        <v>50.58</v>
      </c>
      <c r="I245" s="46">
        <f>TRUNC(T245*(1-LOTE_01!$K$10),2)</f>
        <v>25.15</v>
      </c>
      <c r="J245" s="100">
        <f t="shared" si="25"/>
        <v>0.22470000000000001</v>
      </c>
      <c r="K245" s="48">
        <f t="shared" si="26"/>
        <v>61.94</v>
      </c>
      <c r="L245" s="48">
        <f t="shared" si="27"/>
        <v>30.8</v>
      </c>
      <c r="M245" s="48">
        <f t="shared" si="28"/>
        <v>1610.44</v>
      </c>
      <c r="N245" s="48">
        <f t="shared" si="29"/>
        <v>800.8</v>
      </c>
      <c r="O245" s="50">
        <f t="shared" si="30"/>
        <v>2411.2399999999998</v>
      </c>
      <c r="P245" s="50">
        <v>0</v>
      </c>
      <c r="Q245" s="76"/>
      <c r="R245" s="140">
        <f>IF((5*2*S10+2*S9)&gt;50,50,(5*2*S10+2*S9))</f>
        <v>26</v>
      </c>
      <c r="S245" s="79">
        <v>50.580000000000005</v>
      </c>
      <c r="T245" s="80">
        <v>25.15</v>
      </c>
    </row>
    <row r="246" spans="2:20" ht="56">
      <c r="B246" s="5" t="s">
        <v>610</v>
      </c>
      <c r="C246" s="45" t="s">
        <v>135</v>
      </c>
      <c r="D246" s="45">
        <v>100709</v>
      </c>
      <c r="E246" s="6" t="s">
        <v>1803</v>
      </c>
      <c r="F246" s="45" t="s">
        <v>210</v>
      </c>
      <c r="G246" s="46">
        <f t="shared" si="24"/>
        <v>30</v>
      </c>
      <c r="H246" s="46">
        <f>TRUNC(S246*(1-LOTE_01!$K$10),2)</f>
        <v>28.92</v>
      </c>
      <c r="I246" s="46">
        <f>TRUNC(T246*(1-LOTE_01!$K$10),2)</f>
        <v>35.28</v>
      </c>
      <c r="J246" s="100">
        <f t="shared" si="25"/>
        <v>0.22470000000000001</v>
      </c>
      <c r="K246" s="48">
        <f t="shared" si="26"/>
        <v>35.409999999999997</v>
      </c>
      <c r="L246" s="48">
        <f t="shared" si="27"/>
        <v>43.2</v>
      </c>
      <c r="M246" s="48">
        <f t="shared" si="28"/>
        <v>1062.3</v>
      </c>
      <c r="N246" s="48">
        <f t="shared" si="29"/>
        <v>1296</v>
      </c>
      <c r="O246" s="50">
        <f t="shared" si="30"/>
        <v>2358.3000000000002</v>
      </c>
      <c r="P246" s="50">
        <v>0</v>
      </c>
      <c r="Q246" s="76"/>
      <c r="R246" s="140">
        <f>IF((3*2*S9+3*2*S10)&gt;50,50,(3*2*S9+3*2*S10))</f>
        <v>30</v>
      </c>
      <c r="S246" s="79">
        <v>28.92</v>
      </c>
      <c r="T246" s="80">
        <v>35.28</v>
      </c>
    </row>
    <row r="247" spans="2:20" ht="28">
      <c r="B247" s="5" t="s">
        <v>611</v>
      </c>
      <c r="C247" s="45" t="s">
        <v>97</v>
      </c>
      <c r="D247" s="45" t="s">
        <v>612</v>
      </c>
      <c r="E247" s="6" t="s">
        <v>613</v>
      </c>
      <c r="F247" s="45" t="s">
        <v>104</v>
      </c>
      <c r="G247" s="46">
        <f t="shared" si="24"/>
        <v>5</v>
      </c>
      <c r="H247" s="46">
        <f>TRUNC(S247*(1-LOTE_01!$K$10),2)</f>
        <v>293.35000000000002</v>
      </c>
      <c r="I247" s="46">
        <f>TRUNC(T247*(1-LOTE_01!$K$10),2)</f>
        <v>24.82</v>
      </c>
      <c r="J247" s="100">
        <f t="shared" si="25"/>
        <v>0.22470000000000001</v>
      </c>
      <c r="K247" s="48">
        <f t="shared" si="26"/>
        <v>359.26</v>
      </c>
      <c r="L247" s="48">
        <f t="shared" si="27"/>
        <v>30.39</v>
      </c>
      <c r="M247" s="48">
        <f t="shared" si="28"/>
        <v>1796.3</v>
      </c>
      <c r="N247" s="48">
        <f t="shared" si="29"/>
        <v>151.94999999999999</v>
      </c>
      <c r="O247" s="50">
        <f t="shared" si="30"/>
        <v>1948.25</v>
      </c>
      <c r="P247" s="50">
        <v>0</v>
      </c>
      <c r="Q247" s="76"/>
      <c r="R247" s="140">
        <f>IF((1*S9+1*S10)&gt;30,30,(1*S9+1*S10))</f>
        <v>5</v>
      </c>
      <c r="S247" s="79">
        <v>293.35000000000002</v>
      </c>
      <c r="T247" s="80">
        <v>24.82</v>
      </c>
    </row>
    <row r="248" spans="2:20" ht="70">
      <c r="B248" s="5" t="s">
        <v>614</v>
      </c>
      <c r="C248" s="45" t="s">
        <v>135</v>
      </c>
      <c r="D248" s="45">
        <v>91306</v>
      </c>
      <c r="E248" s="6" t="s">
        <v>1804</v>
      </c>
      <c r="F248" s="45" t="s">
        <v>210</v>
      </c>
      <c r="G248" s="46">
        <f t="shared" si="24"/>
        <v>12</v>
      </c>
      <c r="H248" s="46">
        <f>TRUNC(S248*(1-LOTE_01!$K$10),2)</f>
        <v>134.53</v>
      </c>
      <c r="I248" s="46">
        <f>TRUNC(T248*(1-LOTE_01!$K$10),2)</f>
        <v>25.6</v>
      </c>
      <c r="J248" s="100">
        <f t="shared" si="25"/>
        <v>0.22470000000000001</v>
      </c>
      <c r="K248" s="48">
        <f t="shared" si="26"/>
        <v>164.75</v>
      </c>
      <c r="L248" s="48">
        <f t="shared" si="27"/>
        <v>31.35</v>
      </c>
      <c r="M248" s="48">
        <f t="shared" si="28"/>
        <v>1977</v>
      </c>
      <c r="N248" s="48">
        <f t="shared" si="29"/>
        <v>376.2</v>
      </c>
      <c r="O248" s="50">
        <f t="shared" si="30"/>
        <v>2353.1999999999998</v>
      </c>
      <c r="P248" s="50">
        <v>0</v>
      </c>
      <c r="Q248" s="76"/>
      <c r="R248" s="140">
        <f>IF((2*S9+3*S10)&gt;30,30,(2*S9+3*S10))</f>
        <v>12</v>
      </c>
      <c r="S248" s="79">
        <v>134.53</v>
      </c>
      <c r="T248" s="80">
        <v>25.6</v>
      </c>
    </row>
    <row r="249" spans="2:20" ht="70">
      <c r="B249" s="5" t="s">
        <v>615</v>
      </c>
      <c r="C249" s="45" t="s">
        <v>135</v>
      </c>
      <c r="D249" s="45">
        <v>90831</v>
      </c>
      <c r="E249" s="6" t="s">
        <v>1805</v>
      </c>
      <c r="F249" s="45" t="s">
        <v>210</v>
      </c>
      <c r="G249" s="46">
        <f t="shared" si="24"/>
        <v>10</v>
      </c>
      <c r="H249" s="46">
        <f>TRUNC(S249*(1-LOTE_01!$K$10),2)</f>
        <v>134.53</v>
      </c>
      <c r="I249" s="46">
        <f>TRUNC(T249*(1-LOTE_01!$K$10),2)</f>
        <v>25.6</v>
      </c>
      <c r="J249" s="100">
        <f t="shared" si="25"/>
        <v>0.22470000000000001</v>
      </c>
      <c r="K249" s="48">
        <f t="shared" si="26"/>
        <v>164.75</v>
      </c>
      <c r="L249" s="48">
        <f t="shared" si="27"/>
        <v>31.35</v>
      </c>
      <c r="M249" s="48">
        <f t="shared" si="28"/>
        <v>1647.5</v>
      </c>
      <c r="N249" s="48">
        <f t="shared" si="29"/>
        <v>313.5</v>
      </c>
      <c r="O249" s="50">
        <f t="shared" si="30"/>
        <v>1961</v>
      </c>
      <c r="P249" s="50">
        <v>0</v>
      </c>
      <c r="Q249" s="76"/>
      <c r="R249" s="140">
        <f>IF((2*S9+2*S10)&gt;30,30,(2*S9+2*S10))</f>
        <v>10</v>
      </c>
      <c r="S249" s="79">
        <v>134.53</v>
      </c>
      <c r="T249" s="80">
        <v>25.6</v>
      </c>
    </row>
    <row r="250" spans="2:20" ht="70">
      <c r="B250" s="5" t="s">
        <v>616</v>
      </c>
      <c r="C250" s="45" t="s">
        <v>135</v>
      </c>
      <c r="D250" s="45">
        <v>90830</v>
      </c>
      <c r="E250" s="6" t="s">
        <v>1806</v>
      </c>
      <c r="F250" s="45" t="s">
        <v>210</v>
      </c>
      <c r="G250" s="46">
        <f t="shared" si="24"/>
        <v>5</v>
      </c>
      <c r="H250" s="46">
        <f>TRUNC(S250*(1-LOTE_01!$K$10),2)</f>
        <v>151.79</v>
      </c>
      <c r="I250" s="46">
        <f>TRUNC(T250*(1-LOTE_01!$K$10),2)</f>
        <v>33.74</v>
      </c>
      <c r="J250" s="100">
        <f t="shared" si="25"/>
        <v>0.22470000000000001</v>
      </c>
      <c r="K250" s="48">
        <f t="shared" si="26"/>
        <v>185.89</v>
      </c>
      <c r="L250" s="48">
        <f t="shared" si="27"/>
        <v>41.32</v>
      </c>
      <c r="M250" s="48">
        <f t="shared" si="28"/>
        <v>929.45</v>
      </c>
      <c r="N250" s="48">
        <f t="shared" si="29"/>
        <v>206.6</v>
      </c>
      <c r="O250" s="50">
        <f t="shared" si="30"/>
        <v>1136.05</v>
      </c>
      <c r="P250" s="50">
        <v>0</v>
      </c>
      <c r="Q250" s="76"/>
      <c r="R250" s="140">
        <f>IF((1*S9+1*S10)&gt;30,30,(1*S9+1*S10))</f>
        <v>5</v>
      </c>
      <c r="S250" s="79">
        <v>151.79</v>
      </c>
      <c r="T250" s="80">
        <v>33.74</v>
      </c>
    </row>
    <row r="251" spans="2:20" ht="42">
      <c r="B251" s="5" t="s">
        <v>617</v>
      </c>
      <c r="C251" s="45" t="s">
        <v>97</v>
      </c>
      <c r="D251" s="45" t="s">
        <v>618</v>
      </c>
      <c r="E251" s="6" t="s">
        <v>619</v>
      </c>
      <c r="F251" s="45" t="s">
        <v>104</v>
      </c>
      <c r="G251" s="46">
        <f t="shared" si="24"/>
        <v>5</v>
      </c>
      <c r="H251" s="46">
        <f>TRUNC(S251*(1-LOTE_01!$K$10),2)</f>
        <v>116.62</v>
      </c>
      <c r="I251" s="46">
        <f>TRUNC(T251*(1-LOTE_01!$K$10),2)</f>
        <v>32.409999999999997</v>
      </c>
      <c r="J251" s="100">
        <f t="shared" si="25"/>
        <v>0.22470000000000001</v>
      </c>
      <c r="K251" s="48">
        <f t="shared" si="26"/>
        <v>142.82</v>
      </c>
      <c r="L251" s="48">
        <f t="shared" si="27"/>
        <v>39.69</v>
      </c>
      <c r="M251" s="48">
        <f t="shared" si="28"/>
        <v>714.1</v>
      </c>
      <c r="N251" s="48">
        <f t="shared" si="29"/>
        <v>198.45</v>
      </c>
      <c r="O251" s="50">
        <f t="shared" si="30"/>
        <v>912.55</v>
      </c>
      <c r="P251" s="50">
        <v>0</v>
      </c>
      <c r="Q251" s="76"/>
      <c r="R251" s="140">
        <f>IF((1*S9+1*S10)&gt;10,10,(1*S9+1*S10))</f>
        <v>5</v>
      </c>
      <c r="S251" s="79">
        <v>116.62</v>
      </c>
      <c r="T251" s="80">
        <v>32.409999999999997</v>
      </c>
    </row>
    <row r="252" spans="2:20" ht="98">
      <c r="B252" s="5" t="s">
        <v>620</v>
      </c>
      <c r="C252" s="45" t="s">
        <v>97</v>
      </c>
      <c r="D252" s="45" t="s">
        <v>621</v>
      </c>
      <c r="E252" s="7" t="s">
        <v>622</v>
      </c>
      <c r="F252" s="45" t="s">
        <v>104</v>
      </c>
      <c r="G252" s="46">
        <f t="shared" si="24"/>
        <v>5</v>
      </c>
      <c r="H252" s="46">
        <f>TRUNC(S252*(1-LOTE_01!$K$10),2)</f>
        <v>726.39</v>
      </c>
      <c r="I252" s="46">
        <f>TRUNC(T252*(1-LOTE_01!$K$10),2)</f>
        <v>787.98</v>
      </c>
      <c r="J252" s="100">
        <f t="shared" si="25"/>
        <v>0.22470000000000001</v>
      </c>
      <c r="K252" s="48">
        <f t="shared" si="26"/>
        <v>889.6</v>
      </c>
      <c r="L252" s="48">
        <f t="shared" si="27"/>
        <v>965.03</v>
      </c>
      <c r="M252" s="48">
        <f t="shared" si="28"/>
        <v>4448</v>
      </c>
      <c r="N252" s="48">
        <f t="shared" si="29"/>
        <v>4825.1499999999996</v>
      </c>
      <c r="O252" s="50">
        <f t="shared" si="30"/>
        <v>9273.15</v>
      </c>
      <c r="P252" s="50">
        <v>0</v>
      </c>
      <c r="Q252" s="76"/>
      <c r="R252" s="140">
        <f>IF((1*S9+1*S10)&gt;10,10,(1*S9+1*S10))</f>
        <v>5</v>
      </c>
      <c r="S252" s="79">
        <v>726.39</v>
      </c>
      <c r="T252" s="80">
        <v>787.98</v>
      </c>
    </row>
    <row r="253" spans="2:20">
      <c r="B253" s="101" t="s">
        <v>45</v>
      </c>
      <c r="C253" s="102" t="s">
        <v>21</v>
      </c>
      <c r="D253" s="102" t="s">
        <v>21</v>
      </c>
      <c r="E253" s="106" t="s">
        <v>86</v>
      </c>
      <c r="F253" s="102" t="s">
        <v>21</v>
      </c>
      <c r="G253" s="46">
        <f t="shared" si="24"/>
        <v>0</v>
      </c>
      <c r="H253" s="46"/>
      <c r="I253" s="46"/>
      <c r="J253" s="105"/>
      <c r="K253" s="48">
        <f t="shared" si="26"/>
        <v>0</v>
      </c>
      <c r="L253" s="48">
        <f t="shared" si="27"/>
        <v>0</v>
      </c>
      <c r="M253" s="48">
        <f t="shared" si="28"/>
        <v>0</v>
      </c>
      <c r="N253" s="48">
        <f t="shared" si="29"/>
        <v>0</v>
      </c>
      <c r="O253" s="50">
        <f t="shared" si="30"/>
        <v>0</v>
      </c>
      <c r="P253" s="50">
        <f>SUM(O254:O285)</f>
        <v>1025002.93</v>
      </c>
      <c r="Q253" s="76"/>
      <c r="R253" s="154"/>
      <c r="S253" s="79" t="s">
        <v>22</v>
      </c>
      <c r="T253" s="80" t="s">
        <v>22</v>
      </c>
    </row>
    <row r="254" spans="2:20" ht="70">
      <c r="B254" s="5" t="s">
        <v>623</v>
      </c>
      <c r="C254" s="45" t="s">
        <v>97</v>
      </c>
      <c r="D254" s="45" t="s">
        <v>624</v>
      </c>
      <c r="E254" s="6" t="s">
        <v>625</v>
      </c>
      <c r="F254" s="45" t="s">
        <v>121</v>
      </c>
      <c r="G254" s="46">
        <f t="shared" si="24"/>
        <v>550</v>
      </c>
      <c r="H254" s="46">
        <f>TRUNC(S254*(1-LOTE_01!$K$10),2)</f>
        <v>18.07</v>
      </c>
      <c r="I254" s="46">
        <f>TRUNC(T254*(1-LOTE_01!$K$10),2)</f>
        <v>4.03</v>
      </c>
      <c r="J254" s="100">
        <f t="shared" si="25"/>
        <v>0.22470000000000001</v>
      </c>
      <c r="K254" s="48">
        <f t="shared" si="26"/>
        <v>22.13</v>
      </c>
      <c r="L254" s="48">
        <f t="shared" si="27"/>
        <v>4.93</v>
      </c>
      <c r="M254" s="48">
        <f t="shared" si="28"/>
        <v>12171.5</v>
      </c>
      <c r="N254" s="48">
        <f t="shared" si="29"/>
        <v>2711.5</v>
      </c>
      <c r="O254" s="50">
        <f t="shared" si="30"/>
        <v>14883</v>
      </c>
      <c r="P254" s="50">
        <v>0</v>
      </c>
      <c r="Q254" s="76"/>
      <c r="R254" s="140">
        <f>IF((50*S9+200*S10)&gt;2000,2000,(50*S9+200*S10))</f>
        <v>550</v>
      </c>
      <c r="S254" s="79">
        <v>18.07</v>
      </c>
      <c r="T254" s="80">
        <v>4.03</v>
      </c>
    </row>
    <row r="255" spans="2:20" ht="84">
      <c r="B255" s="5" t="s">
        <v>626</v>
      </c>
      <c r="C255" s="45" t="s">
        <v>135</v>
      </c>
      <c r="D255" s="45">
        <v>92543</v>
      </c>
      <c r="E255" s="6" t="s">
        <v>1807</v>
      </c>
      <c r="F255" s="45" t="s">
        <v>121</v>
      </c>
      <c r="G255" s="46">
        <f t="shared" si="24"/>
        <v>430</v>
      </c>
      <c r="H255" s="46">
        <f>TRUNC(S255*(1-LOTE_01!$K$10),2)</f>
        <v>16.420000000000002</v>
      </c>
      <c r="I255" s="46">
        <f>TRUNC(T255*(1-LOTE_01!$K$10),2)</f>
        <v>5.1100000000000003</v>
      </c>
      <c r="J255" s="100">
        <f t="shared" si="25"/>
        <v>0.22470000000000001</v>
      </c>
      <c r="K255" s="48">
        <f t="shared" si="26"/>
        <v>20.100000000000001</v>
      </c>
      <c r="L255" s="48">
        <f t="shared" si="27"/>
        <v>6.25</v>
      </c>
      <c r="M255" s="48">
        <f t="shared" si="28"/>
        <v>8643</v>
      </c>
      <c r="N255" s="48">
        <f t="shared" si="29"/>
        <v>2687.5</v>
      </c>
      <c r="O255" s="50">
        <f t="shared" si="30"/>
        <v>11330.5</v>
      </c>
      <c r="P255" s="50">
        <v>0</v>
      </c>
      <c r="Q255" s="76"/>
      <c r="R255" s="140">
        <f>IF((10*S9+200*S10)&gt;1000,1000,(10*S9+200*S10))</f>
        <v>430</v>
      </c>
      <c r="S255" s="79">
        <v>16.420000000000002</v>
      </c>
      <c r="T255" s="80">
        <v>5.1100000000000003</v>
      </c>
    </row>
    <row r="256" spans="2:20" ht="98">
      <c r="B256" s="5" t="s">
        <v>627</v>
      </c>
      <c r="C256" s="45" t="s">
        <v>135</v>
      </c>
      <c r="D256" s="45">
        <v>92580</v>
      </c>
      <c r="E256" s="6" t="s">
        <v>1808</v>
      </c>
      <c r="F256" s="45" t="s">
        <v>121</v>
      </c>
      <c r="G256" s="46">
        <f t="shared" si="24"/>
        <v>430</v>
      </c>
      <c r="H256" s="46">
        <f>TRUNC(S256*(1-LOTE_01!$K$10),2)</f>
        <v>43.22</v>
      </c>
      <c r="I256" s="46">
        <f>TRUNC(T256*(1-LOTE_01!$K$10),2)</f>
        <v>6.46</v>
      </c>
      <c r="J256" s="100">
        <f t="shared" si="25"/>
        <v>0.22470000000000001</v>
      </c>
      <c r="K256" s="48">
        <f t="shared" si="26"/>
        <v>52.93</v>
      </c>
      <c r="L256" s="48">
        <f t="shared" si="27"/>
        <v>7.91</v>
      </c>
      <c r="M256" s="48">
        <f t="shared" si="28"/>
        <v>22759.9</v>
      </c>
      <c r="N256" s="48">
        <f t="shared" si="29"/>
        <v>3401.3</v>
      </c>
      <c r="O256" s="50">
        <f t="shared" si="30"/>
        <v>26161.200000000001</v>
      </c>
      <c r="P256" s="50">
        <v>0</v>
      </c>
      <c r="Q256" s="76"/>
      <c r="R256" s="140">
        <f>IF((10*S9+200*S10)&gt;5000,5000,(10*S9+200*S10))</f>
        <v>430</v>
      </c>
      <c r="S256" s="79">
        <v>43.22</v>
      </c>
      <c r="T256" s="80">
        <v>6.46</v>
      </c>
    </row>
    <row r="257" spans="2:20" ht="84">
      <c r="B257" s="5" t="s">
        <v>628</v>
      </c>
      <c r="C257" s="45" t="s">
        <v>135</v>
      </c>
      <c r="D257" s="45">
        <v>94207</v>
      </c>
      <c r="E257" s="6" t="s">
        <v>629</v>
      </c>
      <c r="F257" s="45" t="s">
        <v>121</v>
      </c>
      <c r="G257" s="46">
        <f t="shared" si="24"/>
        <v>430</v>
      </c>
      <c r="H257" s="46">
        <f>TRUNC(S257*(1-LOTE_01!$K$10),2)</f>
        <v>69.89</v>
      </c>
      <c r="I257" s="46">
        <f>TRUNC(T257*(1-LOTE_01!$K$10),2)</f>
        <v>5.91</v>
      </c>
      <c r="J257" s="100">
        <f t="shared" si="25"/>
        <v>0.22470000000000001</v>
      </c>
      <c r="K257" s="48">
        <f t="shared" si="26"/>
        <v>85.59</v>
      </c>
      <c r="L257" s="48">
        <f t="shared" si="27"/>
        <v>7.23</v>
      </c>
      <c r="M257" s="48">
        <f t="shared" si="28"/>
        <v>36803.699999999997</v>
      </c>
      <c r="N257" s="48">
        <f t="shared" si="29"/>
        <v>3108.9</v>
      </c>
      <c r="O257" s="50">
        <f t="shared" si="30"/>
        <v>39912.6</v>
      </c>
      <c r="P257" s="50">
        <v>0</v>
      </c>
      <c r="Q257" s="76"/>
      <c r="R257" s="140">
        <f>IF((10*S9+200*S10)&gt;1000,1000,(10*S9+200*S10))</f>
        <v>430</v>
      </c>
      <c r="S257" s="79">
        <v>69.89</v>
      </c>
      <c r="T257" s="80">
        <v>5.91</v>
      </c>
    </row>
    <row r="258" spans="2:20" ht="42">
      <c r="B258" s="5" t="s">
        <v>630</v>
      </c>
      <c r="C258" s="45" t="s">
        <v>135</v>
      </c>
      <c r="D258" s="45">
        <v>94216</v>
      </c>
      <c r="E258" s="6" t="s">
        <v>631</v>
      </c>
      <c r="F258" s="45" t="s">
        <v>121</v>
      </c>
      <c r="G258" s="46">
        <f t="shared" si="24"/>
        <v>430</v>
      </c>
      <c r="H258" s="46">
        <f>TRUNC(S258*(1-LOTE_01!$K$10),2)</f>
        <v>210.24</v>
      </c>
      <c r="I258" s="46">
        <f>TRUNC(T258*(1-LOTE_01!$K$10),2)</f>
        <v>2.33</v>
      </c>
      <c r="J258" s="100">
        <f t="shared" si="25"/>
        <v>0.22470000000000001</v>
      </c>
      <c r="K258" s="48">
        <f t="shared" si="26"/>
        <v>257.48</v>
      </c>
      <c r="L258" s="48">
        <f t="shared" si="27"/>
        <v>2.85</v>
      </c>
      <c r="M258" s="48">
        <f t="shared" si="28"/>
        <v>110716.4</v>
      </c>
      <c r="N258" s="48">
        <f t="shared" si="29"/>
        <v>1225.5</v>
      </c>
      <c r="O258" s="50">
        <f t="shared" si="30"/>
        <v>111941.9</v>
      </c>
      <c r="P258" s="50">
        <v>0</v>
      </c>
      <c r="Q258" s="76"/>
      <c r="R258" s="140">
        <f>IF((10*S9+200*S10)&gt;1000,1000,(10*S9+200*S10))</f>
        <v>430</v>
      </c>
      <c r="S258" s="79">
        <v>210.23999999999998</v>
      </c>
      <c r="T258" s="80">
        <v>2.33</v>
      </c>
    </row>
    <row r="259" spans="2:20" ht="42">
      <c r="B259" s="5" t="s">
        <v>632</v>
      </c>
      <c r="C259" s="45" t="s">
        <v>135</v>
      </c>
      <c r="D259" s="45">
        <v>94213</v>
      </c>
      <c r="E259" s="6" t="s">
        <v>633</v>
      </c>
      <c r="F259" s="45" t="s">
        <v>121</v>
      </c>
      <c r="G259" s="46">
        <f t="shared" si="24"/>
        <v>430</v>
      </c>
      <c r="H259" s="46">
        <f>TRUNC(S259*(1-LOTE_01!$K$10),2)</f>
        <v>70.47</v>
      </c>
      <c r="I259" s="46">
        <f>TRUNC(T259*(1-LOTE_01!$K$10),2)</f>
        <v>3.7</v>
      </c>
      <c r="J259" s="100">
        <f t="shared" si="25"/>
        <v>0.22470000000000001</v>
      </c>
      <c r="K259" s="48">
        <f t="shared" si="26"/>
        <v>86.3</v>
      </c>
      <c r="L259" s="48">
        <f t="shared" si="27"/>
        <v>4.53</v>
      </c>
      <c r="M259" s="48">
        <f t="shared" si="28"/>
        <v>37109</v>
      </c>
      <c r="N259" s="48">
        <f t="shared" si="29"/>
        <v>1947.9</v>
      </c>
      <c r="O259" s="50">
        <f t="shared" si="30"/>
        <v>39056.9</v>
      </c>
      <c r="P259" s="50">
        <v>0</v>
      </c>
      <c r="Q259" s="76"/>
      <c r="R259" s="140">
        <f>IF((10*S9+200*S10)&gt;1000,1000,(10*S9+200*S10))</f>
        <v>430</v>
      </c>
      <c r="S259" s="79">
        <v>70.47</v>
      </c>
      <c r="T259" s="80">
        <v>3.7</v>
      </c>
    </row>
    <row r="260" spans="2:20" ht="56">
      <c r="B260" s="5" t="s">
        <v>634</v>
      </c>
      <c r="C260" s="45" t="s">
        <v>135</v>
      </c>
      <c r="D260" s="45">
        <v>94227</v>
      </c>
      <c r="E260" s="6" t="s">
        <v>635</v>
      </c>
      <c r="F260" s="45" t="s">
        <v>187</v>
      </c>
      <c r="G260" s="46">
        <f t="shared" si="24"/>
        <v>250</v>
      </c>
      <c r="H260" s="46">
        <f>TRUNC(S260*(1-LOTE_01!$K$10),2)</f>
        <v>54.09</v>
      </c>
      <c r="I260" s="46">
        <f>TRUNC(T260*(1-LOTE_01!$K$10),2)</f>
        <v>9.56</v>
      </c>
      <c r="J260" s="100">
        <f t="shared" si="25"/>
        <v>0.22470000000000001</v>
      </c>
      <c r="K260" s="48">
        <f t="shared" si="26"/>
        <v>66.239999999999995</v>
      </c>
      <c r="L260" s="48">
        <f t="shared" si="27"/>
        <v>11.7</v>
      </c>
      <c r="M260" s="48">
        <f t="shared" si="28"/>
        <v>16560</v>
      </c>
      <c r="N260" s="48">
        <f t="shared" si="29"/>
        <v>2925</v>
      </c>
      <c r="O260" s="50">
        <f t="shared" si="30"/>
        <v>19485</v>
      </c>
      <c r="P260" s="50">
        <v>0</v>
      </c>
      <c r="Q260" s="76"/>
      <c r="R260" s="140">
        <f>IF((50*S10+50*S9)&gt;500,500,(50*S10+50*S9))</f>
        <v>250</v>
      </c>
      <c r="S260" s="79">
        <v>54.089999999999996</v>
      </c>
      <c r="T260" s="80">
        <v>9.56</v>
      </c>
    </row>
    <row r="261" spans="2:20" ht="56">
      <c r="B261" s="5" t="s">
        <v>636</v>
      </c>
      <c r="C261" s="45" t="s">
        <v>135</v>
      </c>
      <c r="D261" s="45">
        <v>94228</v>
      </c>
      <c r="E261" s="6" t="s">
        <v>637</v>
      </c>
      <c r="F261" s="45" t="s">
        <v>187</v>
      </c>
      <c r="G261" s="46">
        <f t="shared" si="24"/>
        <v>160</v>
      </c>
      <c r="H261" s="46">
        <f>TRUNC(S261*(1-LOTE_01!$K$10),2)</f>
        <v>74.459999999999994</v>
      </c>
      <c r="I261" s="46">
        <f>TRUNC(T261*(1-LOTE_01!$K$10),2)</f>
        <v>13.07</v>
      </c>
      <c r="J261" s="100">
        <f t="shared" si="25"/>
        <v>0.22470000000000001</v>
      </c>
      <c r="K261" s="48">
        <f t="shared" si="26"/>
        <v>91.19</v>
      </c>
      <c r="L261" s="48">
        <f t="shared" si="27"/>
        <v>16</v>
      </c>
      <c r="M261" s="48">
        <f t="shared" si="28"/>
        <v>14590.4</v>
      </c>
      <c r="N261" s="48">
        <f t="shared" si="29"/>
        <v>2560</v>
      </c>
      <c r="O261" s="50">
        <f t="shared" si="30"/>
        <v>17150.400000000001</v>
      </c>
      <c r="P261" s="50">
        <v>0</v>
      </c>
      <c r="Q261" s="76"/>
      <c r="R261" s="140">
        <f>IF((50*S10+20*S9)&gt;500,500,(50*S10+20*S9))</f>
        <v>160</v>
      </c>
      <c r="S261" s="79">
        <v>74.460000000000008</v>
      </c>
      <c r="T261" s="80">
        <v>13.07</v>
      </c>
    </row>
    <row r="262" spans="2:20" ht="56">
      <c r="B262" s="5" t="s">
        <v>638</v>
      </c>
      <c r="C262" s="45" t="s">
        <v>135</v>
      </c>
      <c r="D262" s="45">
        <v>94229</v>
      </c>
      <c r="E262" s="6" t="s">
        <v>639</v>
      </c>
      <c r="F262" s="45" t="s">
        <v>187</v>
      </c>
      <c r="G262" s="46">
        <f t="shared" si="24"/>
        <v>160</v>
      </c>
      <c r="H262" s="46">
        <f>TRUNC(S262*(1-LOTE_01!$K$10),2)</f>
        <v>145.62</v>
      </c>
      <c r="I262" s="46">
        <f>TRUNC(T262*(1-LOTE_01!$K$10),2)</f>
        <v>23.43</v>
      </c>
      <c r="J262" s="100">
        <f t="shared" si="25"/>
        <v>0.22470000000000001</v>
      </c>
      <c r="K262" s="48">
        <f t="shared" si="26"/>
        <v>178.34</v>
      </c>
      <c r="L262" s="48">
        <f t="shared" si="27"/>
        <v>28.69</v>
      </c>
      <c r="M262" s="48">
        <f t="shared" si="28"/>
        <v>28534.400000000001</v>
      </c>
      <c r="N262" s="48">
        <f t="shared" si="29"/>
        <v>4590.3999999999996</v>
      </c>
      <c r="O262" s="50">
        <f t="shared" si="30"/>
        <v>33124.800000000003</v>
      </c>
      <c r="P262" s="50">
        <v>0</v>
      </c>
      <c r="Q262" s="76"/>
      <c r="R262" s="140">
        <f>IF((50*S10+20*S9)&gt;500,500,(50*S10+20*S9))</f>
        <v>160</v>
      </c>
      <c r="S262" s="79">
        <v>145.62</v>
      </c>
      <c r="T262" s="80">
        <v>23.43</v>
      </c>
    </row>
    <row r="263" spans="2:20" ht="56">
      <c r="B263" s="5" t="s">
        <v>640</v>
      </c>
      <c r="C263" s="45" t="s">
        <v>135</v>
      </c>
      <c r="D263" s="45">
        <v>94223</v>
      </c>
      <c r="E263" s="6" t="s">
        <v>641</v>
      </c>
      <c r="F263" s="45" t="s">
        <v>187</v>
      </c>
      <c r="G263" s="46">
        <f t="shared" si="24"/>
        <v>250</v>
      </c>
      <c r="H263" s="46">
        <f>TRUNC(S263*(1-LOTE_01!$K$10),2)</f>
        <v>124.69</v>
      </c>
      <c r="I263" s="46">
        <f>TRUNC(T263*(1-LOTE_01!$K$10),2)</f>
        <v>2.9</v>
      </c>
      <c r="J263" s="100">
        <f t="shared" si="25"/>
        <v>0.22470000000000001</v>
      </c>
      <c r="K263" s="48">
        <f t="shared" si="26"/>
        <v>152.69999999999999</v>
      </c>
      <c r="L263" s="48">
        <f t="shared" si="27"/>
        <v>3.55</v>
      </c>
      <c r="M263" s="48">
        <f t="shared" si="28"/>
        <v>38175</v>
      </c>
      <c r="N263" s="48">
        <f t="shared" si="29"/>
        <v>887.5</v>
      </c>
      <c r="O263" s="50">
        <f t="shared" si="30"/>
        <v>39062.5</v>
      </c>
      <c r="P263" s="50">
        <v>0</v>
      </c>
      <c r="Q263" s="76"/>
      <c r="R263" s="140">
        <f>IF((50*S10+50*S9)&gt;500,500,(50*S10+50*S9))</f>
        <v>250</v>
      </c>
      <c r="S263" s="79">
        <v>124.69</v>
      </c>
      <c r="T263" s="80">
        <v>2.9</v>
      </c>
    </row>
    <row r="264" spans="2:20" ht="28">
      <c r="B264" s="5" t="s">
        <v>642</v>
      </c>
      <c r="C264" s="45" t="s">
        <v>165</v>
      </c>
      <c r="D264" s="45" t="s">
        <v>643</v>
      </c>
      <c r="E264" s="6" t="s">
        <v>644</v>
      </c>
      <c r="F264" s="45" t="s">
        <v>531</v>
      </c>
      <c r="G264" s="46">
        <f t="shared" si="24"/>
        <v>250</v>
      </c>
      <c r="H264" s="46">
        <f>TRUNC(S264*(1-LOTE_01!$K$10),2)</f>
        <v>119.54</v>
      </c>
      <c r="I264" s="46">
        <f>TRUNC(T264*(1-LOTE_01!$K$10),2)</f>
        <v>3.83</v>
      </c>
      <c r="J264" s="100">
        <f t="shared" si="25"/>
        <v>0.22470000000000001</v>
      </c>
      <c r="K264" s="48">
        <f t="shared" si="26"/>
        <v>146.4</v>
      </c>
      <c r="L264" s="48">
        <f t="shared" si="27"/>
        <v>4.6900000000000004</v>
      </c>
      <c r="M264" s="48">
        <f t="shared" si="28"/>
        <v>36600</v>
      </c>
      <c r="N264" s="48">
        <f t="shared" si="29"/>
        <v>1172.5</v>
      </c>
      <c r="O264" s="50">
        <f t="shared" si="30"/>
        <v>37772.5</v>
      </c>
      <c r="P264" s="50">
        <v>0</v>
      </c>
      <c r="Q264" s="76"/>
      <c r="R264" s="140">
        <f>IF((50*S10+50*S9)&gt;500,500,(50*S10+50*S9))</f>
        <v>250</v>
      </c>
      <c r="S264" s="79">
        <v>119.54</v>
      </c>
      <c r="T264" s="80">
        <v>3.83</v>
      </c>
    </row>
    <row r="265" spans="2:20" ht="28">
      <c r="B265" s="5" t="s">
        <v>645</v>
      </c>
      <c r="C265" s="45" t="s">
        <v>97</v>
      </c>
      <c r="D265" s="45" t="s">
        <v>646</v>
      </c>
      <c r="E265" s="6" t="s">
        <v>647</v>
      </c>
      <c r="F265" s="45" t="s">
        <v>187</v>
      </c>
      <c r="G265" s="46">
        <f t="shared" si="24"/>
        <v>250</v>
      </c>
      <c r="H265" s="46">
        <f>TRUNC(S265*(1-LOTE_01!$K$10),2)</f>
        <v>61.19</v>
      </c>
      <c r="I265" s="46">
        <f>TRUNC(T265*(1-LOTE_01!$K$10),2)</f>
        <v>4.63</v>
      </c>
      <c r="J265" s="100">
        <f t="shared" si="25"/>
        <v>0.22470000000000001</v>
      </c>
      <c r="K265" s="48">
        <f t="shared" si="26"/>
        <v>74.930000000000007</v>
      </c>
      <c r="L265" s="48">
        <f t="shared" si="27"/>
        <v>5.67</v>
      </c>
      <c r="M265" s="48">
        <f t="shared" si="28"/>
        <v>18732.5</v>
      </c>
      <c r="N265" s="48">
        <f t="shared" si="29"/>
        <v>1417.5</v>
      </c>
      <c r="O265" s="50">
        <f t="shared" si="30"/>
        <v>20150</v>
      </c>
      <c r="P265" s="50">
        <v>0</v>
      </c>
      <c r="Q265" s="76"/>
      <c r="R265" s="140">
        <f>IF((50*S10+50*S9)&gt;500,500,(50*S10+50*S9))</f>
        <v>250</v>
      </c>
      <c r="S265" s="79">
        <v>61.19</v>
      </c>
      <c r="T265" s="80">
        <v>4.63</v>
      </c>
    </row>
    <row r="266" spans="2:20" ht="56">
      <c r="B266" s="5" t="s">
        <v>648</v>
      </c>
      <c r="C266" s="45" t="s">
        <v>135</v>
      </c>
      <c r="D266" s="45">
        <v>100327</v>
      </c>
      <c r="E266" s="6" t="s">
        <v>649</v>
      </c>
      <c r="F266" s="45" t="s">
        <v>187</v>
      </c>
      <c r="G266" s="46">
        <f t="shared" si="24"/>
        <v>250</v>
      </c>
      <c r="H266" s="46">
        <f>TRUNC(S266*(1-LOTE_01!$K$10),2)</f>
        <v>52.71</v>
      </c>
      <c r="I266" s="46">
        <f>TRUNC(T266*(1-LOTE_01!$K$10),2)</f>
        <v>7.85</v>
      </c>
      <c r="J266" s="100">
        <f t="shared" si="25"/>
        <v>0.22470000000000001</v>
      </c>
      <c r="K266" s="48">
        <f t="shared" si="26"/>
        <v>64.55</v>
      </c>
      <c r="L266" s="48">
        <f t="shared" si="27"/>
        <v>9.61</v>
      </c>
      <c r="M266" s="48">
        <f t="shared" si="28"/>
        <v>16137.5</v>
      </c>
      <c r="N266" s="48">
        <f t="shared" si="29"/>
        <v>2402.5</v>
      </c>
      <c r="O266" s="50">
        <f t="shared" si="30"/>
        <v>18540</v>
      </c>
      <c r="P266" s="50">
        <v>0</v>
      </c>
      <c r="Q266" s="76"/>
      <c r="R266" s="140">
        <f>IF((50*S10+50*S9)&gt;500,500,(50*S10+50*S9))</f>
        <v>250</v>
      </c>
      <c r="S266" s="79">
        <v>52.71</v>
      </c>
      <c r="T266" s="80">
        <v>7.85</v>
      </c>
    </row>
    <row r="267" spans="2:20" ht="56">
      <c r="B267" s="5" t="s">
        <v>650</v>
      </c>
      <c r="C267" s="45" t="s">
        <v>135</v>
      </c>
      <c r="D267" s="45">
        <v>100435</v>
      </c>
      <c r="E267" s="6" t="s">
        <v>651</v>
      </c>
      <c r="F267" s="45" t="s">
        <v>187</v>
      </c>
      <c r="G267" s="46">
        <f t="shared" si="24"/>
        <v>250</v>
      </c>
      <c r="H267" s="46">
        <f>TRUNC(S267*(1-LOTE_01!$K$10),2)</f>
        <v>100.56</v>
      </c>
      <c r="I267" s="46">
        <f>TRUNC(T267*(1-LOTE_01!$K$10),2)</f>
        <v>6.22</v>
      </c>
      <c r="J267" s="100">
        <f t="shared" si="25"/>
        <v>0.22470000000000001</v>
      </c>
      <c r="K267" s="48">
        <f t="shared" si="26"/>
        <v>123.15</v>
      </c>
      <c r="L267" s="48">
        <f t="shared" si="27"/>
        <v>7.61</v>
      </c>
      <c r="M267" s="48">
        <f t="shared" si="28"/>
        <v>30787.5</v>
      </c>
      <c r="N267" s="48">
        <f t="shared" si="29"/>
        <v>1902.5</v>
      </c>
      <c r="O267" s="50">
        <f t="shared" si="30"/>
        <v>32690</v>
      </c>
      <c r="P267" s="50">
        <v>0</v>
      </c>
      <c r="Q267" s="76"/>
      <c r="R267" s="140">
        <f>IF((50*S10+50*S9)&gt;500,500,(50*S10+50*S9))</f>
        <v>250</v>
      </c>
      <c r="S267" s="79">
        <v>100.56</v>
      </c>
      <c r="T267" s="80">
        <v>6.22</v>
      </c>
    </row>
    <row r="268" spans="2:20" ht="42">
      <c r="B268" s="5" t="s">
        <v>652</v>
      </c>
      <c r="C268" s="45" t="s">
        <v>135</v>
      </c>
      <c r="D268" s="45">
        <v>94231</v>
      </c>
      <c r="E268" s="6" t="s">
        <v>653</v>
      </c>
      <c r="F268" s="45" t="s">
        <v>187</v>
      </c>
      <c r="G268" s="46">
        <f t="shared" si="24"/>
        <v>250</v>
      </c>
      <c r="H268" s="46">
        <f>TRUNC(S268*(1-LOTE_01!$K$10),2)</f>
        <v>46.41</v>
      </c>
      <c r="I268" s="46">
        <f>TRUNC(T268*(1-LOTE_01!$K$10),2)</f>
        <v>6.58</v>
      </c>
      <c r="J268" s="100">
        <f t="shared" si="25"/>
        <v>0.22470000000000001</v>
      </c>
      <c r="K268" s="48">
        <f t="shared" si="26"/>
        <v>56.83</v>
      </c>
      <c r="L268" s="48">
        <f t="shared" si="27"/>
        <v>8.0500000000000007</v>
      </c>
      <c r="M268" s="48">
        <f t="shared" si="28"/>
        <v>14207.5</v>
      </c>
      <c r="N268" s="48">
        <f t="shared" si="29"/>
        <v>2012.5</v>
      </c>
      <c r="O268" s="50">
        <f t="shared" si="30"/>
        <v>16220</v>
      </c>
      <c r="P268" s="50">
        <v>0</v>
      </c>
      <c r="Q268" s="76"/>
      <c r="R268" s="140">
        <f>IF((50*S10+50*S9)&gt;500,500,(50*S10+50*S9))</f>
        <v>250</v>
      </c>
      <c r="S268" s="79">
        <v>46.410000000000004</v>
      </c>
      <c r="T268" s="80">
        <v>6.58</v>
      </c>
    </row>
    <row r="269" spans="2:20" ht="28">
      <c r="B269" s="5" t="s">
        <v>654</v>
      </c>
      <c r="C269" s="45" t="s">
        <v>97</v>
      </c>
      <c r="D269" s="45" t="s">
        <v>655</v>
      </c>
      <c r="E269" s="6" t="s">
        <v>656</v>
      </c>
      <c r="F269" s="45" t="s">
        <v>161</v>
      </c>
      <c r="G269" s="46">
        <f t="shared" si="24"/>
        <v>7</v>
      </c>
      <c r="H269" s="46">
        <f>TRUNC(S269*(1-LOTE_01!$K$10),2)</f>
        <v>3247.14</v>
      </c>
      <c r="I269" s="46">
        <f>TRUNC(T269*(1-LOTE_01!$K$10),2)</f>
        <v>914.04</v>
      </c>
      <c r="J269" s="100">
        <f t="shared" si="25"/>
        <v>0.22470000000000001</v>
      </c>
      <c r="K269" s="48">
        <f t="shared" si="26"/>
        <v>3976.77</v>
      </c>
      <c r="L269" s="48">
        <f t="shared" si="27"/>
        <v>1119.42</v>
      </c>
      <c r="M269" s="48">
        <f t="shared" si="28"/>
        <v>27837.39</v>
      </c>
      <c r="N269" s="48">
        <f t="shared" si="29"/>
        <v>7835.94</v>
      </c>
      <c r="O269" s="50">
        <f t="shared" si="30"/>
        <v>35673.33</v>
      </c>
      <c r="P269" s="50">
        <v>0</v>
      </c>
      <c r="Q269" s="76"/>
      <c r="R269" s="140">
        <f>IF((S9+2*S10)&gt;50,50,(S9+2*S10))</f>
        <v>7</v>
      </c>
      <c r="S269" s="79">
        <v>3247.14</v>
      </c>
      <c r="T269" s="80">
        <v>914.04</v>
      </c>
    </row>
    <row r="270" spans="2:20" ht="56">
      <c r="B270" s="5" t="s">
        <v>657</v>
      </c>
      <c r="C270" s="45" t="s">
        <v>135</v>
      </c>
      <c r="D270" s="45">
        <v>98562</v>
      </c>
      <c r="E270" s="6" t="s">
        <v>658</v>
      </c>
      <c r="F270" s="45" t="s">
        <v>121</v>
      </c>
      <c r="G270" s="46">
        <f t="shared" si="24"/>
        <v>250</v>
      </c>
      <c r="H270" s="46">
        <f>TRUNC(S270*(1-LOTE_01!$K$10),2)</f>
        <v>35.950000000000003</v>
      </c>
      <c r="I270" s="46">
        <f>TRUNC(T270*(1-LOTE_01!$K$10),2)</f>
        <v>29.42</v>
      </c>
      <c r="J270" s="100">
        <f t="shared" si="25"/>
        <v>0.22470000000000001</v>
      </c>
      <c r="K270" s="48">
        <f t="shared" si="26"/>
        <v>44.02</v>
      </c>
      <c r="L270" s="48">
        <f t="shared" si="27"/>
        <v>36.03</v>
      </c>
      <c r="M270" s="48">
        <f t="shared" si="28"/>
        <v>11005</v>
      </c>
      <c r="N270" s="48">
        <f t="shared" si="29"/>
        <v>9007.5</v>
      </c>
      <c r="O270" s="50">
        <f t="shared" si="30"/>
        <v>20012.5</v>
      </c>
      <c r="P270" s="50">
        <v>0</v>
      </c>
      <c r="Q270" s="76"/>
      <c r="R270" s="140">
        <f>50*S9+50*S10</f>
        <v>250</v>
      </c>
      <c r="S270" s="79">
        <v>35.950000000000003</v>
      </c>
      <c r="T270" s="80">
        <v>29.42</v>
      </c>
    </row>
    <row r="271" spans="2:20" ht="56">
      <c r="B271" s="5" t="s">
        <v>659</v>
      </c>
      <c r="C271" s="45" t="s">
        <v>135</v>
      </c>
      <c r="D271" s="45">
        <v>98555</v>
      </c>
      <c r="E271" s="6" t="s">
        <v>660</v>
      </c>
      <c r="F271" s="45" t="s">
        <v>121</v>
      </c>
      <c r="G271" s="46">
        <f t="shared" si="24"/>
        <v>500</v>
      </c>
      <c r="H271" s="46">
        <f>TRUNC(S271*(1-LOTE_01!$K$10),2)</f>
        <v>20.46</v>
      </c>
      <c r="I271" s="46">
        <f>TRUNC(T271*(1-LOTE_01!$K$10),2)</f>
        <v>17.97</v>
      </c>
      <c r="J271" s="100">
        <f t="shared" si="25"/>
        <v>0.22470000000000001</v>
      </c>
      <c r="K271" s="48">
        <f t="shared" si="26"/>
        <v>25.05</v>
      </c>
      <c r="L271" s="48">
        <f t="shared" si="27"/>
        <v>22</v>
      </c>
      <c r="M271" s="48">
        <f t="shared" si="28"/>
        <v>12525</v>
      </c>
      <c r="N271" s="48">
        <f t="shared" si="29"/>
        <v>11000</v>
      </c>
      <c r="O271" s="50">
        <f t="shared" si="30"/>
        <v>23525</v>
      </c>
      <c r="P271" s="50">
        <v>0</v>
      </c>
      <c r="Q271" s="76"/>
      <c r="R271" s="140">
        <f>100*S9+100*S10</f>
        <v>500</v>
      </c>
      <c r="S271" s="79">
        <v>20.46</v>
      </c>
      <c r="T271" s="80">
        <v>17.97</v>
      </c>
    </row>
    <row r="272" spans="2:20" ht="70">
      <c r="B272" s="5" t="s">
        <v>661</v>
      </c>
      <c r="C272" s="45" t="s">
        <v>135</v>
      </c>
      <c r="D272" s="45">
        <v>98556</v>
      </c>
      <c r="E272" s="6" t="s">
        <v>1809</v>
      </c>
      <c r="F272" s="45" t="s">
        <v>121</v>
      </c>
      <c r="G272" s="46">
        <f t="shared" si="24"/>
        <v>500</v>
      </c>
      <c r="H272" s="46">
        <f>TRUNC(S272*(1-LOTE_01!$K$10),2)</f>
        <v>39.35</v>
      </c>
      <c r="I272" s="46">
        <f>TRUNC(T272*(1-LOTE_01!$K$10),2)</f>
        <v>29.2</v>
      </c>
      <c r="J272" s="100">
        <f t="shared" si="25"/>
        <v>0.22470000000000001</v>
      </c>
      <c r="K272" s="48">
        <f t="shared" si="26"/>
        <v>48.19</v>
      </c>
      <c r="L272" s="48">
        <f t="shared" si="27"/>
        <v>35.76</v>
      </c>
      <c r="M272" s="48">
        <f t="shared" si="28"/>
        <v>24095</v>
      </c>
      <c r="N272" s="48">
        <f t="shared" si="29"/>
        <v>17880</v>
      </c>
      <c r="O272" s="50">
        <f t="shared" si="30"/>
        <v>41975</v>
      </c>
      <c r="P272" s="50">
        <v>0</v>
      </c>
      <c r="Q272" s="76"/>
      <c r="R272" s="140">
        <f>100*S9+100*S10</f>
        <v>500</v>
      </c>
      <c r="S272" s="79">
        <v>39.349999999999994</v>
      </c>
      <c r="T272" s="80">
        <v>29.2</v>
      </c>
    </row>
    <row r="273" spans="2:20" ht="70">
      <c r="B273" s="5" t="s">
        <v>662</v>
      </c>
      <c r="C273" s="45" t="s">
        <v>135</v>
      </c>
      <c r="D273" s="45">
        <v>98547</v>
      </c>
      <c r="E273" s="6" t="s">
        <v>663</v>
      </c>
      <c r="F273" s="45" t="s">
        <v>121</v>
      </c>
      <c r="G273" s="46">
        <f t="shared" si="24"/>
        <v>500</v>
      </c>
      <c r="H273" s="46">
        <f>TRUNC(S273*(1-LOTE_01!$K$10),2)</f>
        <v>176.83</v>
      </c>
      <c r="I273" s="46">
        <f>TRUNC(T273*(1-LOTE_01!$K$10),2)</f>
        <v>42.78</v>
      </c>
      <c r="J273" s="100">
        <f t="shared" si="25"/>
        <v>0.22470000000000001</v>
      </c>
      <c r="K273" s="48">
        <f t="shared" si="26"/>
        <v>216.56</v>
      </c>
      <c r="L273" s="48">
        <f t="shared" si="27"/>
        <v>52.39</v>
      </c>
      <c r="M273" s="48">
        <f t="shared" si="28"/>
        <v>108280</v>
      </c>
      <c r="N273" s="48">
        <f t="shared" si="29"/>
        <v>26195</v>
      </c>
      <c r="O273" s="50">
        <f t="shared" si="30"/>
        <v>134475</v>
      </c>
      <c r="P273" s="50">
        <v>0</v>
      </c>
      <c r="Q273" s="76"/>
      <c r="R273" s="140">
        <f>100*S9+100*S10</f>
        <v>500</v>
      </c>
      <c r="S273" s="79">
        <v>176.83</v>
      </c>
      <c r="T273" s="80">
        <v>42.78</v>
      </c>
    </row>
    <row r="274" spans="2:20" ht="42">
      <c r="B274" s="5" t="s">
        <v>664</v>
      </c>
      <c r="C274" s="45" t="s">
        <v>135</v>
      </c>
      <c r="D274" s="45">
        <v>98553</v>
      </c>
      <c r="E274" s="6" t="s">
        <v>665</v>
      </c>
      <c r="F274" s="45" t="s">
        <v>121</v>
      </c>
      <c r="G274" s="46">
        <f t="shared" ref="G274:G337" si="31">TRUNC(R274,2)</f>
        <v>500</v>
      </c>
      <c r="H274" s="46">
        <f>TRUNC(S274*(1-LOTE_01!$K$10),2)</f>
        <v>184.71</v>
      </c>
      <c r="I274" s="46">
        <f>TRUNC(T274*(1-LOTE_01!$K$10),2)</f>
        <v>14.63</v>
      </c>
      <c r="J274" s="100">
        <f t="shared" ref="J274:J337" si="32">$J$4</f>
        <v>0.22470000000000001</v>
      </c>
      <c r="K274" s="48">
        <f t="shared" ref="K274:K337" si="33">TRUNC(H274*(1+J274),2)</f>
        <v>226.21</v>
      </c>
      <c r="L274" s="48">
        <f t="shared" ref="L274:L337" si="34">TRUNC(I274*(1+J274),2)</f>
        <v>17.91</v>
      </c>
      <c r="M274" s="48">
        <f t="shared" ref="M274:M337" si="35">TRUNC(K274*G274,2)</f>
        <v>113105</v>
      </c>
      <c r="N274" s="48">
        <f t="shared" ref="N274:N337" si="36">TRUNC(L274*G274,2)</f>
        <v>8955</v>
      </c>
      <c r="O274" s="50">
        <f t="shared" ref="O274:O337" si="37">TRUNC(M274+N274,2)</f>
        <v>122060</v>
      </c>
      <c r="P274" s="50">
        <v>0</v>
      </c>
      <c r="Q274" s="76"/>
      <c r="R274" s="140">
        <f>100*S9+100*S10</f>
        <v>500</v>
      </c>
      <c r="S274" s="79">
        <v>184.71</v>
      </c>
      <c r="T274" s="80">
        <v>14.63</v>
      </c>
    </row>
    <row r="275" spans="2:20" ht="42">
      <c r="B275" s="5" t="s">
        <v>666</v>
      </c>
      <c r="C275" s="45" t="s">
        <v>135</v>
      </c>
      <c r="D275" s="45">
        <v>98557</v>
      </c>
      <c r="E275" s="6" t="s">
        <v>667</v>
      </c>
      <c r="F275" s="45" t="s">
        <v>121</v>
      </c>
      <c r="G275" s="46">
        <f t="shared" si="31"/>
        <v>500</v>
      </c>
      <c r="H275" s="46">
        <f>TRUNC(S275*(1-LOTE_01!$K$10),2)</f>
        <v>31.48</v>
      </c>
      <c r="I275" s="46">
        <f>TRUNC(T275*(1-LOTE_01!$K$10),2)</f>
        <v>11.17</v>
      </c>
      <c r="J275" s="100">
        <f t="shared" si="32"/>
        <v>0.22470000000000001</v>
      </c>
      <c r="K275" s="48">
        <f t="shared" si="33"/>
        <v>38.549999999999997</v>
      </c>
      <c r="L275" s="48">
        <f t="shared" si="34"/>
        <v>13.67</v>
      </c>
      <c r="M275" s="48">
        <f t="shared" si="35"/>
        <v>19275</v>
      </c>
      <c r="N275" s="48">
        <f t="shared" si="36"/>
        <v>6835</v>
      </c>
      <c r="O275" s="50">
        <f t="shared" si="37"/>
        <v>26110</v>
      </c>
      <c r="P275" s="50">
        <v>0</v>
      </c>
      <c r="Q275" s="76"/>
      <c r="R275" s="140">
        <f>100*S9+100*S10</f>
        <v>500</v>
      </c>
      <c r="S275" s="79">
        <v>31.479999999999997</v>
      </c>
      <c r="T275" s="80">
        <v>11.17</v>
      </c>
    </row>
    <row r="276" spans="2:20" ht="42">
      <c r="B276" s="5" t="s">
        <v>668</v>
      </c>
      <c r="C276" s="45" t="s">
        <v>135</v>
      </c>
      <c r="D276" s="45">
        <v>98554</v>
      </c>
      <c r="E276" s="6" t="s">
        <v>669</v>
      </c>
      <c r="F276" s="45" t="s">
        <v>121</v>
      </c>
      <c r="G276" s="46">
        <f t="shared" si="31"/>
        <v>500</v>
      </c>
      <c r="H276" s="46">
        <f>TRUNC(S276*(1-LOTE_01!$K$10),2)</f>
        <v>40.630000000000003</v>
      </c>
      <c r="I276" s="46">
        <f>TRUNC(T276*(1-LOTE_01!$K$10),2)</f>
        <v>16.920000000000002</v>
      </c>
      <c r="J276" s="100">
        <f t="shared" si="32"/>
        <v>0.22470000000000001</v>
      </c>
      <c r="K276" s="48">
        <f t="shared" si="33"/>
        <v>49.75</v>
      </c>
      <c r="L276" s="48">
        <f t="shared" si="34"/>
        <v>20.72</v>
      </c>
      <c r="M276" s="48">
        <f t="shared" si="35"/>
        <v>24875</v>
      </c>
      <c r="N276" s="48">
        <f t="shared" si="36"/>
        <v>10360</v>
      </c>
      <c r="O276" s="50">
        <f t="shared" si="37"/>
        <v>35235</v>
      </c>
      <c r="P276" s="50">
        <v>0</v>
      </c>
      <c r="Q276" s="76"/>
      <c r="R276" s="140">
        <f>100*S9+100*S10</f>
        <v>500</v>
      </c>
      <c r="S276" s="79">
        <v>40.629999999999995</v>
      </c>
      <c r="T276" s="80">
        <v>16.920000000000002</v>
      </c>
    </row>
    <row r="277" spans="2:20" ht="28">
      <c r="B277" s="5" t="s">
        <v>670</v>
      </c>
      <c r="C277" s="45" t="s">
        <v>165</v>
      </c>
      <c r="D277" s="45" t="s">
        <v>671</v>
      </c>
      <c r="E277" s="6" t="s">
        <v>672</v>
      </c>
      <c r="F277" s="45" t="s">
        <v>531</v>
      </c>
      <c r="G277" s="46">
        <f t="shared" si="31"/>
        <v>250</v>
      </c>
      <c r="H277" s="46">
        <f>TRUNC(S277*(1-LOTE_01!$K$10),2)</f>
        <v>17.25</v>
      </c>
      <c r="I277" s="46">
        <f>TRUNC(T277*(1-LOTE_01!$K$10),2)</f>
        <v>5.27</v>
      </c>
      <c r="J277" s="100">
        <f t="shared" si="32"/>
        <v>0.22470000000000001</v>
      </c>
      <c r="K277" s="48">
        <f t="shared" si="33"/>
        <v>21.12</v>
      </c>
      <c r="L277" s="48">
        <f t="shared" si="34"/>
        <v>6.45</v>
      </c>
      <c r="M277" s="48">
        <f t="shared" si="35"/>
        <v>5280</v>
      </c>
      <c r="N277" s="48">
        <f t="shared" si="36"/>
        <v>1612.5</v>
      </c>
      <c r="O277" s="50">
        <f t="shared" si="37"/>
        <v>6892.5</v>
      </c>
      <c r="P277" s="50">
        <v>0</v>
      </c>
      <c r="Q277" s="76"/>
      <c r="R277" s="140">
        <f>50*S9+50*S10</f>
        <v>250</v>
      </c>
      <c r="S277" s="79">
        <v>17.25</v>
      </c>
      <c r="T277" s="80">
        <v>5.27</v>
      </c>
    </row>
    <row r="278" spans="2:20" ht="42">
      <c r="B278" s="5" t="s">
        <v>673</v>
      </c>
      <c r="C278" s="45" t="s">
        <v>165</v>
      </c>
      <c r="D278" s="45" t="s">
        <v>674</v>
      </c>
      <c r="E278" s="6" t="s">
        <v>675</v>
      </c>
      <c r="F278" s="45" t="s">
        <v>168</v>
      </c>
      <c r="G278" s="46">
        <f t="shared" si="31"/>
        <v>250</v>
      </c>
      <c r="H278" s="46">
        <f>TRUNC(S278*(1-LOTE_01!$K$10),2)</f>
        <v>58.1</v>
      </c>
      <c r="I278" s="46">
        <f>TRUNC(T278*(1-LOTE_01!$K$10),2)</f>
        <v>10.93</v>
      </c>
      <c r="J278" s="100">
        <f t="shared" si="32"/>
        <v>0.22470000000000001</v>
      </c>
      <c r="K278" s="48">
        <f t="shared" si="33"/>
        <v>71.150000000000006</v>
      </c>
      <c r="L278" s="48">
        <f t="shared" si="34"/>
        <v>13.38</v>
      </c>
      <c r="M278" s="48">
        <f t="shared" si="35"/>
        <v>17787.5</v>
      </c>
      <c r="N278" s="48">
        <f t="shared" si="36"/>
        <v>3345</v>
      </c>
      <c r="O278" s="50">
        <f t="shared" si="37"/>
        <v>21132.5</v>
      </c>
      <c r="P278" s="50">
        <v>0</v>
      </c>
      <c r="Q278" s="76"/>
      <c r="R278" s="140">
        <f>50*S9+50*S10</f>
        <v>250</v>
      </c>
      <c r="S278" s="79">
        <v>58.1</v>
      </c>
      <c r="T278" s="80">
        <v>10.93</v>
      </c>
    </row>
    <row r="279" spans="2:20" ht="42">
      <c r="B279" s="5" t="s">
        <v>676</v>
      </c>
      <c r="C279" s="45" t="s">
        <v>165</v>
      </c>
      <c r="D279" s="45" t="s">
        <v>677</v>
      </c>
      <c r="E279" s="6" t="s">
        <v>678</v>
      </c>
      <c r="F279" s="45" t="s">
        <v>168</v>
      </c>
      <c r="G279" s="46">
        <f t="shared" si="31"/>
        <v>250</v>
      </c>
      <c r="H279" s="46">
        <f>TRUNC(S279*(1-LOTE_01!$K$10),2)</f>
        <v>110.11</v>
      </c>
      <c r="I279" s="46">
        <f>TRUNC(T279*(1-LOTE_01!$K$10),2)</f>
        <v>79.19</v>
      </c>
      <c r="J279" s="100">
        <f t="shared" si="32"/>
        <v>0.22470000000000001</v>
      </c>
      <c r="K279" s="48">
        <f t="shared" si="33"/>
        <v>134.85</v>
      </c>
      <c r="L279" s="48">
        <f t="shared" si="34"/>
        <v>96.98</v>
      </c>
      <c r="M279" s="48">
        <f t="shared" si="35"/>
        <v>33712.5</v>
      </c>
      <c r="N279" s="48">
        <f t="shared" si="36"/>
        <v>24245</v>
      </c>
      <c r="O279" s="50">
        <f t="shared" si="37"/>
        <v>57957.5</v>
      </c>
      <c r="P279" s="50">
        <v>0</v>
      </c>
      <c r="Q279" s="76"/>
      <c r="R279" s="140">
        <f>50*S9+50*S10</f>
        <v>250</v>
      </c>
      <c r="S279" s="79">
        <v>110.11</v>
      </c>
      <c r="T279" s="80">
        <v>79.19</v>
      </c>
    </row>
    <row r="280" spans="2:20" ht="28">
      <c r="B280" s="5" t="s">
        <v>679</v>
      </c>
      <c r="C280" s="45" t="s">
        <v>165</v>
      </c>
      <c r="D280" s="45" t="s">
        <v>680</v>
      </c>
      <c r="E280" s="6" t="s">
        <v>681</v>
      </c>
      <c r="F280" s="45" t="s">
        <v>168</v>
      </c>
      <c r="G280" s="46">
        <f t="shared" si="31"/>
        <v>250</v>
      </c>
      <c r="H280" s="46">
        <f>TRUNC(S280*(1-LOTE_01!$K$10),2)</f>
        <v>32.67</v>
      </c>
      <c r="I280" s="46">
        <f>TRUNC(T280*(1-LOTE_01!$K$10),2)</f>
        <v>9.92</v>
      </c>
      <c r="J280" s="100">
        <f t="shared" si="32"/>
        <v>0.22470000000000001</v>
      </c>
      <c r="K280" s="48">
        <f t="shared" si="33"/>
        <v>40.01</v>
      </c>
      <c r="L280" s="48">
        <f t="shared" si="34"/>
        <v>12.14</v>
      </c>
      <c r="M280" s="48">
        <f t="shared" si="35"/>
        <v>10002.5</v>
      </c>
      <c r="N280" s="48">
        <f t="shared" si="36"/>
        <v>3035</v>
      </c>
      <c r="O280" s="50">
        <f t="shared" si="37"/>
        <v>13037.5</v>
      </c>
      <c r="P280" s="50">
        <v>0</v>
      </c>
      <c r="Q280" s="76"/>
      <c r="R280" s="140">
        <f>50*S9+50*S10</f>
        <v>250</v>
      </c>
      <c r="S280" s="79">
        <v>32.67</v>
      </c>
      <c r="T280" s="80">
        <v>9.92</v>
      </c>
    </row>
    <row r="281" spans="2:20" ht="42">
      <c r="B281" s="5" t="s">
        <v>682</v>
      </c>
      <c r="C281" s="45" t="s">
        <v>97</v>
      </c>
      <c r="D281" s="45" t="s">
        <v>683</v>
      </c>
      <c r="E281" s="6" t="s">
        <v>684</v>
      </c>
      <c r="F281" s="45" t="s">
        <v>104</v>
      </c>
      <c r="G281" s="46">
        <f t="shared" si="31"/>
        <v>20</v>
      </c>
      <c r="H281" s="46">
        <f>TRUNC(S281*(1-LOTE_01!$K$10),2)</f>
        <v>21.6</v>
      </c>
      <c r="I281" s="46">
        <f>TRUNC(T281*(1-LOTE_01!$K$10),2)</f>
        <v>1.63</v>
      </c>
      <c r="J281" s="100">
        <f t="shared" si="32"/>
        <v>0.22470000000000001</v>
      </c>
      <c r="K281" s="48">
        <f t="shared" si="33"/>
        <v>26.45</v>
      </c>
      <c r="L281" s="48">
        <f t="shared" si="34"/>
        <v>1.99</v>
      </c>
      <c r="M281" s="48">
        <f t="shared" si="35"/>
        <v>529</v>
      </c>
      <c r="N281" s="48">
        <f t="shared" si="36"/>
        <v>39.799999999999997</v>
      </c>
      <c r="O281" s="50">
        <f t="shared" si="37"/>
        <v>568.79999999999995</v>
      </c>
      <c r="P281" s="50">
        <v>0</v>
      </c>
      <c r="Q281" s="76"/>
      <c r="R281" s="140">
        <f>IF((4*S10+4*S9)&gt;50,50,(4*S10+4*S9))</f>
        <v>20</v>
      </c>
      <c r="S281" s="79">
        <v>21.6</v>
      </c>
      <c r="T281" s="80">
        <v>1.63</v>
      </c>
    </row>
    <row r="282" spans="2:20" ht="42">
      <c r="B282" s="5" t="s">
        <v>685</v>
      </c>
      <c r="C282" s="45" t="s">
        <v>97</v>
      </c>
      <c r="D282" s="45" t="s">
        <v>686</v>
      </c>
      <c r="E282" s="6" t="s">
        <v>687</v>
      </c>
      <c r="F282" s="45" t="s">
        <v>121</v>
      </c>
      <c r="G282" s="46">
        <f t="shared" si="31"/>
        <v>500</v>
      </c>
      <c r="H282" s="46">
        <f>TRUNC(S282*(1-LOTE_01!$K$10),2)</f>
        <v>3.16</v>
      </c>
      <c r="I282" s="46">
        <f>TRUNC(T282*(1-LOTE_01!$K$10),2)</f>
        <v>3.26</v>
      </c>
      <c r="J282" s="100">
        <f t="shared" si="32"/>
        <v>0.22470000000000001</v>
      </c>
      <c r="K282" s="48">
        <f t="shared" si="33"/>
        <v>3.87</v>
      </c>
      <c r="L282" s="48">
        <f t="shared" si="34"/>
        <v>3.99</v>
      </c>
      <c r="M282" s="48">
        <f t="shared" si="35"/>
        <v>1935</v>
      </c>
      <c r="N282" s="48">
        <f t="shared" si="36"/>
        <v>1995</v>
      </c>
      <c r="O282" s="50">
        <f t="shared" si="37"/>
        <v>3930</v>
      </c>
      <c r="P282" s="50">
        <v>0</v>
      </c>
      <c r="Q282" s="76"/>
      <c r="R282" s="140">
        <f>IF((100*S9+100*S10)&gt;1000,1000,(100*S9+100*S10))</f>
        <v>500</v>
      </c>
      <c r="S282" s="79">
        <v>3.16</v>
      </c>
      <c r="T282" s="80">
        <v>3.26</v>
      </c>
    </row>
    <row r="283" spans="2:20" ht="28">
      <c r="B283" s="5" t="s">
        <v>688</v>
      </c>
      <c r="C283" s="45" t="s">
        <v>97</v>
      </c>
      <c r="D283" s="45" t="s">
        <v>689</v>
      </c>
      <c r="E283" s="6" t="s">
        <v>690</v>
      </c>
      <c r="F283" s="45" t="s">
        <v>187</v>
      </c>
      <c r="G283" s="46">
        <f t="shared" si="31"/>
        <v>250</v>
      </c>
      <c r="H283" s="46">
        <f>TRUNC(S283*(1-LOTE_01!$K$10),2)</f>
        <v>0.53</v>
      </c>
      <c r="I283" s="46">
        <f>TRUNC(T283*(1-LOTE_01!$K$10),2)</f>
        <v>1.79</v>
      </c>
      <c r="J283" s="100">
        <f t="shared" si="32"/>
        <v>0.22470000000000001</v>
      </c>
      <c r="K283" s="48">
        <f t="shared" si="33"/>
        <v>0.64</v>
      </c>
      <c r="L283" s="48">
        <f t="shared" si="34"/>
        <v>2.19</v>
      </c>
      <c r="M283" s="48">
        <f t="shared" si="35"/>
        <v>160</v>
      </c>
      <c r="N283" s="48">
        <f t="shared" si="36"/>
        <v>547.5</v>
      </c>
      <c r="O283" s="50">
        <f t="shared" si="37"/>
        <v>707.5</v>
      </c>
      <c r="P283" s="50">
        <v>0</v>
      </c>
      <c r="Q283" s="76"/>
      <c r="R283" s="140">
        <f>IF((50*S10+50*S9)&gt;500,500,(50*S10+50*S9))</f>
        <v>250</v>
      </c>
      <c r="S283" s="79">
        <v>0.53</v>
      </c>
      <c r="T283" s="80">
        <v>1.79</v>
      </c>
    </row>
    <row r="284" spans="2:20" ht="28">
      <c r="B284" s="5" t="s">
        <v>691</v>
      </c>
      <c r="C284" s="45" t="s">
        <v>97</v>
      </c>
      <c r="D284" s="45" t="s">
        <v>692</v>
      </c>
      <c r="E284" s="6" t="s">
        <v>693</v>
      </c>
      <c r="F284" s="45" t="s">
        <v>104</v>
      </c>
      <c r="G284" s="46">
        <f t="shared" si="31"/>
        <v>50</v>
      </c>
      <c r="H284" s="46">
        <f>TRUNC(S284*(1-LOTE_01!$K$10),2)</f>
        <v>7.68</v>
      </c>
      <c r="I284" s="46">
        <f>TRUNC(T284*(1-LOTE_01!$K$10),2)</f>
        <v>20.61</v>
      </c>
      <c r="J284" s="100">
        <f t="shared" si="32"/>
        <v>0.22470000000000001</v>
      </c>
      <c r="K284" s="48">
        <f t="shared" si="33"/>
        <v>9.4</v>
      </c>
      <c r="L284" s="48">
        <f t="shared" si="34"/>
        <v>25.24</v>
      </c>
      <c r="M284" s="48">
        <f t="shared" si="35"/>
        <v>470</v>
      </c>
      <c r="N284" s="48">
        <f t="shared" si="36"/>
        <v>1262</v>
      </c>
      <c r="O284" s="50">
        <f t="shared" si="37"/>
        <v>1732</v>
      </c>
      <c r="P284" s="50">
        <v>0</v>
      </c>
      <c r="Q284" s="76"/>
      <c r="R284" s="140">
        <f>10*S9+10*S10</f>
        <v>50</v>
      </c>
      <c r="S284" s="79">
        <v>7.68</v>
      </c>
      <c r="T284" s="80">
        <v>20.61</v>
      </c>
    </row>
    <row r="285" spans="2:20" ht="28">
      <c r="B285" s="5" t="s">
        <v>694</v>
      </c>
      <c r="C285" s="45" t="s">
        <v>97</v>
      </c>
      <c r="D285" s="45" t="s">
        <v>695</v>
      </c>
      <c r="E285" s="6" t="s">
        <v>696</v>
      </c>
      <c r="F285" s="45" t="s">
        <v>104</v>
      </c>
      <c r="G285" s="46">
        <f t="shared" si="31"/>
        <v>25</v>
      </c>
      <c r="H285" s="46">
        <f>TRUNC(S285*(1-LOTE_01!$K$10),2)</f>
        <v>52.33</v>
      </c>
      <c r="I285" s="46">
        <f>TRUNC(T285*(1-LOTE_01!$K$10),2)</f>
        <v>29.25</v>
      </c>
      <c r="J285" s="100">
        <f t="shared" si="32"/>
        <v>0.22470000000000001</v>
      </c>
      <c r="K285" s="48">
        <f t="shared" si="33"/>
        <v>64.08</v>
      </c>
      <c r="L285" s="48">
        <f t="shared" si="34"/>
        <v>35.82</v>
      </c>
      <c r="M285" s="48">
        <f t="shared" si="35"/>
        <v>1602</v>
      </c>
      <c r="N285" s="48">
        <f t="shared" si="36"/>
        <v>895.5</v>
      </c>
      <c r="O285" s="50">
        <f t="shared" si="37"/>
        <v>2497.5</v>
      </c>
      <c r="P285" s="50">
        <v>0</v>
      </c>
      <c r="Q285" s="76"/>
      <c r="R285" s="140">
        <f>IF((5*S9+5*S10)&gt;50,50,(5*S9+5*S10))</f>
        <v>25</v>
      </c>
      <c r="S285" s="79">
        <v>52.33</v>
      </c>
      <c r="T285" s="80">
        <v>29.25</v>
      </c>
    </row>
    <row r="286" spans="2:20">
      <c r="B286" s="101" t="s">
        <v>47</v>
      </c>
      <c r="C286" s="102" t="s">
        <v>21</v>
      </c>
      <c r="D286" s="102" t="s">
        <v>21</v>
      </c>
      <c r="E286" s="103" t="s">
        <v>51</v>
      </c>
      <c r="F286" s="102" t="s">
        <v>21</v>
      </c>
      <c r="G286" s="46">
        <f t="shared" si="31"/>
        <v>0</v>
      </c>
      <c r="H286" s="46"/>
      <c r="I286" s="46"/>
      <c r="J286" s="105"/>
      <c r="K286" s="48">
        <f t="shared" si="33"/>
        <v>0</v>
      </c>
      <c r="L286" s="48">
        <f t="shared" si="34"/>
        <v>0</v>
      </c>
      <c r="M286" s="48">
        <f t="shared" si="35"/>
        <v>0</v>
      </c>
      <c r="N286" s="48">
        <f t="shared" si="36"/>
        <v>0</v>
      </c>
      <c r="O286" s="50">
        <f t="shared" si="37"/>
        <v>0</v>
      </c>
      <c r="P286" s="50">
        <f>SUM(O287:O310)</f>
        <v>222933.31999999998</v>
      </c>
      <c r="Q286" s="76"/>
      <c r="R286" s="154"/>
      <c r="S286" s="79" t="s">
        <v>22</v>
      </c>
      <c r="T286" s="80" t="s">
        <v>22</v>
      </c>
    </row>
    <row r="287" spans="2:20" ht="56">
      <c r="B287" s="5" t="s">
        <v>697</v>
      </c>
      <c r="C287" s="45" t="s">
        <v>135</v>
      </c>
      <c r="D287" s="45">
        <v>101094</v>
      </c>
      <c r="E287" s="6" t="s">
        <v>1810</v>
      </c>
      <c r="F287" s="45" t="s">
        <v>187</v>
      </c>
      <c r="G287" s="46">
        <f t="shared" si="31"/>
        <v>100</v>
      </c>
      <c r="H287" s="46">
        <f>TRUNC(S287*(1-LOTE_01!$K$10),2)</f>
        <v>204.17</v>
      </c>
      <c r="I287" s="46">
        <f>TRUNC(T287*(1-LOTE_01!$K$10),2)</f>
        <v>16.670000000000002</v>
      </c>
      <c r="J287" s="100">
        <f t="shared" si="32"/>
        <v>0.22470000000000001</v>
      </c>
      <c r="K287" s="48">
        <f t="shared" si="33"/>
        <v>250.04</v>
      </c>
      <c r="L287" s="48">
        <f t="shared" si="34"/>
        <v>20.41</v>
      </c>
      <c r="M287" s="48">
        <f t="shared" si="35"/>
        <v>25004</v>
      </c>
      <c r="N287" s="48">
        <f t="shared" si="36"/>
        <v>2041</v>
      </c>
      <c r="O287" s="50">
        <f t="shared" si="37"/>
        <v>27045</v>
      </c>
      <c r="P287" s="50">
        <v>0</v>
      </c>
      <c r="Q287" s="76"/>
      <c r="R287" s="140">
        <f>20*S9+20*S10</f>
        <v>100</v>
      </c>
      <c r="S287" s="79">
        <v>204.17000000000002</v>
      </c>
      <c r="T287" s="80">
        <v>16.670000000000002</v>
      </c>
    </row>
    <row r="288" spans="2:20" ht="28">
      <c r="B288" s="5" t="s">
        <v>698</v>
      </c>
      <c r="C288" s="45" t="s">
        <v>97</v>
      </c>
      <c r="D288" s="45" t="s">
        <v>699</v>
      </c>
      <c r="E288" s="6" t="s">
        <v>700</v>
      </c>
      <c r="F288" s="45" t="s">
        <v>187</v>
      </c>
      <c r="G288" s="46">
        <f t="shared" si="31"/>
        <v>147.5</v>
      </c>
      <c r="H288" s="46">
        <f>TRUNC(S288*(1-LOTE_01!$K$10),2)</f>
        <v>141.63999999999999</v>
      </c>
      <c r="I288" s="46">
        <f>TRUNC(T288*(1-LOTE_01!$K$10),2)</f>
        <v>23.74</v>
      </c>
      <c r="J288" s="100">
        <f t="shared" si="32"/>
        <v>0.22470000000000001</v>
      </c>
      <c r="K288" s="48">
        <f t="shared" si="33"/>
        <v>173.46</v>
      </c>
      <c r="L288" s="48">
        <f t="shared" si="34"/>
        <v>29.07</v>
      </c>
      <c r="M288" s="48">
        <f t="shared" si="35"/>
        <v>25585.35</v>
      </c>
      <c r="N288" s="48">
        <f t="shared" si="36"/>
        <v>4287.82</v>
      </c>
      <c r="O288" s="50">
        <f t="shared" si="37"/>
        <v>29873.17</v>
      </c>
      <c r="P288" s="50">
        <v>0</v>
      </c>
      <c r="Q288" s="76"/>
      <c r="R288" s="140">
        <f>((28+17+33+40)*0.25)*(S9+S10)</f>
        <v>147.5</v>
      </c>
      <c r="S288" s="79">
        <v>141.63999999999999</v>
      </c>
      <c r="T288" s="80">
        <v>23.74</v>
      </c>
    </row>
    <row r="289" spans="2:20" ht="28">
      <c r="B289" s="5" t="s">
        <v>701</v>
      </c>
      <c r="C289" s="45" t="s">
        <v>97</v>
      </c>
      <c r="D289" s="45" t="s">
        <v>702</v>
      </c>
      <c r="E289" s="6" t="s">
        <v>703</v>
      </c>
      <c r="F289" s="45" t="s">
        <v>187</v>
      </c>
      <c r="G289" s="46">
        <f t="shared" si="31"/>
        <v>160</v>
      </c>
      <c r="H289" s="46">
        <f>TRUNC(S289*(1-LOTE_01!$K$10),2)</f>
        <v>154.56</v>
      </c>
      <c r="I289" s="46">
        <f>TRUNC(T289*(1-LOTE_01!$K$10),2)</f>
        <v>23.74</v>
      </c>
      <c r="J289" s="100">
        <f t="shared" si="32"/>
        <v>0.22470000000000001</v>
      </c>
      <c r="K289" s="48">
        <f t="shared" si="33"/>
        <v>189.28</v>
      </c>
      <c r="L289" s="48">
        <f t="shared" si="34"/>
        <v>29.07</v>
      </c>
      <c r="M289" s="48">
        <f t="shared" si="35"/>
        <v>30284.799999999999</v>
      </c>
      <c r="N289" s="48">
        <f t="shared" si="36"/>
        <v>4651.2</v>
      </c>
      <c r="O289" s="50">
        <f t="shared" si="37"/>
        <v>34936</v>
      </c>
      <c r="P289" s="50">
        <v>0</v>
      </c>
      <c r="Q289" s="76"/>
      <c r="R289" s="140">
        <f>((17+22+60+29)*0.25)*(S9+S10)</f>
        <v>160</v>
      </c>
      <c r="S289" s="79">
        <v>154.56</v>
      </c>
      <c r="T289" s="80">
        <v>23.74</v>
      </c>
    </row>
    <row r="290" spans="2:20" ht="28">
      <c r="B290" s="5" t="s">
        <v>704</v>
      </c>
      <c r="C290" s="45" t="s">
        <v>165</v>
      </c>
      <c r="D290" s="45" t="s">
        <v>705</v>
      </c>
      <c r="E290" s="6" t="s">
        <v>706</v>
      </c>
      <c r="F290" s="45" t="s">
        <v>168</v>
      </c>
      <c r="G290" s="46">
        <f t="shared" si="31"/>
        <v>100</v>
      </c>
      <c r="H290" s="46">
        <f>TRUNC(S290*(1-LOTE_01!$K$10),2)</f>
        <v>130.87</v>
      </c>
      <c r="I290" s="46">
        <f>TRUNC(T290*(1-LOTE_01!$K$10),2)</f>
        <v>21.74</v>
      </c>
      <c r="J290" s="100">
        <f t="shared" si="32"/>
        <v>0.22470000000000001</v>
      </c>
      <c r="K290" s="48">
        <f t="shared" si="33"/>
        <v>160.27000000000001</v>
      </c>
      <c r="L290" s="48">
        <f t="shared" si="34"/>
        <v>26.62</v>
      </c>
      <c r="M290" s="48">
        <f t="shared" si="35"/>
        <v>16027</v>
      </c>
      <c r="N290" s="48">
        <f t="shared" si="36"/>
        <v>2662</v>
      </c>
      <c r="O290" s="50">
        <f t="shared" si="37"/>
        <v>18689</v>
      </c>
      <c r="P290" s="50">
        <v>0</v>
      </c>
      <c r="Q290" s="76"/>
      <c r="R290" s="140">
        <f>20*S9+20*S10</f>
        <v>100</v>
      </c>
      <c r="S290" s="79">
        <v>130.87</v>
      </c>
      <c r="T290" s="80">
        <v>21.74</v>
      </c>
    </row>
    <row r="291" spans="2:20" ht="56">
      <c r="B291" s="5" t="s">
        <v>707</v>
      </c>
      <c r="C291" s="45" t="s">
        <v>135</v>
      </c>
      <c r="D291" s="45">
        <v>104658</v>
      </c>
      <c r="E291" s="6" t="s">
        <v>708</v>
      </c>
      <c r="F291" s="45" t="s">
        <v>121</v>
      </c>
      <c r="G291" s="46">
        <f t="shared" si="31"/>
        <v>100</v>
      </c>
      <c r="H291" s="46">
        <f>TRUNC(S291*(1-LOTE_01!$K$10),2)</f>
        <v>236.48</v>
      </c>
      <c r="I291" s="46">
        <f>TRUNC(T291*(1-LOTE_01!$K$10),2)</f>
        <v>36.590000000000003</v>
      </c>
      <c r="J291" s="100">
        <f t="shared" si="32"/>
        <v>0.22470000000000001</v>
      </c>
      <c r="K291" s="48">
        <f t="shared" si="33"/>
        <v>289.61</v>
      </c>
      <c r="L291" s="48">
        <f t="shared" si="34"/>
        <v>44.81</v>
      </c>
      <c r="M291" s="48">
        <f t="shared" si="35"/>
        <v>28961</v>
      </c>
      <c r="N291" s="48">
        <f t="shared" si="36"/>
        <v>4481</v>
      </c>
      <c r="O291" s="50">
        <f t="shared" si="37"/>
        <v>33442</v>
      </c>
      <c r="P291" s="50">
        <v>0</v>
      </c>
      <c r="Q291" s="76"/>
      <c r="R291" s="140">
        <f>20*S9+20*S10</f>
        <v>100</v>
      </c>
      <c r="S291" s="79">
        <v>236.48</v>
      </c>
      <c r="T291" s="80">
        <v>36.590000000000003</v>
      </c>
    </row>
    <row r="292" spans="2:20" ht="84">
      <c r="B292" s="5" t="s">
        <v>709</v>
      </c>
      <c r="C292" s="45" t="s">
        <v>97</v>
      </c>
      <c r="D292" s="45" t="s">
        <v>710</v>
      </c>
      <c r="E292" s="6" t="s">
        <v>711</v>
      </c>
      <c r="F292" s="45" t="s">
        <v>104</v>
      </c>
      <c r="G292" s="46">
        <f t="shared" si="31"/>
        <v>5</v>
      </c>
      <c r="H292" s="46">
        <f>TRUNC(S292*(1-LOTE_01!$K$10),2)</f>
        <v>202.09</v>
      </c>
      <c r="I292" s="46">
        <f>TRUNC(T292*(1-LOTE_01!$K$10),2)</f>
        <v>3.26</v>
      </c>
      <c r="J292" s="100">
        <f t="shared" si="32"/>
        <v>0.22470000000000001</v>
      </c>
      <c r="K292" s="48">
        <f t="shared" si="33"/>
        <v>247.49</v>
      </c>
      <c r="L292" s="48">
        <f t="shared" si="34"/>
        <v>3.99</v>
      </c>
      <c r="M292" s="48">
        <f t="shared" si="35"/>
        <v>1237.45</v>
      </c>
      <c r="N292" s="48">
        <f t="shared" si="36"/>
        <v>19.95</v>
      </c>
      <c r="O292" s="50">
        <f t="shared" si="37"/>
        <v>1257.4000000000001</v>
      </c>
      <c r="P292" s="50">
        <v>0</v>
      </c>
      <c r="Q292" s="76"/>
      <c r="R292" s="140">
        <f>1*S9+1*S10</f>
        <v>5</v>
      </c>
      <c r="S292" s="79">
        <v>202.09</v>
      </c>
      <c r="T292" s="80">
        <v>3.26</v>
      </c>
    </row>
    <row r="293" spans="2:20" ht="56">
      <c r="B293" s="5" t="s">
        <v>712</v>
      </c>
      <c r="C293" s="45" t="s">
        <v>97</v>
      </c>
      <c r="D293" s="45" t="s">
        <v>713</v>
      </c>
      <c r="E293" s="6" t="s">
        <v>714</v>
      </c>
      <c r="F293" s="45" t="s">
        <v>104</v>
      </c>
      <c r="G293" s="46">
        <f t="shared" si="31"/>
        <v>25</v>
      </c>
      <c r="H293" s="46">
        <f>TRUNC(S293*(1-LOTE_01!$K$10),2)</f>
        <v>14.28</v>
      </c>
      <c r="I293" s="46">
        <f>TRUNC(T293*(1-LOTE_01!$K$10),2)</f>
        <v>0.81</v>
      </c>
      <c r="J293" s="100">
        <f t="shared" si="32"/>
        <v>0.22470000000000001</v>
      </c>
      <c r="K293" s="48">
        <f t="shared" si="33"/>
        <v>17.48</v>
      </c>
      <c r="L293" s="48">
        <f t="shared" si="34"/>
        <v>0.99</v>
      </c>
      <c r="M293" s="48">
        <f t="shared" si="35"/>
        <v>437</v>
      </c>
      <c r="N293" s="48">
        <f t="shared" si="36"/>
        <v>24.75</v>
      </c>
      <c r="O293" s="50">
        <f t="shared" si="37"/>
        <v>461.75</v>
      </c>
      <c r="P293" s="50">
        <v>0</v>
      </c>
      <c r="Q293" s="76"/>
      <c r="R293" s="140">
        <f>5*S9+5*S10</f>
        <v>25</v>
      </c>
      <c r="S293" s="79">
        <v>14.28</v>
      </c>
      <c r="T293" s="80">
        <v>0.81</v>
      </c>
    </row>
    <row r="294" spans="2:20" ht="70">
      <c r="B294" s="5" t="s">
        <v>715</v>
      </c>
      <c r="C294" s="45" t="s">
        <v>97</v>
      </c>
      <c r="D294" s="45" t="s">
        <v>716</v>
      </c>
      <c r="E294" s="6" t="s">
        <v>717</v>
      </c>
      <c r="F294" s="45" t="s">
        <v>104</v>
      </c>
      <c r="G294" s="46">
        <f t="shared" si="31"/>
        <v>10</v>
      </c>
      <c r="H294" s="46">
        <f>TRUNC(S294*(1-LOTE_01!$K$10),2)</f>
        <v>225.65</v>
      </c>
      <c r="I294" s="46">
        <f>TRUNC(T294*(1-LOTE_01!$K$10),2)</f>
        <v>3.26</v>
      </c>
      <c r="J294" s="100">
        <f t="shared" si="32"/>
        <v>0.22470000000000001</v>
      </c>
      <c r="K294" s="48">
        <f t="shared" si="33"/>
        <v>276.35000000000002</v>
      </c>
      <c r="L294" s="48">
        <f t="shared" si="34"/>
        <v>3.99</v>
      </c>
      <c r="M294" s="48">
        <f t="shared" si="35"/>
        <v>2763.5</v>
      </c>
      <c r="N294" s="48">
        <f t="shared" si="36"/>
        <v>39.9</v>
      </c>
      <c r="O294" s="50">
        <f t="shared" si="37"/>
        <v>2803.4</v>
      </c>
      <c r="P294" s="50">
        <v>0</v>
      </c>
      <c r="Q294" s="76"/>
      <c r="R294" s="140">
        <f>2*S9+2*S10</f>
        <v>10</v>
      </c>
      <c r="S294" s="79">
        <v>225.65</v>
      </c>
      <c r="T294" s="80">
        <v>3.26</v>
      </c>
    </row>
    <row r="295" spans="2:20" ht="56">
      <c r="B295" s="5" t="s">
        <v>718</v>
      </c>
      <c r="C295" s="45" t="s">
        <v>97</v>
      </c>
      <c r="D295" s="45" t="s">
        <v>719</v>
      </c>
      <c r="E295" s="6" t="s">
        <v>720</v>
      </c>
      <c r="F295" s="45" t="s">
        <v>104</v>
      </c>
      <c r="G295" s="46">
        <f t="shared" si="31"/>
        <v>10</v>
      </c>
      <c r="H295" s="46">
        <f>TRUNC(S295*(1-LOTE_01!$K$10),2)</f>
        <v>26.6</v>
      </c>
      <c r="I295" s="46">
        <f>TRUNC(T295*(1-LOTE_01!$K$10),2)</f>
        <v>5.19</v>
      </c>
      <c r="J295" s="100">
        <f t="shared" si="32"/>
        <v>0.22470000000000001</v>
      </c>
      <c r="K295" s="48">
        <f t="shared" si="33"/>
        <v>32.57</v>
      </c>
      <c r="L295" s="48">
        <f t="shared" si="34"/>
        <v>6.35</v>
      </c>
      <c r="M295" s="48">
        <f t="shared" si="35"/>
        <v>325.7</v>
      </c>
      <c r="N295" s="48">
        <f t="shared" si="36"/>
        <v>63.5</v>
      </c>
      <c r="O295" s="50">
        <f t="shared" si="37"/>
        <v>389.2</v>
      </c>
      <c r="P295" s="50">
        <v>0</v>
      </c>
      <c r="Q295" s="76"/>
      <c r="R295" s="140">
        <f>2*S9+2*S10</f>
        <v>10</v>
      </c>
      <c r="S295" s="79">
        <v>26.6</v>
      </c>
      <c r="T295" s="80">
        <v>5.19</v>
      </c>
    </row>
    <row r="296" spans="2:20" ht="42">
      <c r="B296" s="5" t="s">
        <v>721</v>
      </c>
      <c r="C296" s="45" t="s">
        <v>97</v>
      </c>
      <c r="D296" s="45" t="s">
        <v>722</v>
      </c>
      <c r="E296" s="6" t="s">
        <v>723</v>
      </c>
      <c r="F296" s="45" t="s">
        <v>104</v>
      </c>
      <c r="G296" s="46">
        <f t="shared" si="31"/>
        <v>10</v>
      </c>
      <c r="H296" s="46">
        <f>TRUNC(S296*(1-LOTE_01!$K$10),2)</f>
        <v>43.06</v>
      </c>
      <c r="I296" s="46">
        <f>TRUNC(T296*(1-LOTE_01!$K$10),2)</f>
        <v>5.19</v>
      </c>
      <c r="J296" s="100">
        <f t="shared" si="32"/>
        <v>0.22470000000000001</v>
      </c>
      <c r="K296" s="48">
        <f t="shared" si="33"/>
        <v>52.73</v>
      </c>
      <c r="L296" s="48">
        <f t="shared" si="34"/>
        <v>6.35</v>
      </c>
      <c r="M296" s="48">
        <f t="shared" si="35"/>
        <v>527.29999999999995</v>
      </c>
      <c r="N296" s="48">
        <f t="shared" si="36"/>
        <v>63.5</v>
      </c>
      <c r="O296" s="50">
        <f t="shared" si="37"/>
        <v>590.79999999999995</v>
      </c>
      <c r="P296" s="50">
        <v>0</v>
      </c>
      <c r="Q296" s="76"/>
      <c r="R296" s="140">
        <f>2*S9+2*S10</f>
        <v>10</v>
      </c>
      <c r="S296" s="79">
        <v>43.06</v>
      </c>
      <c r="T296" s="80">
        <v>5.19</v>
      </c>
    </row>
    <row r="297" spans="2:20" ht="56">
      <c r="B297" s="5" t="s">
        <v>724</v>
      </c>
      <c r="C297" s="45" t="s">
        <v>135</v>
      </c>
      <c r="D297" s="45">
        <v>100868</v>
      </c>
      <c r="E297" s="6" t="s">
        <v>1811</v>
      </c>
      <c r="F297" s="45" t="s">
        <v>210</v>
      </c>
      <c r="G297" s="46">
        <f t="shared" si="31"/>
        <v>5</v>
      </c>
      <c r="H297" s="46">
        <f>TRUNC(S297*(1-LOTE_01!$K$10),2)</f>
        <v>311.39</v>
      </c>
      <c r="I297" s="46">
        <f>TRUNC(T297*(1-LOTE_01!$K$10),2)</f>
        <v>26.78</v>
      </c>
      <c r="J297" s="100">
        <f t="shared" si="32"/>
        <v>0.22470000000000001</v>
      </c>
      <c r="K297" s="48">
        <f t="shared" si="33"/>
        <v>381.35</v>
      </c>
      <c r="L297" s="48">
        <f t="shared" si="34"/>
        <v>32.79</v>
      </c>
      <c r="M297" s="48">
        <f t="shared" si="35"/>
        <v>1906.75</v>
      </c>
      <c r="N297" s="48">
        <f t="shared" si="36"/>
        <v>163.95</v>
      </c>
      <c r="O297" s="50">
        <f t="shared" si="37"/>
        <v>2070.6999999999998</v>
      </c>
      <c r="P297" s="50">
        <v>0</v>
      </c>
      <c r="Q297" s="76"/>
      <c r="R297" s="140">
        <f>1*S9+1*S10</f>
        <v>5</v>
      </c>
      <c r="S297" s="79">
        <v>311.39</v>
      </c>
      <c r="T297" s="80">
        <v>26.78</v>
      </c>
    </row>
    <row r="298" spans="2:20" ht="56">
      <c r="B298" s="5" t="s">
        <v>725</v>
      </c>
      <c r="C298" s="45" t="s">
        <v>135</v>
      </c>
      <c r="D298" s="45">
        <v>100871</v>
      </c>
      <c r="E298" s="6" t="s">
        <v>1812</v>
      </c>
      <c r="F298" s="45" t="s">
        <v>210</v>
      </c>
      <c r="G298" s="46">
        <f t="shared" si="31"/>
        <v>5</v>
      </c>
      <c r="H298" s="46">
        <f>TRUNC(S298*(1-LOTE_01!$K$10),2)</f>
        <v>310.39999999999998</v>
      </c>
      <c r="I298" s="46">
        <f>TRUNC(T298*(1-LOTE_01!$K$10),2)</f>
        <v>27.1</v>
      </c>
      <c r="J298" s="100">
        <f t="shared" si="32"/>
        <v>0.22470000000000001</v>
      </c>
      <c r="K298" s="48">
        <f t="shared" si="33"/>
        <v>380.14</v>
      </c>
      <c r="L298" s="48">
        <f t="shared" si="34"/>
        <v>33.18</v>
      </c>
      <c r="M298" s="48">
        <f t="shared" si="35"/>
        <v>1900.7</v>
      </c>
      <c r="N298" s="48">
        <f t="shared" si="36"/>
        <v>165.9</v>
      </c>
      <c r="O298" s="50">
        <f t="shared" si="37"/>
        <v>2066.6</v>
      </c>
      <c r="P298" s="50">
        <v>0</v>
      </c>
      <c r="Q298" s="76"/>
      <c r="R298" s="140">
        <f>1*S9+1*S10</f>
        <v>5</v>
      </c>
      <c r="S298" s="79">
        <v>310.39999999999998</v>
      </c>
      <c r="T298" s="80">
        <v>27.1</v>
      </c>
    </row>
    <row r="299" spans="2:20" ht="56">
      <c r="B299" s="5" t="s">
        <v>726</v>
      </c>
      <c r="C299" s="45" t="s">
        <v>135</v>
      </c>
      <c r="D299" s="45">
        <v>100866</v>
      </c>
      <c r="E299" s="6" t="s">
        <v>1813</v>
      </c>
      <c r="F299" s="45" t="s">
        <v>210</v>
      </c>
      <c r="G299" s="46">
        <f t="shared" si="31"/>
        <v>10</v>
      </c>
      <c r="H299" s="46">
        <f>TRUNC(S299*(1-LOTE_01!$K$10),2)</f>
        <v>280.44</v>
      </c>
      <c r="I299" s="46">
        <f>TRUNC(T299*(1-LOTE_01!$K$10),2)</f>
        <v>26.72</v>
      </c>
      <c r="J299" s="100">
        <f t="shared" si="32"/>
        <v>0.22470000000000001</v>
      </c>
      <c r="K299" s="48">
        <f t="shared" si="33"/>
        <v>343.45</v>
      </c>
      <c r="L299" s="48">
        <f t="shared" si="34"/>
        <v>32.72</v>
      </c>
      <c r="M299" s="48">
        <f t="shared" si="35"/>
        <v>3434.5</v>
      </c>
      <c r="N299" s="48">
        <f t="shared" si="36"/>
        <v>327.2</v>
      </c>
      <c r="O299" s="50">
        <f t="shared" si="37"/>
        <v>3761.7</v>
      </c>
      <c r="P299" s="50">
        <v>0</v>
      </c>
      <c r="Q299" s="76"/>
      <c r="R299" s="140">
        <f>2*S9+2*S10</f>
        <v>10</v>
      </c>
      <c r="S299" s="79">
        <v>280.44000000000005</v>
      </c>
      <c r="T299" s="80">
        <v>26.72</v>
      </c>
    </row>
    <row r="300" spans="2:20" ht="112">
      <c r="B300" s="5" t="s">
        <v>727</v>
      </c>
      <c r="C300" s="45" t="s">
        <v>97</v>
      </c>
      <c r="D300" s="45" t="s">
        <v>728</v>
      </c>
      <c r="E300" s="6" t="s">
        <v>729</v>
      </c>
      <c r="F300" s="45" t="s">
        <v>104</v>
      </c>
      <c r="G300" s="46">
        <f t="shared" si="31"/>
        <v>5</v>
      </c>
      <c r="H300" s="46">
        <f>TRUNC(S300*(1-LOTE_01!$K$10),2)</f>
        <v>546.36</v>
      </c>
      <c r="I300" s="46">
        <f>TRUNC(T300*(1-LOTE_01!$K$10),2)</f>
        <v>7.68</v>
      </c>
      <c r="J300" s="100">
        <f t="shared" si="32"/>
        <v>0.22470000000000001</v>
      </c>
      <c r="K300" s="48">
        <f t="shared" si="33"/>
        <v>669.12</v>
      </c>
      <c r="L300" s="48">
        <f t="shared" si="34"/>
        <v>9.4</v>
      </c>
      <c r="M300" s="48">
        <f t="shared" si="35"/>
        <v>3345.6</v>
      </c>
      <c r="N300" s="48">
        <f t="shared" si="36"/>
        <v>47</v>
      </c>
      <c r="O300" s="50">
        <f t="shared" si="37"/>
        <v>3392.6</v>
      </c>
      <c r="P300" s="50">
        <v>0</v>
      </c>
      <c r="Q300" s="76"/>
      <c r="R300" s="140">
        <f>IF((1*S9+1*S10)&gt;10,10,(1*S9+1*S10))</f>
        <v>5</v>
      </c>
      <c r="S300" s="79">
        <v>546.36</v>
      </c>
      <c r="T300" s="80">
        <v>7.68</v>
      </c>
    </row>
    <row r="301" spans="2:20" ht="42">
      <c r="B301" s="5" t="s">
        <v>730</v>
      </c>
      <c r="C301" s="45" t="s">
        <v>97</v>
      </c>
      <c r="D301" s="45" t="s">
        <v>731</v>
      </c>
      <c r="E301" s="6" t="s">
        <v>732</v>
      </c>
      <c r="F301" s="45" t="s">
        <v>104</v>
      </c>
      <c r="G301" s="46">
        <f t="shared" si="31"/>
        <v>5</v>
      </c>
      <c r="H301" s="46">
        <f>TRUNC(S301*(1-LOTE_01!$K$10),2)</f>
        <v>790</v>
      </c>
      <c r="I301" s="46">
        <f>TRUNC(T301*(1-LOTE_01!$K$10),2)</f>
        <v>0</v>
      </c>
      <c r="J301" s="100">
        <f t="shared" si="32"/>
        <v>0.22470000000000001</v>
      </c>
      <c r="K301" s="48">
        <f t="shared" si="33"/>
        <v>967.51</v>
      </c>
      <c r="L301" s="48">
        <f t="shared" si="34"/>
        <v>0</v>
      </c>
      <c r="M301" s="48">
        <f t="shared" si="35"/>
        <v>4837.55</v>
      </c>
      <c r="N301" s="48">
        <f t="shared" si="36"/>
        <v>0</v>
      </c>
      <c r="O301" s="50">
        <f t="shared" si="37"/>
        <v>4837.55</v>
      </c>
      <c r="P301" s="50">
        <v>0</v>
      </c>
      <c r="Q301" s="76"/>
      <c r="R301" s="140">
        <f>1*S9+1*S10</f>
        <v>5</v>
      </c>
      <c r="S301" s="79">
        <v>790</v>
      </c>
      <c r="T301" s="80">
        <v>0</v>
      </c>
    </row>
    <row r="302" spans="2:20" ht="42">
      <c r="B302" s="5" t="s">
        <v>733</v>
      </c>
      <c r="C302" s="45" t="s">
        <v>97</v>
      </c>
      <c r="D302" s="45" t="s">
        <v>734</v>
      </c>
      <c r="E302" s="6" t="s">
        <v>735</v>
      </c>
      <c r="F302" s="45" t="s">
        <v>104</v>
      </c>
      <c r="G302" s="46">
        <f t="shared" si="31"/>
        <v>5</v>
      </c>
      <c r="H302" s="46">
        <f>TRUNC(S302*(1-LOTE_01!$K$10),2)</f>
        <v>2668.79</v>
      </c>
      <c r="I302" s="46">
        <f>TRUNC(T302*(1-LOTE_01!$K$10),2)</f>
        <v>0</v>
      </c>
      <c r="J302" s="100">
        <f t="shared" si="32"/>
        <v>0.22470000000000001</v>
      </c>
      <c r="K302" s="48">
        <f t="shared" si="33"/>
        <v>3268.46</v>
      </c>
      <c r="L302" s="48">
        <f t="shared" si="34"/>
        <v>0</v>
      </c>
      <c r="M302" s="48">
        <f t="shared" si="35"/>
        <v>16342.3</v>
      </c>
      <c r="N302" s="48">
        <f t="shared" si="36"/>
        <v>0</v>
      </c>
      <c r="O302" s="50">
        <f t="shared" si="37"/>
        <v>16342.3</v>
      </c>
      <c r="P302" s="50">
        <v>0</v>
      </c>
      <c r="Q302" s="76"/>
      <c r="R302" s="140">
        <f>IF((1*S9+1*S10)&gt;10,10,(1*S9+1*S10))</f>
        <v>5</v>
      </c>
      <c r="S302" s="79">
        <v>2668.79</v>
      </c>
      <c r="T302" s="80">
        <v>0</v>
      </c>
    </row>
    <row r="303" spans="2:20">
      <c r="B303" s="5" t="s">
        <v>736</v>
      </c>
      <c r="C303" s="45" t="s">
        <v>97</v>
      </c>
      <c r="D303" s="45" t="s">
        <v>737</v>
      </c>
      <c r="E303" s="6" t="s">
        <v>738</v>
      </c>
      <c r="F303" s="45" t="s">
        <v>104</v>
      </c>
      <c r="G303" s="46">
        <f t="shared" si="31"/>
        <v>5</v>
      </c>
      <c r="H303" s="46">
        <f>TRUNC(S303*(1-LOTE_01!$K$10),2)</f>
        <v>1474.86</v>
      </c>
      <c r="I303" s="46">
        <f>TRUNC(T303*(1-LOTE_01!$K$10),2)</f>
        <v>3.26</v>
      </c>
      <c r="J303" s="100">
        <f t="shared" si="32"/>
        <v>0.22470000000000001</v>
      </c>
      <c r="K303" s="48">
        <f t="shared" si="33"/>
        <v>1806.26</v>
      </c>
      <c r="L303" s="48">
        <f t="shared" si="34"/>
        <v>3.99</v>
      </c>
      <c r="M303" s="48">
        <f t="shared" si="35"/>
        <v>9031.2999999999993</v>
      </c>
      <c r="N303" s="48">
        <f t="shared" si="36"/>
        <v>19.95</v>
      </c>
      <c r="O303" s="50">
        <f t="shared" si="37"/>
        <v>9051.25</v>
      </c>
      <c r="P303" s="50">
        <v>0</v>
      </c>
      <c r="Q303" s="76"/>
      <c r="R303" s="140">
        <f>IF((1*S9+1*S10)&gt;10,10,(1*S9+1*S10))</f>
        <v>5</v>
      </c>
      <c r="S303" s="79">
        <v>1474.86</v>
      </c>
      <c r="T303" s="80">
        <v>3.26</v>
      </c>
    </row>
    <row r="304" spans="2:20" ht="42">
      <c r="B304" s="5" t="s">
        <v>739</v>
      </c>
      <c r="C304" s="45" t="s">
        <v>97</v>
      </c>
      <c r="D304" s="45" t="s">
        <v>740</v>
      </c>
      <c r="E304" s="6" t="s">
        <v>741</v>
      </c>
      <c r="F304" s="45" t="s">
        <v>104</v>
      </c>
      <c r="G304" s="46">
        <f t="shared" si="31"/>
        <v>20</v>
      </c>
      <c r="H304" s="46">
        <f>TRUNC(S304*(1-LOTE_01!$K$10),2)</f>
        <v>66.3</v>
      </c>
      <c r="I304" s="46">
        <f>TRUNC(T304*(1-LOTE_01!$K$10),2)</f>
        <v>0</v>
      </c>
      <c r="J304" s="100">
        <f t="shared" si="32"/>
        <v>0.22470000000000001</v>
      </c>
      <c r="K304" s="48">
        <f t="shared" si="33"/>
        <v>81.19</v>
      </c>
      <c r="L304" s="48">
        <f t="shared" si="34"/>
        <v>0</v>
      </c>
      <c r="M304" s="48">
        <f t="shared" si="35"/>
        <v>1623.8</v>
      </c>
      <c r="N304" s="48">
        <f t="shared" si="36"/>
        <v>0</v>
      </c>
      <c r="O304" s="50">
        <f t="shared" si="37"/>
        <v>1623.8</v>
      </c>
      <c r="P304" s="50">
        <v>0</v>
      </c>
      <c r="Q304" s="76"/>
      <c r="R304" s="140">
        <f>4*S9+4*S10</f>
        <v>20</v>
      </c>
      <c r="S304" s="79">
        <v>66.3</v>
      </c>
      <c r="T304" s="80">
        <v>0</v>
      </c>
    </row>
    <row r="305" spans="2:20" ht="84">
      <c r="B305" s="5" t="s">
        <v>742</v>
      </c>
      <c r="C305" s="45" t="s">
        <v>97</v>
      </c>
      <c r="D305" s="45" t="s">
        <v>743</v>
      </c>
      <c r="E305" s="6" t="s">
        <v>744</v>
      </c>
      <c r="F305" s="45" t="s">
        <v>104</v>
      </c>
      <c r="G305" s="46">
        <f t="shared" si="31"/>
        <v>5</v>
      </c>
      <c r="H305" s="46">
        <f>TRUNC(S305*(1-LOTE_01!$K$10),2)</f>
        <v>75.650000000000006</v>
      </c>
      <c r="I305" s="46">
        <f>TRUNC(T305*(1-LOTE_01!$K$10),2)</f>
        <v>3.26</v>
      </c>
      <c r="J305" s="100">
        <f t="shared" si="32"/>
        <v>0.22470000000000001</v>
      </c>
      <c r="K305" s="48">
        <f t="shared" si="33"/>
        <v>92.64</v>
      </c>
      <c r="L305" s="48">
        <f t="shared" si="34"/>
        <v>3.99</v>
      </c>
      <c r="M305" s="48">
        <f t="shared" si="35"/>
        <v>463.2</v>
      </c>
      <c r="N305" s="48">
        <f t="shared" si="36"/>
        <v>19.95</v>
      </c>
      <c r="O305" s="50">
        <f t="shared" si="37"/>
        <v>483.15</v>
      </c>
      <c r="P305" s="50">
        <v>0</v>
      </c>
      <c r="Q305" s="76"/>
      <c r="R305" s="140">
        <f>IF((1*S9+1*S10)&gt;10,10,(1*S9+1*S10))</f>
        <v>5</v>
      </c>
      <c r="S305" s="79">
        <v>75.650000000000006</v>
      </c>
      <c r="T305" s="80">
        <v>3.26</v>
      </c>
    </row>
    <row r="306" spans="2:20" ht="98">
      <c r="B306" s="5" t="s">
        <v>745</v>
      </c>
      <c r="C306" s="45" t="s">
        <v>97</v>
      </c>
      <c r="D306" s="45" t="s">
        <v>746</v>
      </c>
      <c r="E306" s="6" t="s">
        <v>747</v>
      </c>
      <c r="F306" s="45" t="s">
        <v>104</v>
      </c>
      <c r="G306" s="46">
        <f t="shared" si="31"/>
        <v>5</v>
      </c>
      <c r="H306" s="46">
        <f>TRUNC(S306*(1-LOTE_01!$K$10),2)</f>
        <v>64.39</v>
      </c>
      <c r="I306" s="46">
        <f>TRUNC(T306*(1-LOTE_01!$K$10),2)</f>
        <v>0</v>
      </c>
      <c r="J306" s="100">
        <f t="shared" si="32"/>
        <v>0.22470000000000001</v>
      </c>
      <c r="K306" s="48">
        <f t="shared" si="33"/>
        <v>78.849999999999994</v>
      </c>
      <c r="L306" s="48">
        <f t="shared" si="34"/>
        <v>0</v>
      </c>
      <c r="M306" s="48">
        <f t="shared" si="35"/>
        <v>394.25</v>
      </c>
      <c r="N306" s="48">
        <f t="shared" si="36"/>
        <v>0</v>
      </c>
      <c r="O306" s="50">
        <f t="shared" si="37"/>
        <v>394.25</v>
      </c>
      <c r="P306" s="50">
        <v>0</v>
      </c>
      <c r="Q306" s="76"/>
      <c r="R306" s="140">
        <f>S9+S10</f>
        <v>5</v>
      </c>
      <c r="S306" s="79">
        <v>64.39</v>
      </c>
      <c r="T306" s="80">
        <v>0</v>
      </c>
    </row>
    <row r="307" spans="2:20" ht="84">
      <c r="B307" s="5" t="s">
        <v>748</v>
      </c>
      <c r="C307" s="45" t="s">
        <v>97</v>
      </c>
      <c r="D307" s="45" t="s">
        <v>749</v>
      </c>
      <c r="E307" s="6" t="s">
        <v>750</v>
      </c>
      <c r="F307" s="45" t="s">
        <v>104</v>
      </c>
      <c r="G307" s="46">
        <f t="shared" si="31"/>
        <v>5</v>
      </c>
      <c r="H307" s="46">
        <f>TRUNC(S307*(1-LOTE_01!$K$10),2)</f>
        <v>681.08</v>
      </c>
      <c r="I307" s="46">
        <f>TRUNC(T307*(1-LOTE_01!$K$10),2)</f>
        <v>28.35</v>
      </c>
      <c r="J307" s="100">
        <f t="shared" si="32"/>
        <v>0.22470000000000001</v>
      </c>
      <c r="K307" s="48">
        <f t="shared" si="33"/>
        <v>834.11</v>
      </c>
      <c r="L307" s="48">
        <f t="shared" si="34"/>
        <v>34.72</v>
      </c>
      <c r="M307" s="48">
        <f t="shared" si="35"/>
        <v>4170.55</v>
      </c>
      <c r="N307" s="48">
        <f t="shared" si="36"/>
        <v>173.6</v>
      </c>
      <c r="O307" s="50">
        <f t="shared" si="37"/>
        <v>4344.1499999999996</v>
      </c>
      <c r="P307" s="50">
        <v>0</v>
      </c>
      <c r="Q307" s="76"/>
      <c r="R307" s="140">
        <f>IF((1*S9+1*S10)&gt;10,10,(1*S9+1*S10))</f>
        <v>5</v>
      </c>
      <c r="S307" s="79">
        <v>681.08</v>
      </c>
      <c r="T307" s="80">
        <v>28.35</v>
      </c>
    </row>
    <row r="308" spans="2:20" ht="70">
      <c r="B308" s="5" t="s">
        <v>751</v>
      </c>
      <c r="C308" s="45" t="s">
        <v>97</v>
      </c>
      <c r="D308" s="45" t="s">
        <v>752</v>
      </c>
      <c r="E308" s="6" t="s">
        <v>753</v>
      </c>
      <c r="F308" s="45" t="s">
        <v>104</v>
      </c>
      <c r="G308" s="46">
        <f t="shared" si="31"/>
        <v>5</v>
      </c>
      <c r="H308" s="46">
        <f>TRUNC(S308*(1-LOTE_01!$K$10),2)</f>
        <v>249.65</v>
      </c>
      <c r="I308" s="46">
        <f>TRUNC(T308*(1-LOTE_01!$K$10),2)</f>
        <v>12.54</v>
      </c>
      <c r="J308" s="100">
        <f t="shared" si="32"/>
        <v>0.22470000000000001</v>
      </c>
      <c r="K308" s="48">
        <f t="shared" si="33"/>
        <v>305.74</v>
      </c>
      <c r="L308" s="48">
        <f t="shared" si="34"/>
        <v>15.35</v>
      </c>
      <c r="M308" s="48">
        <f t="shared" si="35"/>
        <v>1528.7</v>
      </c>
      <c r="N308" s="48">
        <f t="shared" si="36"/>
        <v>76.75</v>
      </c>
      <c r="O308" s="50">
        <f t="shared" si="37"/>
        <v>1605.45</v>
      </c>
      <c r="P308" s="50">
        <v>0</v>
      </c>
      <c r="Q308" s="76"/>
      <c r="R308" s="140">
        <f>IF((1*S9+1*S10)&gt;10,10,(1*S9+1*S10))</f>
        <v>5</v>
      </c>
      <c r="S308" s="79">
        <v>249.65</v>
      </c>
      <c r="T308" s="80">
        <v>12.54</v>
      </c>
    </row>
    <row r="309" spans="2:20" ht="28">
      <c r="B309" s="5" t="s">
        <v>754</v>
      </c>
      <c r="C309" s="45" t="s">
        <v>97</v>
      </c>
      <c r="D309" s="45" t="s">
        <v>755</v>
      </c>
      <c r="E309" s="6" t="s">
        <v>756</v>
      </c>
      <c r="F309" s="45" t="s">
        <v>187</v>
      </c>
      <c r="G309" s="46">
        <f t="shared" si="31"/>
        <v>50</v>
      </c>
      <c r="H309" s="46">
        <f>TRUNC(S309*(1-LOTE_01!$K$10),2)</f>
        <v>278.25</v>
      </c>
      <c r="I309" s="46">
        <f>TRUNC(T309*(1-LOTE_01!$K$10),2)</f>
        <v>42.29</v>
      </c>
      <c r="J309" s="100">
        <f t="shared" si="32"/>
        <v>0.22470000000000001</v>
      </c>
      <c r="K309" s="48">
        <f t="shared" si="33"/>
        <v>340.77</v>
      </c>
      <c r="L309" s="48">
        <f t="shared" si="34"/>
        <v>51.79</v>
      </c>
      <c r="M309" s="48">
        <f t="shared" si="35"/>
        <v>17038.5</v>
      </c>
      <c r="N309" s="48">
        <f t="shared" si="36"/>
        <v>2589.5</v>
      </c>
      <c r="O309" s="50">
        <f t="shared" si="37"/>
        <v>19628</v>
      </c>
      <c r="P309" s="50">
        <v>0</v>
      </c>
      <c r="Q309" s="76"/>
      <c r="R309" s="140">
        <f>IF((10*S9+10*S10)&gt;50,50,(10*S9+10*S10))</f>
        <v>50</v>
      </c>
      <c r="S309" s="79">
        <v>278.25</v>
      </c>
      <c r="T309" s="80">
        <v>42.29</v>
      </c>
    </row>
    <row r="310" spans="2:20" ht="84">
      <c r="B310" s="5" t="s">
        <v>757</v>
      </c>
      <c r="C310" s="45" t="s">
        <v>97</v>
      </c>
      <c r="D310" s="45" t="s">
        <v>758</v>
      </c>
      <c r="E310" s="6" t="s">
        <v>759</v>
      </c>
      <c r="F310" s="45" t="s">
        <v>104</v>
      </c>
      <c r="G310" s="46">
        <f t="shared" si="31"/>
        <v>5</v>
      </c>
      <c r="H310" s="46">
        <f>TRUNC(S310*(1-LOTE_01!$K$10),2)</f>
        <v>611.14</v>
      </c>
      <c r="I310" s="46">
        <f>TRUNC(T310*(1-LOTE_01!$K$10),2)</f>
        <v>16.63</v>
      </c>
      <c r="J310" s="100">
        <f t="shared" si="32"/>
        <v>0.22470000000000001</v>
      </c>
      <c r="K310" s="48">
        <f t="shared" si="33"/>
        <v>748.46</v>
      </c>
      <c r="L310" s="48">
        <f t="shared" si="34"/>
        <v>20.36</v>
      </c>
      <c r="M310" s="48">
        <f t="shared" si="35"/>
        <v>3742.3</v>
      </c>
      <c r="N310" s="48">
        <f t="shared" si="36"/>
        <v>101.8</v>
      </c>
      <c r="O310" s="50">
        <f t="shared" si="37"/>
        <v>3844.1</v>
      </c>
      <c r="P310" s="50">
        <v>0</v>
      </c>
      <c r="Q310" s="76"/>
      <c r="R310" s="140">
        <f>IF((1*S9+1*S10)&gt;10,10,(1*S9+1*S10))</f>
        <v>5</v>
      </c>
      <c r="S310" s="79">
        <v>611.14</v>
      </c>
      <c r="T310" s="80">
        <v>16.63</v>
      </c>
    </row>
    <row r="311" spans="2:20">
      <c r="B311" s="101" t="s">
        <v>48</v>
      </c>
      <c r="C311" s="102" t="s">
        <v>21</v>
      </c>
      <c r="D311" s="102" t="s">
        <v>21</v>
      </c>
      <c r="E311" s="103" t="s">
        <v>53</v>
      </c>
      <c r="F311" s="102" t="s">
        <v>21</v>
      </c>
      <c r="G311" s="46">
        <f t="shared" si="31"/>
        <v>0</v>
      </c>
      <c r="H311" s="46"/>
      <c r="I311" s="46"/>
      <c r="J311" s="105"/>
      <c r="K311" s="48">
        <f t="shared" si="33"/>
        <v>0</v>
      </c>
      <c r="L311" s="48">
        <f t="shared" si="34"/>
        <v>0</v>
      </c>
      <c r="M311" s="48">
        <f t="shared" si="35"/>
        <v>0</v>
      </c>
      <c r="N311" s="48">
        <f t="shared" si="36"/>
        <v>0</v>
      </c>
      <c r="O311" s="50">
        <f t="shared" si="37"/>
        <v>0</v>
      </c>
      <c r="P311" s="50">
        <f>SUM(O312:O332)</f>
        <v>1200487.9000000001</v>
      </c>
      <c r="Q311" s="76"/>
      <c r="R311" s="154"/>
      <c r="S311" s="79" t="s">
        <v>22</v>
      </c>
      <c r="T311" s="80" t="s">
        <v>22</v>
      </c>
    </row>
    <row r="312" spans="2:20" ht="28">
      <c r="B312" s="5" t="s">
        <v>760</v>
      </c>
      <c r="C312" s="45" t="s">
        <v>165</v>
      </c>
      <c r="D312" s="45" t="s">
        <v>761</v>
      </c>
      <c r="E312" s="6" t="s">
        <v>762</v>
      </c>
      <c r="F312" s="45" t="s">
        <v>168</v>
      </c>
      <c r="G312" s="46">
        <f t="shared" si="31"/>
        <v>2700</v>
      </c>
      <c r="H312" s="46">
        <f>TRUNC(S312*(1-LOTE_01!$K$10),2)</f>
        <v>0</v>
      </c>
      <c r="I312" s="46">
        <f>TRUNC(T312*(1-LOTE_01!$K$10),2)</f>
        <v>15.81</v>
      </c>
      <c r="J312" s="100">
        <f t="shared" si="32"/>
        <v>0.22470000000000001</v>
      </c>
      <c r="K312" s="48">
        <f t="shared" si="33"/>
        <v>0</v>
      </c>
      <c r="L312" s="48">
        <f t="shared" si="34"/>
        <v>19.36</v>
      </c>
      <c r="M312" s="48">
        <f t="shared" si="35"/>
        <v>0</v>
      </c>
      <c r="N312" s="48">
        <f t="shared" si="36"/>
        <v>52272</v>
      </c>
      <c r="O312" s="50">
        <f t="shared" si="37"/>
        <v>52272</v>
      </c>
      <c r="P312" s="50">
        <v>0</v>
      </c>
      <c r="Q312" s="76"/>
      <c r="R312" s="140">
        <f>90*6*(S9+S10)</f>
        <v>2700</v>
      </c>
      <c r="S312" s="79">
        <v>0</v>
      </c>
      <c r="T312" s="80">
        <v>15.81</v>
      </c>
    </row>
    <row r="313" spans="2:20" ht="28">
      <c r="B313" s="5" t="s">
        <v>763</v>
      </c>
      <c r="C313" s="45" t="s">
        <v>165</v>
      </c>
      <c r="D313" s="45" t="s">
        <v>764</v>
      </c>
      <c r="E313" s="6" t="s">
        <v>765</v>
      </c>
      <c r="F313" s="45" t="s">
        <v>168</v>
      </c>
      <c r="G313" s="46">
        <f t="shared" si="31"/>
        <v>190</v>
      </c>
      <c r="H313" s="46">
        <f>TRUNC(S313*(1-LOTE_01!$K$10),2)</f>
        <v>27.97</v>
      </c>
      <c r="I313" s="46">
        <f>TRUNC(T313*(1-LOTE_01!$K$10),2)</f>
        <v>21.74</v>
      </c>
      <c r="J313" s="100">
        <f t="shared" si="32"/>
        <v>0.22470000000000001</v>
      </c>
      <c r="K313" s="48">
        <f t="shared" si="33"/>
        <v>34.25</v>
      </c>
      <c r="L313" s="48">
        <f t="shared" si="34"/>
        <v>26.62</v>
      </c>
      <c r="M313" s="48">
        <f t="shared" si="35"/>
        <v>6507.5</v>
      </c>
      <c r="N313" s="48">
        <f t="shared" si="36"/>
        <v>5057.8</v>
      </c>
      <c r="O313" s="50">
        <f t="shared" si="37"/>
        <v>11565.3</v>
      </c>
      <c r="P313" s="50">
        <v>0</v>
      </c>
      <c r="Q313" s="76"/>
      <c r="R313" s="140">
        <f>50*S9+20*(S10)</f>
        <v>190</v>
      </c>
      <c r="S313" s="79">
        <v>27.97</v>
      </c>
      <c r="T313" s="80">
        <v>21.74</v>
      </c>
    </row>
    <row r="314" spans="2:20" ht="28">
      <c r="B314" s="5" t="s">
        <v>766</v>
      </c>
      <c r="C314" s="45" t="s">
        <v>135</v>
      </c>
      <c r="D314" s="45">
        <v>100717</v>
      </c>
      <c r="E314" s="6" t="s">
        <v>767</v>
      </c>
      <c r="F314" s="45" t="s">
        <v>121</v>
      </c>
      <c r="G314" s="46">
        <f t="shared" si="31"/>
        <v>1300</v>
      </c>
      <c r="H314" s="46">
        <f>TRUNC(S314*(1-LOTE_01!$K$10),2)</f>
        <v>4.12</v>
      </c>
      <c r="I314" s="46">
        <f>TRUNC(T314*(1-LOTE_01!$K$10),2)</f>
        <v>7.63</v>
      </c>
      <c r="J314" s="100">
        <f t="shared" si="32"/>
        <v>0.22470000000000001</v>
      </c>
      <c r="K314" s="48">
        <f t="shared" si="33"/>
        <v>5.04</v>
      </c>
      <c r="L314" s="48">
        <f t="shared" si="34"/>
        <v>9.34</v>
      </c>
      <c r="M314" s="48">
        <f t="shared" si="35"/>
        <v>6552</v>
      </c>
      <c r="N314" s="48">
        <f t="shared" si="36"/>
        <v>12142</v>
      </c>
      <c r="O314" s="50">
        <f t="shared" si="37"/>
        <v>18694</v>
      </c>
      <c r="P314" s="50">
        <v>0</v>
      </c>
      <c r="Q314" s="76"/>
      <c r="R314" s="140">
        <f>R330</f>
        <v>1300</v>
      </c>
      <c r="S314" s="79">
        <v>4.12</v>
      </c>
      <c r="T314" s="80">
        <v>7.63</v>
      </c>
    </row>
    <row r="315" spans="2:20" ht="28">
      <c r="B315" s="5" t="s">
        <v>768</v>
      </c>
      <c r="C315" s="45" t="s">
        <v>135</v>
      </c>
      <c r="D315" s="45">
        <v>102197</v>
      </c>
      <c r="E315" s="6" t="s">
        <v>769</v>
      </c>
      <c r="F315" s="45" t="s">
        <v>121</v>
      </c>
      <c r="G315" s="46">
        <f t="shared" si="31"/>
        <v>430</v>
      </c>
      <c r="H315" s="46">
        <f>TRUNC(S315*(1-LOTE_01!$K$10),2)</f>
        <v>21.11</v>
      </c>
      <c r="I315" s="46">
        <f>TRUNC(T315*(1-LOTE_01!$K$10),2)</f>
        <v>6.99</v>
      </c>
      <c r="J315" s="100">
        <f t="shared" si="32"/>
        <v>0.22470000000000001</v>
      </c>
      <c r="K315" s="48">
        <f t="shared" si="33"/>
        <v>25.85</v>
      </c>
      <c r="L315" s="48">
        <f t="shared" si="34"/>
        <v>8.56</v>
      </c>
      <c r="M315" s="48">
        <f t="shared" si="35"/>
        <v>11115.5</v>
      </c>
      <c r="N315" s="48">
        <f t="shared" si="36"/>
        <v>3680.8</v>
      </c>
      <c r="O315" s="50">
        <f t="shared" si="37"/>
        <v>14796.3</v>
      </c>
      <c r="P315" s="50">
        <v>0</v>
      </c>
      <c r="Q315" s="76"/>
      <c r="R315" s="140">
        <f>R256</f>
        <v>430</v>
      </c>
      <c r="S315" s="79">
        <v>21.11</v>
      </c>
      <c r="T315" s="80">
        <v>6.99</v>
      </c>
    </row>
    <row r="316" spans="2:20" ht="70">
      <c r="B316" s="5" t="s">
        <v>770</v>
      </c>
      <c r="C316" s="45" t="s">
        <v>135</v>
      </c>
      <c r="D316" s="45">
        <v>88412</v>
      </c>
      <c r="E316" s="6" t="s">
        <v>771</v>
      </c>
      <c r="F316" s="45" t="s">
        <v>121</v>
      </c>
      <c r="G316" s="46">
        <f t="shared" si="31"/>
        <v>7500</v>
      </c>
      <c r="H316" s="46">
        <f>TRUNC(S316*(1-LOTE_01!$K$10),2)</f>
        <v>2.6</v>
      </c>
      <c r="I316" s="46">
        <f>TRUNC(T316*(1-LOTE_01!$K$10),2)</f>
        <v>0.84</v>
      </c>
      <c r="J316" s="100">
        <f t="shared" si="32"/>
        <v>0.22470000000000001</v>
      </c>
      <c r="K316" s="48">
        <f t="shared" si="33"/>
        <v>3.18</v>
      </c>
      <c r="L316" s="48">
        <f t="shared" si="34"/>
        <v>1.02</v>
      </c>
      <c r="M316" s="48">
        <f t="shared" si="35"/>
        <v>23850</v>
      </c>
      <c r="N316" s="48">
        <f t="shared" si="36"/>
        <v>7650</v>
      </c>
      <c r="O316" s="50">
        <f t="shared" si="37"/>
        <v>31500</v>
      </c>
      <c r="P316" s="50">
        <v>0</v>
      </c>
      <c r="Q316" s="76"/>
      <c r="R316" s="140">
        <f>1500*S9+1500*S10</f>
        <v>7500</v>
      </c>
      <c r="S316" s="79">
        <v>2.6</v>
      </c>
      <c r="T316" s="80">
        <v>0.84</v>
      </c>
    </row>
    <row r="317" spans="2:20" ht="42">
      <c r="B317" s="5" t="s">
        <v>772</v>
      </c>
      <c r="C317" s="45" t="s">
        <v>135</v>
      </c>
      <c r="D317" s="45">
        <v>88484</v>
      </c>
      <c r="E317" s="6" t="s">
        <v>773</v>
      </c>
      <c r="F317" s="45" t="s">
        <v>121</v>
      </c>
      <c r="G317" s="46">
        <f t="shared" si="31"/>
        <v>7500</v>
      </c>
      <c r="H317" s="46">
        <f>TRUNC(S317*(1-LOTE_01!$K$10),2)</f>
        <v>2.52</v>
      </c>
      <c r="I317" s="46">
        <f>TRUNC(T317*(1-LOTE_01!$K$10),2)</f>
        <v>2.84</v>
      </c>
      <c r="J317" s="100">
        <f t="shared" si="32"/>
        <v>0.22470000000000001</v>
      </c>
      <c r="K317" s="48">
        <f t="shared" si="33"/>
        <v>3.08</v>
      </c>
      <c r="L317" s="48">
        <f t="shared" si="34"/>
        <v>3.47</v>
      </c>
      <c r="M317" s="48">
        <f t="shared" si="35"/>
        <v>23100</v>
      </c>
      <c r="N317" s="48">
        <f t="shared" si="36"/>
        <v>26025</v>
      </c>
      <c r="O317" s="50">
        <f t="shared" si="37"/>
        <v>49125</v>
      </c>
      <c r="P317" s="50">
        <v>0</v>
      </c>
      <c r="Q317" s="76"/>
      <c r="R317" s="140">
        <f>1500*S9+1500*S10</f>
        <v>7500</v>
      </c>
      <c r="S317" s="79">
        <v>2.5200000000000005</v>
      </c>
      <c r="T317" s="80">
        <v>2.84</v>
      </c>
    </row>
    <row r="318" spans="2:20" ht="42">
      <c r="B318" s="5" t="s">
        <v>774</v>
      </c>
      <c r="C318" s="45" t="s">
        <v>135</v>
      </c>
      <c r="D318" s="45">
        <v>88485</v>
      </c>
      <c r="E318" s="6" t="s">
        <v>775</v>
      </c>
      <c r="F318" s="45" t="s">
        <v>121</v>
      </c>
      <c r="G318" s="46">
        <f t="shared" si="31"/>
        <v>7500</v>
      </c>
      <c r="H318" s="46">
        <f>TRUNC(S318*(1-LOTE_01!$K$10),2)</f>
        <v>2.1800000000000002</v>
      </c>
      <c r="I318" s="46">
        <f>TRUNC(T318*(1-LOTE_01!$K$10),2)</f>
        <v>2.0299999999999998</v>
      </c>
      <c r="J318" s="100">
        <f t="shared" si="32"/>
        <v>0.22470000000000001</v>
      </c>
      <c r="K318" s="48">
        <f t="shared" si="33"/>
        <v>2.66</v>
      </c>
      <c r="L318" s="48">
        <f t="shared" si="34"/>
        <v>2.48</v>
      </c>
      <c r="M318" s="48">
        <f t="shared" si="35"/>
        <v>19950</v>
      </c>
      <c r="N318" s="48">
        <f t="shared" si="36"/>
        <v>18600</v>
      </c>
      <c r="O318" s="50">
        <f t="shared" si="37"/>
        <v>38550</v>
      </c>
      <c r="P318" s="50">
        <v>0</v>
      </c>
      <c r="Q318" s="76"/>
      <c r="R318" s="140">
        <f>1500*S9+1500*S10</f>
        <v>7500</v>
      </c>
      <c r="S318" s="79">
        <v>2.1800000000000002</v>
      </c>
      <c r="T318" s="80">
        <v>2.0299999999999998</v>
      </c>
    </row>
    <row r="319" spans="2:20" ht="42">
      <c r="B319" s="5" t="s">
        <v>776</v>
      </c>
      <c r="C319" s="45" t="s">
        <v>135</v>
      </c>
      <c r="D319" s="45">
        <v>88495</v>
      </c>
      <c r="E319" s="6" t="s">
        <v>777</v>
      </c>
      <c r="F319" s="45" t="s">
        <v>121</v>
      </c>
      <c r="G319" s="46">
        <f t="shared" si="31"/>
        <v>7500</v>
      </c>
      <c r="H319" s="46">
        <f>TRUNC(S319*(1-LOTE_01!$K$10),2)</f>
        <v>5.82</v>
      </c>
      <c r="I319" s="46">
        <f>TRUNC(T319*(1-LOTE_01!$K$10),2)</f>
        <v>7.57</v>
      </c>
      <c r="J319" s="100">
        <f t="shared" si="32"/>
        <v>0.22470000000000001</v>
      </c>
      <c r="K319" s="48">
        <f t="shared" si="33"/>
        <v>7.12</v>
      </c>
      <c r="L319" s="48">
        <f t="shared" si="34"/>
        <v>9.27</v>
      </c>
      <c r="M319" s="48">
        <f t="shared" si="35"/>
        <v>53400</v>
      </c>
      <c r="N319" s="48">
        <f t="shared" si="36"/>
        <v>69525</v>
      </c>
      <c r="O319" s="50">
        <f t="shared" si="37"/>
        <v>122925</v>
      </c>
      <c r="P319" s="50">
        <v>0</v>
      </c>
      <c r="Q319" s="76"/>
      <c r="R319" s="140">
        <f>R316</f>
        <v>7500</v>
      </c>
      <c r="S319" s="79">
        <v>5.82</v>
      </c>
      <c r="T319" s="80">
        <v>7.57</v>
      </c>
    </row>
    <row r="320" spans="2:20" ht="42">
      <c r="B320" s="5" t="s">
        <v>778</v>
      </c>
      <c r="C320" s="45" t="s">
        <v>135</v>
      </c>
      <c r="D320" s="45">
        <v>88497</v>
      </c>
      <c r="E320" s="6" t="s">
        <v>779</v>
      </c>
      <c r="F320" s="45" t="s">
        <v>121</v>
      </c>
      <c r="G320" s="46">
        <f t="shared" si="31"/>
        <v>7500</v>
      </c>
      <c r="H320" s="46">
        <f>TRUNC(S320*(1-LOTE_01!$K$10),2)</f>
        <v>9.52</v>
      </c>
      <c r="I320" s="46">
        <f>TRUNC(T320*(1-LOTE_01!$K$10),2)</f>
        <v>11.1</v>
      </c>
      <c r="J320" s="100">
        <f t="shared" si="32"/>
        <v>0.22470000000000001</v>
      </c>
      <c r="K320" s="48">
        <f t="shared" si="33"/>
        <v>11.65</v>
      </c>
      <c r="L320" s="48">
        <f t="shared" si="34"/>
        <v>13.59</v>
      </c>
      <c r="M320" s="48">
        <f t="shared" si="35"/>
        <v>87375</v>
      </c>
      <c r="N320" s="48">
        <f t="shared" si="36"/>
        <v>101925</v>
      </c>
      <c r="O320" s="50">
        <f t="shared" si="37"/>
        <v>189300</v>
      </c>
      <c r="P320" s="50">
        <v>0</v>
      </c>
      <c r="Q320" s="76"/>
      <c r="R320" s="140">
        <f>R316</f>
        <v>7500</v>
      </c>
      <c r="S320" s="79">
        <v>9.5200000000000014</v>
      </c>
      <c r="T320" s="80">
        <v>11.1</v>
      </c>
    </row>
    <row r="321" spans="2:20" ht="42">
      <c r="B321" s="5" t="s">
        <v>780</v>
      </c>
      <c r="C321" s="45" t="s">
        <v>135</v>
      </c>
      <c r="D321" s="45">
        <v>88494</v>
      </c>
      <c r="E321" s="6" t="s">
        <v>781</v>
      </c>
      <c r="F321" s="45" t="s">
        <v>121</v>
      </c>
      <c r="G321" s="46">
        <f t="shared" si="31"/>
        <v>1875</v>
      </c>
      <c r="H321" s="46">
        <f>TRUNC(S321*(1-LOTE_01!$K$10),2)</f>
        <v>9.18</v>
      </c>
      <c r="I321" s="46">
        <f>TRUNC(T321*(1-LOTE_01!$K$10),2)</f>
        <v>15.66</v>
      </c>
      <c r="J321" s="100">
        <f t="shared" si="32"/>
        <v>0.22470000000000001</v>
      </c>
      <c r="K321" s="48">
        <f t="shared" si="33"/>
        <v>11.24</v>
      </c>
      <c r="L321" s="48">
        <f t="shared" si="34"/>
        <v>19.170000000000002</v>
      </c>
      <c r="M321" s="48">
        <f t="shared" si="35"/>
        <v>21075</v>
      </c>
      <c r="N321" s="48">
        <f t="shared" si="36"/>
        <v>35943.75</v>
      </c>
      <c r="O321" s="50">
        <f t="shared" si="37"/>
        <v>57018.75</v>
      </c>
      <c r="P321" s="50">
        <v>0</v>
      </c>
      <c r="Q321" s="76"/>
      <c r="R321" s="140">
        <f>R316/4</f>
        <v>1875</v>
      </c>
      <c r="S321" s="79">
        <v>9.18</v>
      </c>
      <c r="T321" s="80">
        <v>15.66</v>
      </c>
    </row>
    <row r="322" spans="2:20" ht="42">
      <c r="B322" s="5" t="s">
        <v>782</v>
      </c>
      <c r="C322" s="45" t="s">
        <v>135</v>
      </c>
      <c r="D322" s="45">
        <v>88496</v>
      </c>
      <c r="E322" s="6" t="s">
        <v>783</v>
      </c>
      <c r="F322" s="45" t="s">
        <v>121</v>
      </c>
      <c r="G322" s="46">
        <f t="shared" si="31"/>
        <v>1875</v>
      </c>
      <c r="H322" s="46">
        <f>TRUNC(S322*(1-LOTE_01!$K$10),2)</f>
        <v>14.47</v>
      </c>
      <c r="I322" s="46">
        <f>TRUNC(T322*(1-LOTE_01!$K$10),2)</f>
        <v>22.96</v>
      </c>
      <c r="J322" s="100">
        <f t="shared" si="32"/>
        <v>0.22470000000000001</v>
      </c>
      <c r="K322" s="48">
        <f t="shared" si="33"/>
        <v>17.72</v>
      </c>
      <c r="L322" s="48">
        <f t="shared" si="34"/>
        <v>28.11</v>
      </c>
      <c r="M322" s="48">
        <f t="shared" si="35"/>
        <v>33225</v>
      </c>
      <c r="N322" s="48">
        <f t="shared" si="36"/>
        <v>52706.25</v>
      </c>
      <c r="O322" s="50">
        <f t="shared" si="37"/>
        <v>85931.25</v>
      </c>
      <c r="P322" s="50">
        <v>0</v>
      </c>
      <c r="Q322" s="76"/>
      <c r="R322" s="140">
        <f>R316/4</f>
        <v>1875</v>
      </c>
      <c r="S322" s="79">
        <v>14.469999999999999</v>
      </c>
      <c r="T322" s="80">
        <v>22.96</v>
      </c>
    </row>
    <row r="323" spans="2:20" ht="56">
      <c r="B323" s="5" t="s">
        <v>784</v>
      </c>
      <c r="C323" s="45" t="s">
        <v>135</v>
      </c>
      <c r="D323" s="45">
        <v>96132</v>
      </c>
      <c r="E323" s="6" t="s">
        <v>785</v>
      </c>
      <c r="F323" s="45" t="s">
        <v>121</v>
      </c>
      <c r="G323" s="46">
        <f t="shared" si="31"/>
        <v>7500</v>
      </c>
      <c r="H323" s="46">
        <f>TRUNC(S323*(1-LOTE_01!$K$10),2)</f>
        <v>12.02</v>
      </c>
      <c r="I323" s="46">
        <f>TRUNC(T323*(1-LOTE_01!$K$10),2)</f>
        <v>8.2899999999999991</v>
      </c>
      <c r="J323" s="100">
        <f t="shared" si="32"/>
        <v>0.22470000000000001</v>
      </c>
      <c r="K323" s="48">
        <f t="shared" si="33"/>
        <v>14.72</v>
      </c>
      <c r="L323" s="48">
        <f t="shared" si="34"/>
        <v>10.15</v>
      </c>
      <c r="M323" s="48">
        <f t="shared" si="35"/>
        <v>110400</v>
      </c>
      <c r="N323" s="48">
        <f t="shared" si="36"/>
        <v>76125</v>
      </c>
      <c r="O323" s="50">
        <f t="shared" si="37"/>
        <v>186525</v>
      </c>
      <c r="P323" s="50">
        <v>0</v>
      </c>
      <c r="Q323" s="76"/>
      <c r="R323" s="140">
        <f>R316</f>
        <v>7500</v>
      </c>
      <c r="S323" s="79">
        <v>12.02</v>
      </c>
      <c r="T323" s="80">
        <v>8.2899999999999991</v>
      </c>
    </row>
    <row r="324" spans="2:20" ht="42">
      <c r="B324" s="5" t="s">
        <v>786</v>
      </c>
      <c r="C324" s="45" t="s">
        <v>135</v>
      </c>
      <c r="D324" s="45">
        <v>88489</v>
      </c>
      <c r="E324" s="6" t="s">
        <v>787</v>
      </c>
      <c r="F324" s="45" t="s">
        <v>121</v>
      </c>
      <c r="G324" s="46">
        <f t="shared" si="31"/>
        <v>7500</v>
      </c>
      <c r="H324" s="46">
        <f>TRUNC(S324*(1-LOTE_01!$K$10),2)</f>
        <v>11.72</v>
      </c>
      <c r="I324" s="46">
        <f>TRUNC(T324*(1-LOTE_01!$K$10),2)</f>
        <v>5.54</v>
      </c>
      <c r="J324" s="100">
        <f t="shared" si="32"/>
        <v>0.22470000000000001</v>
      </c>
      <c r="K324" s="48">
        <f t="shared" si="33"/>
        <v>14.35</v>
      </c>
      <c r="L324" s="48">
        <f t="shared" si="34"/>
        <v>6.78</v>
      </c>
      <c r="M324" s="48">
        <f t="shared" si="35"/>
        <v>107625</v>
      </c>
      <c r="N324" s="48">
        <f t="shared" si="36"/>
        <v>50850</v>
      </c>
      <c r="O324" s="50">
        <f t="shared" si="37"/>
        <v>158475</v>
      </c>
      <c r="P324" s="50">
        <v>0</v>
      </c>
      <c r="Q324" s="76"/>
      <c r="R324" s="140">
        <f>R316</f>
        <v>7500</v>
      </c>
      <c r="S324" s="79">
        <v>11.720000000000002</v>
      </c>
      <c r="T324" s="80">
        <v>5.54</v>
      </c>
    </row>
    <row r="325" spans="2:20" ht="56">
      <c r="B325" s="5" t="s">
        <v>788</v>
      </c>
      <c r="C325" s="45" t="s">
        <v>135</v>
      </c>
      <c r="D325" s="45">
        <v>102491</v>
      </c>
      <c r="E325" s="6" t="s">
        <v>789</v>
      </c>
      <c r="F325" s="45" t="s">
        <v>121</v>
      </c>
      <c r="G325" s="46">
        <f t="shared" si="31"/>
        <v>750</v>
      </c>
      <c r="H325" s="46">
        <f>TRUNC(S325*(1-LOTE_01!$K$10),2)</f>
        <v>17.079999999999998</v>
      </c>
      <c r="I325" s="46">
        <f>TRUNC(T325*(1-LOTE_01!$K$10),2)</f>
        <v>9.56</v>
      </c>
      <c r="J325" s="100">
        <f t="shared" si="32"/>
        <v>0.22470000000000001</v>
      </c>
      <c r="K325" s="48">
        <f t="shared" si="33"/>
        <v>20.91</v>
      </c>
      <c r="L325" s="48">
        <f t="shared" si="34"/>
        <v>11.7</v>
      </c>
      <c r="M325" s="48">
        <f t="shared" si="35"/>
        <v>15682.5</v>
      </c>
      <c r="N325" s="48">
        <f t="shared" si="36"/>
        <v>8775</v>
      </c>
      <c r="O325" s="50">
        <f t="shared" si="37"/>
        <v>24457.5</v>
      </c>
      <c r="P325" s="50">
        <v>0</v>
      </c>
      <c r="Q325" s="76"/>
      <c r="R325" s="140">
        <f>150*S9+150*S10</f>
        <v>750</v>
      </c>
      <c r="S325" s="79">
        <v>17.079999999999998</v>
      </c>
      <c r="T325" s="80">
        <v>9.56</v>
      </c>
    </row>
    <row r="326" spans="2:20" ht="56">
      <c r="B326" s="5" t="s">
        <v>790</v>
      </c>
      <c r="C326" s="45" t="s">
        <v>135</v>
      </c>
      <c r="D326" s="45">
        <v>102513</v>
      </c>
      <c r="E326" s="6" t="s">
        <v>791</v>
      </c>
      <c r="F326" s="45" t="s">
        <v>121</v>
      </c>
      <c r="G326" s="46">
        <f t="shared" si="31"/>
        <v>200</v>
      </c>
      <c r="H326" s="46">
        <f>TRUNC(S326*(1-LOTE_01!$K$10),2)</f>
        <v>27.1</v>
      </c>
      <c r="I326" s="46">
        <f>TRUNC(T326*(1-LOTE_01!$K$10),2)</f>
        <v>32.08</v>
      </c>
      <c r="J326" s="100">
        <f t="shared" si="32"/>
        <v>0.22470000000000001</v>
      </c>
      <c r="K326" s="48">
        <f t="shared" si="33"/>
        <v>33.18</v>
      </c>
      <c r="L326" s="48">
        <f t="shared" si="34"/>
        <v>39.28</v>
      </c>
      <c r="M326" s="48">
        <f t="shared" si="35"/>
        <v>6636</v>
      </c>
      <c r="N326" s="48">
        <f t="shared" si="36"/>
        <v>7856</v>
      </c>
      <c r="O326" s="50">
        <f t="shared" si="37"/>
        <v>14492</v>
      </c>
      <c r="P326" s="50">
        <v>0</v>
      </c>
      <c r="Q326" s="76"/>
      <c r="R326" s="140">
        <f>40*S9+40*S10</f>
        <v>200</v>
      </c>
      <c r="S326" s="79">
        <v>27.1</v>
      </c>
      <c r="T326" s="80">
        <v>32.08</v>
      </c>
    </row>
    <row r="327" spans="2:20" ht="42">
      <c r="B327" s="5" t="s">
        <v>792</v>
      </c>
      <c r="C327" s="45" t="s">
        <v>135</v>
      </c>
      <c r="D327" s="45">
        <v>102501</v>
      </c>
      <c r="E327" s="6" t="s">
        <v>793</v>
      </c>
      <c r="F327" s="45" t="s">
        <v>121</v>
      </c>
      <c r="G327" s="46">
        <f t="shared" si="31"/>
        <v>75</v>
      </c>
      <c r="H327" s="46">
        <f>TRUNC(S327*(1-LOTE_01!$K$10),2)</f>
        <v>17.8</v>
      </c>
      <c r="I327" s="46">
        <f>TRUNC(T327*(1-LOTE_01!$K$10),2)</f>
        <v>14.86</v>
      </c>
      <c r="J327" s="100">
        <f t="shared" si="32"/>
        <v>0.22470000000000001</v>
      </c>
      <c r="K327" s="48">
        <f t="shared" si="33"/>
        <v>21.79</v>
      </c>
      <c r="L327" s="48">
        <f t="shared" si="34"/>
        <v>18.190000000000001</v>
      </c>
      <c r="M327" s="48">
        <f t="shared" si="35"/>
        <v>1634.25</v>
      </c>
      <c r="N327" s="48">
        <f t="shared" si="36"/>
        <v>1364.25</v>
      </c>
      <c r="O327" s="50">
        <f t="shared" si="37"/>
        <v>2998.5</v>
      </c>
      <c r="P327" s="50">
        <v>0</v>
      </c>
      <c r="Q327" s="76"/>
      <c r="R327" s="140">
        <f>15*S9+15*S10</f>
        <v>75</v>
      </c>
      <c r="S327" s="79">
        <v>17.799999999999997</v>
      </c>
      <c r="T327" s="80">
        <v>14.86</v>
      </c>
    </row>
    <row r="328" spans="2:20" ht="98">
      <c r="B328" s="5" t="s">
        <v>794</v>
      </c>
      <c r="C328" s="45" t="s">
        <v>135</v>
      </c>
      <c r="D328" s="45">
        <v>100726</v>
      </c>
      <c r="E328" s="6" t="s">
        <v>795</v>
      </c>
      <c r="F328" s="45" t="s">
        <v>121</v>
      </c>
      <c r="G328" s="46">
        <f t="shared" si="31"/>
        <v>1300</v>
      </c>
      <c r="H328" s="46">
        <f>TRUNC(S328*(1-LOTE_01!$K$10),2)</f>
        <v>13.89</v>
      </c>
      <c r="I328" s="46">
        <f>TRUNC(T328*(1-LOTE_01!$K$10),2)</f>
        <v>17.23</v>
      </c>
      <c r="J328" s="100">
        <f t="shared" si="32"/>
        <v>0.22470000000000001</v>
      </c>
      <c r="K328" s="48">
        <f t="shared" si="33"/>
        <v>17.010000000000002</v>
      </c>
      <c r="L328" s="48">
        <f t="shared" si="34"/>
        <v>21.1</v>
      </c>
      <c r="M328" s="48">
        <f t="shared" si="35"/>
        <v>22113</v>
      </c>
      <c r="N328" s="48">
        <f t="shared" si="36"/>
        <v>27430</v>
      </c>
      <c r="O328" s="50">
        <f t="shared" si="37"/>
        <v>49543</v>
      </c>
      <c r="P328" s="50">
        <v>0</v>
      </c>
      <c r="Q328" s="76"/>
      <c r="R328" s="140">
        <f>300*S9+200*S10</f>
        <v>1300</v>
      </c>
      <c r="S328" s="79">
        <v>13.89</v>
      </c>
      <c r="T328" s="80">
        <v>17.23</v>
      </c>
    </row>
    <row r="329" spans="2:20" ht="28">
      <c r="B329" s="5" t="s">
        <v>796</v>
      </c>
      <c r="C329" s="45" t="s">
        <v>135</v>
      </c>
      <c r="D329" s="45">
        <v>102234</v>
      </c>
      <c r="E329" s="6" t="s">
        <v>797</v>
      </c>
      <c r="F329" s="45" t="s">
        <v>121</v>
      </c>
      <c r="G329" s="46">
        <f t="shared" si="31"/>
        <v>430</v>
      </c>
      <c r="H329" s="46">
        <f>TRUNC(S329*(1-LOTE_01!$K$10),2)</f>
        <v>13.86</v>
      </c>
      <c r="I329" s="46">
        <f>TRUNC(T329*(1-LOTE_01!$K$10),2)</f>
        <v>10.73</v>
      </c>
      <c r="J329" s="100">
        <f t="shared" si="32"/>
        <v>0.22470000000000001</v>
      </c>
      <c r="K329" s="48">
        <f t="shared" si="33"/>
        <v>16.97</v>
      </c>
      <c r="L329" s="48">
        <f t="shared" si="34"/>
        <v>13.14</v>
      </c>
      <c r="M329" s="48">
        <f t="shared" si="35"/>
        <v>7297.1</v>
      </c>
      <c r="N329" s="48">
        <f t="shared" si="36"/>
        <v>5650.2</v>
      </c>
      <c r="O329" s="50">
        <f t="shared" si="37"/>
        <v>12947.3</v>
      </c>
      <c r="P329" s="50">
        <v>0</v>
      </c>
      <c r="Q329" s="76"/>
      <c r="R329" s="140">
        <f>IF((10*S9+200*S10)&gt;5000,5000,(10*S9+200*S10))</f>
        <v>430</v>
      </c>
      <c r="S329" s="79">
        <v>13.86</v>
      </c>
      <c r="T329" s="80">
        <v>10.73</v>
      </c>
    </row>
    <row r="330" spans="2:20" ht="84">
      <c r="B330" s="5" t="s">
        <v>798</v>
      </c>
      <c r="C330" s="45" t="s">
        <v>135</v>
      </c>
      <c r="D330" s="45">
        <v>100749</v>
      </c>
      <c r="E330" s="6" t="s">
        <v>799</v>
      </c>
      <c r="F330" s="45" t="s">
        <v>121</v>
      </c>
      <c r="G330" s="46">
        <f t="shared" si="31"/>
        <v>1300</v>
      </c>
      <c r="H330" s="46">
        <f>TRUNC(S330*(1-LOTE_01!$K$10),2)</f>
        <v>13.91</v>
      </c>
      <c r="I330" s="46">
        <f>TRUNC(T330*(1-LOTE_01!$K$10),2)</f>
        <v>13.32</v>
      </c>
      <c r="J330" s="100">
        <f t="shared" si="32"/>
        <v>0.22470000000000001</v>
      </c>
      <c r="K330" s="48">
        <f t="shared" si="33"/>
        <v>17.03</v>
      </c>
      <c r="L330" s="48">
        <f t="shared" si="34"/>
        <v>16.309999999999999</v>
      </c>
      <c r="M330" s="48">
        <f t="shared" si="35"/>
        <v>22139</v>
      </c>
      <c r="N330" s="48">
        <f t="shared" si="36"/>
        <v>21203</v>
      </c>
      <c r="O330" s="50">
        <f t="shared" si="37"/>
        <v>43342</v>
      </c>
      <c r="P330" s="50">
        <v>0</v>
      </c>
      <c r="Q330" s="76"/>
      <c r="R330" s="140">
        <f>300*S9+200*S10</f>
        <v>1300</v>
      </c>
      <c r="S330" s="79">
        <v>13.91</v>
      </c>
      <c r="T330" s="80">
        <v>13.32</v>
      </c>
    </row>
    <row r="331" spans="2:20" ht="70">
      <c r="B331" s="5" t="s">
        <v>800</v>
      </c>
      <c r="C331" s="45" t="s">
        <v>135</v>
      </c>
      <c r="D331" s="45">
        <v>88429</v>
      </c>
      <c r="E331" s="6" t="s">
        <v>801</v>
      </c>
      <c r="F331" s="45" t="s">
        <v>121</v>
      </c>
      <c r="G331" s="46">
        <f t="shared" si="31"/>
        <v>250</v>
      </c>
      <c r="H331" s="46">
        <f>TRUNC(S331*(1-LOTE_01!$K$10),2)</f>
        <v>33.11</v>
      </c>
      <c r="I331" s="46">
        <f>TRUNC(T331*(1-LOTE_01!$K$10),2)</f>
        <v>16.7</v>
      </c>
      <c r="J331" s="100">
        <f t="shared" si="32"/>
        <v>0.22470000000000001</v>
      </c>
      <c r="K331" s="48">
        <f t="shared" si="33"/>
        <v>40.54</v>
      </c>
      <c r="L331" s="48">
        <f t="shared" si="34"/>
        <v>20.45</v>
      </c>
      <c r="M331" s="48">
        <f t="shared" si="35"/>
        <v>10135</v>
      </c>
      <c r="N331" s="48">
        <f t="shared" si="36"/>
        <v>5112.5</v>
      </c>
      <c r="O331" s="50">
        <f t="shared" si="37"/>
        <v>15247.5</v>
      </c>
      <c r="P331" s="50">
        <v>0</v>
      </c>
      <c r="Q331" s="76"/>
      <c r="R331" s="140">
        <f>50*(S9+S10)</f>
        <v>250</v>
      </c>
      <c r="S331" s="79">
        <v>33.11</v>
      </c>
      <c r="T331" s="80">
        <v>16.7</v>
      </c>
    </row>
    <row r="332" spans="2:20" ht="56">
      <c r="B332" s="5" t="s">
        <v>802</v>
      </c>
      <c r="C332" s="45" t="s">
        <v>97</v>
      </c>
      <c r="D332" s="45" t="s">
        <v>803</v>
      </c>
      <c r="E332" s="6" t="s">
        <v>804</v>
      </c>
      <c r="F332" s="45" t="s">
        <v>121</v>
      </c>
      <c r="G332" s="46">
        <f t="shared" si="31"/>
        <v>250</v>
      </c>
      <c r="H332" s="46">
        <f>TRUNC(S332*(1-LOTE_01!$K$10),2)</f>
        <v>51.94</v>
      </c>
      <c r="I332" s="46">
        <f>TRUNC(T332*(1-LOTE_01!$K$10),2)</f>
        <v>15.94</v>
      </c>
      <c r="J332" s="100">
        <f t="shared" si="32"/>
        <v>0.22470000000000001</v>
      </c>
      <c r="K332" s="48">
        <f t="shared" si="33"/>
        <v>63.61</v>
      </c>
      <c r="L332" s="48">
        <f t="shared" si="34"/>
        <v>19.52</v>
      </c>
      <c r="M332" s="48">
        <f t="shared" si="35"/>
        <v>15902.5</v>
      </c>
      <c r="N332" s="48">
        <f t="shared" si="36"/>
        <v>4880</v>
      </c>
      <c r="O332" s="50">
        <f t="shared" si="37"/>
        <v>20782.5</v>
      </c>
      <c r="P332" s="50">
        <v>0</v>
      </c>
      <c r="Q332" s="76"/>
      <c r="R332" s="140">
        <f>50*(S9+S10)</f>
        <v>250</v>
      </c>
      <c r="S332" s="79">
        <v>51.94</v>
      </c>
      <c r="T332" s="80">
        <v>15.94</v>
      </c>
    </row>
    <row r="333" spans="2:20">
      <c r="B333" s="101" t="s">
        <v>49</v>
      </c>
      <c r="C333" s="102" t="s">
        <v>21</v>
      </c>
      <c r="D333" s="102" t="s">
        <v>21</v>
      </c>
      <c r="E333" s="103" t="s">
        <v>55</v>
      </c>
      <c r="F333" s="102" t="s">
        <v>21</v>
      </c>
      <c r="G333" s="46">
        <f t="shared" si="31"/>
        <v>0</v>
      </c>
      <c r="H333" s="46"/>
      <c r="I333" s="46"/>
      <c r="J333" s="105"/>
      <c r="K333" s="48">
        <f t="shared" si="33"/>
        <v>0</v>
      </c>
      <c r="L333" s="48">
        <f t="shared" si="34"/>
        <v>0</v>
      </c>
      <c r="M333" s="48">
        <f t="shared" si="35"/>
        <v>0</v>
      </c>
      <c r="N333" s="48">
        <f t="shared" si="36"/>
        <v>0</v>
      </c>
      <c r="O333" s="50">
        <f t="shared" si="37"/>
        <v>0</v>
      </c>
      <c r="P333" s="50">
        <f>SUM(O334:O494)</f>
        <v>1753482.0600000005</v>
      </c>
      <c r="Q333" s="76"/>
      <c r="R333" s="154"/>
      <c r="S333" s="79" t="s">
        <v>22</v>
      </c>
      <c r="T333" s="80" t="s">
        <v>22</v>
      </c>
    </row>
    <row r="334" spans="2:20" ht="28">
      <c r="B334" s="101" t="s">
        <v>805</v>
      </c>
      <c r="C334" s="102" t="s">
        <v>21</v>
      </c>
      <c r="D334" s="102" t="s">
        <v>21</v>
      </c>
      <c r="E334" s="103" t="s">
        <v>806</v>
      </c>
      <c r="F334" s="102" t="s">
        <v>21</v>
      </c>
      <c r="G334" s="46">
        <f t="shared" si="31"/>
        <v>0</v>
      </c>
      <c r="H334" s="46"/>
      <c r="I334" s="46"/>
      <c r="J334" s="105"/>
      <c r="K334" s="48">
        <f t="shared" si="33"/>
        <v>0</v>
      </c>
      <c r="L334" s="48">
        <f t="shared" si="34"/>
        <v>0</v>
      </c>
      <c r="M334" s="48">
        <f t="shared" si="35"/>
        <v>0</v>
      </c>
      <c r="N334" s="48">
        <f t="shared" si="36"/>
        <v>0</v>
      </c>
      <c r="O334" s="50">
        <f t="shared" si="37"/>
        <v>0</v>
      </c>
      <c r="P334" s="50">
        <v>0</v>
      </c>
      <c r="Q334" s="76"/>
      <c r="R334" s="154"/>
      <c r="S334" s="79" t="s">
        <v>22</v>
      </c>
      <c r="T334" s="80" t="s">
        <v>22</v>
      </c>
    </row>
    <row r="335" spans="2:20" ht="56">
      <c r="B335" s="5" t="s">
        <v>807</v>
      </c>
      <c r="C335" s="45" t="s">
        <v>135</v>
      </c>
      <c r="D335" s="45">
        <v>90443</v>
      </c>
      <c r="E335" s="6" t="s">
        <v>808</v>
      </c>
      <c r="F335" s="45" t="s">
        <v>187</v>
      </c>
      <c r="G335" s="46">
        <f t="shared" si="31"/>
        <v>150</v>
      </c>
      <c r="H335" s="46">
        <f>TRUNC(S335*(1-LOTE_01!$K$10),2)</f>
        <v>2.31</v>
      </c>
      <c r="I335" s="46">
        <f>TRUNC(T335*(1-LOTE_01!$K$10),2)</f>
        <v>7.29</v>
      </c>
      <c r="J335" s="100">
        <f t="shared" si="32"/>
        <v>0.22470000000000001</v>
      </c>
      <c r="K335" s="48">
        <f t="shared" si="33"/>
        <v>2.82</v>
      </c>
      <c r="L335" s="48">
        <f t="shared" si="34"/>
        <v>8.92</v>
      </c>
      <c r="M335" s="48">
        <f t="shared" si="35"/>
        <v>423</v>
      </c>
      <c r="N335" s="48">
        <f t="shared" si="36"/>
        <v>1338</v>
      </c>
      <c r="O335" s="50">
        <f t="shared" si="37"/>
        <v>1761</v>
      </c>
      <c r="P335" s="50">
        <v>0</v>
      </c>
      <c r="Q335" s="76"/>
      <c r="R335" s="140">
        <f>30*S9+30*S10</f>
        <v>150</v>
      </c>
      <c r="S335" s="79">
        <v>2.3099999999999996</v>
      </c>
      <c r="T335" s="80">
        <v>7.29</v>
      </c>
    </row>
    <row r="336" spans="2:20" ht="70">
      <c r="B336" s="5" t="s">
        <v>809</v>
      </c>
      <c r="C336" s="45" t="s">
        <v>135</v>
      </c>
      <c r="D336" s="45">
        <v>90444</v>
      </c>
      <c r="E336" s="6" t="s">
        <v>810</v>
      </c>
      <c r="F336" s="45" t="s">
        <v>187</v>
      </c>
      <c r="G336" s="46">
        <f t="shared" si="31"/>
        <v>75</v>
      </c>
      <c r="H336" s="46">
        <f>TRUNC(S336*(1-LOTE_01!$K$10),2)</f>
        <v>4.12</v>
      </c>
      <c r="I336" s="46">
        <f>TRUNC(T336*(1-LOTE_01!$K$10),2)</f>
        <v>10.69</v>
      </c>
      <c r="J336" s="100">
        <f t="shared" si="32"/>
        <v>0.22470000000000001</v>
      </c>
      <c r="K336" s="48">
        <f t="shared" si="33"/>
        <v>5.04</v>
      </c>
      <c r="L336" s="48">
        <f t="shared" si="34"/>
        <v>13.09</v>
      </c>
      <c r="M336" s="48">
        <f t="shared" si="35"/>
        <v>378</v>
      </c>
      <c r="N336" s="48">
        <f t="shared" si="36"/>
        <v>981.75</v>
      </c>
      <c r="O336" s="50">
        <f t="shared" si="37"/>
        <v>1359.75</v>
      </c>
      <c r="P336" s="50">
        <v>0</v>
      </c>
      <c r="Q336" s="76"/>
      <c r="R336" s="140">
        <f>IF((5*S9+30*S10)&gt;100,100,(5*S9+30*S10))</f>
        <v>75</v>
      </c>
      <c r="S336" s="79">
        <v>4.120000000000001</v>
      </c>
      <c r="T336" s="80">
        <v>10.69</v>
      </c>
    </row>
    <row r="337" spans="2:20" ht="42">
      <c r="B337" s="5" t="s">
        <v>811</v>
      </c>
      <c r="C337" s="45" t="s">
        <v>135</v>
      </c>
      <c r="D337" s="45">
        <v>104795</v>
      </c>
      <c r="E337" s="6" t="s">
        <v>812</v>
      </c>
      <c r="F337" s="45" t="s">
        <v>187</v>
      </c>
      <c r="G337" s="46">
        <f t="shared" si="31"/>
        <v>2500</v>
      </c>
      <c r="H337" s="46">
        <f>TRUNC(S337*(1-LOTE_01!$K$10),2)</f>
        <v>0.49</v>
      </c>
      <c r="I337" s="46">
        <f>TRUNC(T337*(1-LOTE_01!$K$10),2)</f>
        <v>1.1200000000000001</v>
      </c>
      <c r="J337" s="100">
        <f t="shared" si="32"/>
        <v>0.22470000000000001</v>
      </c>
      <c r="K337" s="48">
        <f t="shared" si="33"/>
        <v>0.6</v>
      </c>
      <c r="L337" s="48">
        <f t="shared" si="34"/>
        <v>1.37</v>
      </c>
      <c r="M337" s="48">
        <f t="shared" si="35"/>
        <v>1500</v>
      </c>
      <c r="N337" s="48">
        <f t="shared" si="36"/>
        <v>3425</v>
      </c>
      <c r="O337" s="50">
        <f t="shared" si="37"/>
        <v>4925</v>
      </c>
      <c r="P337" s="50">
        <v>0</v>
      </c>
      <c r="Q337" s="76"/>
      <c r="R337" s="140">
        <f>500*S9+500*S10</f>
        <v>2500</v>
      </c>
      <c r="S337" s="79">
        <v>0.49</v>
      </c>
      <c r="T337" s="80">
        <v>1.1200000000000001</v>
      </c>
    </row>
    <row r="338" spans="2:20" ht="56">
      <c r="B338" s="5" t="s">
        <v>813</v>
      </c>
      <c r="C338" s="45" t="s">
        <v>135</v>
      </c>
      <c r="D338" s="45">
        <v>104792</v>
      </c>
      <c r="E338" s="6" t="s">
        <v>814</v>
      </c>
      <c r="F338" s="45" t="s">
        <v>187</v>
      </c>
      <c r="G338" s="46">
        <f t="shared" ref="G338:G401" si="38">TRUNC(R338,2)</f>
        <v>2500</v>
      </c>
      <c r="H338" s="46">
        <f>TRUNC(S338*(1-LOTE_01!$K$10),2)</f>
        <v>0.14000000000000001</v>
      </c>
      <c r="I338" s="46">
        <f>TRUNC(T338*(1-LOTE_01!$K$10),2)</f>
        <v>0.33</v>
      </c>
      <c r="J338" s="100">
        <f t="shared" ref="J338:J401" si="39">$J$4</f>
        <v>0.22470000000000001</v>
      </c>
      <c r="K338" s="48">
        <f t="shared" ref="K338:K401" si="40">TRUNC(H338*(1+J338),2)</f>
        <v>0.17</v>
      </c>
      <c r="L338" s="48">
        <f t="shared" ref="L338:L401" si="41">TRUNC(I338*(1+J338),2)</f>
        <v>0.4</v>
      </c>
      <c r="M338" s="48">
        <f t="shared" ref="M338:M401" si="42">TRUNC(K338*G338,2)</f>
        <v>425</v>
      </c>
      <c r="N338" s="48">
        <f t="shared" ref="N338:N401" si="43">TRUNC(L338*G338,2)</f>
        <v>1000</v>
      </c>
      <c r="O338" s="50">
        <f t="shared" ref="O338:O401" si="44">TRUNC(M338+N338,2)</f>
        <v>1425</v>
      </c>
      <c r="P338" s="50">
        <v>0</v>
      </c>
      <c r="Q338" s="76"/>
      <c r="R338" s="140">
        <f>500*S9+500*S10</f>
        <v>2500</v>
      </c>
      <c r="S338" s="79">
        <v>0.13999999999999996</v>
      </c>
      <c r="T338" s="80">
        <v>0.33</v>
      </c>
    </row>
    <row r="339" spans="2:20" ht="42">
      <c r="B339" s="5" t="s">
        <v>815</v>
      </c>
      <c r="C339" s="45" t="s">
        <v>135</v>
      </c>
      <c r="D339" s="45">
        <v>97661</v>
      </c>
      <c r="E339" s="6" t="s">
        <v>816</v>
      </c>
      <c r="F339" s="45" t="s">
        <v>187</v>
      </c>
      <c r="G339" s="46">
        <f t="shared" si="38"/>
        <v>250</v>
      </c>
      <c r="H339" s="46">
        <f>TRUNC(S339*(1-LOTE_01!$K$10),2)</f>
        <v>0.25</v>
      </c>
      <c r="I339" s="46">
        <f>TRUNC(T339*(1-LOTE_01!$K$10),2)</f>
        <v>0.59</v>
      </c>
      <c r="J339" s="100">
        <f t="shared" si="39"/>
        <v>0.22470000000000001</v>
      </c>
      <c r="K339" s="48">
        <f t="shared" si="40"/>
        <v>0.3</v>
      </c>
      <c r="L339" s="48">
        <f t="shared" si="41"/>
        <v>0.72</v>
      </c>
      <c r="M339" s="48">
        <f t="shared" si="42"/>
        <v>75</v>
      </c>
      <c r="N339" s="48">
        <f t="shared" si="43"/>
        <v>180</v>
      </c>
      <c r="O339" s="50">
        <f t="shared" si="44"/>
        <v>255</v>
      </c>
      <c r="P339" s="50">
        <v>0</v>
      </c>
      <c r="Q339" s="76"/>
      <c r="R339" s="140">
        <f>50*S9+50*S10</f>
        <v>250</v>
      </c>
      <c r="S339" s="79">
        <v>0.25</v>
      </c>
      <c r="T339" s="80">
        <v>0.59</v>
      </c>
    </row>
    <row r="340" spans="2:20" ht="28">
      <c r="B340" s="5" t="s">
        <v>817</v>
      </c>
      <c r="C340" s="45" t="s">
        <v>97</v>
      </c>
      <c r="D340" s="45" t="s">
        <v>818</v>
      </c>
      <c r="E340" s="6" t="s">
        <v>819</v>
      </c>
      <c r="F340" s="45" t="s">
        <v>187</v>
      </c>
      <c r="G340" s="46">
        <f t="shared" si="38"/>
        <v>500</v>
      </c>
      <c r="H340" s="46">
        <f>TRUNC(S340*(1-LOTE_01!$K$10),2)</f>
        <v>0.32</v>
      </c>
      <c r="I340" s="46">
        <f>TRUNC(T340*(1-LOTE_01!$K$10),2)</f>
        <v>0.9</v>
      </c>
      <c r="J340" s="100">
        <f t="shared" si="39"/>
        <v>0.22470000000000001</v>
      </c>
      <c r="K340" s="48">
        <f t="shared" si="40"/>
        <v>0.39</v>
      </c>
      <c r="L340" s="48">
        <f t="shared" si="41"/>
        <v>1.1000000000000001</v>
      </c>
      <c r="M340" s="48">
        <f t="shared" si="42"/>
        <v>195</v>
      </c>
      <c r="N340" s="48">
        <f t="shared" si="43"/>
        <v>550</v>
      </c>
      <c r="O340" s="50">
        <f t="shared" si="44"/>
        <v>745</v>
      </c>
      <c r="P340" s="50">
        <v>0</v>
      </c>
      <c r="Q340" s="76"/>
      <c r="R340" s="140">
        <f>100*S9+100*S10</f>
        <v>500</v>
      </c>
      <c r="S340" s="79">
        <v>0.32</v>
      </c>
      <c r="T340" s="80">
        <v>0.9</v>
      </c>
    </row>
    <row r="341" spans="2:20" ht="42">
      <c r="B341" s="5" t="s">
        <v>820</v>
      </c>
      <c r="C341" s="45" t="s">
        <v>97</v>
      </c>
      <c r="D341" s="45" t="s">
        <v>821</v>
      </c>
      <c r="E341" s="6" t="s">
        <v>822</v>
      </c>
      <c r="F341" s="45" t="s">
        <v>104</v>
      </c>
      <c r="G341" s="46">
        <f t="shared" si="38"/>
        <v>15</v>
      </c>
      <c r="H341" s="46">
        <f>TRUNC(S341*(1-LOTE_01!$K$10),2)</f>
        <v>48.31</v>
      </c>
      <c r="I341" s="46">
        <f>TRUNC(T341*(1-LOTE_01!$K$10),2)</f>
        <v>22.98</v>
      </c>
      <c r="J341" s="100">
        <f t="shared" si="39"/>
        <v>0.22470000000000001</v>
      </c>
      <c r="K341" s="48">
        <f t="shared" si="40"/>
        <v>59.16</v>
      </c>
      <c r="L341" s="48">
        <f t="shared" si="41"/>
        <v>28.14</v>
      </c>
      <c r="M341" s="48">
        <f t="shared" si="42"/>
        <v>887.4</v>
      </c>
      <c r="N341" s="48">
        <f t="shared" si="43"/>
        <v>422.1</v>
      </c>
      <c r="O341" s="50">
        <f t="shared" si="44"/>
        <v>1309.5</v>
      </c>
      <c r="P341" s="50">
        <v>0</v>
      </c>
      <c r="Q341" s="76"/>
      <c r="R341" s="140">
        <f>3*(S9+S10)</f>
        <v>15</v>
      </c>
      <c r="S341" s="79">
        <v>48.31</v>
      </c>
      <c r="T341" s="80">
        <v>22.98</v>
      </c>
    </row>
    <row r="342" spans="2:20" ht="28">
      <c r="B342" s="5" t="s">
        <v>823</v>
      </c>
      <c r="C342" s="45" t="s">
        <v>165</v>
      </c>
      <c r="D342" s="45" t="s">
        <v>824</v>
      </c>
      <c r="E342" s="6" t="s">
        <v>825</v>
      </c>
      <c r="F342" s="45" t="s">
        <v>559</v>
      </c>
      <c r="G342" s="46">
        <f t="shared" si="38"/>
        <v>70</v>
      </c>
      <c r="H342" s="46">
        <f>TRUNC(S342*(1-LOTE_01!$K$10),2)</f>
        <v>266.56</v>
      </c>
      <c r="I342" s="46">
        <f>TRUNC(T342*(1-LOTE_01!$K$10),2)</f>
        <v>125.27</v>
      </c>
      <c r="J342" s="100">
        <f t="shared" si="39"/>
        <v>0.22470000000000001</v>
      </c>
      <c r="K342" s="48">
        <f t="shared" si="40"/>
        <v>326.45</v>
      </c>
      <c r="L342" s="48">
        <f t="shared" si="41"/>
        <v>153.41</v>
      </c>
      <c r="M342" s="48">
        <f t="shared" si="42"/>
        <v>22851.5</v>
      </c>
      <c r="N342" s="48">
        <f t="shared" si="43"/>
        <v>10738.7</v>
      </c>
      <c r="O342" s="50">
        <f t="shared" si="44"/>
        <v>33590.199999999997</v>
      </c>
      <c r="P342" s="50">
        <v>0</v>
      </c>
      <c r="Q342" s="76"/>
      <c r="R342" s="140">
        <f>IF((10*S9+20*S10)&gt;500,500,(10*S9+20*S10))</f>
        <v>70</v>
      </c>
      <c r="S342" s="79">
        <v>266.56</v>
      </c>
      <c r="T342" s="80">
        <v>125.27</v>
      </c>
    </row>
    <row r="343" spans="2:20" ht="42">
      <c r="B343" s="5" t="s">
        <v>826</v>
      </c>
      <c r="C343" s="45" t="s">
        <v>165</v>
      </c>
      <c r="D343" s="45" t="s">
        <v>827</v>
      </c>
      <c r="E343" s="6" t="s">
        <v>828</v>
      </c>
      <c r="F343" s="45" t="s">
        <v>559</v>
      </c>
      <c r="G343" s="46">
        <f t="shared" si="38"/>
        <v>25</v>
      </c>
      <c r="H343" s="46">
        <f>TRUNC(S343*(1-LOTE_01!$K$10),2)</f>
        <v>155.19</v>
      </c>
      <c r="I343" s="46">
        <f>TRUNC(T343*(1-LOTE_01!$K$10),2)</f>
        <v>74.25</v>
      </c>
      <c r="J343" s="100">
        <f t="shared" si="39"/>
        <v>0.22470000000000001</v>
      </c>
      <c r="K343" s="48">
        <f t="shared" si="40"/>
        <v>190.06</v>
      </c>
      <c r="L343" s="48">
        <f t="shared" si="41"/>
        <v>90.93</v>
      </c>
      <c r="M343" s="48">
        <f t="shared" si="42"/>
        <v>4751.5</v>
      </c>
      <c r="N343" s="48">
        <f t="shared" si="43"/>
        <v>2273.25</v>
      </c>
      <c r="O343" s="50">
        <f t="shared" si="44"/>
        <v>7024.75</v>
      </c>
      <c r="P343" s="50">
        <v>0</v>
      </c>
      <c r="Q343" s="76"/>
      <c r="R343" s="140">
        <f>IF((5*S9+5*S10)&gt;200,200,(5*S9+5*S10))</f>
        <v>25</v>
      </c>
      <c r="S343" s="79">
        <v>155.19</v>
      </c>
      <c r="T343" s="80">
        <v>74.25</v>
      </c>
    </row>
    <row r="344" spans="2:20" ht="28">
      <c r="B344" s="5" t="s">
        <v>829</v>
      </c>
      <c r="C344" s="45" t="s">
        <v>165</v>
      </c>
      <c r="D344" s="45" t="s">
        <v>830</v>
      </c>
      <c r="E344" s="6" t="s">
        <v>831</v>
      </c>
      <c r="F344" s="45" t="s">
        <v>559</v>
      </c>
      <c r="G344" s="46">
        <f t="shared" si="38"/>
        <v>70</v>
      </c>
      <c r="H344" s="46">
        <f>TRUNC(S344*(1-LOTE_01!$K$10),2)</f>
        <v>254.47</v>
      </c>
      <c r="I344" s="46">
        <f>TRUNC(T344*(1-LOTE_01!$K$10),2)</f>
        <v>141.21</v>
      </c>
      <c r="J344" s="100">
        <f t="shared" si="39"/>
        <v>0.22470000000000001</v>
      </c>
      <c r="K344" s="48">
        <f t="shared" si="40"/>
        <v>311.64</v>
      </c>
      <c r="L344" s="48">
        <f t="shared" si="41"/>
        <v>172.93</v>
      </c>
      <c r="M344" s="48">
        <f t="shared" si="42"/>
        <v>21814.799999999999</v>
      </c>
      <c r="N344" s="48">
        <f t="shared" si="43"/>
        <v>12105.1</v>
      </c>
      <c r="O344" s="50">
        <f t="shared" si="44"/>
        <v>33919.9</v>
      </c>
      <c r="P344" s="50">
        <v>0</v>
      </c>
      <c r="Q344" s="76"/>
      <c r="R344" s="140">
        <f>IF((10*S9+20*S10)&gt;200,200,(10*S9+20*S10))</f>
        <v>70</v>
      </c>
      <c r="S344" s="79">
        <v>254.47</v>
      </c>
      <c r="T344" s="80">
        <v>141.21</v>
      </c>
    </row>
    <row r="345" spans="2:20" ht="28">
      <c r="B345" s="5" t="s">
        <v>832</v>
      </c>
      <c r="C345" s="45" t="s">
        <v>97</v>
      </c>
      <c r="D345" s="45" t="s">
        <v>833</v>
      </c>
      <c r="E345" s="6" t="s">
        <v>834</v>
      </c>
      <c r="F345" s="45" t="s">
        <v>104</v>
      </c>
      <c r="G345" s="46">
        <f t="shared" si="38"/>
        <v>50</v>
      </c>
      <c r="H345" s="46">
        <f>TRUNC(S345*(1-LOTE_01!$K$10),2)</f>
        <v>46.24</v>
      </c>
      <c r="I345" s="46">
        <f>TRUNC(T345*(1-LOTE_01!$K$10),2)</f>
        <v>13.2</v>
      </c>
      <c r="J345" s="100">
        <f t="shared" si="39"/>
        <v>0.22470000000000001</v>
      </c>
      <c r="K345" s="48">
        <f t="shared" si="40"/>
        <v>56.63</v>
      </c>
      <c r="L345" s="48">
        <f t="shared" si="41"/>
        <v>16.16</v>
      </c>
      <c r="M345" s="48">
        <f t="shared" si="42"/>
        <v>2831.5</v>
      </c>
      <c r="N345" s="48">
        <f t="shared" si="43"/>
        <v>808</v>
      </c>
      <c r="O345" s="50">
        <f t="shared" si="44"/>
        <v>3639.5</v>
      </c>
      <c r="P345" s="50">
        <v>0</v>
      </c>
      <c r="Q345" s="76"/>
      <c r="R345" s="140">
        <f>IF((10*S9+10*S10)&gt;200,200,(10*S9+10*S10))</f>
        <v>50</v>
      </c>
      <c r="S345" s="79">
        <v>46.24</v>
      </c>
      <c r="T345" s="80">
        <v>13.2</v>
      </c>
    </row>
    <row r="346" spans="2:20" ht="70">
      <c r="B346" s="5" t="s">
        <v>835</v>
      </c>
      <c r="C346" s="45" t="s">
        <v>135</v>
      </c>
      <c r="D346" s="45">
        <v>91863</v>
      </c>
      <c r="E346" s="6" t="s">
        <v>836</v>
      </c>
      <c r="F346" s="45" t="s">
        <v>187</v>
      </c>
      <c r="G346" s="46">
        <f t="shared" si="38"/>
        <v>260</v>
      </c>
      <c r="H346" s="46">
        <f>TRUNC(S346*(1-LOTE_01!$K$10),2)</f>
        <v>6.7</v>
      </c>
      <c r="I346" s="46">
        <f>TRUNC(T346*(1-LOTE_01!$K$10),2)</f>
        <v>5.4</v>
      </c>
      <c r="J346" s="100">
        <f t="shared" si="39"/>
        <v>0.22470000000000001</v>
      </c>
      <c r="K346" s="48">
        <f t="shared" si="40"/>
        <v>8.1999999999999993</v>
      </c>
      <c r="L346" s="48">
        <f t="shared" si="41"/>
        <v>6.61</v>
      </c>
      <c r="M346" s="48">
        <f t="shared" si="42"/>
        <v>2132</v>
      </c>
      <c r="N346" s="48">
        <f t="shared" si="43"/>
        <v>1718.6</v>
      </c>
      <c r="O346" s="50">
        <f t="shared" si="44"/>
        <v>3850.6</v>
      </c>
      <c r="P346" s="50">
        <v>0</v>
      </c>
      <c r="Q346" s="76"/>
      <c r="R346" s="140">
        <f>IF((20*S9+100*S10)&gt;1000,1000,(20*S9+100*S10))</f>
        <v>260</v>
      </c>
      <c r="S346" s="79">
        <v>6.6999999999999993</v>
      </c>
      <c r="T346" s="80">
        <v>5.4</v>
      </c>
    </row>
    <row r="347" spans="2:20" ht="70">
      <c r="B347" s="5" t="s">
        <v>837</v>
      </c>
      <c r="C347" s="45" t="s">
        <v>135</v>
      </c>
      <c r="D347" s="45">
        <v>91864</v>
      </c>
      <c r="E347" s="6" t="s">
        <v>838</v>
      </c>
      <c r="F347" s="45" t="s">
        <v>187</v>
      </c>
      <c r="G347" s="46">
        <f t="shared" si="38"/>
        <v>260</v>
      </c>
      <c r="H347" s="46">
        <f>TRUNC(S347*(1-LOTE_01!$K$10),2)</f>
        <v>9.7200000000000006</v>
      </c>
      <c r="I347" s="46">
        <f>TRUNC(T347*(1-LOTE_01!$K$10),2)</f>
        <v>6.29</v>
      </c>
      <c r="J347" s="100">
        <f t="shared" si="39"/>
        <v>0.22470000000000001</v>
      </c>
      <c r="K347" s="48">
        <f t="shared" si="40"/>
        <v>11.9</v>
      </c>
      <c r="L347" s="48">
        <f t="shared" si="41"/>
        <v>7.7</v>
      </c>
      <c r="M347" s="48">
        <f t="shared" si="42"/>
        <v>3094</v>
      </c>
      <c r="N347" s="48">
        <f t="shared" si="43"/>
        <v>2002</v>
      </c>
      <c r="O347" s="50">
        <f t="shared" si="44"/>
        <v>5096</v>
      </c>
      <c r="P347" s="50">
        <v>0</v>
      </c>
      <c r="Q347" s="76"/>
      <c r="R347" s="140">
        <f>IF((20*S9+100*S10)&gt;500,500,(20*S9+100*S10))</f>
        <v>260</v>
      </c>
      <c r="S347" s="79">
        <v>9.7200000000000024</v>
      </c>
      <c r="T347" s="80">
        <v>6.29</v>
      </c>
    </row>
    <row r="348" spans="2:20" ht="56">
      <c r="B348" s="5" t="s">
        <v>839</v>
      </c>
      <c r="C348" s="45" t="s">
        <v>135</v>
      </c>
      <c r="D348" s="45">
        <v>91926</v>
      </c>
      <c r="E348" s="6" t="s">
        <v>840</v>
      </c>
      <c r="F348" s="45" t="s">
        <v>187</v>
      </c>
      <c r="G348" s="46">
        <f t="shared" si="38"/>
        <v>3000</v>
      </c>
      <c r="H348" s="46">
        <f>TRUNC(S348*(1-LOTE_01!$K$10),2)</f>
        <v>3.77</v>
      </c>
      <c r="I348" s="46">
        <f>TRUNC(T348*(1-LOTE_01!$K$10),2)</f>
        <v>1.32</v>
      </c>
      <c r="J348" s="100">
        <f t="shared" si="39"/>
        <v>0.22470000000000001</v>
      </c>
      <c r="K348" s="48">
        <f t="shared" si="40"/>
        <v>4.6100000000000003</v>
      </c>
      <c r="L348" s="48">
        <f t="shared" si="41"/>
        <v>1.61</v>
      </c>
      <c r="M348" s="48">
        <f t="shared" si="42"/>
        <v>13830</v>
      </c>
      <c r="N348" s="48">
        <f t="shared" si="43"/>
        <v>4830</v>
      </c>
      <c r="O348" s="50">
        <f t="shared" si="44"/>
        <v>18660</v>
      </c>
      <c r="P348" s="50">
        <v>0</v>
      </c>
      <c r="Q348" s="76"/>
      <c r="R348" s="140">
        <f>600*S9+600*S10</f>
        <v>3000</v>
      </c>
      <c r="S348" s="79">
        <v>3.7699999999999996</v>
      </c>
      <c r="T348" s="80">
        <v>1.32</v>
      </c>
    </row>
    <row r="349" spans="2:20" ht="56">
      <c r="B349" s="5" t="s">
        <v>841</v>
      </c>
      <c r="C349" s="45" t="s">
        <v>135</v>
      </c>
      <c r="D349" s="45">
        <v>91924</v>
      </c>
      <c r="E349" s="6" t="s">
        <v>842</v>
      </c>
      <c r="F349" s="45" t="s">
        <v>187</v>
      </c>
      <c r="G349" s="46">
        <f t="shared" si="38"/>
        <v>3000</v>
      </c>
      <c r="H349" s="46">
        <f>TRUNC(S349*(1-LOTE_01!$K$10),2)</f>
        <v>2.4700000000000002</v>
      </c>
      <c r="I349" s="46">
        <f>TRUNC(T349*(1-LOTE_01!$K$10),2)</f>
        <v>1.04</v>
      </c>
      <c r="J349" s="100">
        <f t="shared" si="39"/>
        <v>0.22470000000000001</v>
      </c>
      <c r="K349" s="48">
        <f t="shared" si="40"/>
        <v>3.02</v>
      </c>
      <c r="L349" s="48">
        <f t="shared" si="41"/>
        <v>1.27</v>
      </c>
      <c r="M349" s="48">
        <f t="shared" si="42"/>
        <v>9060</v>
      </c>
      <c r="N349" s="48">
        <f t="shared" si="43"/>
        <v>3810</v>
      </c>
      <c r="O349" s="50">
        <f t="shared" si="44"/>
        <v>12870</v>
      </c>
      <c r="P349" s="50">
        <v>0</v>
      </c>
      <c r="Q349" s="76"/>
      <c r="R349" s="140">
        <f>600*S9+600*S10</f>
        <v>3000</v>
      </c>
      <c r="S349" s="79">
        <v>2.4699999999999998</v>
      </c>
      <c r="T349" s="80">
        <v>1.04</v>
      </c>
    </row>
    <row r="350" spans="2:20" ht="56">
      <c r="B350" s="5" t="s">
        <v>843</v>
      </c>
      <c r="C350" s="45" t="s">
        <v>135</v>
      </c>
      <c r="D350" s="45">
        <v>91928</v>
      </c>
      <c r="E350" s="6" t="s">
        <v>844</v>
      </c>
      <c r="F350" s="45" t="s">
        <v>187</v>
      </c>
      <c r="G350" s="46">
        <f t="shared" si="38"/>
        <v>1000</v>
      </c>
      <c r="H350" s="46">
        <f>TRUNC(S350*(1-LOTE_01!$K$10),2)</f>
        <v>6.06</v>
      </c>
      <c r="I350" s="46">
        <f>TRUNC(T350*(1-LOTE_01!$K$10),2)</f>
        <v>1.78</v>
      </c>
      <c r="J350" s="100">
        <f t="shared" si="39"/>
        <v>0.22470000000000001</v>
      </c>
      <c r="K350" s="48">
        <f t="shared" si="40"/>
        <v>7.42</v>
      </c>
      <c r="L350" s="48">
        <f t="shared" si="41"/>
        <v>2.17</v>
      </c>
      <c r="M350" s="48">
        <f t="shared" si="42"/>
        <v>7420</v>
      </c>
      <c r="N350" s="48">
        <f t="shared" si="43"/>
        <v>2170</v>
      </c>
      <c r="O350" s="50">
        <f t="shared" si="44"/>
        <v>9590</v>
      </c>
      <c r="P350" s="50">
        <v>0</v>
      </c>
      <c r="Q350" s="76"/>
      <c r="R350" s="140">
        <f>200*S9+200*S10</f>
        <v>1000</v>
      </c>
      <c r="S350" s="79">
        <v>6.06</v>
      </c>
      <c r="T350" s="80">
        <v>1.78</v>
      </c>
    </row>
    <row r="351" spans="2:20" ht="56">
      <c r="B351" s="5" t="s">
        <v>845</v>
      </c>
      <c r="C351" s="45" t="s">
        <v>135</v>
      </c>
      <c r="D351" s="45">
        <v>91952</v>
      </c>
      <c r="E351" s="6" t="s">
        <v>846</v>
      </c>
      <c r="F351" s="45" t="s">
        <v>210</v>
      </c>
      <c r="G351" s="46">
        <f t="shared" si="38"/>
        <v>125</v>
      </c>
      <c r="H351" s="46">
        <f>TRUNC(S351*(1-LOTE_01!$K$10),2)</f>
        <v>10.210000000000001</v>
      </c>
      <c r="I351" s="46">
        <f>TRUNC(T351*(1-LOTE_01!$K$10),2)</f>
        <v>10.52</v>
      </c>
      <c r="J351" s="100">
        <f t="shared" si="39"/>
        <v>0.22470000000000001</v>
      </c>
      <c r="K351" s="48">
        <f t="shared" si="40"/>
        <v>12.5</v>
      </c>
      <c r="L351" s="48">
        <f t="shared" si="41"/>
        <v>12.88</v>
      </c>
      <c r="M351" s="48">
        <f t="shared" si="42"/>
        <v>1562.5</v>
      </c>
      <c r="N351" s="48">
        <f t="shared" si="43"/>
        <v>1610</v>
      </c>
      <c r="O351" s="50">
        <f t="shared" si="44"/>
        <v>3172.5</v>
      </c>
      <c r="P351" s="50">
        <v>0</v>
      </c>
      <c r="Q351" s="76"/>
      <c r="R351" s="140">
        <f>25*S9+25*S10</f>
        <v>125</v>
      </c>
      <c r="S351" s="79">
        <v>10.210000000000001</v>
      </c>
      <c r="T351" s="80">
        <v>10.52</v>
      </c>
    </row>
    <row r="352" spans="2:20" ht="56">
      <c r="B352" s="5" t="s">
        <v>847</v>
      </c>
      <c r="C352" s="45" t="s">
        <v>135</v>
      </c>
      <c r="D352" s="45">
        <v>91959</v>
      </c>
      <c r="E352" s="6" t="s">
        <v>848</v>
      </c>
      <c r="F352" s="45" t="s">
        <v>210</v>
      </c>
      <c r="G352" s="46">
        <f t="shared" si="38"/>
        <v>50</v>
      </c>
      <c r="H352" s="46">
        <f>TRUNC(S352*(1-LOTE_01!$K$10),2)</f>
        <v>25.61</v>
      </c>
      <c r="I352" s="46">
        <f>TRUNC(T352*(1-LOTE_01!$K$10),2)</f>
        <v>24.03</v>
      </c>
      <c r="J352" s="100">
        <f t="shared" si="39"/>
        <v>0.22470000000000001</v>
      </c>
      <c r="K352" s="48">
        <f t="shared" si="40"/>
        <v>31.36</v>
      </c>
      <c r="L352" s="48">
        <f t="shared" si="41"/>
        <v>29.42</v>
      </c>
      <c r="M352" s="48">
        <f t="shared" si="42"/>
        <v>1568</v>
      </c>
      <c r="N352" s="48">
        <f t="shared" si="43"/>
        <v>1471</v>
      </c>
      <c r="O352" s="50">
        <f t="shared" si="44"/>
        <v>3039</v>
      </c>
      <c r="P352" s="50">
        <v>0</v>
      </c>
      <c r="Q352" s="76"/>
      <c r="R352" s="140">
        <f>10*S9+10*S10</f>
        <v>50</v>
      </c>
      <c r="S352" s="79">
        <v>25.61</v>
      </c>
      <c r="T352" s="80">
        <v>24.03</v>
      </c>
    </row>
    <row r="353" spans="2:20" ht="56">
      <c r="B353" s="5" t="s">
        <v>849</v>
      </c>
      <c r="C353" s="45" t="s">
        <v>135</v>
      </c>
      <c r="D353" s="45">
        <v>91967</v>
      </c>
      <c r="E353" s="6" t="s">
        <v>850</v>
      </c>
      <c r="F353" s="45" t="s">
        <v>210</v>
      </c>
      <c r="G353" s="46">
        <f t="shared" si="38"/>
        <v>50</v>
      </c>
      <c r="H353" s="46">
        <f>TRUNC(S353*(1-LOTE_01!$K$10),2)</f>
        <v>34.79</v>
      </c>
      <c r="I353" s="46">
        <f>TRUNC(T353*(1-LOTE_01!$K$10),2)</f>
        <v>31.74</v>
      </c>
      <c r="J353" s="100">
        <f t="shared" si="39"/>
        <v>0.22470000000000001</v>
      </c>
      <c r="K353" s="48">
        <f t="shared" si="40"/>
        <v>42.6</v>
      </c>
      <c r="L353" s="48">
        <f t="shared" si="41"/>
        <v>38.869999999999997</v>
      </c>
      <c r="M353" s="48">
        <f t="shared" si="42"/>
        <v>2130</v>
      </c>
      <c r="N353" s="48">
        <f t="shared" si="43"/>
        <v>1943.5</v>
      </c>
      <c r="O353" s="50">
        <f t="shared" si="44"/>
        <v>4073.5</v>
      </c>
      <c r="P353" s="50">
        <v>0</v>
      </c>
      <c r="Q353" s="76"/>
      <c r="R353" s="140">
        <f>10*S9+10*S10</f>
        <v>50</v>
      </c>
      <c r="S353" s="79">
        <v>34.790000000000006</v>
      </c>
      <c r="T353" s="80">
        <v>31.74</v>
      </c>
    </row>
    <row r="354" spans="2:20" ht="56">
      <c r="B354" s="5" t="s">
        <v>851</v>
      </c>
      <c r="C354" s="45" t="s">
        <v>135</v>
      </c>
      <c r="D354" s="45">
        <v>92005</v>
      </c>
      <c r="E354" s="6" t="s">
        <v>852</v>
      </c>
      <c r="F354" s="45" t="s">
        <v>210</v>
      </c>
      <c r="G354" s="46">
        <f t="shared" si="38"/>
        <v>70</v>
      </c>
      <c r="H354" s="46">
        <f>TRUNC(S354*(1-LOTE_01!$K$10),2)</f>
        <v>34.229999999999997</v>
      </c>
      <c r="I354" s="46">
        <f>TRUNC(T354*(1-LOTE_01!$K$10),2)</f>
        <v>31.74</v>
      </c>
      <c r="J354" s="100">
        <f t="shared" si="39"/>
        <v>0.22470000000000001</v>
      </c>
      <c r="K354" s="48">
        <f t="shared" si="40"/>
        <v>41.92</v>
      </c>
      <c r="L354" s="48">
        <f t="shared" si="41"/>
        <v>38.869999999999997</v>
      </c>
      <c r="M354" s="48">
        <f t="shared" si="42"/>
        <v>2934.4</v>
      </c>
      <c r="N354" s="48">
        <f t="shared" si="43"/>
        <v>2720.9</v>
      </c>
      <c r="O354" s="50">
        <f t="shared" si="44"/>
        <v>5655.3</v>
      </c>
      <c r="P354" s="50">
        <v>0</v>
      </c>
      <c r="Q354" s="76"/>
      <c r="R354" s="140">
        <f>IF((10*S9+20*S10)&gt;500,500,(10*S9+20*S10))</f>
        <v>70</v>
      </c>
      <c r="S354" s="79">
        <v>34.230000000000004</v>
      </c>
      <c r="T354" s="80">
        <v>31.74</v>
      </c>
    </row>
    <row r="355" spans="2:20" ht="56">
      <c r="B355" s="5" t="s">
        <v>853</v>
      </c>
      <c r="C355" s="45" t="s">
        <v>135</v>
      </c>
      <c r="D355" s="45">
        <v>92008</v>
      </c>
      <c r="E355" s="6" t="s">
        <v>854</v>
      </c>
      <c r="F355" s="45" t="s">
        <v>210</v>
      </c>
      <c r="G355" s="46">
        <f t="shared" si="38"/>
        <v>70</v>
      </c>
      <c r="H355" s="46">
        <f>TRUNC(S355*(1-LOTE_01!$K$10),2)</f>
        <v>27.69</v>
      </c>
      <c r="I355" s="46">
        <f>TRUNC(T355*(1-LOTE_01!$K$10),2)</f>
        <v>24.87</v>
      </c>
      <c r="J355" s="100">
        <f t="shared" si="39"/>
        <v>0.22470000000000001</v>
      </c>
      <c r="K355" s="48">
        <f t="shared" si="40"/>
        <v>33.909999999999997</v>
      </c>
      <c r="L355" s="48">
        <f t="shared" si="41"/>
        <v>30.45</v>
      </c>
      <c r="M355" s="48">
        <f t="shared" si="42"/>
        <v>2373.6999999999998</v>
      </c>
      <c r="N355" s="48">
        <f t="shared" si="43"/>
        <v>2131.5</v>
      </c>
      <c r="O355" s="50">
        <f t="shared" si="44"/>
        <v>4505.2</v>
      </c>
      <c r="P355" s="50">
        <v>0</v>
      </c>
      <c r="Q355" s="76"/>
      <c r="R355" s="140">
        <f>IF((10*S9+20*S10)&gt;500,500,(10*S9+20*S10))</f>
        <v>70</v>
      </c>
      <c r="S355" s="79">
        <v>27.69</v>
      </c>
      <c r="T355" s="80">
        <v>24.87</v>
      </c>
    </row>
    <row r="356" spans="2:20" ht="56">
      <c r="B356" s="5" t="s">
        <v>855</v>
      </c>
      <c r="C356" s="45" t="s">
        <v>135</v>
      </c>
      <c r="D356" s="45">
        <v>92000</v>
      </c>
      <c r="E356" s="6" t="s">
        <v>856</v>
      </c>
      <c r="F356" s="45" t="s">
        <v>210</v>
      </c>
      <c r="G356" s="46">
        <f t="shared" si="38"/>
        <v>150</v>
      </c>
      <c r="H356" s="46">
        <f>TRUNC(S356*(1-LOTE_01!$K$10),2)</f>
        <v>17.47</v>
      </c>
      <c r="I356" s="46">
        <f>TRUNC(T356*(1-LOTE_01!$K$10),2)</f>
        <v>16.77</v>
      </c>
      <c r="J356" s="100">
        <f t="shared" si="39"/>
        <v>0.22470000000000001</v>
      </c>
      <c r="K356" s="48">
        <f t="shared" si="40"/>
        <v>21.39</v>
      </c>
      <c r="L356" s="48">
        <f t="shared" si="41"/>
        <v>20.53</v>
      </c>
      <c r="M356" s="48">
        <f t="shared" si="42"/>
        <v>3208.5</v>
      </c>
      <c r="N356" s="48">
        <f t="shared" si="43"/>
        <v>3079.5</v>
      </c>
      <c r="O356" s="50">
        <f t="shared" si="44"/>
        <v>6288</v>
      </c>
      <c r="P356" s="50">
        <v>0</v>
      </c>
      <c r="Q356" s="76"/>
      <c r="R356" s="140">
        <f>30*S9+30*S10</f>
        <v>150</v>
      </c>
      <c r="S356" s="79">
        <v>17.470000000000002</v>
      </c>
      <c r="T356" s="80">
        <v>16.77</v>
      </c>
    </row>
    <row r="357" spans="2:20" ht="42">
      <c r="B357" s="5" t="s">
        <v>857</v>
      </c>
      <c r="C357" s="45" t="s">
        <v>97</v>
      </c>
      <c r="D357" s="45" t="s">
        <v>858</v>
      </c>
      <c r="E357" s="6" t="s">
        <v>859</v>
      </c>
      <c r="F357" s="45" t="s">
        <v>104</v>
      </c>
      <c r="G357" s="46">
        <f t="shared" si="38"/>
        <v>190</v>
      </c>
      <c r="H357" s="46">
        <f>TRUNC(S357*(1-LOTE_01!$K$10),2)</f>
        <v>12.21</v>
      </c>
      <c r="I357" s="46">
        <f>TRUNC(T357*(1-LOTE_01!$K$10),2)</f>
        <v>27.12</v>
      </c>
      <c r="J357" s="100">
        <f t="shared" si="39"/>
        <v>0.22470000000000001</v>
      </c>
      <c r="K357" s="48">
        <f t="shared" si="40"/>
        <v>14.95</v>
      </c>
      <c r="L357" s="48">
        <f t="shared" si="41"/>
        <v>33.21</v>
      </c>
      <c r="M357" s="48">
        <f t="shared" si="42"/>
        <v>2840.5</v>
      </c>
      <c r="N357" s="48">
        <f t="shared" si="43"/>
        <v>6309.9</v>
      </c>
      <c r="O357" s="50">
        <f t="shared" si="44"/>
        <v>9150.4</v>
      </c>
      <c r="P357" s="50">
        <v>0</v>
      </c>
      <c r="Q357" s="76"/>
      <c r="R357" s="140">
        <f>30*S9+50*S10</f>
        <v>190</v>
      </c>
      <c r="S357" s="79">
        <v>12.21</v>
      </c>
      <c r="T357" s="80">
        <v>27.12</v>
      </c>
    </row>
    <row r="358" spans="2:20" ht="28">
      <c r="B358" s="5" t="s">
        <v>860</v>
      </c>
      <c r="C358" s="45" t="s">
        <v>97</v>
      </c>
      <c r="D358" s="45" t="s">
        <v>861</v>
      </c>
      <c r="E358" s="6" t="s">
        <v>862</v>
      </c>
      <c r="F358" s="45" t="s">
        <v>104</v>
      </c>
      <c r="G358" s="46">
        <f t="shared" si="38"/>
        <v>50</v>
      </c>
      <c r="H358" s="46">
        <f>TRUNC(S358*(1-LOTE_01!$K$10),2)</f>
        <v>48.75</v>
      </c>
      <c r="I358" s="46">
        <f>TRUNC(T358*(1-LOTE_01!$K$10),2)</f>
        <v>20.34</v>
      </c>
      <c r="J358" s="100">
        <f t="shared" si="39"/>
        <v>0.22470000000000001</v>
      </c>
      <c r="K358" s="48">
        <f t="shared" si="40"/>
        <v>59.7</v>
      </c>
      <c r="L358" s="48">
        <f t="shared" si="41"/>
        <v>24.91</v>
      </c>
      <c r="M358" s="48">
        <f t="shared" si="42"/>
        <v>2985</v>
      </c>
      <c r="N358" s="48">
        <f t="shared" si="43"/>
        <v>1245.5</v>
      </c>
      <c r="O358" s="50">
        <f t="shared" si="44"/>
        <v>4230.5</v>
      </c>
      <c r="P358" s="50">
        <v>0</v>
      </c>
      <c r="Q358" s="76"/>
      <c r="R358" s="140">
        <f>IF((10*S9+10*S10)&gt;50,50,(10*S9+10*S10))</f>
        <v>50</v>
      </c>
      <c r="S358" s="79">
        <v>48.75</v>
      </c>
      <c r="T358" s="80">
        <v>20.34</v>
      </c>
    </row>
    <row r="359" spans="2:20" ht="84">
      <c r="B359" s="5" t="s">
        <v>863</v>
      </c>
      <c r="C359" s="45" t="s">
        <v>97</v>
      </c>
      <c r="D359" s="45" t="s">
        <v>864</v>
      </c>
      <c r="E359" s="6" t="s">
        <v>865</v>
      </c>
      <c r="F359" s="45" t="s">
        <v>104</v>
      </c>
      <c r="G359" s="46">
        <f t="shared" si="38"/>
        <v>100</v>
      </c>
      <c r="H359" s="46">
        <f>TRUNC(S359*(1-LOTE_01!$K$10),2)</f>
        <v>191.84</v>
      </c>
      <c r="I359" s="46">
        <f>TRUNC(T359*(1-LOTE_01!$K$10),2)</f>
        <v>40.68</v>
      </c>
      <c r="J359" s="100">
        <f t="shared" si="39"/>
        <v>0.22470000000000001</v>
      </c>
      <c r="K359" s="48">
        <f t="shared" si="40"/>
        <v>234.94</v>
      </c>
      <c r="L359" s="48">
        <f t="shared" si="41"/>
        <v>49.82</v>
      </c>
      <c r="M359" s="48">
        <f t="shared" si="42"/>
        <v>23494</v>
      </c>
      <c r="N359" s="48">
        <f t="shared" si="43"/>
        <v>4982</v>
      </c>
      <c r="O359" s="50">
        <f t="shared" si="44"/>
        <v>28476</v>
      </c>
      <c r="P359" s="50">
        <v>0</v>
      </c>
      <c r="Q359" s="76"/>
      <c r="R359" s="140">
        <f>IF((20*S9+20*S10)&gt;200,200,(20*S9+20*S10))</f>
        <v>100</v>
      </c>
      <c r="S359" s="79">
        <v>191.84</v>
      </c>
      <c r="T359" s="80">
        <v>40.68</v>
      </c>
    </row>
    <row r="360" spans="2:20" ht="98">
      <c r="B360" s="5" t="s">
        <v>866</v>
      </c>
      <c r="C360" s="45" t="s">
        <v>97</v>
      </c>
      <c r="D360" s="45" t="s">
        <v>867</v>
      </c>
      <c r="E360" s="6" t="s">
        <v>868</v>
      </c>
      <c r="F360" s="45" t="s">
        <v>104</v>
      </c>
      <c r="G360" s="46">
        <f t="shared" si="38"/>
        <v>10</v>
      </c>
      <c r="H360" s="46">
        <f>TRUNC(S360*(1-LOTE_01!$K$10),2)</f>
        <v>282.72000000000003</v>
      </c>
      <c r="I360" s="46">
        <f>TRUNC(T360*(1-LOTE_01!$K$10),2)</f>
        <v>95.16</v>
      </c>
      <c r="J360" s="100">
        <f t="shared" si="39"/>
        <v>0.22470000000000001</v>
      </c>
      <c r="K360" s="48">
        <f t="shared" si="40"/>
        <v>346.24</v>
      </c>
      <c r="L360" s="48">
        <f t="shared" si="41"/>
        <v>116.54</v>
      </c>
      <c r="M360" s="48">
        <f t="shared" si="42"/>
        <v>3462.4</v>
      </c>
      <c r="N360" s="48">
        <f t="shared" si="43"/>
        <v>1165.4000000000001</v>
      </c>
      <c r="O360" s="50">
        <f t="shared" si="44"/>
        <v>4627.8</v>
      </c>
      <c r="P360" s="50">
        <v>0</v>
      </c>
      <c r="Q360" s="76"/>
      <c r="R360" s="140">
        <f>IF((2*S9+2*S10)&gt;50,100,(2*S9+2*S10))</f>
        <v>10</v>
      </c>
      <c r="S360" s="79">
        <v>282.72000000000003</v>
      </c>
      <c r="T360" s="80">
        <v>95.16</v>
      </c>
    </row>
    <row r="361" spans="2:20" ht="56">
      <c r="B361" s="5" t="s">
        <v>869</v>
      </c>
      <c r="C361" s="45" t="s">
        <v>135</v>
      </c>
      <c r="D361" s="45">
        <v>97607</v>
      </c>
      <c r="E361" s="6" t="s">
        <v>870</v>
      </c>
      <c r="F361" s="45" t="s">
        <v>210</v>
      </c>
      <c r="G361" s="46">
        <f t="shared" si="38"/>
        <v>25</v>
      </c>
      <c r="H361" s="46">
        <f>TRUNC(S361*(1-LOTE_01!$K$10),2)</f>
        <v>82.33</v>
      </c>
      <c r="I361" s="46">
        <f>TRUNC(T361*(1-LOTE_01!$K$10),2)</f>
        <v>16.62</v>
      </c>
      <c r="J361" s="100">
        <f t="shared" si="39"/>
        <v>0.22470000000000001</v>
      </c>
      <c r="K361" s="48">
        <f t="shared" si="40"/>
        <v>100.82</v>
      </c>
      <c r="L361" s="48">
        <f t="shared" si="41"/>
        <v>20.350000000000001</v>
      </c>
      <c r="M361" s="48">
        <f t="shared" si="42"/>
        <v>2520.5</v>
      </c>
      <c r="N361" s="48">
        <f t="shared" si="43"/>
        <v>508.75</v>
      </c>
      <c r="O361" s="50">
        <f t="shared" si="44"/>
        <v>3029.25</v>
      </c>
      <c r="P361" s="50">
        <v>0</v>
      </c>
      <c r="Q361" s="76"/>
      <c r="R361" s="140">
        <f>IF((5*S9+5*S10)&gt;50,50,(5*S9+5*S10))</f>
        <v>25</v>
      </c>
      <c r="S361" s="79">
        <v>82.33</v>
      </c>
      <c r="T361" s="80">
        <v>16.62</v>
      </c>
    </row>
    <row r="362" spans="2:20" ht="28">
      <c r="B362" s="5" t="s">
        <v>871</v>
      </c>
      <c r="C362" s="45" t="s">
        <v>165</v>
      </c>
      <c r="D362" s="45" t="s">
        <v>872</v>
      </c>
      <c r="E362" s="6" t="s">
        <v>873</v>
      </c>
      <c r="F362" s="45" t="s">
        <v>559</v>
      </c>
      <c r="G362" s="46">
        <f t="shared" si="38"/>
        <v>25</v>
      </c>
      <c r="H362" s="46">
        <f>TRUNC(S362*(1-LOTE_01!$K$10),2)</f>
        <v>338.8</v>
      </c>
      <c r="I362" s="46">
        <f>TRUNC(T362*(1-LOTE_01!$K$10),2)</f>
        <v>47.83</v>
      </c>
      <c r="J362" s="100">
        <f t="shared" si="39"/>
        <v>0.22470000000000001</v>
      </c>
      <c r="K362" s="48">
        <f t="shared" si="40"/>
        <v>414.92</v>
      </c>
      <c r="L362" s="48">
        <f t="shared" si="41"/>
        <v>58.57</v>
      </c>
      <c r="M362" s="48">
        <f t="shared" si="42"/>
        <v>10373</v>
      </c>
      <c r="N362" s="48">
        <f t="shared" si="43"/>
        <v>1464.25</v>
      </c>
      <c r="O362" s="50">
        <f t="shared" si="44"/>
        <v>11837.25</v>
      </c>
      <c r="P362" s="50">
        <v>0</v>
      </c>
      <c r="Q362" s="76"/>
      <c r="R362" s="140">
        <f>IF((5*S9+5*S10)&gt;50,50,(5*S9+5*S10))</f>
        <v>25</v>
      </c>
      <c r="S362" s="79">
        <v>338.8</v>
      </c>
      <c r="T362" s="80">
        <v>47.83</v>
      </c>
    </row>
    <row r="363" spans="2:20" ht="42">
      <c r="B363" s="5" t="s">
        <v>874</v>
      </c>
      <c r="C363" s="45" t="s">
        <v>135</v>
      </c>
      <c r="D363" s="45">
        <v>100903</v>
      </c>
      <c r="E363" s="6" t="s">
        <v>875</v>
      </c>
      <c r="F363" s="45" t="s">
        <v>210</v>
      </c>
      <c r="G363" s="46">
        <f t="shared" si="38"/>
        <v>500</v>
      </c>
      <c r="H363" s="46">
        <f>TRUNC(S363*(1-LOTE_01!$K$10),2)</f>
        <v>26.01</v>
      </c>
      <c r="I363" s="46">
        <f>TRUNC(T363*(1-LOTE_01!$K$10),2)</f>
        <v>13.67</v>
      </c>
      <c r="J363" s="100">
        <f t="shared" si="39"/>
        <v>0.22470000000000001</v>
      </c>
      <c r="K363" s="48">
        <f t="shared" si="40"/>
        <v>31.85</v>
      </c>
      <c r="L363" s="48">
        <f t="shared" si="41"/>
        <v>16.739999999999998</v>
      </c>
      <c r="M363" s="48">
        <f t="shared" si="42"/>
        <v>15925</v>
      </c>
      <c r="N363" s="48">
        <f t="shared" si="43"/>
        <v>8370</v>
      </c>
      <c r="O363" s="50">
        <f t="shared" si="44"/>
        <v>24295</v>
      </c>
      <c r="P363" s="50">
        <v>0</v>
      </c>
      <c r="Q363" s="76"/>
      <c r="R363" s="140">
        <f>IF((100*S9+100*S10)&gt;500,500,(100*S9+100*S10))</f>
        <v>500</v>
      </c>
      <c r="S363" s="79">
        <v>26.009999999999998</v>
      </c>
      <c r="T363" s="80">
        <v>13.67</v>
      </c>
    </row>
    <row r="364" spans="2:20" ht="56">
      <c r="B364" s="5" t="s">
        <v>876</v>
      </c>
      <c r="C364" s="45" t="s">
        <v>135</v>
      </c>
      <c r="D364" s="45">
        <v>97599</v>
      </c>
      <c r="E364" s="6" t="s">
        <v>877</v>
      </c>
      <c r="F364" s="45" t="s">
        <v>210</v>
      </c>
      <c r="G364" s="46">
        <f t="shared" si="38"/>
        <v>100</v>
      </c>
      <c r="H364" s="46">
        <f>TRUNC(S364*(1-LOTE_01!$K$10),2)</f>
        <v>21.61</v>
      </c>
      <c r="I364" s="46">
        <f>TRUNC(T364*(1-LOTE_01!$K$10),2)</f>
        <v>6.09</v>
      </c>
      <c r="J364" s="100">
        <f t="shared" si="39"/>
        <v>0.22470000000000001</v>
      </c>
      <c r="K364" s="48">
        <f t="shared" si="40"/>
        <v>26.46</v>
      </c>
      <c r="L364" s="48">
        <f t="shared" si="41"/>
        <v>7.45</v>
      </c>
      <c r="M364" s="48">
        <f t="shared" si="42"/>
        <v>2646</v>
      </c>
      <c r="N364" s="48">
        <f t="shared" si="43"/>
        <v>745</v>
      </c>
      <c r="O364" s="50">
        <f t="shared" si="44"/>
        <v>3391</v>
      </c>
      <c r="P364" s="50">
        <v>0</v>
      </c>
      <c r="Q364" s="76"/>
      <c r="R364" s="140">
        <f>IF((20*S9+20*S10)&gt;100,100,(20*S9+20*S10))</f>
        <v>100</v>
      </c>
      <c r="S364" s="79">
        <v>21.61</v>
      </c>
      <c r="T364" s="80">
        <v>6.09</v>
      </c>
    </row>
    <row r="365" spans="2:20" ht="28">
      <c r="B365" s="5" t="s">
        <v>878</v>
      </c>
      <c r="C365" s="45" t="s">
        <v>97</v>
      </c>
      <c r="D365" s="45" t="s">
        <v>879</v>
      </c>
      <c r="E365" s="6" t="s">
        <v>880</v>
      </c>
      <c r="F365" s="45" t="s">
        <v>881</v>
      </c>
      <c r="G365" s="46">
        <f t="shared" si="38"/>
        <v>275</v>
      </c>
      <c r="H365" s="46">
        <f>TRUNC(S365*(1-LOTE_01!$K$10),2)</f>
        <v>115.13</v>
      </c>
      <c r="I365" s="46">
        <f>TRUNC(T365*(1-LOTE_01!$K$10),2)</f>
        <v>40.68</v>
      </c>
      <c r="J365" s="100">
        <f t="shared" si="39"/>
        <v>0.22470000000000001</v>
      </c>
      <c r="K365" s="48">
        <f t="shared" si="40"/>
        <v>140.99</v>
      </c>
      <c r="L365" s="48">
        <f t="shared" si="41"/>
        <v>49.82</v>
      </c>
      <c r="M365" s="48">
        <f t="shared" si="42"/>
        <v>38772.25</v>
      </c>
      <c r="N365" s="48">
        <f t="shared" si="43"/>
        <v>13700.5</v>
      </c>
      <c r="O365" s="50">
        <f t="shared" si="44"/>
        <v>52472.75</v>
      </c>
      <c r="P365" s="50">
        <v>0</v>
      </c>
      <c r="Q365" s="76"/>
      <c r="R365" s="141">
        <f>(6+6+3+2+2+6+4+2+2+4+6+6+6)*(S9+S10)</f>
        <v>275</v>
      </c>
      <c r="S365" s="79">
        <v>115.13</v>
      </c>
      <c r="T365" s="80">
        <v>40.68</v>
      </c>
    </row>
    <row r="366" spans="2:20" ht="28">
      <c r="B366" s="5" t="s">
        <v>882</v>
      </c>
      <c r="C366" s="45" t="s">
        <v>97</v>
      </c>
      <c r="D366" s="45" t="s">
        <v>883</v>
      </c>
      <c r="E366" s="6" t="s">
        <v>884</v>
      </c>
      <c r="F366" s="45" t="s">
        <v>104</v>
      </c>
      <c r="G366" s="46">
        <f t="shared" si="38"/>
        <v>165</v>
      </c>
      <c r="H366" s="46">
        <f>TRUNC(S366*(1-LOTE_01!$K$10),2)</f>
        <v>114.13</v>
      </c>
      <c r="I366" s="46">
        <f>TRUNC(T366*(1-LOTE_01!$K$10),2)</f>
        <v>40.68</v>
      </c>
      <c r="J366" s="100">
        <f t="shared" si="39"/>
        <v>0.22470000000000001</v>
      </c>
      <c r="K366" s="48">
        <f t="shared" si="40"/>
        <v>139.77000000000001</v>
      </c>
      <c r="L366" s="48">
        <f t="shared" si="41"/>
        <v>49.82</v>
      </c>
      <c r="M366" s="48">
        <f t="shared" si="42"/>
        <v>23062.05</v>
      </c>
      <c r="N366" s="48">
        <f t="shared" si="43"/>
        <v>8220.2999999999993</v>
      </c>
      <c r="O366" s="50">
        <f t="shared" si="44"/>
        <v>31282.35</v>
      </c>
      <c r="P366" s="50">
        <v>0</v>
      </c>
      <c r="Q366" s="76"/>
      <c r="R366" s="141">
        <f>(3+9+14+7)*(S9+S10)</f>
        <v>165</v>
      </c>
      <c r="S366" s="79">
        <v>114.13</v>
      </c>
      <c r="T366" s="80">
        <v>40.68</v>
      </c>
    </row>
    <row r="367" spans="2:20" ht="42">
      <c r="B367" s="5" t="s">
        <v>885</v>
      </c>
      <c r="C367" s="45" t="s">
        <v>97</v>
      </c>
      <c r="D367" s="45" t="s">
        <v>886</v>
      </c>
      <c r="E367" s="6" t="s">
        <v>887</v>
      </c>
      <c r="F367" s="45" t="s">
        <v>104</v>
      </c>
      <c r="G367" s="46">
        <f t="shared" si="38"/>
        <v>50</v>
      </c>
      <c r="H367" s="46">
        <f>TRUNC(S367*(1-LOTE_01!$K$10),2)</f>
        <v>114.13</v>
      </c>
      <c r="I367" s="46">
        <f>TRUNC(T367*(1-LOTE_01!$K$10),2)</f>
        <v>40.68</v>
      </c>
      <c r="J367" s="100">
        <f t="shared" si="39"/>
        <v>0.22470000000000001</v>
      </c>
      <c r="K367" s="48">
        <f t="shared" si="40"/>
        <v>139.77000000000001</v>
      </c>
      <c r="L367" s="48">
        <f t="shared" si="41"/>
        <v>49.82</v>
      </c>
      <c r="M367" s="48">
        <f t="shared" si="42"/>
        <v>6988.5</v>
      </c>
      <c r="N367" s="48">
        <f t="shared" si="43"/>
        <v>2491</v>
      </c>
      <c r="O367" s="50">
        <f t="shared" si="44"/>
        <v>9479.5</v>
      </c>
      <c r="P367" s="50">
        <v>0</v>
      </c>
      <c r="Q367" s="76"/>
      <c r="R367" s="141">
        <f>10*(S9+S10)</f>
        <v>50</v>
      </c>
      <c r="S367" s="79">
        <v>114.13</v>
      </c>
      <c r="T367" s="80">
        <v>40.68</v>
      </c>
    </row>
    <row r="368" spans="2:20" ht="28">
      <c r="B368" s="5" t="s">
        <v>888</v>
      </c>
      <c r="C368" s="45" t="s">
        <v>97</v>
      </c>
      <c r="D368" s="45" t="s">
        <v>889</v>
      </c>
      <c r="E368" s="6" t="s">
        <v>890</v>
      </c>
      <c r="F368" s="45" t="s">
        <v>104</v>
      </c>
      <c r="G368" s="46">
        <f t="shared" si="38"/>
        <v>100</v>
      </c>
      <c r="H368" s="46">
        <f>TRUNC(S368*(1-LOTE_01!$K$10),2)</f>
        <v>2032.03</v>
      </c>
      <c r="I368" s="46">
        <f>TRUNC(T368*(1-LOTE_01!$K$10),2)</f>
        <v>45.2</v>
      </c>
      <c r="J368" s="100">
        <f t="shared" si="39"/>
        <v>0.22470000000000001</v>
      </c>
      <c r="K368" s="48">
        <f t="shared" si="40"/>
        <v>2488.62</v>
      </c>
      <c r="L368" s="48">
        <f t="shared" si="41"/>
        <v>55.35</v>
      </c>
      <c r="M368" s="48">
        <f t="shared" si="42"/>
        <v>248862</v>
      </c>
      <c r="N368" s="48">
        <f t="shared" si="43"/>
        <v>5535</v>
      </c>
      <c r="O368" s="50">
        <f t="shared" si="44"/>
        <v>254397</v>
      </c>
      <c r="P368" s="50">
        <v>0</v>
      </c>
      <c r="Q368" s="76"/>
      <c r="R368" s="141">
        <f>20*(S9+S10)</f>
        <v>100</v>
      </c>
      <c r="S368" s="79">
        <v>2032.03</v>
      </c>
      <c r="T368" s="80">
        <v>45.2</v>
      </c>
    </row>
    <row r="369" spans="2:20" ht="28">
      <c r="B369" s="5" t="s">
        <v>891</v>
      </c>
      <c r="C369" s="45" t="s">
        <v>97</v>
      </c>
      <c r="D369" s="45" t="s">
        <v>892</v>
      </c>
      <c r="E369" s="6" t="s">
        <v>893</v>
      </c>
      <c r="F369" s="45" t="s">
        <v>104</v>
      </c>
      <c r="G369" s="46">
        <f t="shared" si="38"/>
        <v>60</v>
      </c>
      <c r="H369" s="46">
        <f>TRUNC(S369*(1-LOTE_01!$K$10),2)</f>
        <v>1895.35</v>
      </c>
      <c r="I369" s="46">
        <f>TRUNC(T369*(1-LOTE_01!$K$10),2)</f>
        <v>45.2</v>
      </c>
      <c r="J369" s="100">
        <f t="shared" si="39"/>
        <v>0.22470000000000001</v>
      </c>
      <c r="K369" s="48">
        <f t="shared" si="40"/>
        <v>2321.23</v>
      </c>
      <c r="L369" s="48">
        <f t="shared" si="41"/>
        <v>55.35</v>
      </c>
      <c r="M369" s="48">
        <f t="shared" si="42"/>
        <v>139273.79999999999</v>
      </c>
      <c r="N369" s="48">
        <f t="shared" si="43"/>
        <v>3321</v>
      </c>
      <c r="O369" s="50">
        <f t="shared" si="44"/>
        <v>142594.79999999999</v>
      </c>
      <c r="P369" s="50">
        <v>0</v>
      </c>
      <c r="Q369" s="76"/>
      <c r="R369" s="141">
        <f>12*(S9+S10)</f>
        <v>60</v>
      </c>
      <c r="S369" s="79">
        <v>1895.35</v>
      </c>
      <c r="T369" s="80">
        <v>45.2</v>
      </c>
    </row>
    <row r="370" spans="2:20" ht="28">
      <c r="B370" s="5" t="s">
        <v>894</v>
      </c>
      <c r="C370" s="45" t="s">
        <v>97</v>
      </c>
      <c r="D370" s="45" t="s">
        <v>895</v>
      </c>
      <c r="E370" s="6" t="s">
        <v>896</v>
      </c>
      <c r="F370" s="45" t="s">
        <v>104</v>
      </c>
      <c r="G370" s="46">
        <f t="shared" si="38"/>
        <v>160</v>
      </c>
      <c r="H370" s="46">
        <f>TRUNC(S370*(1-LOTE_01!$K$10),2)</f>
        <v>865.18</v>
      </c>
      <c r="I370" s="46">
        <f>TRUNC(T370*(1-LOTE_01!$K$10),2)</f>
        <v>45.2</v>
      </c>
      <c r="J370" s="100">
        <f t="shared" si="39"/>
        <v>0.22470000000000001</v>
      </c>
      <c r="K370" s="48">
        <f t="shared" si="40"/>
        <v>1059.58</v>
      </c>
      <c r="L370" s="48">
        <f t="shared" si="41"/>
        <v>55.35</v>
      </c>
      <c r="M370" s="48">
        <f t="shared" si="42"/>
        <v>169532.79999999999</v>
      </c>
      <c r="N370" s="48">
        <f t="shared" si="43"/>
        <v>8856</v>
      </c>
      <c r="O370" s="50">
        <f t="shared" si="44"/>
        <v>178388.8</v>
      </c>
      <c r="P370" s="50">
        <v>0</v>
      </c>
      <c r="Q370" s="76"/>
      <c r="R370" s="141">
        <f>(19+13)*(S9+S10)</f>
        <v>160</v>
      </c>
      <c r="S370" s="79">
        <v>865.18</v>
      </c>
      <c r="T370" s="80">
        <v>45.2</v>
      </c>
    </row>
    <row r="371" spans="2:20" ht="56">
      <c r="B371" s="5" t="s">
        <v>897</v>
      </c>
      <c r="C371" s="45" t="s">
        <v>97</v>
      </c>
      <c r="D371" s="45" t="s">
        <v>898</v>
      </c>
      <c r="E371" s="6" t="s">
        <v>899</v>
      </c>
      <c r="F371" s="45" t="s">
        <v>104</v>
      </c>
      <c r="G371" s="46">
        <f t="shared" si="38"/>
        <v>71.75</v>
      </c>
      <c r="H371" s="46">
        <f>TRUNC(S371*(1-LOTE_01!$K$10),2)</f>
        <v>157.04</v>
      </c>
      <c r="I371" s="46">
        <f>TRUNC(T371*(1-LOTE_01!$K$10),2)</f>
        <v>49.72</v>
      </c>
      <c r="J371" s="100">
        <f t="shared" si="39"/>
        <v>0.22470000000000001</v>
      </c>
      <c r="K371" s="48">
        <f t="shared" si="40"/>
        <v>192.32</v>
      </c>
      <c r="L371" s="48">
        <f t="shared" si="41"/>
        <v>60.89</v>
      </c>
      <c r="M371" s="48">
        <f t="shared" si="42"/>
        <v>13798.96</v>
      </c>
      <c r="N371" s="48">
        <f t="shared" si="43"/>
        <v>4368.8500000000004</v>
      </c>
      <c r="O371" s="50">
        <f t="shared" si="44"/>
        <v>18167.810000000001</v>
      </c>
      <c r="P371" s="50">
        <v>0</v>
      </c>
      <c r="Q371" s="76"/>
      <c r="R371" s="141">
        <f>(4+4.85+5.5)*(S9+S10)</f>
        <v>71.75</v>
      </c>
      <c r="S371" s="79">
        <v>157.04</v>
      </c>
      <c r="T371" s="80">
        <v>49.72</v>
      </c>
    </row>
    <row r="372" spans="2:20" ht="28">
      <c r="B372" s="5" t="s">
        <v>900</v>
      </c>
      <c r="C372" s="45" t="s">
        <v>97</v>
      </c>
      <c r="D372" s="45" t="s">
        <v>901</v>
      </c>
      <c r="E372" s="6" t="s">
        <v>902</v>
      </c>
      <c r="F372" s="45" t="s">
        <v>187</v>
      </c>
      <c r="G372" s="46">
        <f t="shared" si="38"/>
        <v>71.75</v>
      </c>
      <c r="H372" s="46">
        <f>TRUNC(S372*(1-LOTE_01!$K$10),2)</f>
        <v>57.3</v>
      </c>
      <c r="I372" s="46">
        <f>TRUNC(T372*(1-LOTE_01!$K$10),2)</f>
        <v>21.14</v>
      </c>
      <c r="J372" s="100">
        <f t="shared" si="39"/>
        <v>0.22470000000000001</v>
      </c>
      <c r="K372" s="48">
        <f t="shared" si="40"/>
        <v>70.17</v>
      </c>
      <c r="L372" s="48">
        <f t="shared" si="41"/>
        <v>25.89</v>
      </c>
      <c r="M372" s="48">
        <f t="shared" si="42"/>
        <v>5034.6899999999996</v>
      </c>
      <c r="N372" s="48">
        <f t="shared" si="43"/>
        <v>1857.6</v>
      </c>
      <c r="O372" s="50">
        <f t="shared" si="44"/>
        <v>6892.29</v>
      </c>
      <c r="P372" s="50">
        <v>0</v>
      </c>
      <c r="Q372" s="76"/>
      <c r="R372" s="141">
        <f>R371</f>
        <v>71.75</v>
      </c>
      <c r="S372" s="79">
        <v>57.3</v>
      </c>
      <c r="T372" s="80">
        <v>21.14</v>
      </c>
    </row>
    <row r="373" spans="2:20" ht="42">
      <c r="B373" s="5" t="s">
        <v>903</v>
      </c>
      <c r="C373" s="45" t="s">
        <v>97</v>
      </c>
      <c r="D373" s="45" t="s">
        <v>904</v>
      </c>
      <c r="E373" s="6" t="s">
        <v>905</v>
      </c>
      <c r="F373" s="45" t="s">
        <v>104</v>
      </c>
      <c r="G373" s="46">
        <f t="shared" si="38"/>
        <v>20</v>
      </c>
      <c r="H373" s="46">
        <f>TRUNC(S373*(1-LOTE_01!$K$10),2)</f>
        <v>262.2</v>
      </c>
      <c r="I373" s="46">
        <f>TRUNC(T373*(1-LOTE_01!$K$10),2)</f>
        <v>9.0399999999999991</v>
      </c>
      <c r="J373" s="100">
        <f t="shared" si="39"/>
        <v>0.22470000000000001</v>
      </c>
      <c r="K373" s="48">
        <f t="shared" si="40"/>
        <v>321.11</v>
      </c>
      <c r="L373" s="48">
        <f t="shared" si="41"/>
        <v>11.07</v>
      </c>
      <c r="M373" s="48">
        <f t="shared" si="42"/>
        <v>6422.2</v>
      </c>
      <c r="N373" s="48">
        <f t="shared" si="43"/>
        <v>221.4</v>
      </c>
      <c r="O373" s="50">
        <f t="shared" si="44"/>
        <v>6643.6</v>
      </c>
      <c r="P373" s="50">
        <v>0</v>
      </c>
      <c r="Q373" s="76"/>
      <c r="R373" s="140">
        <f>4*S9+4*S10</f>
        <v>20</v>
      </c>
      <c r="S373" s="79">
        <v>262.2</v>
      </c>
      <c r="T373" s="80">
        <v>9.0399999999999991</v>
      </c>
    </row>
    <row r="374" spans="2:20" ht="28">
      <c r="B374" s="5" t="s">
        <v>906</v>
      </c>
      <c r="C374" s="45" t="s">
        <v>97</v>
      </c>
      <c r="D374" s="45" t="s">
        <v>907</v>
      </c>
      <c r="E374" s="6" t="s">
        <v>908</v>
      </c>
      <c r="F374" s="45" t="s">
        <v>104</v>
      </c>
      <c r="G374" s="46">
        <f t="shared" si="38"/>
        <v>20</v>
      </c>
      <c r="H374" s="46">
        <f>TRUNC(S374*(1-LOTE_01!$K$10),2)</f>
        <v>235.2</v>
      </c>
      <c r="I374" s="46">
        <f>TRUNC(T374*(1-LOTE_01!$K$10),2)</f>
        <v>9.0399999999999991</v>
      </c>
      <c r="J374" s="100">
        <f t="shared" si="39"/>
        <v>0.22470000000000001</v>
      </c>
      <c r="K374" s="48">
        <f t="shared" si="40"/>
        <v>288.04000000000002</v>
      </c>
      <c r="L374" s="48">
        <f t="shared" si="41"/>
        <v>11.07</v>
      </c>
      <c r="M374" s="48">
        <f t="shared" si="42"/>
        <v>5760.8</v>
      </c>
      <c r="N374" s="48">
        <f t="shared" si="43"/>
        <v>221.4</v>
      </c>
      <c r="O374" s="50">
        <f t="shared" si="44"/>
        <v>5982.2</v>
      </c>
      <c r="P374" s="50">
        <v>0</v>
      </c>
      <c r="Q374" s="76"/>
      <c r="R374" s="140">
        <f>4*S9+4*S10</f>
        <v>20</v>
      </c>
      <c r="S374" s="79">
        <v>235.2</v>
      </c>
      <c r="T374" s="80">
        <v>9.0399999999999991</v>
      </c>
    </row>
    <row r="375" spans="2:20" ht="42">
      <c r="B375" s="101" t="s">
        <v>909</v>
      </c>
      <c r="C375" s="102" t="s">
        <v>21</v>
      </c>
      <c r="D375" s="102" t="s">
        <v>21</v>
      </c>
      <c r="E375" s="103" t="s">
        <v>910</v>
      </c>
      <c r="F375" s="102" t="s">
        <v>21</v>
      </c>
      <c r="G375" s="46">
        <f t="shared" si="38"/>
        <v>0</v>
      </c>
      <c r="H375" s="46"/>
      <c r="I375" s="46"/>
      <c r="J375" s="105"/>
      <c r="K375" s="48">
        <f t="shared" si="40"/>
        <v>0</v>
      </c>
      <c r="L375" s="48">
        <f t="shared" si="41"/>
        <v>0</v>
      </c>
      <c r="M375" s="48">
        <f t="shared" si="42"/>
        <v>0</v>
      </c>
      <c r="N375" s="48">
        <f t="shared" si="43"/>
        <v>0</v>
      </c>
      <c r="O375" s="50">
        <f t="shared" si="44"/>
        <v>0</v>
      </c>
      <c r="P375" s="50">
        <v>0</v>
      </c>
      <c r="Q375" s="76"/>
      <c r="R375" s="154"/>
      <c r="S375" s="79" t="s">
        <v>22</v>
      </c>
      <c r="T375" s="80" t="s">
        <v>22</v>
      </c>
    </row>
    <row r="376" spans="2:20" ht="56">
      <c r="B376" s="5" t="s">
        <v>911</v>
      </c>
      <c r="C376" s="45" t="s">
        <v>135</v>
      </c>
      <c r="D376" s="45">
        <v>93661</v>
      </c>
      <c r="E376" s="6" t="s">
        <v>912</v>
      </c>
      <c r="F376" s="45" t="s">
        <v>210</v>
      </c>
      <c r="G376" s="46">
        <f t="shared" si="38"/>
        <v>10</v>
      </c>
      <c r="H376" s="46">
        <f>TRUNC(S376*(1-LOTE_01!$K$10),2)</f>
        <v>45.45</v>
      </c>
      <c r="I376" s="46">
        <f>TRUNC(T376*(1-LOTE_01!$K$10),2)</f>
        <v>2.97</v>
      </c>
      <c r="J376" s="100">
        <f t="shared" si="39"/>
        <v>0.22470000000000001</v>
      </c>
      <c r="K376" s="48">
        <f t="shared" si="40"/>
        <v>55.66</v>
      </c>
      <c r="L376" s="48">
        <f t="shared" si="41"/>
        <v>3.63</v>
      </c>
      <c r="M376" s="48">
        <f t="shared" si="42"/>
        <v>556.6</v>
      </c>
      <c r="N376" s="48">
        <f t="shared" si="43"/>
        <v>36.299999999999997</v>
      </c>
      <c r="O376" s="50">
        <f t="shared" si="44"/>
        <v>592.9</v>
      </c>
      <c r="P376" s="50">
        <v>0</v>
      </c>
      <c r="Q376" s="76"/>
      <c r="R376" s="140">
        <f>2*S9+2*S10</f>
        <v>10</v>
      </c>
      <c r="S376" s="79">
        <v>45.45</v>
      </c>
      <c r="T376" s="80">
        <v>2.97</v>
      </c>
    </row>
    <row r="377" spans="2:20" ht="56">
      <c r="B377" s="5" t="s">
        <v>913</v>
      </c>
      <c r="C377" s="45" t="s">
        <v>135</v>
      </c>
      <c r="D377" s="45">
        <v>93662</v>
      </c>
      <c r="E377" s="6" t="s">
        <v>914</v>
      </c>
      <c r="F377" s="45" t="s">
        <v>210</v>
      </c>
      <c r="G377" s="46">
        <f t="shared" si="38"/>
        <v>10</v>
      </c>
      <c r="H377" s="46">
        <f>TRUNC(S377*(1-LOTE_01!$K$10),2)</f>
        <v>46.24</v>
      </c>
      <c r="I377" s="46">
        <f>TRUNC(T377*(1-LOTE_01!$K$10),2)</f>
        <v>3.93</v>
      </c>
      <c r="J377" s="100">
        <f t="shared" si="39"/>
        <v>0.22470000000000001</v>
      </c>
      <c r="K377" s="48">
        <f t="shared" si="40"/>
        <v>56.63</v>
      </c>
      <c r="L377" s="48">
        <f t="shared" si="41"/>
        <v>4.8099999999999996</v>
      </c>
      <c r="M377" s="48">
        <f t="shared" si="42"/>
        <v>566.29999999999995</v>
      </c>
      <c r="N377" s="48">
        <f t="shared" si="43"/>
        <v>48.1</v>
      </c>
      <c r="O377" s="50">
        <f t="shared" si="44"/>
        <v>614.4</v>
      </c>
      <c r="P377" s="50">
        <v>0</v>
      </c>
      <c r="Q377" s="76"/>
      <c r="R377" s="140">
        <f>2*S9+2*S10</f>
        <v>10</v>
      </c>
      <c r="S377" s="79">
        <v>46.24</v>
      </c>
      <c r="T377" s="80">
        <v>3.93</v>
      </c>
    </row>
    <row r="378" spans="2:20" ht="56">
      <c r="B378" s="5" t="s">
        <v>915</v>
      </c>
      <c r="C378" s="45" t="s">
        <v>135</v>
      </c>
      <c r="D378" s="45">
        <v>93663</v>
      </c>
      <c r="E378" s="6" t="s">
        <v>916</v>
      </c>
      <c r="F378" s="45" t="s">
        <v>210</v>
      </c>
      <c r="G378" s="46">
        <f t="shared" si="38"/>
        <v>50</v>
      </c>
      <c r="H378" s="46">
        <f>TRUNC(S378*(1-LOTE_01!$K$10),2)</f>
        <v>46.9</v>
      </c>
      <c r="I378" s="46">
        <f>TRUNC(T378*(1-LOTE_01!$K$10),2)</f>
        <v>5.39</v>
      </c>
      <c r="J378" s="100">
        <f t="shared" si="39"/>
        <v>0.22470000000000001</v>
      </c>
      <c r="K378" s="48">
        <f t="shared" si="40"/>
        <v>57.43</v>
      </c>
      <c r="L378" s="48">
        <f t="shared" si="41"/>
        <v>6.6</v>
      </c>
      <c r="M378" s="48">
        <f t="shared" si="42"/>
        <v>2871.5</v>
      </c>
      <c r="N378" s="48">
        <f t="shared" si="43"/>
        <v>330</v>
      </c>
      <c r="O378" s="50">
        <f t="shared" si="44"/>
        <v>3201.5</v>
      </c>
      <c r="P378" s="50">
        <v>0</v>
      </c>
      <c r="Q378" s="76"/>
      <c r="R378" s="140">
        <f>IF((10*S9+10*S10)&gt;50,50,(10*S9+10*S10))</f>
        <v>50</v>
      </c>
      <c r="S378" s="79">
        <v>46.9</v>
      </c>
      <c r="T378" s="80">
        <v>5.39</v>
      </c>
    </row>
    <row r="379" spans="2:20" ht="56">
      <c r="B379" s="5" t="s">
        <v>917</v>
      </c>
      <c r="C379" s="45" t="s">
        <v>135</v>
      </c>
      <c r="D379" s="45">
        <v>101896</v>
      </c>
      <c r="E379" s="6" t="s">
        <v>918</v>
      </c>
      <c r="F379" s="45" t="s">
        <v>210</v>
      </c>
      <c r="G379" s="46">
        <f t="shared" si="38"/>
        <v>5</v>
      </c>
      <c r="H379" s="46">
        <f>TRUNC(S379*(1-LOTE_01!$K$10),2)</f>
        <v>494.79</v>
      </c>
      <c r="I379" s="46">
        <f>TRUNC(T379*(1-LOTE_01!$K$10),2)</f>
        <v>51.63</v>
      </c>
      <c r="J379" s="100">
        <f t="shared" si="39"/>
        <v>0.22470000000000001</v>
      </c>
      <c r="K379" s="48">
        <f t="shared" si="40"/>
        <v>605.96</v>
      </c>
      <c r="L379" s="48">
        <f t="shared" si="41"/>
        <v>63.23</v>
      </c>
      <c r="M379" s="48">
        <f t="shared" si="42"/>
        <v>3029.8</v>
      </c>
      <c r="N379" s="48">
        <f t="shared" si="43"/>
        <v>316.14999999999998</v>
      </c>
      <c r="O379" s="50">
        <f t="shared" si="44"/>
        <v>3345.95</v>
      </c>
      <c r="P379" s="50">
        <v>0</v>
      </c>
      <c r="Q379" s="76"/>
      <c r="R379" s="140">
        <f>IF((1*S9+1*S10)&gt;5,5,(1*S9+1*S10))</f>
        <v>5</v>
      </c>
      <c r="S379" s="79">
        <v>494.78999999999996</v>
      </c>
      <c r="T379" s="80">
        <v>51.63</v>
      </c>
    </row>
    <row r="380" spans="2:20" ht="42">
      <c r="B380" s="5" t="s">
        <v>919</v>
      </c>
      <c r="C380" s="45" t="s">
        <v>165</v>
      </c>
      <c r="D380" s="45" t="s">
        <v>920</v>
      </c>
      <c r="E380" s="6" t="s">
        <v>921</v>
      </c>
      <c r="F380" s="45" t="s">
        <v>559</v>
      </c>
      <c r="G380" s="46">
        <f t="shared" si="38"/>
        <v>5</v>
      </c>
      <c r="H380" s="46">
        <f>TRUNC(S380*(1-LOTE_01!$K$10),2)</f>
        <v>1395.79</v>
      </c>
      <c r="I380" s="46">
        <f>TRUNC(T380*(1-LOTE_01!$K$10),2)</f>
        <v>63.77</v>
      </c>
      <c r="J380" s="100">
        <f t="shared" si="39"/>
        <v>0.22470000000000001</v>
      </c>
      <c r="K380" s="48">
        <f t="shared" si="40"/>
        <v>1709.42</v>
      </c>
      <c r="L380" s="48">
        <f t="shared" si="41"/>
        <v>78.09</v>
      </c>
      <c r="M380" s="48">
        <f t="shared" si="42"/>
        <v>8547.1</v>
      </c>
      <c r="N380" s="48">
        <f t="shared" si="43"/>
        <v>390.45</v>
      </c>
      <c r="O380" s="50">
        <f t="shared" si="44"/>
        <v>8937.5499999999993</v>
      </c>
      <c r="P380" s="50">
        <v>0</v>
      </c>
      <c r="Q380" s="76"/>
      <c r="R380" s="140">
        <f>IF((1*S9+1*S10)&gt;5,5,(1*S9+1*S10))</f>
        <v>5</v>
      </c>
      <c r="S380" s="79">
        <v>1395.79</v>
      </c>
      <c r="T380" s="80">
        <v>63.77</v>
      </c>
    </row>
    <row r="381" spans="2:20" ht="56">
      <c r="B381" s="5" t="s">
        <v>922</v>
      </c>
      <c r="C381" s="45" t="s">
        <v>97</v>
      </c>
      <c r="D381" s="45" t="s">
        <v>923</v>
      </c>
      <c r="E381" s="6" t="s">
        <v>924</v>
      </c>
      <c r="F381" s="45" t="s">
        <v>925</v>
      </c>
      <c r="G381" s="46">
        <f t="shared" si="38"/>
        <v>100</v>
      </c>
      <c r="H381" s="46">
        <f>TRUNC(S381*(1-LOTE_01!$K$10),2)</f>
        <v>51.83</v>
      </c>
      <c r="I381" s="46">
        <f>TRUNC(T381*(1-LOTE_01!$K$10),2)</f>
        <v>13.56</v>
      </c>
      <c r="J381" s="100">
        <f t="shared" si="39"/>
        <v>0.22470000000000001</v>
      </c>
      <c r="K381" s="48">
        <f t="shared" si="40"/>
        <v>63.47</v>
      </c>
      <c r="L381" s="48">
        <f t="shared" si="41"/>
        <v>16.600000000000001</v>
      </c>
      <c r="M381" s="48">
        <f t="shared" si="42"/>
        <v>6347</v>
      </c>
      <c r="N381" s="48">
        <f t="shared" si="43"/>
        <v>1660</v>
      </c>
      <c r="O381" s="50">
        <f t="shared" si="44"/>
        <v>8007</v>
      </c>
      <c r="P381" s="50">
        <v>0</v>
      </c>
      <c r="Q381" s="76"/>
      <c r="R381" s="140">
        <f>IF((20*S9+20*S10)&gt;200,200,(20*S9+20*S10))</f>
        <v>100</v>
      </c>
      <c r="S381" s="79">
        <v>51.83</v>
      </c>
      <c r="T381" s="80">
        <v>13.56</v>
      </c>
    </row>
    <row r="382" spans="2:20" ht="70">
      <c r="B382" s="5" t="s">
        <v>926</v>
      </c>
      <c r="C382" s="45" t="s">
        <v>135</v>
      </c>
      <c r="D382" s="45">
        <v>91867</v>
      </c>
      <c r="E382" s="6" t="s">
        <v>927</v>
      </c>
      <c r="F382" s="45" t="s">
        <v>187</v>
      </c>
      <c r="G382" s="46">
        <f t="shared" si="38"/>
        <v>250</v>
      </c>
      <c r="H382" s="46">
        <f>TRUNC(S382*(1-LOTE_01!$K$10),2)</f>
        <v>6.32</v>
      </c>
      <c r="I382" s="46">
        <f>TRUNC(T382*(1-LOTE_01!$K$10),2)</f>
        <v>4.26</v>
      </c>
      <c r="J382" s="100">
        <f t="shared" si="39"/>
        <v>0.22470000000000001</v>
      </c>
      <c r="K382" s="48">
        <f t="shared" si="40"/>
        <v>7.74</v>
      </c>
      <c r="L382" s="48">
        <f t="shared" si="41"/>
        <v>5.21</v>
      </c>
      <c r="M382" s="48">
        <f t="shared" si="42"/>
        <v>1935</v>
      </c>
      <c r="N382" s="48">
        <f t="shared" si="43"/>
        <v>1302.5</v>
      </c>
      <c r="O382" s="50">
        <f t="shared" si="44"/>
        <v>3237.5</v>
      </c>
      <c r="P382" s="50">
        <v>0</v>
      </c>
      <c r="Q382" s="76"/>
      <c r="R382" s="140">
        <f>IF((50*S9+50*S10)&gt;500,500,(50*S9+50*S10))</f>
        <v>250</v>
      </c>
      <c r="S382" s="79">
        <v>6.32</v>
      </c>
      <c r="T382" s="80">
        <v>4.26</v>
      </c>
    </row>
    <row r="383" spans="2:20" ht="70">
      <c r="B383" s="5" t="s">
        <v>928</v>
      </c>
      <c r="C383" s="45" t="s">
        <v>135</v>
      </c>
      <c r="D383" s="45">
        <v>91864</v>
      </c>
      <c r="E383" s="6" t="s">
        <v>838</v>
      </c>
      <c r="F383" s="45" t="s">
        <v>187</v>
      </c>
      <c r="G383" s="46">
        <f t="shared" si="38"/>
        <v>100</v>
      </c>
      <c r="H383" s="46">
        <f>TRUNC(S383*(1-LOTE_01!$K$10),2)</f>
        <v>9.7200000000000006</v>
      </c>
      <c r="I383" s="46">
        <f>TRUNC(T383*(1-LOTE_01!$K$10),2)</f>
        <v>6.29</v>
      </c>
      <c r="J383" s="100">
        <f t="shared" si="39"/>
        <v>0.22470000000000001</v>
      </c>
      <c r="K383" s="48">
        <f t="shared" si="40"/>
        <v>11.9</v>
      </c>
      <c r="L383" s="48">
        <f t="shared" si="41"/>
        <v>7.7</v>
      </c>
      <c r="M383" s="48">
        <f t="shared" si="42"/>
        <v>1190</v>
      </c>
      <c r="N383" s="48">
        <f t="shared" si="43"/>
        <v>770</v>
      </c>
      <c r="O383" s="50">
        <f t="shared" si="44"/>
        <v>1960</v>
      </c>
      <c r="P383" s="50">
        <v>0</v>
      </c>
      <c r="Q383" s="76"/>
      <c r="R383" s="140">
        <f>IF((20*S9+20*S10)&gt;100,100,(20*S9+20*S10))</f>
        <v>100</v>
      </c>
      <c r="S383" s="79">
        <v>9.7200000000000024</v>
      </c>
      <c r="T383" s="80">
        <v>6.29</v>
      </c>
    </row>
    <row r="384" spans="2:20" ht="42">
      <c r="B384" s="5" t="s">
        <v>929</v>
      </c>
      <c r="C384" s="45" t="s">
        <v>165</v>
      </c>
      <c r="D384" s="45" t="s">
        <v>930</v>
      </c>
      <c r="E384" s="6" t="s">
        <v>931</v>
      </c>
      <c r="F384" s="45" t="s">
        <v>531</v>
      </c>
      <c r="G384" s="46">
        <f t="shared" si="38"/>
        <v>100</v>
      </c>
      <c r="H384" s="46">
        <f>TRUNC(S384*(1-LOTE_01!$K$10),2)</f>
        <v>46.69</v>
      </c>
      <c r="I384" s="46">
        <f>TRUNC(T384*(1-LOTE_01!$K$10),2)</f>
        <v>15.42</v>
      </c>
      <c r="J384" s="100">
        <f t="shared" si="39"/>
        <v>0.22470000000000001</v>
      </c>
      <c r="K384" s="48">
        <f t="shared" si="40"/>
        <v>57.18</v>
      </c>
      <c r="L384" s="48">
        <f t="shared" si="41"/>
        <v>18.88</v>
      </c>
      <c r="M384" s="48">
        <f t="shared" si="42"/>
        <v>5718</v>
      </c>
      <c r="N384" s="48">
        <f t="shared" si="43"/>
        <v>1888</v>
      </c>
      <c r="O384" s="50">
        <f t="shared" si="44"/>
        <v>7606</v>
      </c>
      <c r="P384" s="50">
        <v>0</v>
      </c>
      <c r="Q384" s="76"/>
      <c r="R384" s="140">
        <f>IF((20*S9+20*S10)&gt;200,200,(20*S9+20*S10))</f>
        <v>100</v>
      </c>
      <c r="S384" s="79">
        <v>46.69</v>
      </c>
      <c r="T384" s="80">
        <v>15.42</v>
      </c>
    </row>
    <row r="385" spans="2:20" ht="56">
      <c r="B385" s="5" t="s">
        <v>932</v>
      </c>
      <c r="C385" s="45" t="s">
        <v>135</v>
      </c>
      <c r="D385" s="45">
        <v>95778</v>
      </c>
      <c r="E385" s="6" t="s">
        <v>1814</v>
      </c>
      <c r="F385" s="45" t="s">
        <v>210</v>
      </c>
      <c r="G385" s="46">
        <f t="shared" si="38"/>
        <v>60</v>
      </c>
      <c r="H385" s="46">
        <f>TRUNC(S385*(1-LOTE_01!$K$10),2)</f>
        <v>20.67</v>
      </c>
      <c r="I385" s="46">
        <f>TRUNC(T385*(1-LOTE_01!$K$10),2)</f>
        <v>12.25</v>
      </c>
      <c r="J385" s="100">
        <f t="shared" si="39"/>
        <v>0.22470000000000001</v>
      </c>
      <c r="K385" s="48">
        <f t="shared" si="40"/>
        <v>25.31</v>
      </c>
      <c r="L385" s="48">
        <f t="shared" si="41"/>
        <v>15</v>
      </c>
      <c r="M385" s="48">
        <f t="shared" si="42"/>
        <v>1518.6</v>
      </c>
      <c r="N385" s="48">
        <f t="shared" si="43"/>
        <v>900</v>
      </c>
      <c r="O385" s="50">
        <f t="shared" si="44"/>
        <v>2418.6</v>
      </c>
      <c r="P385" s="50">
        <v>0</v>
      </c>
      <c r="Q385" s="76"/>
      <c r="R385" s="140">
        <f>IF((10*S9+15*S10)&gt;100,100,(10*S9+15*S10))</f>
        <v>60</v>
      </c>
      <c r="S385" s="79">
        <v>20.67</v>
      </c>
      <c r="T385" s="80">
        <v>12.25</v>
      </c>
    </row>
    <row r="386" spans="2:20" ht="56">
      <c r="B386" s="5" t="s">
        <v>933</v>
      </c>
      <c r="C386" s="45" t="s">
        <v>135</v>
      </c>
      <c r="D386" s="45">
        <v>95780</v>
      </c>
      <c r="E386" s="6" t="s">
        <v>1815</v>
      </c>
      <c r="F386" s="45" t="s">
        <v>210</v>
      </c>
      <c r="G386" s="46">
        <f t="shared" si="38"/>
        <v>60</v>
      </c>
      <c r="H386" s="46">
        <f>TRUNC(S386*(1-LOTE_01!$K$10),2)</f>
        <v>22.21</v>
      </c>
      <c r="I386" s="46">
        <f>TRUNC(T386*(1-LOTE_01!$K$10),2)</f>
        <v>10.72</v>
      </c>
      <c r="J386" s="100">
        <f t="shared" si="39"/>
        <v>0.22470000000000001</v>
      </c>
      <c r="K386" s="48">
        <f t="shared" si="40"/>
        <v>27.2</v>
      </c>
      <c r="L386" s="48">
        <f t="shared" si="41"/>
        <v>13.12</v>
      </c>
      <c r="M386" s="48">
        <f t="shared" si="42"/>
        <v>1632</v>
      </c>
      <c r="N386" s="48">
        <f t="shared" si="43"/>
        <v>787.2</v>
      </c>
      <c r="O386" s="50">
        <f t="shared" si="44"/>
        <v>2419.1999999999998</v>
      </c>
      <c r="P386" s="50">
        <v>0</v>
      </c>
      <c r="Q386" s="76"/>
      <c r="R386" s="140">
        <f>IF((10*S9+15*S10)&gt;100,100,(10*S9+15*S10))</f>
        <v>60</v>
      </c>
      <c r="S386" s="79">
        <v>22.21</v>
      </c>
      <c r="T386" s="80">
        <v>10.72</v>
      </c>
    </row>
    <row r="387" spans="2:20" ht="56">
      <c r="B387" s="5" t="s">
        <v>934</v>
      </c>
      <c r="C387" s="45" t="s">
        <v>135</v>
      </c>
      <c r="D387" s="45">
        <v>91944</v>
      </c>
      <c r="E387" s="6" t="s">
        <v>935</v>
      </c>
      <c r="F387" s="45" t="s">
        <v>210</v>
      </c>
      <c r="G387" s="46">
        <f t="shared" si="38"/>
        <v>60</v>
      </c>
      <c r="H387" s="46">
        <f>TRUNC(S387*(1-LOTE_01!$K$10),2)</f>
        <v>9.2899999999999991</v>
      </c>
      <c r="I387" s="46">
        <f>TRUNC(T387*(1-LOTE_01!$K$10),2)</f>
        <v>7.87</v>
      </c>
      <c r="J387" s="100">
        <f t="shared" si="39"/>
        <v>0.22470000000000001</v>
      </c>
      <c r="K387" s="48">
        <f t="shared" si="40"/>
        <v>11.37</v>
      </c>
      <c r="L387" s="48">
        <f t="shared" si="41"/>
        <v>9.6300000000000008</v>
      </c>
      <c r="M387" s="48">
        <f t="shared" si="42"/>
        <v>682.2</v>
      </c>
      <c r="N387" s="48">
        <f t="shared" si="43"/>
        <v>577.79999999999995</v>
      </c>
      <c r="O387" s="50">
        <f t="shared" si="44"/>
        <v>1260</v>
      </c>
      <c r="P387" s="50">
        <v>0</v>
      </c>
      <c r="Q387" s="76"/>
      <c r="R387" s="140">
        <f>IF((10*S9+15*S10)&gt;100,100,(10*S9+15*S10))</f>
        <v>60</v>
      </c>
      <c r="S387" s="79">
        <v>9.2899999999999991</v>
      </c>
      <c r="T387" s="80">
        <v>7.87</v>
      </c>
    </row>
    <row r="388" spans="2:20" ht="56">
      <c r="B388" s="5" t="s">
        <v>936</v>
      </c>
      <c r="C388" s="45" t="s">
        <v>135</v>
      </c>
      <c r="D388" s="45">
        <v>91926</v>
      </c>
      <c r="E388" s="6" t="s">
        <v>840</v>
      </c>
      <c r="F388" s="45" t="s">
        <v>187</v>
      </c>
      <c r="G388" s="46">
        <f t="shared" si="38"/>
        <v>1100</v>
      </c>
      <c r="H388" s="46">
        <f>TRUNC(S388*(1-LOTE_01!$K$10),2)</f>
        <v>3.77</v>
      </c>
      <c r="I388" s="46">
        <f>TRUNC(T388*(1-LOTE_01!$K$10),2)</f>
        <v>1.32</v>
      </c>
      <c r="J388" s="100">
        <f t="shared" si="39"/>
        <v>0.22470000000000001</v>
      </c>
      <c r="K388" s="48">
        <f t="shared" si="40"/>
        <v>4.6100000000000003</v>
      </c>
      <c r="L388" s="48">
        <f t="shared" si="41"/>
        <v>1.61</v>
      </c>
      <c r="M388" s="48">
        <f t="shared" si="42"/>
        <v>5071</v>
      </c>
      <c r="N388" s="48">
        <f t="shared" si="43"/>
        <v>1771</v>
      </c>
      <c r="O388" s="50">
        <f t="shared" si="44"/>
        <v>6842</v>
      </c>
      <c r="P388" s="50">
        <v>0</v>
      </c>
      <c r="Q388" s="76"/>
      <c r="R388" s="140">
        <f>100*S9+400*S10</f>
        <v>1100</v>
      </c>
      <c r="S388" s="79">
        <v>3.7699999999999996</v>
      </c>
      <c r="T388" s="80">
        <v>1.32</v>
      </c>
    </row>
    <row r="389" spans="2:20" ht="56">
      <c r="B389" s="5" t="s">
        <v>937</v>
      </c>
      <c r="C389" s="45" t="s">
        <v>135</v>
      </c>
      <c r="D389" s="45">
        <v>91928</v>
      </c>
      <c r="E389" s="6" t="s">
        <v>844</v>
      </c>
      <c r="F389" s="45" t="s">
        <v>187</v>
      </c>
      <c r="G389" s="46">
        <f t="shared" si="38"/>
        <v>700</v>
      </c>
      <c r="H389" s="46">
        <f>TRUNC(S389*(1-LOTE_01!$K$10),2)</f>
        <v>6.06</v>
      </c>
      <c r="I389" s="46">
        <f>TRUNC(T389*(1-LOTE_01!$K$10),2)</f>
        <v>1.78</v>
      </c>
      <c r="J389" s="100">
        <f t="shared" si="39"/>
        <v>0.22470000000000001</v>
      </c>
      <c r="K389" s="48">
        <f t="shared" si="40"/>
        <v>7.42</v>
      </c>
      <c r="L389" s="48">
        <f t="shared" si="41"/>
        <v>2.17</v>
      </c>
      <c r="M389" s="48">
        <f t="shared" si="42"/>
        <v>5194</v>
      </c>
      <c r="N389" s="48">
        <f t="shared" si="43"/>
        <v>1519</v>
      </c>
      <c r="O389" s="50">
        <f t="shared" si="44"/>
        <v>6713</v>
      </c>
      <c r="P389" s="50">
        <v>0</v>
      </c>
      <c r="Q389" s="76"/>
      <c r="R389" s="140">
        <f>100*S9+200*S10</f>
        <v>700</v>
      </c>
      <c r="S389" s="79">
        <v>6.06</v>
      </c>
      <c r="T389" s="80">
        <v>1.78</v>
      </c>
    </row>
    <row r="390" spans="2:20" ht="56">
      <c r="B390" s="5" t="s">
        <v>938</v>
      </c>
      <c r="C390" s="45" t="s">
        <v>135</v>
      </c>
      <c r="D390" s="45">
        <v>91930</v>
      </c>
      <c r="E390" s="6" t="s">
        <v>939</v>
      </c>
      <c r="F390" s="45" t="s">
        <v>187</v>
      </c>
      <c r="G390" s="46">
        <f t="shared" si="38"/>
        <v>550</v>
      </c>
      <c r="H390" s="46">
        <f>TRUNC(S390*(1-LOTE_01!$K$10),2)</f>
        <v>8.61</v>
      </c>
      <c r="I390" s="46">
        <f>TRUNC(T390*(1-LOTE_01!$K$10),2)</f>
        <v>2.34</v>
      </c>
      <c r="J390" s="100">
        <f t="shared" si="39"/>
        <v>0.22470000000000001</v>
      </c>
      <c r="K390" s="48">
        <f t="shared" si="40"/>
        <v>10.54</v>
      </c>
      <c r="L390" s="48">
        <f t="shared" si="41"/>
        <v>2.86</v>
      </c>
      <c r="M390" s="48">
        <f t="shared" si="42"/>
        <v>5797</v>
      </c>
      <c r="N390" s="48">
        <f t="shared" si="43"/>
        <v>1573</v>
      </c>
      <c r="O390" s="50">
        <f t="shared" si="44"/>
        <v>7370</v>
      </c>
      <c r="P390" s="50">
        <v>0</v>
      </c>
      <c r="Q390" s="76"/>
      <c r="R390" s="140">
        <f>50*S9+200*S10</f>
        <v>550</v>
      </c>
      <c r="S390" s="79">
        <v>8.61</v>
      </c>
      <c r="T390" s="80">
        <v>2.34</v>
      </c>
    </row>
    <row r="391" spans="2:20" ht="42">
      <c r="B391" s="5" t="s">
        <v>940</v>
      </c>
      <c r="C391" s="45" t="s">
        <v>97</v>
      </c>
      <c r="D391" s="45" t="s">
        <v>904</v>
      </c>
      <c r="E391" s="6" t="s">
        <v>905</v>
      </c>
      <c r="F391" s="45" t="s">
        <v>104</v>
      </c>
      <c r="G391" s="46">
        <f t="shared" si="38"/>
        <v>20</v>
      </c>
      <c r="H391" s="46">
        <f>TRUNC(S391*(1-LOTE_01!$K$10),2)</f>
        <v>262.2</v>
      </c>
      <c r="I391" s="46">
        <f>TRUNC(T391*(1-LOTE_01!$K$10),2)</f>
        <v>9.0399999999999991</v>
      </c>
      <c r="J391" s="100">
        <f t="shared" si="39"/>
        <v>0.22470000000000001</v>
      </c>
      <c r="K391" s="48">
        <f t="shared" si="40"/>
        <v>321.11</v>
      </c>
      <c r="L391" s="48">
        <f t="shared" si="41"/>
        <v>11.07</v>
      </c>
      <c r="M391" s="48">
        <f t="shared" si="42"/>
        <v>6422.2</v>
      </c>
      <c r="N391" s="48">
        <f t="shared" si="43"/>
        <v>221.4</v>
      </c>
      <c r="O391" s="50">
        <f t="shared" si="44"/>
        <v>6643.6</v>
      </c>
      <c r="P391" s="50">
        <v>0</v>
      </c>
      <c r="Q391" s="76"/>
      <c r="R391" s="140">
        <f>4*S9+4*S10</f>
        <v>20</v>
      </c>
      <c r="S391" s="79">
        <v>262.2</v>
      </c>
      <c r="T391" s="80">
        <v>9.0399999999999991</v>
      </c>
    </row>
    <row r="392" spans="2:20" ht="28">
      <c r="B392" s="5" t="s">
        <v>941</v>
      </c>
      <c r="C392" s="45" t="s">
        <v>97</v>
      </c>
      <c r="D392" s="45" t="s">
        <v>907</v>
      </c>
      <c r="E392" s="6" t="s">
        <v>908</v>
      </c>
      <c r="F392" s="45" t="s">
        <v>104</v>
      </c>
      <c r="G392" s="46">
        <f t="shared" si="38"/>
        <v>10</v>
      </c>
      <c r="H392" s="46">
        <f>TRUNC(S392*(1-LOTE_01!$K$10),2)</f>
        <v>235.2</v>
      </c>
      <c r="I392" s="46">
        <f>TRUNC(T392*(1-LOTE_01!$K$10),2)</f>
        <v>9.0399999999999991</v>
      </c>
      <c r="J392" s="100">
        <f t="shared" si="39"/>
        <v>0.22470000000000001</v>
      </c>
      <c r="K392" s="48">
        <f t="shared" si="40"/>
        <v>288.04000000000002</v>
      </c>
      <c r="L392" s="48">
        <f t="shared" si="41"/>
        <v>11.07</v>
      </c>
      <c r="M392" s="48">
        <f t="shared" si="42"/>
        <v>2880.4</v>
      </c>
      <c r="N392" s="48">
        <f t="shared" si="43"/>
        <v>110.7</v>
      </c>
      <c r="O392" s="50">
        <f t="shared" si="44"/>
        <v>2991.1</v>
      </c>
      <c r="P392" s="50">
        <v>0</v>
      </c>
      <c r="Q392" s="76"/>
      <c r="R392" s="140">
        <f>2*S9+2*S10</f>
        <v>10</v>
      </c>
      <c r="S392" s="79">
        <v>235.2</v>
      </c>
      <c r="T392" s="80">
        <v>9.0399999999999991</v>
      </c>
    </row>
    <row r="393" spans="2:20" ht="42">
      <c r="B393" s="5" t="s">
        <v>942</v>
      </c>
      <c r="C393" s="45" t="s">
        <v>135</v>
      </c>
      <c r="D393" s="45">
        <v>101903</v>
      </c>
      <c r="E393" s="6" t="s">
        <v>943</v>
      </c>
      <c r="F393" s="45" t="s">
        <v>210</v>
      </c>
      <c r="G393" s="46">
        <f t="shared" si="38"/>
        <v>10</v>
      </c>
      <c r="H393" s="46">
        <f>TRUNC(S393*(1-LOTE_01!$K$10),2)</f>
        <v>359.46</v>
      </c>
      <c r="I393" s="46">
        <f>TRUNC(T393*(1-LOTE_01!$K$10),2)</f>
        <v>10.54</v>
      </c>
      <c r="J393" s="100">
        <f t="shared" si="39"/>
        <v>0.22470000000000001</v>
      </c>
      <c r="K393" s="48">
        <f t="shared" si="40"/>
        <v>440.23</v>
      </c>
      <c r="L393" s="48">
        <f t="shared" si="41"/>
        <v>12.9</v>
      </c>
      <c r="M393" s="48">
        <f t="shared" si="42"/>
        <v>4402.3</v>
      </c>
      <c r="N393" s="48">
        <f t="shared" si="43"/>
        <v>129</v>
      </c>
      <c r="O393" s="50">
        <f t="shared" si="44"/>
        <v>4531.3</v>
      </c>
      <c r="P393" s="50">
        <v>0</v>
      </c>
      <c r="Q393" s="76"/>
      <c r="R393" s="140">
        <f>2*S9+2*S10</f>
        <v>10</v>
      </c>
      <c r="S393" s="79">
        <v>359.46</v>
      </c>
      <c r="T393" s="80">
        <v>10.54</v>
      </c>
    </row>
    <row r="394" spans="2:20" ht="42">
      <c r="B394" s="101" t="s">
        <v>944</v>
      </c>
      <c r="C394" s="102" t="s">
        <v>21</v>
      </c>
      <c r="D394" s="102" t="s">
        <v>21</v>
      </c>
      <c r="E394" s="103" t="s">
        <v>945</v>
      </c>
      <c r="F394" s="102" t="s">
        <v>21</v>
      </c>
      <c r="G394" s="46">
        <f t="shared" si="38"/>
        <v>0</v>
      </c>
      <c r="H394" s="46"/>
      <c r="I394" s="46"/>
      <c r="J394" s="105"/>
      <c r="K394" s="48">
        <f t="shared" si="40"/>
        <v>0</v>
      </c>
      <c r="L394" s="48">
        <f t="shared" si="41"/>
        <v>0</v>
      </c>
      <c r="M394" s="48">
        <f t="shared" si="42"/>
        <v>0</v>
      </c>
      <c r="N394" s="48">
        <f t="shared" si="43"/>
        <v>0</v>
      </c>
      <c r="O394" s="50">
        <f t="shared" si="44"/>
        <v>0</v>
      </c>
      <c r="P394" s="50">
        <v>0</v>
      </c>
      <c r="Q394" s="76"/>
      <c r="R394" s="154"/>
      <c r="S394" s="79" t="s">
        <v>22</v>
      </c>
      <c r="T394" s="80" t="s">
        <v>22</v>
      </c>
    </row>
    <row r="395" spans="2:20" ht="56">
      <c r="B395" s="5" t="s">
        <v>946</v>
      </c>
      <c r="C395" s="45" t="s">
        <v>135</v>
      </c>
      <c r="D395" s="45">
        <v>96984</v>
      </c>
      <c r="E395" s="6" t="s">
        <v>947</v>
      </c>
      <c r="F395" s="45" t="s">
        <v>210</v>
      </c>
      <c r="G395" s="46">
        <f t="shared" si="38"/>
        <v>50</v>
      </c>
      <c r="H395" s="46">
        <f>TRUNC(S395*(1-LOTE_01!$K$10),2)</f>
        <v>29.86</v>
      </c>
      <c r="I395" s="46">
        <f>TRUNC(T395*(1-LOTE_01!$K$10),2)</f>
        <v>33.950000000000003</v>
      </c>
      <c r="J395" s="100">
        <f t="shared" si="39"/>
        <v>0.22470000000000001</v>
      </c>
      <c r="K395" s="48">
        <f t="shared" si="40"/>
        <v>36.56</v>
      </c>
      <c r="L395" s="48">
        <f t="shared" si="41"/>
        <v>41.57</v>
      </c>
      <c r="M395" s="48">
        <f t="shared" si="42"/>
        <v>1828</v>
      </c>
      <c r="N395" s="48">
        <f t="shared" si="43"/>
        <v>2078.5</v>
      </c>
      <c r="O395" s="50">
        <f t="shared" si="44"/>
        <v>3906.5</v>
      </c>
      <c r="P395" s="50">
        <v>0</v>
      </c>
      <c r="Q395" s="76"/>
      <c r="R395" s="140">
        <f>10*S9+10*S10</f>
        <v>50</v>
      </c>
      <c r="S395" s="79">
        <v>29.86</v>
      </c>
      <c r="T395" s="80">
        <v>33.950000000000003</v>
      </c>
    </row>
    <row r="396" spans="2:20" ht="42">
      <c r="B396" s="5" t="s">
        <v>948</v>
      </c>
      <c r="C396" s="45" t="s">
        <v>97</v>
      </c>
      <c r="D396" s="45" t="s">
        <v>949</v>
      </c>
      <c r="E396" s="6" t="s">
        <v>950</v>
      </c>
      <c r="F396" s="45" t="s">
        <v>104</v>
      </c>
      <c r="G396" s="46">
        <f t="shared" si="38"/>
        <v>30</v>
      </c>
      <c r="H396" s="46">
        <f>TRUNC(S396*(1-LOTE_01!$K$10),2)</f>
        <v>3.17</v>
      </c>
      <c r="I396" s="46">
        <f>TRUNC(T396*(1-LOTE_01!$K$10),2)</f>
        <v>1.1299999999999999</v>
      </c>
      <c r="J396" s="100">
        <f t="shared" si="39"/>
        <v>0.22470000000000001</v>
      </c>
      <c r="K396" s="48">
        <f t="shared" si="40"/>
        <v>3.88</v>
      </c>
      <c r="L396" s="48">
        <f t="shared" si="41"/>
        <v>1.38</v>
      </c>
      <c r="M396" s="48">
        <f t="shared" si="42"/>
        <v>116.4</v>
      </c>
      <c r="N396" s="48">
        <f t="shared" si="43"/>
        <v>41.4</v>
      </c>
      <c r="O396" s="50">
        <f t="shared" si="44"/>
        <v>157.80000000000001</v>
      </c>
      <c r="P396" s="50">
        <v>0</v>
      </c>
      <c r="Q396" s="76"/>
      <c r="R396" s="140">
        <f>6*S9+6*S10</f>
        <v>30</v>
      </c>
      <c r="S396" s="79">
        <v>3.17</v>
      </c>
      <c r="T396" s="80">
        <v>1.1299999999999999</v>
      </c>
    </row>
    <row r="397" spans="2:20" ht="42">
      <c r="B397" s="5" t="s">
        <v>951</v>
      </c>
      <c r="C397" s="45" t="s">
        <v>135</v>
      </c>
      <c r="D397" s="45">
        <v>96985</v>
      </c>
      <c r="E397" s="6" t="s">
        <v>952</v>
      </c>
      <c r="F397" s="45" t="s">
        <v>210</v>
      </c>
      <c r="G397" s="46">
        <f t="shared" si="38"/>
        <v>50</v>
      </c>
      <c r="H397" s="46">
        <f>TRUNC(S397*(1-LOTE_01!$K$10),2)</f>
        <v>75.430000000000007</v>
      </c>
      <c r="I397" s="46">
        <f>TRUNC(T397*(1-LOTE_01!$K$10),2)</f>
        <v>11.09</v>
      </c>
      <c r="J397" s="100">
        <f t="shared" si="39"/>
        <v>0.22470000000000001</v>
      </c>
      <c r="K397" s="48">
        <f t="shared" si="40"/>
        <v>92.37</v>
      </c>
      <c r="L397" s="48">
        <f t="shared" si="41"/>
        <v>13.58</v>
      </c>
      <c r="M397" s="48">
        <f t="shared" si="42"/>
        <v>4618.5</v>
      </c>
      <c r="N397" s="48">
        <f t="shared" si="43"/>
        <v>679</v>
      </c>
      <c r="O397" s="50">
        <f t="shared" si="44"/>
        <v>5297.5</v>
      </c>
      <c r="P397" s="50">
        <v>0</v>
      </c>
      <c r="Q397" s="76"/>
      <c r="R397" s="140">
        <f>10*S9+10*S10</f>
        <v>50</v>
      </c>
      <c r="S397" s="79">
        <v>75.429999999999993</v>
      </c>
      <c r="T397" s="80">
        <v>11.09</v>
      </c>
    </row>
    <row r="398" spans="2:20" ht="56">
      <c r="B398" s="5" t="s">
        <v>953</v>
      </c>
      <c r="C398" s="45" t="s">
        <v>135</v>
      </c>
      <c r="D398" s="45">
        <v>98111</v>
      </c>
      <c r="E398" s="6" t="s">
        <v>954</v>
      </c>
      <c r="F398" s="45" t="s">
        <v>210</v>
      </c>
      <c r="G398" s="46">
        <f t="shared" si="38"/>
        <v>15</v>
      </c>
      <c r="H398" s="46">
        <f>TRUNC(S398*(1-LOTE_01!$K$10),2)</f>
        <v>42.55</v>
      </c>
      <c r="I398" s="46">
        <f>TRUNC(T398*(1-LOTE_01!$K$10),2)</f>
        <v>6.58</v>
      </c>
      <c r="J398" s="100">
        <f t="shared" si="39"/>
        <v>0.22470000000000001</v>
      </c>
      <c r="K398" s="48">
        <f t="shared" si="40"/>
        <v>52.11</v>
      </c>
      <c r="L398" s="48">
        <f t="shared" si="41"/>
        <v>8.0500000000000007</v>
      </c>
      <c r="M398" s="48">
        <f t="shared" si="42"/>
        <v>781.65</v>
      </c>
      <c r="N398" s="48">
        <f t="shared" si="43"/>
        <v>120.75</v>
      </c>
      <c r="O398" s="50">
        <f t="shared" si="44"/>
        <v>902.4</v>
      </c>
      <c r="P398" s="50">
        <v>0</v>
      </c>
      <c r="Q398" s="76"/>
      <c r="R398" s="140">
        <f>3*S9+3*S10</f>
        <v>15</v>
      </c>
      <c r="S398" s="79">
        <v>42.550000000000004</v>
      </c>
      <c r="T398" s="80">
        <v>6.58</v>
      </c>
    </row>
    <row r="399" spans="2:20" ht="28">
      <c r="B399" s="5" t="s">
        <v>955</v>
      </c>
      <c r="C399" s="45" t="s">
        <v>97</v>
      </c>
      <c r="D399" s="45" t="s">
        <v>956</v>
      </c>
      <c r="E399" s="6" t="s">
        <v>957</v>
      </c>
      <c r="F399" s="45" t="s">
        <v>187</v>
      </c>
      <c r="G399" s="46">
        <f t="shared" si="38"/>
        <v>250</v>
      </c>
      <c r="H399" s="46">
        <f>TRUNC(S399*(1-LOTE_01!$K$10),2)</f>
        <v>63.27</v>
      </c>
      <c r="I399" s="46">
        <f>TRUNC(T399*(1-LOTE_01!$K$10),2)</f>
        <v>4.5199999999999996</v>
      </c>
      <c r="J399" s="100">
        <f t="shared" si="39"/>
        <v>0.22470000000000001</v>
      </c>
      <c r="K399" s="48">
        <f t="shared" si="40"/>
        <v>77.48</v>
      </c>
      <c r="L399" s="48">
        <f t="shared" si="41"/>
        <v>5.53</v>
      </c>
      <c r="M399" s="48">
        <f t="shared" si="42"/>
        <v>19370</v>
      </c>
      <c r="N399" s="48">
        <f t="shared" si="43"/>
        <v>1382.5</v>
      </c>
      <c r="O399" s="50">
        <f t="shared" si="44"/>
        <v>20752.5</v>
      </c>
      <c r="P399" s="50">
        <v>0</v>
      </c>
      <c r="Q399" s="76"/>
      <c r="R399" s="140">
        <f>50*S9+50*S10</f>
        <v>250</v>
      </c>
      <c r="S399" s="79">
        <v>63.27</v>
      </c>
      <c r="T399" s="80">
        <v>4.5199999999999996</v>
      </c>
    </row>
    <row r="400" spans="2:20" ht="42">
      <c r="B400" s="5" t="s">
        <v>958</v>
      </c>
      <c r="C400" s="45" t="s">
        <v>135</v>
      </c>
      <c r="D400" s="45">
        <v>96977</v>
      </c>
      <c r="E400" s="6" t="s">
        <v>959</v>
      </c>
      <c r="F400" s="45" t="s">
        <v>187</v>
      </c>
      <c r="G400" s="46">
        <f t="shared" si="38"/>
        <v>250</v>
      </c>
      <c r="H400" s="46">
        <f>TRUNC(S400*(1-LOTE_01!$K$10),2)</f>
        <v>65.290000000000006</v>
      </c>
      <c r="I400" s="46">
        <f>TRUNC(T400*(1-LOTE_01!$K$10),2)</f>
        <v>1.51</v>
      </c>
      <c r="J400" s="100">
        <f t="shared" si="39"/>
        <v>0.22470000000000001</v>
      </c>
      <c r="K400" s="48">
        <f t="shared" si="40"/>
        <v>79.959999999999994</v>
      </c>
      <c r="L400" s="48">
        <f t="shared" si="41"/>
        <v>1.84</v>
      </c>
      <c r="M400" s="48">
        <f t="shared" si="42"/>
        <v>19990</v>
      </c>
      <c r="N400" s="48">
        <f t="shared" si="43"/>
        <v>460</v>
      </c>
      <c r="O400" s="50">
        <f t="shared" si="44"/>
        <v>20450</v>
      </c>
      <c r="P400" s="50">
        <v>0</v>
      </c>
      <c r="Q400" s="76"/>
      <c r="R400" s="140">
        <f>50*S9+50*S10</f>
        <v>250</v>
      </c>
      <c r="S400" s="79">
        <v>65.289999999999992</v>
      </c>
      <c r="T400" s="80">
        <v>1.51</v>
      </c>
    </row>
    <row r="401" spans="2:20" ht="28">
      <c r="B401" s="5" t="s">
        <v>960</v>
      </c>
      <c r="C401" s="45" t="s">
        <v>97</v>
      </c>
      <c r="D401" s="45" t="s">
        <v>961</v>
      </c>
      <c r="E401" s="6" t="s">
        <v>962</v>
      </c>
      <c r="F401" s="45" t="s">
        <v>187</v>
      </c>
      <c r="G401" s="46">
        <f t="shared" si="38"/>
        <v>900</v>
      </c>
      <c r="H401" s="46">
        <f>TRUNC(S401*(1-LOTE_01!$K$10),2)</f>
        <v>13.73</v>
      </c>
      <c r="I401" s="46">
        <f>TRUNC(T401*(1-LOTE_01!$K$10),2)</f>
        <v>4.96</v>
      </c>
      <c r="J401" s="100">
        <f t="shared" si="39"/>
        <v>0.22470000000000001</v>
      </c>
      <c r="K401" s="48">
        <f t="shared" si="40"/>
        <v>16.809999999999999</v>
      </c>
      <c r="L401" s="48">
        <f t="shared" si="41"/>
        <v>6.07</v>
      </c>
      <c r="M401" s="48">
        <f t="shared" si="42"/>
        <v>15129</v>
      </c>
      <c r="N401" s="48">
        <f t="shared" si="43"/>
        <v>5463</v>
      </c>
      <c r="O401" s="50">
        <f t="shared" si="44"/>
        <v>20592</v>
      </c>
      <c r="P401" s="50">
        <v>0</v>
      </c>
      <c r="Q401" s="76"/>
      <c r="R401" s="140">
        <f>60*3*S9+180*S10</f>
        <v>900</v>
      </c>
      <c r="S401" s="79">
        <v>13.73</v>
      </c>
      <c r="T401" s="80">
        <v>4.96</v>
      </c>
    </row>
    <row r="402" spans="2:20" ht="42">
      <c r="B402" s="5" t="s">
        <v>963</v>
      </c>
      <c r="C402" s="45" t="s">
        <v>97</v>
      </c>
      <c r="D402" s="45" t="s">
        <v>964</v>
      </c>
      <c r="E402" s="6" t="s">
        <v>965</v>
      </c>
      <c r="F402" s="45" t="s">
        <v>104</v>
      </c>
      <c r="G402" s="46">
        <f t="shared" ref="G402:G465" si="45">TRUNC(R402,2)</f>
        <v>25</v>
      </c>
      <c r="H402" s="46">
        <f>TRUNC(S402*(1-LOTE_01!$K$10),2)</f>
        <v>8.32</v>
      </c>
      <c r="I402" s="46">
        <f>TRUNC(T402*(1-LOTE_01!$K$10),2)</f>
        <v>2.1800000000000002</v>
      </c>
      <c r="J402" s="100">
        <f t="shared" ref="J402:J465" si="46">$J$4</f>
        <v>0.22470000000000001</v>
      </c>
      <c r="K402" s="48">
        <f t="shared" ref="K402:K465" si="47">TRUNC(H402*(1+J402),2)</f>
        <v>10.18</v>
      </c>
      <c r="L402" s="48">
        <f t="shared" ref="L402:L465" si="48">TRUNC(I402*(1+J402),2)</f>
        <v>2.66</v>
      </c>
      <c r="M402" s="48">
        <f t="shared" ref="M402:M465" si="49">TRUNC(K402*G402,2)</f>
        <v>254.5</v>
      </c>
      <c r="N402" s="48">
        <f t="shared" ref="N402:N465" si="50">TRUNC(L402*G402,2)</f>
        <v>66.5</v>
      </c>
      <c r="O402" s="50">
        <f t="shared" ref="O402:O465" si="51">TRUNC(M402+N402,2)</f>
        <v>321</v>
      </c>
      <c r="P402" s="50">
        <v>0</v>
      </c>
      <c r="Q402" s="76"/>
      <c r="R402" s="140">
        <f>5*S9+5*S10</f>
        <v>25</v>
      </c>
      <c r="S402" s="79">
        <v>8.32</v>
      </c>
      <c r="T402" s="80">
        <v>2.1800000000000002</v>
      </c>
    </row>
    <row r="403" spans="2:20" ht="28">
      <c r="B403" s="5" t="s">
        <v>966</v>
      </c>
      <c r="C403" s="45" t="s">
        <v>97</v>
      </c>
      <c r="D403" s="45" t="s">
        <v>967</v>
      </c>
      <c r="E403" s="6" t="s">
        <v>968</v>
      </c>
      <c r="F403" s="45" t="s">
        <v>104</v>
      </c>
      <c r="G403" s="46">
        <f t="shared" si="45"/>
        <v>50</v>
      </c>
      <c r="H403" s="46">
        <f>TRUNC(S403*(1-LOTE_01!$K$10),2)</f>
        <v>26.09</v>
      </c>
      <c r="I403" s="46">
        <f>TRUNC(T403*(1-LOTE_01!$K$10),2)</f>
        <v>36.159999999999997</v>
      </c>
      <c r="J403" s="100">
        <f t="shared" si="46"/>
        <v>0.22470000000000001</v>
      </c>
      <c r="K403" s="48">
        <f t="shared" si="47"/>
        <v>31.95</v>
      </c>
      <c r="L403" s="48">
        <f t="shared" si="48"/>
        <v>44.28</v>
      </c>
      <c r="M403" s="48">
        <f t="shared" si="49"/>
        <v>1597.5</v>
      </c>
      <c r="N403" s="48">
        <f t="shared" si="50"/>
        <v>2214</v>
      </c>
      <c r="O403" s="50">
        <f t="shared" si="51"/>
        <v>3811.5</v>
      </c>
      <c r="P403" s="50">
        <v>0</v>
      </c>
      <c r="Q403" s="76"/>
      <c r="R403" s="140">
        <f>10*S9+10*S10</f>
        <v>50</v>
      </c>
      <c r="S403" s="79">
        <v>26.09</v>
      </c>
      <c r="T403" s="80">
        <v>36.159999999999997</v>
      </c>
    </row>
    <row r="404" spans="2:20" ht="56">
      <c r="B404" s="5" t="s">
        <v>969</v>
      </c>
      <c r="C404" s="45" t="s">
        <v>97</v>
      </c>
      <c r="D404" s="45" t="s">
        <v>970</v>
      </c>
      <c r="E404" s="6" t="s">
        <v>971</v>
      </c>
      <c r="F404" s="45" t="s">
        <v>104</v>
      </c>
      <c r="G404" s="46">
        <f t="shared" si="45"/>
        <v>25</v>
      </c>
      <c r="H404" s="46">
        <f>TRUNC(S404*(1-LOTE_01!$K$10),2)</f>
        <v>129.91</v>
      </c>
      <c r="I404" s="46">
        <f>TRUNC(T404*(1-LOTE_01!$K$10),2)</f>
        <v>12.68</v>
      </c>
      <c r="J404" s="100">
        <f t="shared" si="46"/>
        <v>0.22470000000000001</v>
      </c>
      <c r="K404" s="48">
        <f t="shared" si="47"/>
        <v>159.1</v>
      </c>
      <c r="L404" s="48">
        <f t="shared" si="48"/>
        <v>15.52</v>
      </c>
      <c r="M404" s="48">
        <f t="shared" si="49"/>
        <v>3977.5</v>
      </c>
      <c r="N404" s="48">
        <f t="shared" si="50"/>
        <v>388</v>
      </c>
      <c r="O404" s="50">
        <f t="shared" si="51"/>
        <v>4365.5</v>
      </c>
      <c r="P404" s="50">
        <v>0</v>
      </c>
      <c r="Q404" s="76"/>
      <c r="R404" s="140">
        <f>5*S9+5*S10</f>
        <v>25</v>
      </c>
      <c r="S404" s="79">
        <v>129.91</v>
      </c>
      <c r="T404" s="80">
        <v>12.68</v>
      </c>
    </row>
    <row r="405" spans="2:20" ht="56">
      <c r="B405" s="5" t="s">
        <v>972</v>
      </c>
      <c r="C405" s="45" t="s">
        <v>97</v>
      </c>
      <c r="D405" s="45" t="s">
        <v>973</v>
      </c>
      <c r="E405" s="6" t="s">
        <v>974</v>
      </c>
      <c r="F405" s="45" t="s">
        <v>104</v>
      </c>
      <c r="G405" s="46">
        <f t="shared" si="45"/>
        <v>5</v>
      </c>
      <c r="H405" s="46">
        <f>TRUNC(S405*(1-LOTE_01!$K$10),2)</f>
        <v>87.92</v>
      </c>
      <c r="I405" s="46">
        <f>TRUNC(T405*(1-LOTE_01!$K$10),2)</f>
        <v>310.33999999999997</v>
      </c>
      <c r="J405" s="100">
        <f t="shared" si="46"/>
        <v>0.22470000000000001</v>
      </c>
      <c r="K405" s="48">
        <f t="shared" si="47"/>
        <v>107.67</v>
      </c>
      <c r="L405" s="48">
        <f t="shared" si="48"/>
        <v>380.07</v>
      </c>
      <c r="M405" s="48">
        <f t="shared" si="49"/>
        <v>538.35</v>
      </c>
      <c r="N405" s="48">
        <f t="shared" si="50"/>
        <v>1900.35</v>
      </c>
      <c r="O405" s="50">
        <f t="shared" si="51"/>
        <v>2438.6999999999998</v>
      </c>
      <c r="P405" s="50">
        <v>0</v>
      </c>
      <c r="Q405" s="76"/>
      <c r="R405" s="140">
        <f>1*S9+1*S10</f>
        <v>5</v>
      </c>
      <c r="S405" s="79">
        <v>87.92</v>
      </c>
      <c r="T405" s="80">
        <v>310.33999999999997</v>
      </c>
    </row>
    <row r="406" spans="2:20">
      <c r="B406" s="101" t="s">
        <v>975</v>
      </c>
      <c r="C406" s="102" t="s">
        <v>21</v>
      </c>
      <c r="D406" s="102" t="s">
        <v>21</v>
      </c>
      <c r="E406" s="103" t="s">
        <v>976</v>
      </c>
      <c r="F406" s="102" t="s">
        <v>21</v>
      </c>
      <c r="G406" s="46">
        <f t="shared" si="45"/>
        <v>0</v>
      </c>
      <c r="H406" s="46"/>
      <c r="I406" s="46"/>
      <c r="J406" s="105"/>
      <c r="K406" s="48">
        <f t="shared" si="47"/>
        <v>0</v>
      </c>
      <c r="L406" s="48">
        <f t="shared" si="48"/>
        <v>0</v>
      </c>
      <c r="M406" s="48">
        <f t="shared" si="49"/>
        <v>0</v>
      </c>
      <c r="N406" s="48">
        <f t="shared" si="50"/>
        <v>0</v>
      </c>
      <c r="O406" s="50">
        <f t="shared" si="51"/>
        <v>0</v>
      </c>
      <c r="P406" s="50">
        <v>0</v>
      </c>
      <c r="Q406" s="76"/>
      <c r="R406" s="154"/>
      <c r="S406" s="79" t="s">
        <v>22</v>
      </c>
      <c r="T406" s="80" t="s">
        <v>22</v>
      </c>
    </row>
    <row r="407" spans="2:20" ht="98">
      <c r="B407" s="5" t="s">
        <v>977</v>
      </c>
      <c r="C407" s="45" t="s">
        <v>97</v>
      </c>
      <c r="D407" s="45" t="s">
        <v>978</v>
      </c>
      <c r="E407" s="6" t="s">
        <v>979</v>
      </c>
      <c r="F407" s="45" t="s">
        <v>104</v>
      </c>
      <c r="G407" s="46">
        <f t="shared" si="45"/>
        <v>5</v>
      </c>
      <c r="H407" s="46">
        <f>TRUNC(S407*(1-LOTE_01!$K$10),2)</f>
        <v>3315.76</v>
      </c>
      <c r="I407" s="46">
        <f>TRUNC(T407*(1-LOTE_01!$K$10),2)</f>
        <v>542.4</v>
      </c>
      <c r="J407" s="100">
        <f t="shared" si="46"/>
        <v>0.22470000000000001</v>
      </c>
      <c r="K407" s="48">
        <f t="shared" si="47"/>
        <v>4060.81</v>
      </c>
      <c r="L407" s="48">
        <f t="shared" si="48"/>
        <v>664.27</v>
      </c>
      <c r="M407" s="48">
        <f t="shared" si="49"/>
        <v>20304.05</v>
      </c>
      <c r="N407" s="48">
        <f t="shared" si="50"/>
        <v>3321.35</v>
      </c>
      <c r="O407" s="50">
        <f t="shared" si="51"/>
        <v>23625.4</v>
      </c>
      <c r="P407" s="50">
        <v>0</v>
      </c>
      <c r="Q407" s="76"/>
      <c r="R407" s="140">
        <f>IF((1*S9+1*S10)&gt;5,5,(1*S9+1*S10))</f>
        <v>5</v>
      </c>
      <c r="S407" s="79">
        <v>3315.76</v>
      </c>
      <c r="T407" s="80">
        <v>542.4</v>
      </c>
    </row>
    <row r="408" spans="2:20" ht="56">
      <c r="B408" s="5" t="s">
        <v>980</v>
      </c>
      <c r="C408" s="45" t="s">
        <v>97</v>
      </c>
      <c r="D408" s="45" t="s">
        <v>981</v>
      </c>
      <c r="E408" s="6" t="s">
        <v>982</v>
      </c>
      <c r="F408" s="45" t="s">
        <v>104</v>
      </c>
      <c r="G408" s="46">
        <f t="shared" si="45"/>
        <v>5</v>
      </c>
      <c r="H408" s="46">
        <f>TRUNC(S408*(1-LOTE_01!$K$10),2)</f>
        <v>128.24</v>
      </c>
      <c r="I408" s="46">
        <f>TRUNC(T408*(1-LOTE_01!$K$10),2)</f>
        <v>361.6</v>
      </c>
      <c r="J408" s="100">
        <f t="shared" si="46"/>
        <v>0.22470000000000001</v>
      </c>
      <c r="K408" s="48">
        <f t="shared" si="47"/>
        <v>157.05000000000001</v>
      </c>
      <c r="L408" s="48">
        <f t="shared" si="48"/>
        <v>442.85</v>
      </c>
      <c r="M408" s="48">
        <f t="shared" si="49"/>
        <v>785.25</v>
      </c>
      <c r="N408" s="48">
        <f t="shared" si="50"/>
        <v>2214.25</v>
      </c>
      <c r="O408" s="50">
        <f t="shared" si="51"/>
        <v>2999.5</v>
      </c>
      <c r="P408" s="50">
        <v>0</v>
      </c>
      <c r="Q408" s="76"/>
      <c r="R408" s="140">
        <f>1*S9+1*S10</f>
        <v>5</v>
      </c>
      <c r="S408" s="79">
        <v>128.24</v>
      </c>
      <c r="T408" s="80">
        <v>361.6</v>
      </c>
    </row>
    <row r="409" spans="2:20" ht="28">
      <c r="B409" s="5" t="s">
        <v>983</v>
      </c>
      <c r="C409" s="45" t="s">
        <v>97</v>
      </c>
      <c r="D409" s="45" t="s">
        <v>984</v>
      </c>
      <c r="E409" s="6" t="s">
        <v>985</v>
      </c>
      <c r="F409" s="45" t="s">
        <v>104</v>
      </c>
      <c r="G409" s="46">
        <f t="shared" si="45"/>
        <v>5</v>
      </c>
      <c r="H409" s="46">
        <f>TRUNC(S409*(1-LOTE_01!$K$10),2)</f>
        <v>128.24</v>
      </c>
      <c r="I409" s="46">
        <f>TRUNC(T409*(1-LOTE_01!$K$10),2)</f>
        <v>361.6</v>
      </c>
      <c r="J409" s="100">
        <f t="shared" si="46"/>
        <v>0.22470000000000001</v>
      </c>
      <c r="K409" s="48">
        <f t="shared" si="47"/>
        <v>157.05000000000001</v>
      </c>
      <c r="L409" s="48">
        <f t="shared" si="48"/>
        <v>442.85</v>
      </c>
      <c r="M409" s="48">
        <f t="shared" si="49"/>
        <v>785.25</v>
      </c>
      <c r="N409" s="48">
        <f t="shared" si="50"/>
        <v>2214.25</v>
      </c>
      <c r="O409" s="50">
        <f t="shared" si="51"/>
        <v>2999.5</v>
      </c>
      <c r="P409" s="50">
        <v>0</v>
      </c>
      <c r="Q409" s="76"/>
      <c r="R409" s="140">
        <f>IF((1*S9+1*S10)&gt;10,10,(1*S9+1*S10))</f>
        <v>5</v>
      </c>
      <c r="S409" s="79">
        <v>128.24</v>
      </c>
      <c r="T409" s="80">
        <v>361.6</v>
      </c>
    </row>
    <row r="410" spans="2:20" ht="28">
      <c r="B410" s="5" t="s">
        <v>986</v>
      </c>
      <c r="C410" s="45" t="s">
        <v>97</v>
      </c>
      <c r="D410" s="45" t="s">
        <v>987</v>
      </c>
      <c r="E410" s="6" t="s">
        <v>988</v>
      </c>
      <c r="F410" s="45" t="s">
        <v>104</v>
      </c>
      <c r="G410" s="46">
        <f t="shared" si="45"/>
        <v>25</v>
      </c>
      <c r="H410" s="46">
        <f>TRUNC(S410*(1-LOTE_01!$K$10),2)</f>
        <v>165.62</v>
      </c>
      <c r="I410" s="46">
        <f>TRUNC(T410*(1-LOTE_01!$K$10),2)</f>
        <v>4.37</v>
      </c>
      <c r="J410" s="100">
        <f t="shared" si="46"/>
        <v>0.22470000000000001</v>
      </c>
      <c r="K410" s="48">
        <f t="shared" si="47"/>
        <v>202.83</v>
      </c>
      <c r="L410" s="48">
        <f t="shared" si="48"/>
        <v>5.35</v>
      </c>
      <c r="M410" s="48">
        <f t="shared" si="49"/>
        <v>5070.75</v>
      </c>
      <c r="N410" s="48">
        <f t="shared" si="50"/>
        <v>133.75</v>
      </c>
      <c r="O410" s="50">
        <f t="shared" si="51"/>
        <v>5204.5</v>
      </c>
      <c r="P410" s="50">
        <v>0</v>
      </c>
      <c r="Q410" s="76"/>
      <c r="R410" s="140">
        <f>5*S9+5*S10</f>
        <v>25</v>
      </c>
      <c r="S410" s="79">
        <v>165.62</v>
      </c>
      <c r="T410" s="80">
        <v>4.37</v>
      </c>
    </row>
    <row r="411" spans="2:20" ht="28">
      <c r="B411" s="5" t="s">
        <v>989</v>
      </c>
      <c r="C411" s="45" t="s">
        <v>97</v>
      </c>
      <c r="D411" s="45" t="s">
        <v>990</v>
      </c>
      <c r="E411" s="6" t="s">
        <v>991</v>
      </c>
      <c r="F411" s="45" t="s">
        <v>104</v>
      </c>
      <c r="G411" s="46">
        <f t="shared" si="45"/>
        <v>25</v>
      </c>
      <c r="H411" s="46">
        <f>TRUNC(S411*(1-LOTE_01!$K$10),2)</f>
        <v>41.13</v>
      </c>
      <c r="I411" s="46">
        <f>TRUNC(T411*(1-LOTE_01!$K$10),2)</f>
        <v>35.68</v>
      </c>
      <c r="J411" s="100">
        <f t="shared" si="46"/>
        <v>0.22470000000000001</v>
      </c>
      <c r="K411" s="48">
        <f t="shared" si="47"/>
        <v>50.37</v>
      </c>
      <c r="L411" s="48">
        <f t="shared" si="48"/>
        <v>43.69</v>
      </c>
      <c r="M411" s="48">
        <f t="shared" si="49"/>
        <v>1259.25</v>
      </c>
      <c r="N411" s="48">
        <f t="shared" si="50"/>
        <v>1092.25</v>
      </c>
      <c r="O411" s="50">
        <f t="shared" si="51"/>
        <v>2351.5</v>
      </c>
      <c r="P411" s="50">
        <v>0</v>
      </c>
      <c r="Q411" s="76"/>
      <c r="R411" s="140">
        <f>5*S9+5*S10</f>
        <v>25</v>
      </c>
      <c r="S411" s="79">
        <v>41.13</v>
      </c>
      <c r="T411" s="80">
        <v>35.68</v>
      </c>
    </row>
    <row r="412" spans="2:20" ht="84">
      <c r="B412" s="5" t="s">
        <v>992</v>
      </c>
      <c r="C412" s="45" t="s">
        <v>135</v>
      </c>
      <c r="D412" s="45">
        <v>100561</v>
      </c>
      <c r="E412" s="6" t="s">
        <v>993</v>
      </c>
      <c r="F412" s="45" t="s">
        <v>210</v>
      </c>
      <c r="G412" s="46">
        <f t="shared" si="45"/>
        <v>5</v>
      </c>
      <c r="H412" s="46">
        <f>TRUNC(S412*(1-LOTE_01!$K$10),2)</f>
        <v>115.52</v>
      </c>
      <c r="I412" s="46">
        <f>TRUNC(T412*(1-LOTE_01!$K$10),2)</f>
        <v>37.659999999999997</v>
      </c>
      <c r="J412" s="100">
        <f t="shared" si="46"/>
        <v>0.22470000000000001</v>
      </c>
      <c r="K412" s="48">
        <f t="shared" si="47"/>
        <v>141.47</v>
      </c>
      <c r="L412" s="48">
        <f t="shared" si="48"/>
        <v>46.12</v>
      </c>
      <c r="M412" s="48">
        <f t="shared" si="49"/>
        <v>707.35</v>
      </c>
      <c r="N412" s="48">
        <f t="shared" si="50"/>
        <v>230.6</v>
      </c>
      <c r="O412" s="50">
        <f t="shared" si="51"/>
        <v>937.95</v>
      </c>
      <c r="P412" s="50">
        <v>0</v>
      </c>
      <c r="Q412" s="76"/>
      <c r="R412" s="140">
        <f>IF((1*S9+1*S10)&gt;10,10,(1*S9+1*S10))</f>
        <v>5</v>
      </c>
      <c r="S412" s="79">
        <v>115.52000000000001</v>
      </c>
      <c r="T412" s="80">
        <v>37.659999999999997</v>
      </c>
    </row>
    <row r="413" spans="2:20" ht="84">
      <c r="B413" s="5" t="s">
        <v>994</v>
      </c>
      <c r="C413" s="45" t="s">
        <v>135</v>
      </c>
      <c r="D413" s="45">
        <v>101875</v>
      </c>
      <c r="E413" s="6" t="s">
        <v>995</v>
      </c>
      <c r="F413" s="45" t="s">
        <v>210</v>
      </c>
      <c r="G413" s="46">
        <f t="shared" si="45"/>
        <v>5</v>
      </c>
      <c r="H413" s="46">
        <f>TRUNC(S413*(1-LOTE_01!$K$10),2)</f>
        <v>335.51</v>
      </c>
      <c r="I413" s="46">
        <f>TRUNC(T413*(1-LOTE_01!$K$10),2)</f>
        <v>67.59</v>
      </c>
      <c r="J413" s="100">
        <f t="shared" si="46"/>
        <v>0.22470000000000001</v>
      </c>
      <c r="K413" s="48">
        <f t="shared" si="47"/>
        <v>410.89</v>
      </c>
      <c r="L413" s="48">
        <f t="shared" si="48"/>
        <v>82.77</v>
      </c>
      <c r="M413" s="48">
        <f t="shared" si="49"/>
        <v>2054.4499999999998</v>
      </c>
      <c r="N413" s="48">
        <f t="shared" si="50"/>
        <v>413.85</v>
      </c>
      <c r="O413" s="50">
        <f t="shared" si="51"/>
        <v>2468.3000000000002</v>
      </c>
      <c r="P413" s="50">
        <v>0</v>
      </c>
      <c r="Q413" s="76"/>
      <c r="R413" s="140">
        <f>IF((1*S10+1*S9)&gt;10,10,(1*S10+1*S9))</f>
        <v>5</v>
      </c>
      <c r="S413" s="79">
        <v>335.51</v>
      </c>
      <c r="T413" s="80">
        <v>67.59</v>
      </c>
    </row>
    <row r="414" spans="2:20" ht="56">
      <c r="B414" s="5" t="s">
        <v>996</v>
      </c>
      <c r="C414" s="45" t="s">
        <v>97</v>
      </c>
      <c r="D414" s="45" t="s">
        <v>997</v>
      </c>
      <c r="E414" s="6" t="s">
        <v>998</v>
      </c>
      <c r="F414" s="45" t="s">
        <v>999</v>
      </c>
      <c r="G414" s="46">
        <f t="shared" si="45"/>
        <v>55</v>
      </c>
      <c r="H414" s="46">
        <f>TRUNC(S414*(1-LOTE_01!$K$10),2)</f>
        <v>368.96</v>
      </c>
      <c r="I414" s="46">
        <f>TRUNC(T414*(1-LOTE_01!$K$10),2)</f>
        <v>352.92</v>
      </c>
      <c r="J414" s="100">
        <f t="shared" si="46"/>
        <v>0.22470000000000001</v>
      </c>
      <c r="K414" s="48">
        <f t="shared" si="47"/>
        <v>451.86</v>
      </c>
      <c r="L414" s="48">
        <f t="shared" si="48"/>
        <v>432.22</v>
      </c>
      <c r="M414" s="48">
        <f t="shared" si="49"/>
        <v>24852.3</v>
      </c>
      <c r="N414" s="48">
        <f t="shared" si="50"/>
        <v>23772.1</v>
      </c>
      <c r="O414" s="50">
        <f t="shared" si="51"/>
        <v>48624.4</v>
      </c>
      <c r="P414" s="50">
        <v>0</v>
      </c>
      <c r="Q414" s="76"/>
      <c r="R414" s="140">
        <f>IF((5*S9+20*S10)&gt;100,100,(5*S9+20*S10))</f>
        <v>55</v>
      </c>
      <c r="S414" s="79">
        <v>368.96</v>
      </c>
      <c r="T414" s="80">
        <v>352.92</v>
      </c>
    </row>
    <row r="415" spans="2:20" ht="56">
      <c r="B415" s="5" t="s">
        <v>1000</v>
      </c>
      <c r="C415" s="45" t="s">
        <v>135</v>
      </c>
      <c r="D415" s="45">
        <v>98295</v>
      </c>
      <c r="E415" s="6" t="s">
        <v>1001</v>
      </c>
      <c r="F415" s="45" t="s">
        <v>187</v>
      </c>
      <c r="G415" s="46">
        <f t="shared" si="45"/>
        <v>3500</v>
      </c>
      <c r="H415" s="46">
        <f>TRUNC(S415*(1-LOTE_01!$K$10),2)</f>
        <v>6.16</v>
      </c>
      <c r="I415" s="46">
        <f>TRUNC(T415*(1-LOTE_01!$K$10),2)</f>
        <v>0.11</v>
      </c>
      <c r="J415" s="100">
        <f t="shared" si="46"/>
        <v>0.22470000000000001</v>
      </c>
      <c r="K415" s="48">
        <f t="shared" si="47"/>
        <v>7.54</v>
      </c>
      <c r="L415" s="48">
        <f t="shared" si="48"/>
        <v>0.13</v>
      </c>
      <c r="M415" s="48">
        <f t="shared" si="49"/>
        <v>26390</v>
      </c>
      <c r="N415" s="48">
        <f t="shared" si="50"/>
        <v>455</v>
      </c>
      <c r="O415" s="50">
        <f t="shared" si="51"/>
        <v>26845</v>
      </c>
      <c r="P415" s="50">
        <v>0</v>
      </c>
      <c r="Q415" s="76"/>
      <c r="R415" s="140">
        <f>IF((500*S9+1000*S10)&gt;15000,15000,(500*S9+1000*S10))</f>
        <v>3500</v>
      </c>
      <c r="S415" s="79">
        <v>6.1599999999999993</v>
      </c>
      <c r="T415" s="80">
        <v>0.11</v>
      </c>
    </row>
    <row r="416" spans="2:20" ht="42">
      <c r="B416" s="5" t="s">
        <v>1002</v>
      </c>
      <c r="C416" s="45" t="s">
        <v>135</v>
      </c>
      <c r="D416" s="45">
        <v>98301</v>
      </c>
      <c r="E416" s="6" t="s">
        <v>1003</v>
      </c>
      <c r="F416" s="45" t="s">
        <v>210</v>
      </c>
      <c r="G416" s="46">
        <f t="shared" si="45"/>
        <v>25</v>
      </c>
      <c r="H416" s="46">
        <f>TRUNC(S416*(1-LOTE_01!$K$10),2)</f>
        <v>393.21</v>
      </c>
      <c r="I416" s="46">
        <f>TRUNC(T416*(1-LOTE_01!$K$10),2)</f>
        <v>246.98</v>
      </c>
      <c r="J416" s="100">
        <f t="shared" si="46"/>
        <v>0.22470000000000001</v>
      </c>
      <c r="K416" s="48">
        <f t="shared" si="47"/>
        <v>481.56</v>
      </c>
      <c r="L416" s="48">
        <f t="shared" si="48"/>
        <v>302.47000000000003</v>
      </c>
      <c r="M416" s="48">
        <f t="shared" si="49"/>
        <v>12039</v>
      </c>
      <c r="N416" s="48">
        <f t="shared" si="50"/>
        <v>7561.75</v>
      </c>
      <c r="O416" s="50">
        <f t="shared" si="51"/>
        <v>19600.75</v>
      </c>
      <c r="P416" s="50">
        <v>0</v>
      </c>
      <c r="Q416" s="76"/>
      <c r="R416" s="140">
        <f>5*S9+5*S10</f>
        <v>25</v>
      </c>
      <c r="S416" s="79">
        <v>393.21000000000004</v>
      </c>
      <c r="T416" s="80">
        <v>246.98</v>
      </c>
    </row>
    <row r="417" spans="2:20" ht="28">
      <c r="B417" s="5" t="s">
        <v>1004</v>
      </c>
      <c r="C417" s="45" t="s">
        <v>97</v>
      </c>
      <c r="D417" s="45" t="s">
        <v>1005</v>
      </c>
      <c r="E417" s="6" t="s">
        <v>1006</v>
      </c>
      <c r="F417" s="45" t="s">
        <v>104</v>
      </c>
      <c r="G417" s="46">
        <f t="shared" si="45"/>
        <v>230</v>
      </c>
      <c r="H417" s="46">
        <f>TRUNC(S417*(1-LOTE_01!$K$10),2)</f>
        <v>29.01</v>
      </c>
      <c r="I417" s="46">
        <f>TRUNC(T417*(1-LOTE_01!$K$10),2)</f>
        <v>18.190000000000001</v>
      </c>
      <c r="J417" s="100">
        <f t="shared" si="46"/>
        <v>0.22470000000000001</v>
      </c>
      <c r="K417" s="48">
        <f t="shared" si="47"/>
        <v>35.520000000000003</v>
      </c>
      <c r="L417" s="48">
        <f t="shared" si="48"/>
        <v>22.27</v>
      </c>
      <c r="M417" s="48">
        <f t="shared" si="49"/>
        <v>8169.6</v>
      </c>
      <c r="N417" s="48">
        <f t="shared" si="50"/>
        <v>5122.1000000000004</v>
      </c>
      <c r="O417" s="50">
        <f t="shared" si="51"/>
        <v>13291.7</v>
      </c>
      <c r="P417" s="50">
        <v>0</v>
      </c>
      <c r="Q417" s="76"/>
      <c r="R417" s="140">
        <f>30*S9+70*S10</f>
        <v>230</v>
      </c>
      <c r="S417" s="79">
        <v>29.01</v>
      </c>
      <c r="T417" s="80">
        <v>18.190000000000001</v>
      </c>
    </row>
    <row r="418" spans="2:20" ht="28">
      <c r="B418" s="5" t="s">
        <v>1007</v>
      </c>
      <c r="C418" s="45" t="s">
        <v>97</v>
      </c>
      <c r="D418" s="45" t="s">
        <v>1008</v>
      </c>
      <c r="E418" s="6" t="s">
        <v>1009</v>
      </c>
      <c r="F418" s="45" t="s">
        <v>104</v>
      </c>
      <c r="G418" s="46">
        <f t="shared" si="45"/>
        <v>230</v>
      </c>
      <c r="H418" s="46">
        <f>TRUNC(S418*(1-LOTE_01!$K$10),2)</f>
        <v>52.02</v>
      </c>
      <c r="I418" s="46">
        <f>TRUNC(T418*(1-LOTE_01!$K$10),2)</f>
        <v>18.190000000000001</v>
      </c>
      <c r="J418" s="100">
        <f t="shared" si="46"/>
        <v>0.22470000000000001</v>
      </c>
      <c r="K418" s="48">
        <f t="shared" si="47"/>
        <v>63.7</v>
      </c>
      <c r="L418" s="48">
        <f t="shared" si="48"/>
        <v>22.27</v>
      </c>
      <c r="M418" s="48">
        <f t="shared" si="49"/>
        <v>14651</v>
      </c>
      <c r="N418" s="48">
        <f t="shared" si="50"/>
        <v>5122.1000000000004</v>
      </c>
      <c r="O418" s="50">
        <f t="shared" si="51"/>
        <v>19773.099999999999</v>
      </c>
      <c r="P418" s="50">
        <v>0</v>
      </c>
      <c r="Q418" s="76"/>
      <c r="R418" s="140">
        <f>30*S9+70*S10</f>
        <v>230</v>
      </c>
      <c r="S418" s="79">
        <v>52.02</v>
      </c>
      <c r="T418" s="80">
        <v>18.190000000000001</v>
      </c>
    </row>
    <row r="419" spans="2:20" ht="28">
      <c r="B419" s="5" t="s">
        <v>1010</v>
      </c>
      <c r="C419" s="45" t="s">
        <v>97</v>
      </c>
      <c r="D419" s="45" t="s">
        <v>1011</v>
      </c>
      <c r="E419" s="6" t="s">
        <v>1012</v>
      </c>
      <c r="F419" s="45" t="s">
        <v>999</v>
      </c>
      <c r="G419" s="46">
        <f t="shared" si="45"/>
        <v>100</v>
      </c>
      <c r="H419" s="46">
        <f>TRUNC(S419*(1-LOTE_01!$K$10),2)</f>
        <v>35.78</v>
      </c>
      <c r="I419" s="46">
        <f>TRUNC(T419*(1-LOTE_01!$K$10),2)</f>
        <v>0.55000000000000004</v>
      </c>
      <c r="J419" s="100">
        <f t="shared" si="46"/>
        <v>0.22470000000000001</v>
      </c>
      <c r="K419" s="48">
        <f t="shared" si="47"/>
        <v>43.81</v>
      </c>
      <c r="L419" s="48">
        <f t="shared" si="48"/>
        <v>0.67</v>
      </c>
      <c r="M419" s="48">
        <f t="shared" si="49"/>
        <v>4381</v>
      </c>
      <c r="N419" s="48">
        <f t="shared" si="50"/>
        <v>67</v>
      </c>
      <c r="O419" s="50">
        <f t="shared" si="51"/>
        <v>4448</v>
      </c>
      <c r="P419" s="50">
        <v>0</v>
      </c>
      <c r="Q419" s="76"/>
      <c r="R419" s="140">
        <f>20*S9+20*S10</f>
        <v>100</v>
      </c>
      <c r="S419" s="79">
        <v>35.78</v>
      </c>
      <c r="T419" s="80">
        <v>0.55000000000000004</v>
      </c>
    </row>
    <row r="420" spans="2:20" ht="56">
      <c r="B420" s="5" t="s">
        <v>1013</v>
      </c>
      <c r="C420" s="45" t="s">
        <v>135</v>
      </c>
      <c r="D420" s="45">
        <v>98268</v>
      </c>
      <c r="E420" s="6" t="s">
        <v>1014</v>
      </c>
      <c r="F420" s="45" t="s">
        <v>187</v>
      </c>
      <c r="G420" s="46">
        <f t="shared" si="45"/>
        <v>110</v>
      </c>
      <c r="H420" s="46">
        <f>TRUNC(S420*(1-LOTE_01!$K$10),2)</f>
        <v>13.16</v>
      </c>
      <c r="I420" s="46">
        <f>TRUNC(T420*(1-LOTE_01!$K$10),2)</f>
        <v>4.34</v>
      </c>
      <c r="J420" s="100">
        <f t="shared" si="46"/>
        <v>0.22470000000000001</v>
      </c>
      <c r="K420" s="48">
        <f t="shared" si="47"/>
        <v>16.11</v>
      </c>
      <c r="L420" s="48">
        <f t="shared" si="48"/>
        <v>5.31</v>
      </c>
      <c r="M420" s="48">
        <f t="shared" si="49"/>
        <v>1772.1</v>
      </c>
      <c r="N420" s="48">
        <f t="shared" si="50"/>
        <v>584.1</v>
      </c>
      <c r="O420" s="50">
        <f t="shared" si="51"/>
        <v>2356.1999999999998</v>
      </c>
      <c r="P420" s="50">
        <v>0</v>
      </c>
      <c r="Q420" s="76"/>
      <c r="R420" s="140">
        <f>10*S9+40*S10</f>
        <v>110</v>
      </c>
      <c r="S420" s="79">
        <v>13.16</v>
      </c>
      <c r="T420" s="80">
        <v>4.34</v>
      </c>
    </row>
    <row r="421" spans="2:20" ht="28">
      <c r="B421" s="5" t="s">
        <v>1015</v>
      </c>
      <c r="C421" s="45" t="s">
        <v>135</v>
      </c>
      <c r="D421" s="45">
        <v>98307</v>
      </c>
      <c r="E421" s="6" t="s">
        <v>1016</v>
      </c>
      <c r="F421" s="45" t="s">
        <v>210</v>
      </c>
      <c r="G421" s="46">
        <f t="shared" si="45"/>
        <v>230</v>
      </c>
      <c r="H421" s="46">
        <f>TRUNC(S421*(1-LOTE_01!$K$10),2)</f>
        <v>45.34</v>
      </c>
      <c r="I421" s="46">
        <f>TRUNC(T421*(1-LOTE_01!$K$10),2)</f>
        <v>11.49</v>
      </c>
      <c r="J421" s="100">
        <f t="shared" si="46"/>
        <v>0.22470000000000001</v>
      </c>
      <c r="K421" s="48">
        <f t="shared" si="47"/>
        <v>55.52</v>
      </c>
      <c r="L421" s="48">
        <f t="shared" si="48"/>
        <v>14.07</v>
      </c>
      <c r="M421" s="48">
        <f t="shared" si="49"/>
        <v>12769.6</v>
      </c>
      <c r="N421" s="48">
        <f t="shared" si="50"/>
        <v>3236.1</v>
      </c>
      <c r="O421" s="50">
        <f t="shared" si="51"/>
        <v>16005.7</v>
      </c>
      <c r="P421" s="50">
        <v>0</v>
      </c>
      <c r="Q421" s="76"/>
      <c r="R421" s="140">
        <f>30*S9+70*S10</f>
        <v>230</v>
      </c>
      <c r="S421" s="79">
        <v>45.339999999999996</v>
      </c>
      <c r="T421" s="80">
        <v>11.49</v>
      </c>
    </row>
    <row r="422" spans="2:20" ht="28">
      <c r="B422" s="5" t="s">
        <v>1017</v>
      </c>
      <c r="C422" s="45" t="s">
        <v>97</v>
      </c>
      <c r="D422" s="45" t="s">
        <v>1018</v>
      </c>
      <c r="E422" s="6" t="s">
        <v>1019</v>
      </c>
      <c r="F422" s="45" t="s">
        <v>104</v>
      </c>
      <c r="G422" s="46">
        <f t="shared" si="45"/>
        <v>25</v>
      </c>
      <c r="H422" s="46">
        <f>TRUNC(S422*(1-LOTE_01!$K$10),2)</f>
        <v>210.59</v>
      </c>
      <c r="I422" s="46">
        <f>TRUNC(T422*(1-LOTE_01!$K$10),2)</f>
        <v>8.75</v>
      </c>
      <c r="J422" s="100">
        <f t="shared" si="46"/>
        <v>0.22470000000000001</v>
      </c>
      <c r="K422" s="48">
        <f t="shared" si="47"/>
        <v>257.89999999999998</v>
      </c>
      <c r="L422" s="48">
        <f t="shared" si="48"/>
        <v>10.71</v>
      </c>
      <c r="M422" s="48">
        <f t="shared" si="49"/>
        <v>6447.5</v>
      </c>
      <c r="N422" s="48">
        <f t="shared" si="50"/>
        <v>267.75</v>
      </c>
      <c r="O422" s="50">
        <f t="shared" si="51"/>
        <v>6715.25</v>
      </c>
      <c r="P422" s="50">
        <v>0</v>
      </c>
      <c r="Q422" s="76"/>
      <c r="R422" s="140">
        <f>5*S9+5*S10</f>
        <v>25</v>
      </c>
      <c r="S422" s="79">
        <v>210.59</v>
      </c>
      <c r="T422" s="80">
        <v>8.75</v>
      </c>
    </row>
    <row r="423" spans="2:20" ht="56">
      <c r="B423" s="5" t="s">
        <v>1020</v>
      </c>
      <c r="C423" s="45" t="s">
        <v>135</v>
      </c>
      <c r="D423" s="45">
        <v>91941</v>
      </c>
      <c r="E423" s="6" t="s">
        <v>1021</v>
      </c>
      <c r="F423" s="45" t="s">
        <v>210</v>
      </c>
      <c r="G423" s="46">
        <f t="shared" si="45"/>
        <v>130</v>
      </c>
      <c r="H423" s="46">
        <f>TRUNC(S423*(1-LOTE_01!$K$10),2)</f>
        <v>6.27</v>
      </c>
      <c r="I423" s="46">
        <f>TRUNC(T423*(1-LOTE_01!$K$10),2)</f>
        <v>7.59</v>
      </c>
      <c r="J423" s="100">
        <f t="shared" si="46"/>
        <v>0.22470000000000001</v>
      </c>
      <c r="K423" s="48">
        <f t="shared" si="47"/>
        <v>7.67</v>
      </c>
      <c r="L423" s="48">
        <f t="shared" si="48"/>
        <v>9.2899999999999991</v>
      </c>
      <c r="M423" s="48">
        <f t="shared" si="49"/>
        <v>997.1</v>
      </c>
      <c r="N423" s="48">
        <f t="shared" si="50"/>
        <v>1207.7</v>
      </c>
      <c r="O423" s="50">
        <f t="shared" si="51"/>
        <v>2204.8000000000002</v>
      </c>
      <c r="P423" s="50">
        <v>0</v>
      </c>
      <c r="Q423" s="76"/>
      <c r="R423" s="140">
        <f>IF((10*S9+50*S10)&gt;200,200,(10*S9+50*S10))</f>
        <v>130</v>
      </c>
      <c r="S423" s="79">
        <v>6.27</v>
      </c>
      <c r="T423" s="80">
        <v>7.59</v>
      </c>
    </row>
    <row r="424" spans="2:20" ht="56">
      <c r="B424" s="5" t="s">
        <v>1022</v>
      </c>
      <c r="C424" s="45" t="s">
        <v>135</v>
      </c>
      <c r="D424" s="45">
        <v>91944</v>
      </c>
      <c r="E424" s="6" t="s">
        <v>935</v>
      </c>
      <c r="F424" s="45" t="s">
        <v>210</v>
      </c>
      <c r="G424" s="46">
        <f t="shared" si="45"/>
        <v>130</v>
      </c>
      <c r="H424" s="46">
        <f>TRUNC(S424*(1-LOTE_01!$K$10),2)</f>
        <v>9.2899999999999991</v>
      </c>
      <c r="I424" s="46">
        <f>TRUNC(T424*(1-LOTE_01!$K$10),2)</f>
        <v>7.87</v>
      </c>
      <c r="J424" s="100">
        <f t="shared" si="46"/>
        <v>0.22470000000000001</v>
      </c>
      <c r="K424" s="48">
        <f t="shared" si="47"/>
        <v>11.37</v>
      </c>
      <c r="L424" s="48">
        <f t="shared" si="48"/>
        <v>9.6300000000000008</v>
      </c>
      <c r="M424" s="48">
        <f t="shared" si="49"/>
        <v>1478.1</v>
      </c>
      <c r="N424" s="48">
        <f t="shared" si="50"/>
        <v>1251.9000000000001</v>
      </c>
      <c r="O424" s="50">
        <f t="shared" si="51"/>
        <v>2730</v>
      </c>
      <c r="P424" s="50">
        <v>0</v>
      </c>
      <c r="Q424" s="76"/>
      <c r="R424" s="140">
        <f>IF((10*S9+50*S10)&gt;200,200,(10*S9+50*S10))</f>
        <v>130</v>
      </c>
      <c r="S424" s="79">
        <v>9.2899999999999991</v>
      </c>
      <c r="T424" s="80">
        <v>7.87</v>
      </c>
    </row>
    <row r="425" spans="2:20" ht="70">
      <c r="B425" s="5" t="s">
        <v>1023</v>
      </c>
      <c r="C425" s="45" t="s">
        <v>135</v>
      </c>
      <c r="D425" s="45">
        <v>97887</v>
      </c>
      <c r="E425" s="6" t="s">
        <v>1024</v>
      </c>
      <c r="F425" s="45" t="s">
        <v>210</v>
      </c>
      <c r="G425" s="46">
        <f t="shared" si="45"/>
        <v>25</v>
      </c>
      <c r="H425" s="46">
        <f>TRUNC(S425*(1-LOTE_01!$K$10),2)</f>
        <v>200.49</v>
      </c>
      <c r="I425" s="46">
        <f>TRUNC(T425*(1-LOTE_01!$K$10),2)</f>
        <v>129.41999999999999</v>
      </c>
      <c r="J425" s="100">
        <f t="shared" si="46"/>
        <v>0.22470000000000001</v>
      </c>
      <c r="K425" s="48">
        <f t="shared" si="47"/>
        <v>245.54</v>
      </c>
      <c r="L425" s="48">
        <f t="shared" si="48"/>
        <v>158.5</v>
      </c>
      <c r="M425" s="48">
        <f t="shared" si="49"/>
        <v>6138.5</v>
      </c>
      <c r="N425" s="48">
        <f t="shared" si="50"/>
        <v>3962.5</v>
      </c>
      <c r="O425" s="50">
        <f t="shared" si="51"/>
        <v>10101</v>
      </c>
      <c r="P425" s="50">
        <v>0</v>
      </c>
      <c r="Q425" s="76"/>
      <c r="R425" s="140">
        <f>5*S9+5*S10</f>
        <v>25</v>
      </c>
      <c r="S425" s="79">
        <v>200.49000000000004</v>
      </c>
      <c r="T425" s="80">
        <v>129.41999999999999</v>
      </c>
    </row>
    <row r="426" spans="2:20" ht="70">
      <c r="B426" s="5" t="s">
        <v>1025</v>
      </c>
      <c r="C426" s="45" t="s">
        <v>135</v>
      </c>
      <c r="D426" s="45">
        <v>93009</v>
      </c>
      <c r="E426" s="6" t="s">
        <v>1026</v>
      </c>
      <c r="F426" s="45" t="s">
        <v>187</v>
      </c>
      <c r="G426" s="46">
        <f t="shared" si="45"/>
        <v>130</v>
      </c>
      <c r="H426" s="46">
        <f>TRUNC(S426*(1-LOTE_01!$K$10),2)</f>
        <v>21.3</v>
      </c>
      <c r="I426" s="46">
        <f>TRUNC(T426*(1-LOTE_01!$K$10),2)</f>
        <v>5.8</v>
      </c>
      <c r="J426" s="100">
        <f t="shared" si="46"/>
        <v>0.22470000000000001</v>
      </c>
      <c r="K426" s="48">
        <f t="shared" si="47"/>
        <v>26.08</v>
      </c>
      <c r="L426" s="48">
        <f t="shared" si="48"/>
        <v>7.1</v>
      </c>
      <c r="M426" s="48">
        <f t="shared" si="49"/>
        <v>3390.4</v>
      </c>
      <c r="N426" s="48">
        <f t="shared" si="50"/>
        <v>923</v>
      </c>
      <c r="O426" s="50">
        <f t="shared" si="51"/>
        <v>4313.3999999999996</v>
      </c>
      <c r="P426" s="50">
        <v>0</v>
      </c>
      <c r="Q426" s="76"/>
      <c r="R426" s="140">
        <f>10*S9+50*S10</f>
        <v>130</v>
      </c>
      <c r="S426" s="79">
        <v>21.3</v>
      </c>
      <c r="T426" s="80">
        <v>5.8</v>
      </c>
    </row>
    <row r="427" spans="2:20" ht="42">
      <c r="B427" s="5" t="s">
        <v>1027</v>
      </c>
      <c r="C427" s="45" t="s">
        <v>165</v>
      </c>
      <c r="D427" s="45" t="s">
        <v>1028</v>
      </c>
      <c r="E427" s="6" t="s">
        <v>1029</v>
      </c>
      <c r="F427" s="45" t="s">
        <v>531</v>
      </c>
      <c r="G427" s="46">
        <f t="shared" si="45"/>
        <v>35</v>
      </c>
      <c r="H427" s="46">
        <f>TRUNC(S427*(1-LOTE_01!$K$10),2)</f>
        <v>21.87</v>
      </c>
      <c r="I427" s="46">
        <f>TRUNC(T427*(1-LOTE_01!$K$10),2)</f>
        <v>23.91</v>
      </c>
      <c r="J427" s="100">
        <f t="shared" si="46"/>
        <v>0.22470000000000001</v>
      </c>
      <c r="K427" s="48">
        <f t="shared" si="47"/>
        <v>26.78</v>
      </c>
      <c r="L427" s="48">
        <f t="shared" si="48"/>
        <v>29.28</v>
      </c>
      <c r="M427" s="48">
        <f t="shared" si="49"/>
        <v>937.3</v>
      </c>
      <c r="N427" s="48">
        <f t="shared" si="50"/>
        <v>1024.8</v>
      </c>
      <c r="O427" s="50">
        <f t="shared" si="51"/>
        <v>1962.1</v>
      </c>
      <c r="P427" s="50">
        <v>0</v>
      </c>
      <c r="Q427" s="76"/>
      <c r="R427" s="140">
        <f>5*S9+10*S10</f>
        <v>35</v>
      </c>
      <c r="S427" s="79">
        <v>21.87</v>
      </c>
      <c r="T427" s="80">
        <v>23.91</v>
      </c>
    </row>
    <row r="428" spans="2:20" ht="70">
      <c r="B428" s="5" t="s">
        <v>1030</v>
      </c>
      <c r="C428" s="45" t="s">
        <v>135</v>
      </c>
      <c r="D428" s="45">
        <v>91864</v>
      </c>
      <c r="E428" s="6" t="s">
        <v>838</v>
      </c>
      <c r="F428" s="45" t="s">
        <v>187</v>
      </c>
      <c r="G428" s="46">
        <f t="shared" si="45"/>
        <v>140</v>
      </c>
      <c r="H428" s="46">
        <f>TRUNC(S428*(1-LOTE_01!$K$10),2)</f>
        <v>9.7200000000000006</v>
      </c>
      <c r="I428" s="46">
        <f>TRUNC(T428*(1-LOTE_01!$K$10),2)</f>
        <v>6.29</v>
      </c>
      <c r="J428" s="100">
        <f t="shared" si="46"/>
        <v>0.22470000000000001</v>
      </c>
      <c r="K428" s="48">
        <f t="shared" si="47"/>
        <v>11.9</v>
      </c>
      <c r="L428" s="48">
        <f t="shared" si="48"/>
        <v>7.7</v>
      </c>
      <c r="M428" s="48">
        <f t="shared" si="49"/>
        <v>1666</v>
      </c>
      <c r="N428" s="48">
        <f t="shared" si="50"/>
        <v>1078</v>
      </c>
      <c r="O428" s="50">
        <f t="shared" si="51"/>
        <v>2744</v>
      </c>
      <c r="P428" s="50">
        <v>0</v>
      </c>
      <c r="Q428" s="76"/>
      <c r="R428" s="140">
        <f>20*S9+40*S10</f>
        <v>140</v>
      </c>
      <c r="S428" s="79">
        <v>9.7200000000000024</v>
      </c>
      <c r="T428" s="80">
        <v>6.29</v>
      </c>
    </row>
    <row r="429" spans="2:20" ht="70">
      <c r="B429" s="5" t="s">
        <v>1031</v>
      </c>
      <c r="C429" s="45" t="s">
        <v>135</v>
      </c>
      <c r="D429" s="45">
        <v>91867</v>
      </c>
      <c r="E429" s="6" t="s">
        <v>927</v>
      </c>
      <c r="F429" s="45" t="s">
        <v>187</v>
      </c>
      <c r="G429" s="46">
        <f t="shared" si="45"/>
        <v>25</v>
      </c>
      <c r="H429" s="46">
        <f>TRUNC(S429*(1-LOTE_01!$K$10),2)</f>
        <v>6.32</v>
      </c>
      <c r="I429" s="46">
        <f>TRUNC(T429*(1-LOTE_01!$K$10),2)</f>
        <v>4.26</v>
      </c>
      <c r="J429" s="100">
        <f t="shared" si="46"/>
        <v>0.22470000000000001</v>
      </c>
      <c r="K429" s="48">
        <f t="shared" si="47"/>
        <v>7.74</v>
      </c>
      <c r="L429" s="48">
        <f t="shared" si="48"/>
        <v>5.21</v>
      </c>
      <c r="M429" s="48">
        <f t="shared" si="49"/>
        <v>193.5</v>
      </c>
      <c r="N429" s="48">
        <f t="shared" si="50"/>
        <v>130.25</v>
      </c>
      <c r="O429" s="50">
        <f t="shared" si="51"/>
        <v>323.75</v>
      </c>
      <c r="P429" s="50">
        <v>0</v>
      </c>
      <c r="Q429" s="76"/>
      <c r="R429" s="140">
        <f>5*S9+5*S10</f>
        <v>25</v>
      </c>
      <c r="S429" s="79">
        <v>6.32</v>
      </c>
      <c r="T429" s="80">
        <v>4.26</v>
      </c>
    </row>
    <row r="430" spans="2:20" ht="42">
      <c r="B430" s="5" t="s">
        <v>1032</v>
      </c>
      <c r="C430" s="45" t="s">
        <v>165</v>
      </c>
      <c r="D430" s="45" t="s">
        <v>1033</v>
      </c>
      <c r="E430" s="6" t="s">
        <v>1034</v>
      </c>
      <c r="F430" s="45" t="s">
        <v>531</v>
      </c>
      <c r="G430" s="46">
        <f>IF($S$11=0,0,TRUNC(R430,2))</f>
        <v>75</v>
      </c>
      <c r="H430" s="46">
        <f>TRUNC(S430*(1-LOTE_01!$K$10),2)</f>
        <v>25.9</v>
      </c>
      <c r="I430" s="46">
        <f>TRUNC(T430*(1-LOTE_01!$K$10),2)</f>
        <v>15.94</v>
      </c>
      <c r="J430" s="100">
        <f t="shared" si="46"/>
        <v>0.22470000000000001</v>
      </c>
      <c r="K430" s="48">
        <f t="shared" si="47"/>
        <v>31.71</v>
      </c>
      <c r="L430" s="48">
        <f t="shared" si="48"/>
        <v>19.52</v>
      </c>
      <c r="M430" s="48">
        <f t="shared" si="49"/>
        <v>2378.25</v>
      </c>
      <c r="N430" s="48">
        <f t="shared" si="50"/>
        <v>1464</v>
      </c>
      <c r="O430" s="50">
        <f t="shared" si="51"/>
        <v>3842.25</v>
      </c>
      <c r="P430" s="50">
        <v>0</v>
      </c>
      <c r="Q430" s="76"/>
      <c r="R430" s="140">
        <f>5*S9+25*S10+10</f>
        <v>75</v>
      </c>
      <c r="S430" s="79">
        <v>25.9</v>
      </c>
      <c r="T430" s="80">
        <v>15.94</v>
      </c>
    </row>
    <row r="431" spans="2:20" ht="42">
      <c r="B431" s="5" t="s">
        <v>1035</v>
      </c>
      <c r="C431" s="45" t="s">
        <v>165</v>
      </c>
      <c r="D431" s="45" t="s">
        <v>1036</v>
      </c>
      <c r="E431" s="6" t="s">
        <v>1037</v>
      </c>
      <c r="F431" s="45" t="s">
        <v>531</v>
      </c>
      <c r="G431" s="46">
        <f t="shared" si="45"/>
        <v>35</v>
      </c>
      <c r="H431" s="46">
        <f>TRUNC(S431*(1-LOTE_01!$K$10),2)</f>
        <v>19.43</v>
      </c>
      <c r="I431" s="46">
        <f>TRUNC(T431*(1-LOTE_01!$K$10),2)</f>
        <v>15.94</v>
      </c>
      <c r="J431" s="100">
        <f t="shared" si="46"/>
        <v>0.22470000000000001</v>
      </c>
      <c r="K431" s="48">
        <f t="shared" si="47"/>
        <v>23.79</v>
      </c>
      <c r="L431" s="48">
        <f t="shared" si="48"/>
        <v>19.52</v>
      </c>
      <c r="M431" s="48">
        <f t="shared" si="49"/>
        <v>832.65</v>
      </c>
      <c r="N431" s="48">
        <f t="shared" si="50"/>
        <v>683.2</v>
      </c>
      <c r="O431" s="50">
        <f t="shared" si="51"/>
        <v>1515.85</v>
      </c>
      <c r="P431" s="50">
        <v>0</v>
      </c>
      <c r="Q431" s="76"/>
      <c r="R431" s="140">
        <f>5*S9+10*S10</f>
        <v>35</v>
      </c>
      <c r="S431" s="79">
        <v>19.43</v>
      </c>
      <c r="T431" s="80">
        <v>15.94</v>
      </c>
    </row>
    <row r="432" spans="2:20" ht="56">
      <c r="B432" s="5" t="s">
        <v>1038</v>
      </c>
      <c r="C432" s="45" t="s">
        <v>97</v>
      </c>
      <c r="D432" s="45" t="s">
        <v>1039</v>
      </c>
      <c r="E432" s="6" t="s">
        <v>1040</v>
      </c>
      <c r="F432" s="45" t="s">
        <v>925</v>
      </c>
      <c r="G432" s="46">
        <f t="shared" si="45"/>
        <v>55</v>
      </c>
      <c r="H432" s="46">
        <f>TRUNC(S432*(1-LOTE_01!$K$10),2)</f>
        <v>34.01</v>
      </c>
      <c r="I432" s="46">
        <f>TRUNC(T432*(1-LOTE_01!$K$10),2)</f>
        <v>22.6</v>
      </c>
      <c r="J432" s="100">
        <f t="shared" si="46"/>
        <v>0.22470000000000001</v>
      </c>
      <c r="K432" s="48">
        <f t="shared" si="47"/>
        <v>41.65</v>
      </c>
      <c r="L432" s="48">
        <f t="shared" si="48"/>
        <v>27.67</v>
      </c>
      <c r="M432" s="48">
        <f t="shared" si="49"/>
        <v>2290.75</v>
      </c>
      <c r="N432" s="48">
        <f t="shared" si="50"/>
        <v>1521.85</v>
      </c>
      <c r="O432" s="50">
        <f t="shared" si="51"/>
        <v>3812.6</v>
      </c>
      <c r="P432" s="50">
        <v>0</v>
      </c>
      <c r="Q432" s="76"/>
      <c r="R432" s="140">
        <f>5*S9+20*S10</f>
        <v>55</v>
      </c>
      <c r="S432" s="79">
        <v>34.01</v>
      </c>
      <c r="T432" s="80">
        <v>22.6</v>
      </c>
    </row>
    <row r="433" spans="2:20" ht="42">
      <c r="B433" s="5" t="s">
        <v>1041</v>
      </c>
      <c r="C433" s="45" t="s">
        <v>165</v>
      </c>
      <c r="D433" s="45" t="s">
        <v>1042</v>
      </c>
      <c r="E433" s="6" t="s">
        <v>1043</v>
      </c>
      <c r="F433" s="45" t="s">
        <v>531</v>
      </c>
      <c r="G433" s="46">
        <f t="shared" si="45"/>
        <v>25</v>
      </c>
      <c r="H433" s="46">
        <f>TRUNC(S433*(1-LOTE_01!$K$10),2)</f>
        <v>46.68</v>
      </c>
      <c r="I433" s="46">
        <f>TRUNC(T433*(1-LOTE_01!$K$10),2)</f>
        <v>15.42</v>
      </c>
      <c r="J433" s="100">
        <f t="shared" si="46"/>
        <v>0.22470000000000001</v>
      </c>
      <c r="K433" s="48">
        <f t="shared" si="47"/>
        <v>57.16</v>
      </c>
      <c r="L433" s="48">
        <f t="shared" si="48"/>
        <v>18.88</v>
      </c>
      <c r="M433" s="48">
        <f t="shared" si="49"/>
        <v>1429</v>
      </c>
      <c r="N433" s="48">
        <f t="shared" si="50"/>
        <v>472</v>
      </c>
      <c r="O433" s="50">
        <f t="shared" si="51"/>
        <v>1901</v>
      </c>
      <c r="P433" s="50">
        <v>0</v>
      </c>
      <c r="Q433" s="76"/>
      <c r="R433" s="140">
        <f>5*S9+5*S10</f>
        <v>25</v>
      </c>
      <c r="S433" s="79">
        <v>46.68</v>
      </c>
      <c r="T433" s="80">
        <v>15.42</v>
      </c>
    </row>
    <row r="434" spans="2:20" ht="28">
      <c r="B434" s="5" t="s">
        <v>1044</v>
      </c>
      <c r="C434" s="45" t="s">
        <v>97</v>
      </c>
      <c r="D434" s="45" t="s">
        <v>1045</v>
      </c>
      <c r="E434" s="6" t="s">
        <v>1046</v>
      </c>
      <c r="F434" s="45" t="s">
        <v>187</v>
      </c>
      <c r="G434" s="46">
        <f t="shared" si="45"/>
        <v>150</v>
      </c>
      <c r="H434" s="46">
        <f>TRUNC(S434*(1-LOTE_01!$K$10),2)</f>
        <v>53.65</v>
      </c>
      <c r="I434" s="46">
        <f>TRUNC(T434*(1-LOTE_01!$K$10),2)</f>
        <v>32.840000000000003</v>
      </c>
      <c r="J434" s="100">
        <f t="shared" si="46"/>
        <v>0.22470000000000001</v>
      </c>
      <c r="K434" s="48">
        <f t="shared" si="47"/>
        <v>65.7</v>
      </c>
      <c r="L434" s="48">
        <f t="shared" si="48"/>
        <v>40.21</v>
      </c>
      <c r="M434" s="48">
        <f t="shared" si="49"/>
        <v>9855</v>
      </c>
      <c r="N434" s="48">
        <f t="shared" si="50"/>
        <v>6031.5</v>
      </c>
      <c r="O434" s="50">
        <f t="shared" si="51"/>
        <v>15886.5</v>
      </c>
      <c r="P434" s="50">
        <v>0</v>
      </c>
      <c r="Q434" s="76"/>
      <c r="R434" s="140">
        <f>30*S9+30*S10</f>
        <v>150</v>
      </c>
      <c r="S434" s="79">
        <v>53.65</v>
      </c>
      <c r="T434" s="80">
        <v>32.840000000000003</v>
      </c>
    </row>
    <row r="435" spans="2:20">
      <c r="B435" s="5" t="s">
        <v>1047</v>
      </c>
      <c r="C435" s="45" t="s">
        <v>97</v>
      </c>
      <c r="D435" s="45" t="s">
        <v>1048</v>
      </c>
      <c r="E435" s="6" t="s">
        <v>1049</v>
      </c>
      <c r="F435" s="45" t="s">
        <v>104</v>
      </c>
      <c r="G435" s="46">
        <f t="shared" si="45"/>
        <v>25</v>
      </c>
      <c r="H435" s="46">
        <f>TRUNC(S435*(1-LOTE_01!$K$10),2)</f>
        <v>107.73</v>
      </c>
      <c r="I435" s="46">
        <f>TRUNC(T435*(1-LOTE_01!$K$10),2)</f>
        <v>10.8</v>
      </c>
      <c r="J435" s="100">
        <f t="shared" si="46"/>
        <v>0.22470000000000001</v>
      </c>
      <c r="K435" s="48">
        <f t="shared" si="47"/>
        <v>131.93</v>
      </c>
      <c r="L435" s="48">
        <f t="shared" si="48"/>
        <v>13.22</v>
      </c>
      <c r="M435" s="48">
        <f t="shared" si="49"/>
        <v>3298.25</v>
      </c>
      <c r="N435" s="48">
        <f t="shared" si="50"/>
        <v>330.5</v>
      </c>
      <c r="O435" s="50">
        <f t="shared" si="51"/>
        <v>3628.75</v>
      </c>
      <c r="P435" s="50">
        <v>0</v>
      </c>
      <c r="Q435" s="76"/>
      <c r="R435" s="140">
        <f>5*S9+5*S10</f>
        <v>25</v>
      </c>
      <c r="S435" s="79">
        <v>107.73</v>
      </c>
      <c r="T435" s="80">
        <v>10.8</v>
      </c>
    </row>
    <row r="436" spans="2:20">
      <c r="B436" s="5" t="s">
        <v>1050</v>
      </c>
      <c r="C436" s="45" t="s">
        <v>97</v>
      </c>
      <c r="D436" s="45" t="s">
        <v>1051</v>
      </c>
      <c r="E436" s="6" t="s">
        <v>1052</v>
      </c>
      <c r="F436" s="45" t="s">
        <v>104</v>
      </c>
      <c r="G436" s="46">
        <f t="shared" si="45"/>
        <v>25</v>
      </c>
      <c r="H436" s="46">
        <f>TRUNC(S436*(1-LOTE_01!$K$10),2)</f>
        <v>20.72</v>
      </c>
      <c r="I436" s="46">
        <f>TRUNC(T436*(1-LOTE_01!$K$10),2)</f>
        <v>10.8</v>
      </c>
      <c r="J436" s="100">
        <f t="shared" si="46"/>
        <v>0.22470000000000001</v>
      </c>
      <c r="K436" s="48">
        <f t="shared" si="47"/>
        <v>25.37</v>
      </c>
      <c r="L436" s="48">
        <f t="shared" si="48"/>
        <v>13.22</v>
      </c>
      <c r="M436" s="48">
        <f t="shared" si="49"/>
        <v>634.25</v>
      </c>
      <c r="N436" s="48">
        <f t="shared" si="50"/>
        <v>330.5</v>
      </c>
      <c r="O436" s="50">
        <f t="shared" si="51"/>
        <v>964.75</v>
      </c>
      <c r="P436" s="50">
        <v>0</v>
      </c>
      <c r="Q436" s="76"/>
      <c r="R436" s="140">
        <f>5*S9+5*S10</f>
        <v>25</v>
      </c>
      <c r="S436" s="79">
        <v>20.72</v>
      </c>
      <c r="T436" s="80">
        <v>10.8</v>
      </c>
    </row>
    <row r="437" spans="2:20">
      <c r="B437" s="5" t="s">
        <v>1053</v>
      </c>
      <c r="C437" s="45" t="s">
        <v>97</v>
      </c>
      <c r="D437" s="45" t="s">
        <v>1054</v>
      </c>
      <c r="E437" s="6" t="s">
        <v>1055</v>
      </c>
      <c r="F437" s="45" t="s">
        <v>104</v>
      </c>
      <c r="G437" s="46">
        <f t="shared" si="45"/>
        <v>25</v>
      </c>
      <c r="H437" s="46">
        <f>TRUNC(S437*(1-LOTE_01!$K$10),2)</f>
        <v>104.59</v>
      </c>
      <c r="I437" s="46">
        <f>TRUNC(T437*(1-LOTE_01!$K$10),2)</f>
        <v>10.8</v>
      </c>
      <c r="J437" s="100">
        <f t="shared" si="46"/>
        <v>0.22470000000000001</v>
      </c>
      <c r="K437" s="48">
        <f t="shared" si="47"/>
        <v>128.09</v>
      </c>
      <c r="L437" s="48">
        <f t="shared" si="48"/>
        <v>13.22</v>
      </c>
      <c r="M437" s="48">
        <f t="shared" si="49"/>
        <v>3202.25</v>
      </c>
      <c r="N437" s="48">
        <f t="shared" si="50"/>
        <v>330.5</v>
      </c>
      <c r="O437" s="50">
        <f t="shared" si="51"/>
        <v>3532.75</v>
      </c>
      <c r="P437" s="50">
        <v>0</v>
      </c>
      <c r="Q437" s="76"/>
      <c r="R437" s="140">
        <f>5*S9+5*S10</f>
        <v>25</v>
      </c>
      <c r="S437" s="79">
        <v>104.59</v>
      </c>
      <c r="T437" s="80">
        <v>10.8</v>
      </c>
    </row>
    <row r="438" spans="2:20">
      <c r="B438" s="5" t="s">
        <v>1056</v>
      </c>
      <c r="C438" s="45" t="s">
        <v>97</v>
      </c>
      <c r="D438" s="45" t="s">
        <v>1057</v>
      </c>
      <c r="E438" s="6" t="s">
        <v>1058</v>
      </c>
      <c r="F438" s="45" t="s">
        <v>1059</v>
      </c>
      <c r="G438" s="46">
        <f t="shared" si="45"/>
        <v>16</v>
      </c>
      <c r="H438" s="46">
        <f>TRUNC(S438*(1-LOTE_01!$K$10),2)</f>
        <v>24.2</v>
      </c>
      <c r="I438" s="46">
        <f>TRUNC(T438*(1-LOTE_01!$K$10),2)</f>
        <v>9.0399999999999991</v>
      </c>
      <c r="J438" s="100">
        <f t="shared" si="46"/>
        <v>0.22470000000000001</v>
      </c>
      <c r="K438" s="48">
        <f t="shared" si="47"/>
        <v>29.63</v>
      </c>
      <c r="L438" s="48">
        <f t="shared" si="48"/>
        <v>11.07</v>
      </c>
      <c r="M438" s="48">
        <f t="shared" si="49"/>
        <v>474.08</v>
      </c>
      <c r="N438" s="48">
        <f t="shared" si="50"/>
        <v>177.12</v>
      </c>
      <c r="O438" s="50">
        <f t="shared" si="51"/>
        <v>651.20000000000005</v>
      </c>
      <c r="P438" s="50">
        <v>0</v>
      </c>
      <c r="Q438" s="76"/>
      <c r="R438" s="140">
        <f>2*S9+5*S10</f>
        <v>16</v>
      </c>
      <c r="S438" s="79">
        <v>24.2</v>
      </c>
      <c r="T438" s="80">
        <v>9.0399999999999991</v>
      </c>
    </row>
    <row r="439" spans="2:20" ht="28">
      <c r="B439" s="5" t="s">
        <v>1060</v>
      </c>
      <c r="C439" s="45" t="s">
        <v>97</v>
      </c>
      <c r="D439" s="45" t="s">
        <v>1061</v>
      </c>
      <c r="E439" s="6" t="s">
        <v>1062</v>
      </c>
      <c r="F439" s="45" t="s">
        <v>104</v>
      </c>
      <c r="G439" s="46">
        <f t="shared" si="45"/>
        <v>100</v>
      </c>
      <c r="H439" s="46">
        <f>TRUNC(S439*(1-LOTE_01!$K$10),2)</f>
        <v>49.45</v>
      </c>
      <c r="I439" s="46">
        <f>TRUNC(T439*(1-LOTE_01!$K$10),2)</f>
        <v>36.380000000000003</v>
      </c>
      <c r="J439" s="100">
        <f t="shared" si="46"/>
        <v>0.22470000000000001</v>
      </c>
      <c r="K439" s="48">
        <f t="shared" si="47"/>
        <v>60.56</v>
      </c>
      <c r="L439" s="48">
        <f t="shared" si="48"/>
        <v>44.55</v>
      </c>
      <c r="M439" s="48">
        <f t="shared" si="49"/>
        <v>6056</v>
      </c>
      <c r="N439" s="48">
        <f t="shared" si="50"/>
        <v>4455</v>
      </c>
      <c r="O439" s="50">
        <f t="shared" si="51"/>
        <v>10511</v>
      </c>
      <c r="P439" s="50">
        <v>0</v>
      </c>
      <c r="Q439" s="76"/>
      <c r="R439" s="140">
        <f>20*S9+20*S10</f>
        <v>100</v>
      </c>
      <c r="S439" s="79">
        <v>49.45</v>
      </c>
      <c r="T439" s="80">
        <v>36.380000000000003</v>
      </c>
    </row>
    <row r="440" spans="2:20" ht="28">
      <c r="B440" s="101" t="s">
        <v>1063</v>
      </c>
      <c r="C440" s="102" t="s">
        <v>21</v>
      </c>
      <c r="D440" s="102" t="s">
        <v>21</v>
      </c>
      <c r="E440" s="103" t="s">
        <v>1064</v>
      </c>
      <c r="F440" s="102" t="s">
        <v>21</v>
      </c>
      <c r="G440" s="46">
        <f t="shared" si="45"/>
        <v>0</v>
      </c>
      <c r="H440" s="46"/>
      <c r="I440" s="46"/>
      <c r="J440" s="105"/>
      <c r="K440" s="48">
        <f t="shared" si="47"/>
        <v>0</v>
      </c>
      <c r="L440" s="48">
        <f t="shared" si="48"/>
        <v>0</v>
      </c>
      <c r="M440" s="48">
        <f t="shared" si="49"/>
        <v>0</v>
      </c>
      <c r="N440" s="48">
        <f t="shared" si="50"/>
        <v>0</v>
      </c>
      <c r="O440" s="50">
        <f t="shared" si="51"/>
        <v>0</v>
      </c>
      <c r="P440" s="50">
        <v>0</v>
      </c>
      <c r="Q440" s="76"/>
      <c r="R440" s="154"/>
      <c r="S440" s="79" t="s">
        <v>22</v>
      </c>
      <c r="T440" s="80" t="s">
        <v>22</v>
      </c>
    </row>
    <row r="441" spans="2:20" ht="84">
      <c r="B441" s="5" t="s">
        <v>1065</v>
      </c>
      <c r="C441" s="45" t="s">
        <v>135</v>
      </c>
      <c r="D441" s="45">
        <v>101878</v>
      </c>
      <c r="E441" s="6" t="s">
        <v>1066</v>
      </c>
      <c r="F441" s="45" t="s">
        <v>210</v>
      </c>
      <c r="G441" s="46">
        <f t="shared" si="45"/>
        <v>5</v>
      </c>
      <c r="H441" s="46">
        <f>TRUNC(S441*(1-LOTE_01!$K$10),2)</f>
        <v>397.33</v>
      </c>
      <c r="I441" s="46">
        <f>TRUNC(T441*(1-LOTE_01!$K$10),2)</f>
        <v>14.28</v>
      </c>
      <c r="J441" s="100">
        <f t="shared" si="46"/>
        <v>0.22470000000000001</v>
      </c>
      <c r="K441" s="48">
        <f t="shared" si="47"/>
        <v>486.61</v>
      </c>
      <c r="L441" s="48">
        <f t="shared" si="48"/>
        <v>17.48</v>
      </c>
      <c r="M441" s="48">
        <f t="shared" si="49"/>
        <v>2433.0500000000002</v>
      </c>
      <c r="N441" s="48">
        <f t="shared" si="50"/>
        <v>87.4</v>
      </c>
      <c r="O441" s="50">
        <f t="shared" si="51"/>
        <v>2520.4499999999998</v>
      </c>
      <c r="P441" s="50">
        <v>0</v>
      </c>
      <c r="Q441" s="76"/>
      <c r="R441" s="140">
        <f>IF((1*S9+1*S10)&gt;10,10,(1*S9+1*S10))</f>
        <v>5</v>
      </c>
      <c r="S441" s="79">
        <v>397.33000000000004</v>
      </c>
      <c r="T441" s="80">
        <v>14.28</v>
      </c>
    </row>
    <row r="442" spans="2:20" ht="84">
      <c r="B442" s="5" t="s">
        <v>1067</v>
      </c>
      <c r="C442" s="45" t="s">
        <v>135</v>
      </c>
      <c r="D442" s="45">
        <v>101879</v>
      </c>
      <c r="E442" s="6" t="s">
        <v>1068</v>
      </c>
      <c r="F442" s="45" t="s">
        <v>210</v>
      </c>
      <c r="G442" s="46">
        <f t="shared" si="45"/>
        <v>5</v>
      </c>
      <c r="H442" s="46">
        <f>TRUNC(S442*(1-LOTE_01!$K$10),2)</f>
        <v>483.93</v>
      </c>
      <c r="I442" s="46">
        <f>TRUNC(T442*(1-LOTE_01!$K$10),2)</f>
        <v>77.27</v>
      </c>
      <c r="J442" s="100">
        <f t="shared" si="46"/>
        <v>0.22470000000000001</v>
      </c>
      <c r="K442" s="48">
        <f t="shared" si="47"/>
        <v>592.66</v>
      </c>
      <c r="L442" s="48">
        <f t="shared" si="48"/>
        <v>94.63</v>
      </c>
      <c r="M442" s="48">
        <f t="shared" si="49"/>
        <v>2963.3</v>
      </c>
      <c r="N442" s="48">
        <f t="shared" si="50"/>
        <v>473.15</v>
      </c>
      <c r="O442" s="50">
        <f t="shared" si="51"/>
        <v>3436.45</v>
      </c>
      <c r="P442" s="50">
        <v>0</v>
      </c>
      <c r="Q442" s="76"/>
      <c r="R442" s="140">
        <f>IF((1*S9+1*S10)&gt;10,10,(1*S9+1*S10))</f>
        <v>5</v>
      </c>
      <c r="S442" s="79">
        <v>483.93000000000006</v>
      </c>
      <c r="T442" s="80">
        <v>77.27</v>
      </c>
    </row>
    <row r="443" spans="2:20" ht="84">
      <c r="B443" s="5" t="s">
        <v>1069</v>
      </c>
      <c r="C443" s="45" t="s">
        <v>135</v>
      </c>
      <c r="D443" s="45">
        <v>101880</v>
      </c>
      <c r="E443" s="6" t="s">
        <v>1070</v>
      </c>
      <c r="F443" s="45" t="s">
        <v>210</v>
      </c>
      <c r="G443" s="46">
        <f t="shared" si="45"/>
        <v>5</v>
      </c>
      <c r="H443" s="46">
        <f>TRUNC(S443*(1-LOTE_01!$K$10),2)</f>
        <v>559.29999999999995</v>
      </c>
      <c r="I443" s="46">
        <f>TRUNC(T443*(1-LOTE_01!$K$10),2)</f>
        <v>95.31</v>
      </c>
      <c r="J443" s="100">
        <f t="shared" si="46"/>
        <v>0.22470000000000001</v>
      </c>
      <c r="K443" s="48">
        <f t="shared" si="47"/>
        <v>684.97</v>
      </c>
      <c r="L443" s="48">
        <f t="shared" si="48"/>
        <v>116.72</v>
      </c>
      <c r="M443" s="48">
        <f t="shared" si="49"/>
        <v>3424.85</v>
      </c>
      <c r="N443" s="48">
        <f t="shared" si="50"/>
        <v>583.6</v>
      </c>
      <c r="O443" s="50">
        <f t="shared" si="51"/>
        <v>4008.45</v>
      </c>
      <c r="P443" s="50">
        <v>0</v>
      </c>
      <c r="Q443" s="76"/>
      <c r="R443" s="140">
        <f>IF((1*S9+1*S10)&gt;10,10,(1*S9+1*S10))</f>
        <v>5</v>
      </c>
      <c r="S443" s="79">
        <v>559.29999999999995</v>
      </c>
      <c r="T443" s="80">
        <v>95.31</v>
      </c>
    </row>
    <row r="444" spans="2:20" ht="84">
      <c r="B444" s="5" t="s">
        <v>1071</v>
      </c>
      <c r="C444" s="45" t="s">
        <v>135</v>
      </c>
      <c r="D444" s="45">
        <v>101882</v>
      </c>
      <c r="E444" s="6" t="s">
        <v>1072</v>
      </c>
      <c r="F444" s="45" t="s">
        <v>210</v>
      </c>
      <c r="G444" s="46">
        <f t="shared" si="45"/>
        <v>5</v>
      </c>
      <c r="H444" s="46">
        <f>TRUNC(S444*(1-LOTE_01!$K$10),2)</f>
        <v>1126.73</v>
      </c>
      <c r="I444" s="46">
        <f>TRUNC(T444*(1-LOTE_01!$K$10),2)</f>
        <v>95.31</v>
      </c>
      <c r="J444" s="100">
        <f t="shared" si="46"/>
        <v>0.22470000000000001</v>
      </c>
      <c r="K444" s="48">
        <f t="shared" si="47"/>
        <v>1379.9</v>
      </c>
      <c r="L444" s="48">
        <f t="shared" si="48"/>
        <v>116.72</v>
      </c>
      <c r="M444" s="48">
        <f t="shared" si="49"/>
        <v>6899.5</v>
      </c>
      <c r="N444" s="48">
        <f t="shared" si="50"/>
        <v>583.6</v>
      </c>
      <c r="O444" s="50">
        <f t="shared" si="51"/>
        <v>7483.1</v>
      </c>
      <c r="P444" s="50">
        <v>0</v>
      </c>
      <c r="Q444" s="76"/>
      <c r="R444" s="140">
        <f>IF((1*S9+1*S10)&gt;10,10,(1*S9+1*S10))</f>
        <v>5</v>
      </c>
      <c r="S444" s="79">
        <v>1126.73</v>
      </c>
      <c r="T444" s="80">
        <v>95.31</v>
      </c>
    </row>
    <row r="445" spans="2:20" ht="84">
      <c r="B445" s="5" t="s">
        <v>1073</v>
      </c>
      <c r="C445" s="45" t="s">
        <v>135</v>
      </c>
      <c r="D445" s="45">
        <v>101881</v>
      </c>
      <c r="E445" s="6" t="s">
        <v>1074</v>
      </c>
      <c r="F445" s="45" t="s">
        <v>210</v>
      </c>
      <c r="G445" s="46">
        <f t="shared" si="45"/>
        <v>5</v>
      </c>
      <c r="H445" s="46">
        <f>TRUNC(S445*(1-LOTE_01!$K$10),2)</f>
        <v>797.95</v>
      </c>
      <c r="I445" s="46">
        <f>TRUNC(T445*(1-LOTE_01!$K$10),2)</f>
        <v>96.01</v>
      </c>
      <c r="J445" s="100">
        <f t="shared" si="46"/>
        <v>0.22470000000000001</v>
      </c>
      <c r="K445" s="48">
        <f t="shared" si="47"/>
        <v>977.24</v>
      </c>
      <c r="L445" s="48">
        <f t="shared" si="48"/>
        <v>117.58</v>
      </c>
      <c r="M445" s="48">
        <f t="shared" si="49"/>
        <v>4886.2</v>
      </c>
      <c r="N445" s="48">
        <f t="shared" si="50"/>
        <v>587.9</v>
      </c>
      <c r="O445" s="50">
        <f t="shared" si="51"/>
        <v>5474.1</v>
      </c>
      <c r="P445" s="50">
        <v>0</v>
      </c>
      <c r="Q445" s="76"/>
      <c r="R445" s="140">
        <f>IF((1*S9+1*S10)&gt;10,10,(1*S9+1*S10))</f>
        <v>5</v>
      </c>
      <c r="S445" s="79">
        <v>797.95</v>
      </c>
      <c r="T445" s="80">
        <v>96.01</v>
      </c>
    </row>
    <row r="446" spans="2:20" ht="56">
      <c r="B446" s="5" t="s">
        <v>1075</v>
      </c>
      <c r="C446" s="45" t="s">
        <v>135</v>
      </c>
      <c r="D446" s="45">
        <v>93653</v>
      </c>
      <c r="E446" s="6" t="s">
        <v>1076</v>
      </c>
      <c r="F446" s="45" t="s">
        <v>210</v>
      </c>
      <c r="G446" s="46">
        <f t="shared" si="45"/>
        <v>90</v>
      </c>
      <c r="H446" s="46">
        <f>TRUNC(S446*(1-LOTE_01!$K$10),2)</f>
        <v>8.7200000000000006</v>
      </c>
      <c r="I446" s="46">
        <f>TRUNC(T446*(1-LOTE_01!$K$10),2)</f>
        <v>1.49</v>
      </c>
      <c r="J446" s="100">
        <f t="shared" si="46"/>
        <v>0.22470000000000001</v>
      </c>
      <c r="K446" s="48">
        <f t="shared" si="47"/>
        <v>10.67</v>
      </c>
      <c r="L446" s="48">
        <f t="shared" si="48"/>
        <v>1.82</v>
      </c>
      <c r="M446" s="48">
        <f t="shared" si="49"/>
        <v>960.3</v>
      </c>
      <c r="N446" s="48">
        <f t="shared" si="50"/>
        <v>163.80000000000001</v>
      </c>
      <c r="O446" s="50">
        <f t="shared" si="51"/>
        <v>1124.0999999999999</v>
      </c>
      <c r="P446" s="50">
        <v>0</v>
      </c>
      <c r="Q446" s="76"/>
      <c r="R446" s="140">
        <f>10*S9+30*S10</f>
        <v>90</v>
      </c>
      <c r="S446" s="79">
        <v>8.7200000000000006</v>
      </c>
      <c r="T446" s="80">
        <v>1.49</v>
      </c>
    </row>
    <row r="447" spans="2:20" ht="56">
      <c r="B447" s="5" t="s">
        <v>1077</v>
      </c>
      <c r="C447" s="45" t="s">
        <v>135</v>
      </c>
      <c r="D447" s="45">
        <v>93654</v>
      </c>
      <c r="E447" s="6" t="s">
        <v>1078</v>
      </c>
      <c r="F447" s="45" t="s">
        <v>210</v>
      </c>
      <c r="G447" s="46">
        <f t="shared" si="45"/>
        <v>90</v>
      </c>
      <c r="H447" s="46">
        <f>TRUNC(S447*(1-LOTE_01!$K$10),2)</f>
        <v>8.7200000000000006</v>
      </c>
      <c r="I447" s="46">
        <f>TRUNC(T447*(1-LOTE_01!$K$10),2)</f>
        <v>1.49</v>
      </c>
      <c r="J447" s="100">
        <f t="shared" si="46"/>
        <v>0.22470000000000001</v>
      </c>
      <c r="K447" s="48">
        <f t="shared" si="47"/>
        <v>10.67</v>
      </c>
      <c r="L447" s="48">
        <f t="shared" si="48"/>
        <v>1.82</v>
      </c>
      <c r="M447" s="48">
        <f t="shared" si="49"/>
        <v>960.3</v>
      </c>
      <c r="N447" s="48">
        <f t="shared" si="50"/>
        <v>163.80000000000001</v>
      </c>
      <c r="O447" s="50">
        <f t="shared" si="51"/>
        <v>1124.0999999999999</v>
      </c>
      <c r="P447" s="50">
        <v>0</v>
      </c>
      <c r="Q447" s="76"/>
      <c r="R447" s="140">
        <f>10*S9+30*S10</f>
        <v>90</v>
      </c>
      <c r="S447" s="79">
        <v>8.7200000000000006</v>
      </c>
      <c r="T447" s="80">
        <v>1.49</v>
      </c>
    </row>
    <row r="448" spans="2:20" ht="56">
      <c r="B448" s="5" t="s">
        <v>1079</v>
      </c>
      <c r="C448" s="45" t="s">
        <v>135</v>
      </c>
      <c r="D448" s="45">
        <v>93655</v>
      </c>
      <c r="E448" s="6" t="s">
        <v>1080</v>
      </c>
      <c r="F448" s="45" t="s">
        <v>210</v>
      </c>
      <c r="G448" s="46">
        <f t="shared" si="45"/>
        <v>25</v>
      </c>
      <c r="H448" s="46">
        <f>TRUNC(S448*(1-LOTE_01!$K$10),2)</f>
        <v>9.09</v>
      </c>
      <c r="I448" s="46">
        <f>TRUNC(T448*(1-LOTE_01!$K$10),2)</f>
        <v>1.99</v>
      </c>
      <c r="J448" s="100">
        <f t="shared" si="46"/>
        <v>0.22470000000000001</v>
      </c>
      <c r="K448" s="48">
        <f t="shared" si="47"/>
        <v>11.13</v>
      </c>
      <c r="L448" s="48">
        <f t="shared" si="48"/>
        <v>2.4300000000000002</v>
      </c>
      <c r="M448" s="48">
        <f t="shared" si="49"/>
        <v>278.25</v>
      </c>
      <c r="N448" s="48">
        <f t="shared" si="50"/>
        <v>60.75</v>
      </c>
      <c r="O448" s="50">
        <f t="shared" si="51"/>
        <v>339</v>
      </c>
      <c r="P448" s="50">
        <v>0</v>
      </c>
      <c r="Q448" s="76"/>
      <c r="R448" s="140">
        <f>5*S9+5*S10</f>
        <v>25</v>
      </c>
      <c r="S448" s="79">
        <v>9.09</v>
      </c>
      <c r="T448" s="80">
        <v>1.99</v>
      </c>
    </row>
    <row r="449" spans="2:20" ht="56">
      <c r="B449" s="5" t="s">
        <v>1081</v>
      </c>
      <c r="C449" s="45" t="s">
        <v>135</v>
      </c>
      <c r="D449" s="45">
        <v>93661</v>
      </c>
      <c r="E449" s="6" t="s">
        <v>912</v>
      </c>
      <c r="F449" s="45" t="s">
        <v>210</v>
      </c>
      <c r="G449" s="46">
        <f t="shared" si="45"/>
        <v>5</v>
      </c>
      <c r="H449" s="46">
        <f>TRUNC(S449*(1-LOTE_01!$K$10),2)</f>
        <v>45.45</v>
      </c>
      <c r="I449" s="46">
        <f>TRUNC(T449*(1-LOTE_01!$K$10),2)</f>
        <v>2.97</v>
      </c>
      <c r="J449" s="100">
        <f t="shared" si="46"/>
        <v>0.22470000000000001</v>
      </c>
      <c r="K449" s="48">
        <f t="shared" si="47"/>
        <v>55.66</v>
      </c>
      <c r="L449" s="48">
        <f t="shared" si="48"/>
        <v>3.63</v>
      </c>
      <c r="M449" s="48">
        <f t="shared" si="49"/>
        <v>278.3</v>
      </c>
      <c r="N449" s="48">
        <f t="shared" si="50"/>
        <v>18.149999999999999</v>
      </c>
      <c r="O449" s="50">
        <f t="shared" si="51"/>
        <v>296.45</v>
      </c>
      <c r="P449" s="50">
        <v>0</v>
      </c>
      <c r="Q449" s="76"/>
      <c r="R449" s="140">
        <f>1*S9+1*S10</f>
        <v>5</v>
      </c>
      <c r="S449" s="79">
        <v>45.45</v>
      </c>
      <c r="T449" s="80">
        <v>2.97</v>
      </c>
    </row>
    <row r="450" spans="2:20" ht="56">
      <c r="B450" s="5" t="s">
        <v>1082</v>
      </c>
      <c r="C450" s="45" t="s">
        <v>135</v>
      </c>
      <c r="D450" s="45">
        <v>93666</v>
      </c>
      <c r="E450" s="6" t="s">
        <v>1083</v>
      </c>
      <c r="F450" s="45" t="s">
        <v>210</v>
      </c>
      <c r="G450" s="46">
        <f t="shared" si="45"/>
        <v>5</v>
      </c>
      <c r="H450" s="46">
        <f>TRUNC(S450*(1-LOTE_01!$K$10),2)</f>
        <v>51.18</v>
      </c>
      <c r="I450" s="46">
        <f>TRUNC(T450*(1-LOTE_01!$K$10),2)</f>
        <v>15.19</v>
      </c>
      <c r="J450" s="100">
        <f t="shared" si="46"/>
        <v>0.22470000000000001</v>
      </c>
      <c r="K450" s="48">
        <f t="shared" si="47"/>
        <v>62.68</v>
      </c>
      <c r="L450" s="48">
        <f t="shared" si="48"/>
        <v>18.600000000000001</v>
      </c>
      <c r="M450" s="48">
        <f t="shared" si="49"/>
        <v>313.39999999999998</v>
      </c>
      <c r="N450" s="48">
        <f t="shared" si="50"/>
        <v>93</v>
      </c>
      <c r="O450" s="50">
        <f t="shared" si="51"/>
        <v>406.4</v>
      </c>
      <c r="P450" s="50">
        <v>0</v>
      </c>
      <c r="Q450" s="76"/>
      <c r="R450" s="140">
        <f>1*S9+1*S10</f>
        <v>5</v>
      </c>
      <c r="S450" s="79">
        <v>51.180000000000007</v>
      </c>
      <c r="T450" s="80">
        <v>15.19</v>
      </c>
    </row>
    <row r="451" spans="2:20" ht="56">
      <c r="B451" s="5" t="s">
        <v>1084</v>
      </c>
      <c r="C451" s="45" t="s">
        <v>135</v>
      </c>
      <c r="D451" s="45">
        <v>93672</v>
      </c>
      <c r="E451" s="6" t="s">
        <v>1085</v>
      </c>
      <c r="F451" s="45" t="s">
        <v>210</v>
      </c>
      <c r="G451" s="46">
        <f t="shared" si="45"/>
        <v>5</v>
      </c>
      <c r="H451" s="46">
        <f>TRUNC(S451*(1-LOTE_01!$K$10),2)</f>
        <v>62.66</v>
      </c>
      <c r="I451" s="46">
        <f>TRUNC(T451*(1-LOTE_01!$K$10),2)</f>
        <v>16.36</v>
      </c>
      <c r="J451" s="100">
        <f t="shared" si="46"/>
        <v>0.22470000000000001</v>
      </c>
      <c r="K451" s="48">
        <f t="shared" si="47"/>
        <v>76.73</v>
      </c>
      <c r="L451" s="48">
        <f t="shared" si="48"/>
        <v>20.03</v>
      </c>
      <c r="M451" s="48">
        <f t="shared" si="49"/>
        <v>383.65</v>
      </c>
      <c r="N451" s="48">
        <f t="shared" si="50"/>
        <v>100.15</v>
      </c>
      <c r="O451" s="50">
        <f t="shared" si="51"/>
        <v>483.8</v>
      </c>
      <c r="P451" s="50">
        <v>0</v>
      </c>
      <c r="Q451" s="76"/>
      <c r="R451" s="140">
        <f>1*S9+1*S10</f>
        <v>5</v>
      </c>
      <c r="S451" s="79">
        <v>62.66</v>
      </c>
      <c r="T451" s="80">
        <v>16.36</v>
      </c>
    </row>
    <row r="452" spans="2:20" ht="56">
      <c r="B452" s="5" t="s">
        <v>1086</v>
      </c>
      <c r="C452" s="45" t="s">
        <v>135</v>
      </c>
      <c r="D452" s="45">
        <v>101894</v>
      </c>
      <c r="E452" s="6" t="s">
        <v>1087</v>
      </c>
      <c r="F452" s="45" t="s">
        <v>210</v>
      </c>
      <c r="G452" s="46">
        <f t="shared" si="45"/>
        <v>5</v>
      </c>
      <c r="H452" s="46">
        <f>TRUNC(S452*(1-LOTE_01!$K$10),2)</f>
        <v>110.14</v>
      </c>
      <c r="I452" s="46">
        <f>TRUNC(T452*(1-LOTE_01!$K$10),2)</f>
        <v>31.26</v>
      </c>
      <c r="J452" s="100">
        <f t="shared" si="46"/>
        <v>0.22470000000000001</v>
      </c>
      <c r="K452" s="48">
        <f t="shared" si="47"/>
        <v>134.88</v>
      </c>
      <c r="L452" s="48">
        <f t="shared" si="48"/>
        <v>38.28</v>
      </c>
      <c r="M452" s="48">
        <f t="shared" si="49"/>
        <v>674.4</v>
      </c>
      <c r="N452" s="48">
        <f t="shared" si="50"/>
        <v>191.4</v>
      </c>
      <c r="O452" s="50">
        <f t="shared" si="51"/>
        <v>865.8</v>
      </c>
      <c r="P452" s="50">
        <v>0</v>
      </c>
      <c r="Q452" s="76"/>
      <c r="R452" s="140">
        <f>1*S9+1*S10</f>
        <v>5</v>
      </c>
      <c r="S452" s="79">
        <v>110.14</v>
      </c>
      <c r="T452" s="80">
        <v>31.26</v>
      </c>
    </row>
    <row r="453" spans="2:20" ht="56">
      <c r="B453" s="5" t="s">
        <v>1088</v>
      </c>
      <c r="C453" s="45" t="s">
        <v>135</v>
      </c>
      <c r="D453" s="45">
        <v>91932</v>
      </c>
      <c r="E453" s="6" t="s">
        <v>1089</v>
      </c>
      <c r="F453" s="45" t="s">
        <v>187</v>
      </c>
      <c r="G453" s="46">
        <f t="shared" si="45"/>
        <v>120</v>
      </c>
      <c r="H453" s="46">
        <f>TRUNC(S453*(1-LOTE_01!$K$10),2)</f>
        <v>16.09</v>
      </c>
      <c r="I453" s="46">
        <f>TRUNC(T453*(1-LOTE_01!$K$10),2)</f>
        <v>3.49</v>
      </c>
      <c r="J453" s="100">
        <f t="shared" si="46"/>
        <v>0.22470000000000001</v>
      </c>
      <c r="K453" s="48">
        <f t="shared" si="47"/>
        <v>19.7</v>
      </c>
      <c r="L453" s="48">
        <f t="shared" si="48"/>
        <v>4.2699999999999996</v>
      </c>
      <c r="M453" s="48">
        <f t="shared" si="49"/>
        <v>2364</v>
      </c>
      <c r="N453" s="48">
        <f t="shared" si="50"/>
        <v>512.4</v>
      </c>
      <c r="O453" s="50">
        <f t="shared" si="51"/>
        <v>2876.4</v>
      </c>
      <c r="P453" s="50">
        <v>0</v>
      </c>
      <c r="Q453" s="76"/>
      <c r="R453" s="140">
        <f>20*S9+30*S10</f>
        <v>120</v>
      </c>
      <c r="S453" s="79">
        <v>16.089999999999996</v>
      </c>
      <c r="T453" s="80">
        <v>3.49</v>
      </c>
    </row>
    <row r="454" spans="2:20" ht="56">
      <c r="B454" s="5" t="s">
        <v>1090</v>
      </c>
      <c r="C454" s="45" t="s">
        <v>135</v>
      </c>
      <c r="D454" s="45">
        <v>91928</v>
      </c>
      <c r="E454" s="6" t="s">
        <v>844</v>
      </c>
      <c r="F454" s="45" t="s">
        <v>187</v>
      </c>
      <c r="G454" s="46">
        <f t="shared" si="45"/>
        <v>120</v>
      </c>
      <c r="H454" s="46">
        <f>TRUNC(S454*(1-LOTE_01!$K$10),2)</f>
        <v>6.06</v>
      </c>
      <c r="I454" s="46">
        <f>TRUNC(T454*(1-LOTE_01!$K$10),2)</f>
        <v>1.78</v>
      </c>
      <c r="J454" s="100">
        <f t="shared" si="46"/>
        <v>0.22470000000000001</v>
      </c>
      <c r="K454" s="48">
        <f t="shared" si="47"/>
        <v>7.42</v>
      </c>
      <c r="L454" s="48">
        <f t="shared" si="48"/>
        <v>2.17</v>
      </c>
      <c r="M454" s="48">
        <f t="shared" si="49"/>
        <v>890.4</v>
      </c>
      <c r="N454" s="48">
        <f t="shared" si="50"/>
        <v>260.39999999999998</v>
      </c>
      <c r="O454" s="50">
        <f t="shared" si="51"/>
        <v>1150.8</v>
      </c>
      <c r="P454" s="50">
        <v>0</v>
      </c>
      <c r="Q454" s="76"/>
      <c r="R454" s="140">
        <f>20*S9+30*S10</f>
        <v>120</v>
      </c>
      <c r="S454" s="79">
        <v>6.06</v>
      </c>
      <c r="T454" s="80">
        <v>1.78</v>
      </c>
    </row>
    <row r="455" spans="2:20" ht="56">
      <c r="B455" s="5" t="s">
        <v>1091</v>
      </c>
      <c r="C455" s="45" t="s">
        <v>135</v>
      </c>
      <c r="D455" s="45">
        <v>91926</v>
      </c>
      <c r="E455" s="6" t="s">
        <v>840</v>
      </c>
      <c r="F455" s="45" t="s">
        <v>187</v>
      </c>
      <c r="G455" s="46">
        <f t="shared" si="45"/>
        <v>2600</v>
      </c>
      <c r="H455" s="46">
        <f>TRUNC(S455*(1-LOTE_01!$K$10),2)</f>
        <v>3.77</v>
      </c>
      <c r="I455" s="46">
        <f>TRUNC(T455*(1-LOTE_01!$K$10),2)</f>
        <v>1.32</v>
      </c>
      <c r="J455" s="100">
        <f t="shared" si="46"/>
        <v>0.22470000000000001</v>
      </c>
      <c r="K455" s="48">
        <f t="shared" si="47"/>
        <v>4.6100000000000003</v>
      </c>
      <c r="L455" s="48">
        <f t="shared" si="48"/>
        <v>1.61</v>
      </c>
      <c r="M455" s="48">
        <f t="shared" si="49"/>
        <v>11986</v>
      </c>
      <c r="N455" s="48">
        <f t="shared" si="50"/>
        <v>4186</v>
      </c>
      <c r="O455" s="50">
        <f t="shared" si="51"/>
        <v>16172</v>
      </c>
      <c r="P455" s="50">
        <v>0</v>
      </c>
      <c r="Q455" s="76"/>
      <c r="R455" s="140">
        <f>1000*S10+200*S9</f>
        <v>2600</v>
      </c>
      <c r="S455" s="79">
        <v>3.7699999999999996</v>
      </c>
      <c r="T455" s="80">
        <v>1.32</v>
      </c>
    </row>
    <row r="456" spans="2:20" ht="56">
      <c r="B456" s="5" t="s">
        <v>1092</v>
      </c>
      <c r="C456" s="45" t="s">
        <v>135</v>
      </c>
      <c r="D456" s="45">
        <v>91927</v>
      </c>
      <c r="E456" s="6" t="s">
        <v>1093</v>
      </c>
      <c r="F456" s="45" t="s">
        <v>187</v>
      </c>
      <c r="G456" s="46">
        <f t="shared" si="45"/>
        <v>2600</v>
      </c>
      <c r="H456" s="46">
        <f>TRUNC(S456*(1-LOTE_01!$K$10),2)</f>
        <v>4.38</v>
      </c>
      <c r="I456" s="46">
        <f>TRUNC(T456*(1-LOTE_01!$K$10),2)</f>
        <v>1.32</v>
      </c>
      <c r="J456" s="100">
        <f t="shared" si="46"/>
        <v>0.22470000000000001</v>
      </c>
      <c r="K456" s="48">
        <f t="shared" si="47"/>
        <v>5.36</v>
      </c>
      <c r="L456" s="48">
        <f t="shared" si="48"/>
        <v>1.61</v>
      </c>
      <c r="M456" s="48">
        <f t="shared" si="49"/>
        <v>13936</v>
      </c>
      <c r="N456" s="48">
        <f t="shared" si="50"/>
        <v>4186</v>
      </c>
      <c r="O456" s="50">
        <f t="shared" si="51"/>
        <v>18122</v>
      </c>
      <c r="P456" s="50">
        <v>0</v>
      </c>
      <c r="Q456" s="76"/>
      <c r="R456" s="140">
        <f>1000*S10+200*S9</f>
        <v>2600</v>
      </c>
      <c r="S456" s="79">
        <v>4.38</v>
      </c>
      <c r="T456" s="80">
        <v>1.32</v>
      </c>
    </row>
    <row r="457" spans="2:20" ht="28">
      <c r="B457" s="5" t="s">
        <v>1094</v>
      </c>
      <c r="C457" s="45" t="s">
        <v>97</v>
      </c>
      <c r="D457" s="45" t="s">
        <v>1095</v>
      </c>
      <c r="E457" s="6" t="s">
        <v>1096</v>
      </c>
      <c r="F457" s="45" t="s">
        <v>104</v>
      </c>
      <c r="G457" s="46">
        <f t="shared" si="45"/>
        <v>5</v>
      </c>
      <c r="H457" s="46">
        <f>TRUNC(S457*(1-LOTE_01!$K$10),2)</f>
        <v>19.23</v>
      </c>
      <c r="I457" s="46">
        <f>TRUNC(T457*(1-LOTE_01!$K$10),2)</f>
        <v>54.24</v>
      </c>
      <c r="J457" s="100">
        <f t="shared" si="46"/>
        <v>0.22470000000000001</v>
      </c>
      <c r="K457" s="48">
        <f t="shared" si="47"/>
        <v>23.55</v>
      </c>
      <c r="L457" s="48">
        <f t="shared" si="48"/>
        <v>66.42</v>
      </c>
      <c r="M457" s="48">
        <f t="shared" si="49"/>
        <v>117.75</v>
      </c>
      <c r="N457" s="48">
        <f t="shared" si="50"/>
        <v>332.1</v>
      </c>
      <c r="O457" s="50">
        <f t="shared" si="51"/>
        <v>449.85</v>
      </c>
      <c r="P457" s="50">
        <v>0</v>
      </c>
      <c r="Q457" s="76"/>
      <c r="R457" s="140">
        <f>IF((1*S9+1*S10)&gt;10,10,(1*S9+1*S10))</f>
        <v>5</v>
      </c>
      <c r="S457" s="79">
        <v>19.23</v>
      </c>
      <c r="T457" s="80">
        <v>54.24</v>
      </c>
    </row>
    <row r="458" spans="2:20" ht="42">
      <c r="B458" s="5" t="s">
        <v>1097</v>
      </c>
      <c r="C458" s="45" t="s">
        <v>165</v>
      </c>
      <c r="D458" s="45" t="s">
        <v>1098</v>
      </c>
      <c r="E458" s="6" t="s">
        <v>1099</v>
      </c>
      <c r="F458" s="45" t="s">
        <v>559</v>
      </c>
      <c r="G458" s="46">
        <f t="shared" si="45"/>
        <v>5</v>
      </c>
      <c r="H458" s="46">
        <f>TRUNC(S458*(1-LOTE_01!$K$10),2)</f>
        <v>266.07</v>
      </c>
      <c r="I458" s="46">
        <f>TRUNC(T458*(1-LOTE_01!$K$10),2)</f>
        <v>98.84</v>
      </c>
      <c r="J458" s="100">
        <f t="shared" si="46"/>
        <v>0.22470000000000001</v>
      </c>
      <c r="K458" s="48">
        <f t="shared" si="47"/>
        <v>325.85000000000002</v>
      </c>
      <c r="L458" s="48">
        <f t="shared" si="48"/>
        <v>121.04</v>
      </c>
      <c r="M458" s="48">
        <f t="shared" si="49"/>
        <v>1629.25</v>
      </c>
      <c r="N458" s="48">
        <f t="shared" si="50"/>
        <v>605.20000000000005</v>
      </c>
      <c r="O458" s="50">
        <f t="shared" si="51"/>
        <v>2234.4499999999998</v>
      </c>
      <c r="P458" s="50">
        <v>0</v>
      </c>
      <c r="Q458" s="76"/>
      <c r="R458" s="140">
        <f>IF((1*S9+1*S10)&gt;10,10,(1*S9+1*S10))</f>
        <v>5</v>
      </c>
      <c r="S458" s="79">
        <v>266.07</v>
      </c>
      <c r="T458" s="80">
        <v>98.84</v>
      </c>
    </row>
    <row r="459" spans="2:20" ht="42">
      <c r="B459" s="5" t="s">
        <v>1100</v>
      </c>
      <c r="C459" s="45" t="s">
        <v>165</v>
      </c>
      <c r="D459" s="45" t="s">
        <v>1101</v>
      </c>
      <c r="E459" s="6" t="s">
        <v>1102</v>
      </c>
      <c r="F459" s="45" t="s">
        <v>559</v>
      </c>
      <c r="G459" s="46">
        <f t="shared" si="45"/>
        <v>5</v>
      </c>
      <c r="H459" s="46">
        <f>TRUNC(S459*(1-LOTE_01!$K$10),2)</f>
        <v>192.55</v>
      </c>
      <c r="I459" s="46">
        <f>TRUNC(T459*(1-LOTE_01!$K$10),2)</f>
        <v>92.47</v>
      </c>
      <c r="J459" s="100">
        <f t="shared" si="46"/>
        <v>0.22470000000000001</v>
      </c>
      <c r="K459" s="48">
        <f t="shared" si="47"/>
        <v>235.81</v>
      </c>
      <c r="L459" s="48">
        <f t="shared" si="48"/>
        <v>113.24</v>
      </c>
      <c r="M459" s="48">
        <f t="shared" si="49"/>
        <v>1179.05</v>
      </c>
      <c r="N459" s="48">
        <f t="shared" si="50"/>
        <v>566.20000000000005</v>
      </c>
      <c r="O459" s="50">
        <f t="shared" si="51"/>
        <v>1745.25</v>
      </c>
      <c r="P459" s="50">
        <v>0</v>
      </c>
      <c r="Q459" s="76"/>
      <c r="R459" s="140">
        <f>IF((1*S9+1*S10)&gt;10,10,(1*S9+1*S10))</f>
        <v>5</v>
      </c>
      <c r="S459" s="79">
        <v>192.55</v>
      </c>
      <c r="T459" s="80">
        <v>92.47</v>
      </c>
    </row>
    <row r="460" spans="2:20" ht="42">
      <c r="B460" s="5" t="s">
        <v>1103</v>
      </c>
      <c r="C460" s="45" t="s">
        <v>165</v>
      </c>
      <c r="D460" s="45" t="s">
        <v>1104</v>
      </c>
      <c r="E460" s="6" t="s">
        <v>1105</v>
      </c>
      <c r="F460" s="45" t="s">
        <v>559</v>
      </c>
      <c r="G460" s="46">
        <f t="shared" si="45"/>
        <v>5</v>
      </c>
      <c r="H460" s="46">
        <f>TRUNC(S460*(1-LOTE_01!$K$10),2)</f>
        <v>102.97</v>
      </c>
      <c r="I460" s="46">
        <f>TRUNC(T460*(1-LOTE_01!$K$10),2)</f>
        <v>82.9</v>
      </c>
      <c r="J460" s="100">
        <f t="shared" si="46"/>
        <v>0.22470000000000001</v>
      </c>
      <c r="K460" s="48">
        <f t="shared" si="47"/>
        <v>126.1</v>
      </c>
      <c r="L460" s="48">
        <f t="shared" si="48"/>
        <v>101.52</v>
      </c>
      <c r="M460" s="48">
        <f t="shared" si="49"/>
        <v>630.5</v>
      </c>
      <c r="N460" s="48">
        <f t="shared" si="50"/>
        <v>507.6</v>
      </c>
      <c r="O460" s="50">
        <f t="shared" si="51"/>
        <v>1138.0999999999999</v>
      </c>
      <c r="P460" s="50">
        <v>0</v>
      </c>
      <c r="Q460" s="76"/>
      <c r="R460" s="140">
        <f>IF((1*S9+1*S10)&gt;10,10,(1*S9+1*S10))</f>
        <v>5</v>
      </c>
      <c r="S460" s="79">
        <v>102.97</v>
      </c>
      <c r="T460" s="80">
        <v>82.9</v>
      </c>
    </row>
    <row r="461" spans="2:20" ht="28">
      <c r="B461" s="5" t="s">
        <v>1106</v>
      </c>
      <c r="C461" s="45" t="s">
        <v>97</v>
      </c>
      <c r="D461" s="45" t="s">
        <v>1107</v>
      </c>
      <c r="E461" s="6" t="s">
        <v>1108</v>
      </c>
      <c r="F461" s="45" t="s">
        <v>104</v>
      </c>
      <c r="G461" s="46">
        <f t="shared" si="45"/>
        <v>5</v>
      </c>
      <c r="H461" s="46">
        <f>TRUNC(S461*(1-LOTE_01!$K$10),2)</f>
        <v>199.48</v>
      </c>
      <c r="I461" s="46">
        <f>TRUNC(T461*(1-LOTE_01!$K$10),2)</f>
        <v>13.56</v>
      </c>
      <c r="J461" s="100">
        <f t="shared" si="46"/>
        <v>0.22470000000000001</v>
      </c>
      <c r="K461" s="48">
        <f t="shared" si="47"/>
        <v>244.3</v>
      </c>
      <c r="L461" s="48">
        <f t="shared" si="48"/>
        <v>16.600000000000001</v>
      </c>
      <c r="M461" s="48">
        <f t="shared" si="49"/>
        <v>1221.5</v>
      </c>
      <c r="N461" s="48">
        <f t="shared" si="50"/>
        <v>83</v>
      </c>
      <c r="O461" s="50">
        <f t="shared" si="51"/>
        <v>1304.5</v>
      </c>
      <c r="P461" s="50">
        <v>0</v>
      </c>
      <c r="Q461" s="76"/>
      <c r="R461" s="140">
        <f>1*S9+1*S10</f>
        <v>5</v>
      </c>
      <c r="S461" s="79">
        <v>199.48</v>
      </c>
      <c r="T461" s="80">
        <v>13.56</v>
      </c>
    </row>
    <row r="462" spans="2:20" ht="42">
      <c r="B462" s="5" t="s">
        <v>1109</v>
      </c>
      <c r="C462" s="45" t="s">
        <v>97</v>
      </c>
      <c r="D462" s="45" t="s">
        <v>1110</v>
      </c>
      <c r="E462" s="6" t="s">
        <v>1111</v>
      </c>
      <c r="F462" s="45" t="s">
        <v>104</v>
      </c>
      <c r="G462" s="46">
        <f t="shared" si="45"/>
        <v>14</v>
      </c>
      <c r="H462" s="46">
        <f>TRUNC(S462*(1-LOTE_01!$K$10),2)</f>
        <v>88.74</v>
      </c>
      <c r="I462" s="46">
        <f>TRUNC(T462*(1-LOTE_01!$K$10),2)</f>
        <v>22.6</v>
      </c>
      <c r="J462" s="100">
        <f t="shared" si="46"/>
        <v>0.22470000000000001</v>
      </c>
      <c r="K462" s="48">
        <f t="shared" si="47"/>
        <v>108.67</v>
      </c>
      <c r="L462" s="48">
        <f t="shared" si="48"/>
        <v>27.67</v>
      </c>
      <c r="M462" s="48">
        <f t="shared" si="49"/>
        <v>1521.38</v>
      </c>
      <c r="N462" s="48">
        <f t="shared" si="50"/>
        <v>387.38</v>
      </c>
      <c r="O462" s="50">
        <f t="shared" si="51"/>
        <v>1908.76</v>
      </c>
      <c r="P462" s="50">
        <v>0</v>
      </c>
      <c r="Q462" s="76"/>
      <c r="R462" s="140">
        <f>IF((2*S9+4*S10)&gt;50,50,(2*S9+4*S10))</f>
        <v>14</v>
      </c>
      <c r="S462" s="79">
        <v>88.74</v>
      </c>
      <c r="T462" s="80">
        <v>22.6</v>
      </c>
    </row>
    <row r="463" spans="2:20" ht="42">
      <c r="B463" s="5" t="s">
        <v>1112</v>
      </c>
      <c r="C463" s="45" t="s">
        <v>97</v>
      </c>
      <c r="D463" s="45" t="s">
        <v>1113</v>
      </c>
      <c r="E463" s="6" t="s">
        <v>1114</v>
      </c>
      <c r="F463" s="45" t="s">
        <v>104</v>
      </c>
      <c r="G463" s="46">
        <f t="shared" si="45"/>
        <v>5</v>
      </c>
      <c r="H463" s="46">
        <f>TRUNC(S463*(1-LOTE_01!$K$10),2)</f>
        <v>273.01</v>
      </c>
      <c r="I463" s="46">
        <f>TRUNC(T463*(1-LOTE_01!$K$10),2)</f>
        <v>22.6</v>
      </c>
      <c r="J463" s="100">
        <f t="shared" si="46"/>
        <v>0.22470000000000001</v>
      </c>
      <c r="K463" s="48">
        <f t="shared" si="47"/>
        <v>334.35</v>
      </c>
      <c r="L463" s="48">
        <f t="shared" si="48"/>
        <v>27.67</v>
      </c>
      <c r="M463" s="48">
        <f t="shared" si="49"/>
        <v>1671.75</v>
      </c>
      <c r="N463" s="48">
        <f t="shared" si="50"/>
        <v>138.35</v>
      </c>
      <c r="O463" s="50">
        <f t="shared" si="51"/>
        <v>1810.1</v>
      </c>
      <c r="P463" s="50">
        <v>0</v>
      </c>
      <c r="Q463" s="76"/>
      <c r="R463" s="140">
        <f>1*S9+1*S10</f>
        <v>5</v>
      </c>
      <c r="S463" s="79">
        <v>273.01</v>
      </c>
      <c r="T463" s="80">
        <v>22.6</v>
      </c>
    </row>
    <row r="464" spans="2:20" ht="42">
      <c r="B464" s="5" t="s">
        <v>1115</v>
      </c>
      <c r="C464" s="45" t="s">
        <v>97</v>
      </c>
      <c r="D464" s="45" t="s">
        <v>1116</v>
      </c>
      <c r="E464" s="6" t="s">
        <v>1117</v>
      </c>
      <c r="F464" s="45" t="s">
        <v>104</v>
      </c>
      <c r="G464" s="46">
        <f t="shared" si="45"/>
        <v>5</v>
      </c>
      <c r="H464" s="46">
        <f>TRUNC(S464*(1-LOTE_01!$K$10),2)</f>
        <v>242.3</v>
      </c>
      <c r="I464" s="46">
        <f>TRUNC(T464*(1-LOTE_01!$K$10),2)</f>
        <v>15.82</v>
      </c>
      <c r="J464" s="100">
        <f t="shared" si="46"/>
        <v>0.22470000000000001</v>
      </c>
      <c r="K464" s="48">
        <f t="shared" si="47"/>
        <v>296.74</v>
      </c>
      <c r="L464" s="48">
        <f t="shared" si="48"/>
        <v>19.37</v>
      </c>
      <c r="M464" s="48">
        <f t="shared" si="49"/>
        <v>1483.7</v>
      </c>
      <c r="N464" s="48">
        <f t="shared" si="50"/>
        <v>96.85</v>
      </c>
      <c r="O464" s="50">
        <f t="shared" si="51"/>
        <v>1580.55</v>
      </c>
      <c r="P464" s="50">
        <v>0</v>
      </c>
      <c r="Q464" s="76"/>
      <c r="R464" s="140">
        <f>1*S9+1*S10</f>
        <v>5</v>
      </c>
      <c r="S464" s="79">
        <v>242.3</v>
      </c>
      <c r="T464" s="80">
        <v>15.82</v>
      </c>
    </row>
    <row r="465" spans="2:20">
      <c r="B465" s="5" t="s">
        <v>1118</v>
      </c>
      <c r="C465" s="45" t="s">
        <v>97</v>
      </c>
      <c r="D465" s="45" t="s">
        <v>1119</v>
      </c>
      <c r="E465" s="6" t="s">
        <v>1120</v>
      </c>
      <c r="F465" s="45" t="s">
        <v>104</v>
      </c>
      <c r="G465" s="46">
        <f t="shared" si="45"/>
        <v>5</v>
      </c>
      <c r="H465" s="46">
        <f>TRUNC(S465*(1-LOTE_01!$K$10),2)</f>
        <v>130.61000000000001</v>
      </c>
      <c r="I465" s="46">
        <f>TRUNC(T465*(1-LOTE_01!$K$10),2)</f>
        <v>15.82</v>
      </c>
      <c r="J465" s="100">
        <f t="shared" si="46"/>
        <v>0.22470000000000001</v>
      </c>
      <c r="K465" s="48">
        <f t="shared" si="47"/>
        <v>159.94999999999999</v>
      </c>
      <c r="L465" s="48">
        <f t="shared" si="48"/>
        <v>19.37</v>
      </c>
      <c r="M465" s="48">
        <f t="shared" si="49"/>
        <v>799.75</v>
      </c>
      <c r="N465" s="48">
        <f t="shared" si="50"/>
        <v>96.85</v>
      </c>
      <c r="O465" s="50">
        <f t="shared" si="51"/>
        <v>896.6</v>
      </c>
      <c r="P465" s="50">
        <v>0</v>
      </c>
      <c r="Q465" s="76"/>
      <c r="R465" s="140">
        <f>1*S9+1*S10</f>
        <v>5</v>
      </c>
      <c r="S465" s="79">
        <v>130.61000000000001</v>
      </c>
      <c r="T465" s="80">
        <v>15.82</v>
      </c>
    </row>
    <row r="466" spans="2:20">
      <c r="B466" s="5" t="s">
        <v>1121</v>
      </c>
      <c r="C466" s="45" t="s">
        <v>97</v>
      </c>
      <c r="D466" s="45" t="s">
        <v>1122</v>
      </c>
      <c r="E466" s="6" t="s">
        <v>1123</v>
      </c>
      <c r="F466" s="45" t="s">
        <v>104</v>
      </c>
      <c r="G466" s="46">
        <f t="shared" ref="G466:G529" si="52">TRUNC(R466,2)</f>
        <v>5</v>
      </c>
      <c r="H466" s="46">
        <f>TRUNC(S466*(1-LOTE_01!$K$10),2)</f>
        <v>346.74</v>
      </c>
      <c r="I466" s="46">
        <f>TRUNC(T466*(1-LOTE_01!$K$10),2)</f>
        <v>41.58</v>
      </c>
      <c r="J466" s="100">
        <f t="shared" ref="J466:J529" si="53">$J$4</f>
        <v>0.22470000000000001</v>
      </c>
      <c r="K466" s="48">
        <f t="shared" ref="K466:K529" si="54">TRUNC(H466*(1+J466),2)</f>
        <v>424.65</v>
      </c>
      <c r="L466" s="48">
        <f t="shared" ref="L466:L529" si="55">TRUNC(I466*(1+J466),2)</f>
        <v>50.92</v>
      </c>
      <c r="M466" s="48">
        <f t="shared" ref="M466:M529" si="56">TRUNC(K466*G466,2)</f>
        <v>2123.25</v>
      </c>
      <c r="N466" s="48">
        <f t="shared" ref="N466:N529" si="57">TRUNC(L466*G466,2)</f>
        <v>254.6</v>
      </c>
      <c r="O466" s="50">
        <f t="shared" ref="O466:O529" si="58">TRUNC(M466+N466,2)</f>
        <v>2377.85</v>
      </c>
      <c r="P466" s="50">
        <v>0</v>
      </c>
      <c r="Q466" s="76"/>
      <c r="R466" s="140">
        <f>1*S9+1*S10</f>
        <v>5</v>
      </c>
      <c r="S466" s="79">
        <v>346.74</v>
      </c>
      <c r="T466" s="80">
        <v>41.58</v>
      </c>
    </row>
    <row r="467" spans="2:20" ht="56">
      <c r="B467" s="5" t="s">
        <v>1124</v>
      </c>
      <c r="C467" s="45" t="s">
        <v>97</v>
      </c>
      <c r="D467" s="45" t="s">
        <v>1039</v>
      </c>
      <c r="E467" s="6" t="s">
        <v>1040</v>
      </c>
      <c r="F467" s="45" t="s">
        <v>925</v>
      </c>
      <c r="G467" s="46">
        <f t="shared" si="52"/>
        <v>250</v>
      </c>
      <c r="H467" s="46">
        <f>TRUNC(S467*(1-LOTE_01!$K$10),2)</f>
        <v>34.01</v>
      </c>
      <c r="I467" s="46">
        <f>TRUNC(T467*(1-LOTE_01!$K$10),2)</f>
        <v>22.6</v>
      </c>
      <c r="J467" s="100">
        <f t="shared" si="53"/>
        <v>0.22470000000000001</v>
      </c>
      <c r="K467" s="48">
        <f t="shared" si="54"/>
        <v>41.65</v>
      </c>
      <c r="L467" s="48">
        <f t="shared" si="55"/>
        <v>27.67</v>
      </c>
      <c r="M467" s="48">
        <f t="shared" si="56"/>
        <v>10412.5</v>
      </c>
      <c r="N467" s="48">
        <f t="shared" si="57"/>
        <v>6917.5</v>
      </c>
      <c r="O467" s="50">
        <f t="shared" si="58"/>
        <v>17330</v>
      </c>
      <c r="P467" s="50">
        <v>0</v>
      </c>
      <c r="Q467" s="76"/>
      <c r="R467" s="140">
        <f>50*S9+50*S10</f>
        <v>250</v>
      </c>
      <c r="S467" s="79">
        <v>34.01</v>
      </c>
      <c r="T467" s="80">
        <v>22.6</v>
      </c>
    </row>
    <row r="468" spans="2:20" ht="70">
      <c r="B468" s="5" t="s">
        <v>1125</v>
      </c>
      <c r="C468" s="45" t="s">
        <v>135</v>
      </c>
      <c r="D468" s="45">
        <v>91867</v>
      </c>
      <c r="E468" s="6" t="s">
        <v>927</v>
      </c>
      <c r="F468" s="45" t="s">
        <v>187</v>
      </c>
      <c r="G468" s="46">
        <f t="shared" si="52"/>
        <v>250</v>
      </c>
      <c r="H468" s="46">
        <f>TRUNC(S468*(1-LOTE_01!$K$10),2)</f>
        <v>6.32</v>
      </c>
      <c r="I468" s="46">
        <f>TRUNC(T468*(1-LOTE_01!$K$10),2)</f>
        <v>4.26</v>
      </c>
      <c r="J468" s="100">
        <f t="shared" si="53"/>
        <v>0.22470000000000001</v>
      </c>
      <c r="K468" s="48">
        <f t="shared" si="54"/>
        <v>7.74</v>
      </c>
      <c r="L468" s="48">
        <f t="shared" si="55"/>
        <v>5.21</v>
      </c>
      <c r="M468" s="48">
        <f t="shared" si="56"/>
        <v>1935</v>
      </c>
      <c r="N468" s="48">
        <f t="shared" si="57"/>
        <v>1302.5</v>
      </c>
      <c r="O468" s="50">
        <f t="shared" si="58"/>
        <v>3237.5</v>
      </c>
      <c r="P468" s="50">
        <v>0</v>
      </c>
      <c r="Q468" s="76"/>
      <c r="R468" s="140">
        <f>50*S9+50*S10</f>
        <v>250</v>
      </c>
      <c r="S468" s="79">
        <v>6.32</v>
      </c>
      <c r="T468" s="80">
        <v>4.26</v>
      </c>
    </row>
    <row r="469" spans="2:20" ht="70">
      <c r="B469" s="5" t="s">
        <v>1126</v>
      </c>
      <c r="C469" s="45" t="s">
        <v>135</v>
      </c>
      <c r="D469" s="45">
        <v>91864</v>
      </c>
      <c r="E469" s="6" t="s">
        <v>838</v>
      </c>
      <c r="F469" s="45" t="s">
        <v>187</v>
      </c>
      <c r="G469" s="46">
        <f t="shared" si="52"/>
        <v>25</v>
      </c>
      <c r="H469" s="46">
        <f>TRUNC(S469*(1-LOTE_01!$K$10),2)</f>
        <v>9.7200000000000006</v>
      </c>
      <c r="I469" s="46">
        <f>TRUNC(T469*(1-LOTE_01!$K$10),2)</f>
        <v>6.29</v>
      </c>
      <c r="J469" s="100">
        <f t="shared" si="53"/>
        <v>0.22470000000000001</v>
      </c>
      <c r="K469" s="48">
        <f t="shared" si="54"/>
        <v>11.9</v>
      </c>
      <c r="L469" s="48">
        <f t="shared" si="55"/>
        <v>7.7</v>
      </c>
      <c r="M469" s="48">
        <f t="shared" si="56"/>
        <v>297.5</v>
      </c>
      <c r="N469" s="48">
        <f t="shared" si="57"/>
        <v>192.5</v>
      </c>
      <c r="O469" s="50">
        <f t="shared" si="58"/>
        <v>490</v>
      </c>
      <c r="P469" s="50">
        <v>0</v>
      </c>
      <c r="Q469" s="76"/>
      <c r="R469" s="140">
        <f>5*S9+5*S10</f>
        <v>25</v>
      </c>
      <c r="S469" s="79">
        <v>9.7200000000000024</v>
      </c>
      <c r="T469" s="80">
        <v>6.29</v>
      </c>
    </row>
    <row r="470" spans="2:20" ht="42">
      <c r="B470" s="5" t="s">
        <v>1127</v>
      </c>
      <c r="C470" s="45" t="s">
        <v>165</v>
      </c>
      <c r="D470" s="45" t="s">
        <v>1036</v>
      </c>
      <c r="E470" s="6" t="s">
        <v>1037</v>
      </c>
      <c r="F470" s="45" t="s">
        <v>531</v>
      </c>
      <c r="G470" s="46">
        <f t="shared" si="52"/>
        <v>25</v>
      </c>
      <c r="H470" s="46">
        <f>TRUNC(S470*(1-LOTE_01!$K$10),2)</f>
        <v>19.43</v>
      </c>
      <c r="I470" s="46">
        <f>TRUNC(T470*(1-LOTE_01!$K$10),2)</f>
        <v>15.94</v>
      </c>
      <c r="J470" s="100">
        <f t="shared" si="53"/>
        <v>0.22470000000000001</v>
      </c>
      <c r="K470" s="48">
        <f t="shared" si="54"/>
        <v>23.79</v>
      </c>
      <c r="L470" s="48">
        <f t="shared" si="55"/>
        <v>19.52</v>
      </c>
      <c r="M470" s="48">
        <f t="shared" si="56"/>
        <v>594.75</v>
      </c>
      <c r="N470" s="48">
        <f t="shared" si="57"/>
        <v>488</v>
      </c>
      <c r="O470" s="50">
        <f t="shared" si="58"/>
        <v>1082.75</v>
      </c>
      <c r="P470" s="50">
        <v>0</v>
      </c>
      <c r="Q470" s="76"/>
      <c r="R470" s="140">
        <f>5*S9+5*S10</f>
        <v>25</v>
      </c>
      <c r="S470" s="79">
        <v>19.43</v>
      </c>
      <c r="T470" s="80">
        <v>15.94</v>
      </c>
    </row>
    <row r="471" spans="2:20" ht="28">
      <c r="B471" s="5" t="s">
        <v>1128</v>
      </c>
      <c r="C471" s="45" t="s">
        <v>165</v>
      </c>
      <c r="D471" s="45" t="s">
        <v>1129</v>
      </c>
      <c r="E471" s="6" t="s">
        <v>1130</v>
      </c>
      <c r="F471" s="45" t="s">
        <v>531</v>
      </c>
      <c r="G471" s="46">
        <f t="shared" si="52"/>
        <v>50</v>
      </c>
      <c r="H471" s="46">
        <f>TRUNC(S471*(1-LOTE_01!$K$10),2)</f>
        <v>54.46</v>
      </c>
      <c r="I471" s="46">
        <f>TRUNC(T471*(1-LOTE_01!$K$10),2)</f>
        <v>5.74</v>
      </c>
      <c r="J471" s="100">
        <f t="shared" si="53"/>
        <v>0.22470000000000001</v>
      </c>
      <c r="K471" s="48">
        <f t="shared" si="54"/>
        <v>66.69</v>
      </c>
      <c r="L471" s="48">
        <f t="shared" si="55"/>
        <v>7.02</v>
      </c>
      <c r="M471" s="48">
        <f t="shared" si="56"/>
        <v>3334.5</v>
      </c>
      <c r="N471" s="48">
        <f t="shared" si="57"/>
        <v>351</v>
      </c>
      <c r="O471" s="50">
        <f t="shared" si="58"/>
        <v>3685.5</v>
      </c>
      <c r="P471" s="50">
        <v>0</v>
      </c>
      <c r="Q471" s="76"/>
      <c r="R471" s="140">
        <f>10*S9+10*S10</f>
        <v>50</v>
      </c>
      <c r="S471" s="79">
        <v>54.46</v>
      </c>
      <c r="T471" s="80">
        <v>5.74</v>
      </c>
    </row>
    <row r="472" spans="2:20" ht="28">
      <c r="B472" s="5" t="s">
        <v>1131</v>
      </c>
      <c r="C472" s="45" t="s">
        <v>97</v>
      </c>
      <c r="D472" s="45" t="s">
        <v>1132</v>
      </c>
      <c r="E472" s="6" t="s">
        <v>1133</v>
      </c>
      <c r="F472" s="45" t="s">
        <v>187</v>
      </c>
      <c r="G472" s="46">
        <f t="shared" si="52"/>
        <v>50</v>
      </c>
      <c r="H472" s="46">
        <f>TRUNC(S472*(1-LOTE_01!$K$10),2)</f>
        <v>11.11</v>
      </c>
      <c r="I472" s="46">
        <f>TRUNC(T472*(1-LOTE_01!$K$10),2)</f>
        <v>1.8</v>
      </c>
      <c r="J472" s="100">
        <f t="shared" si="53"/>
        <v>0.22470000000000001</v>
      </c>
      <c r="K472" s="48">
        <f t="shared" si="54"/>
        <v>13.6</v>
      </c>
      <c r="L472" s="48">
        <f t="shared" si="55"/>
        <v>2.2000000000000002</v>
      </c>
      <c r="M472" s="48">
        <f t="shared" si="56"/>
        <v>680</v>
      </c>
      <c r="N472" s="48">
        <f t="shared" si="57"/>
        <v>110</v>
      </c>
      <c r="O472" s="50">
        <f t="shared" si="58"/>
        <v>790</v>
      </c>
      <c r="P472" s="50">
        <v>0</v>
      </c>
      <c r="Q472" s="76"/>
      <c r="R472" s="140">
        <f>10*S9+10*S10</f>
        <v>50</v>
      </c>
      <c r="S472" s="79">
        <v>11.11</v>
      </c>
      <c r="T472" s="80">
        <v>1.8</v>
      </c>
    </row>
    <row r="473" spans="2:20" ht="56">
      <c r="B473" s="5" t="s">
        <v>1134</v>
      </c>
      <c r="C473" s="45" t="s">
        <v>135</v>
      </c>
      <c r="D473" s="45">
        <v>95778</v>
      </c>
      <c r="E473" s="6" t="s">
        <v>1814</v>
      </c>
      <c r="F473" s="45" t="s">
        <v>210</v>
      </c>
      <c r="G473" s="46">
        <f t="shared" si="52"/>
        <v>25</v>
      </c>
      <c r="H473" s="46">
        <f>TRUNC(S473*(1-LOTE_01!$K$10),2)</f>
        <v>20.67</v>
      </c>
      <c r="I473" s="46">
        <f>TRUNC(T473*(1-LOTE_01!$K$10),2)</f>
        <v>12.25</v>
      </c>
      <c r="J473" s="100">
        <f t="shared" si="53"/>
        <v>0.22470000000000001</v>
      </c>
      <c r="K473" s="48">
        <f t="shared" si="54"/>
        <v>25.31</v>
      </c>
      <c r="L473" s="48">
        <f t="shared" si="55"/>
        <v>15</v>
      </c>
      <c r="M473" s="48">
        <f t="shared" si="56"/>
        <v>632.75</v>
      </c>
      <c r="N473" s="48">
        <f t="shared" si="57"/>
        <v>375</v>
      </c>
      <c r="O473" s="50">
        <f t="shared" si="58"/>
        <v>1007.75</v>
      </c>
      <c r="P473" s="50">
        <v>0</v>
      </c>
      <c r="Q473" s="76"/>
      <c r="R473" s="140">
        <f>5*S9+5*S10</f>
        <v>25</v>
      </c>
      <c r="S473" s="79">
        <v>20.67</v>
      </c>
      <c r="T473" s="80">
        <v>12.25</v>
      </c>
    </row>
    <row r="474" spans="2:20" ht="56">
      <c r="B474" s="5" t="s">
        <v>1135</v>
      </c>
      <c r="C474" s="45" t="s">
        <v>135</v>
      </c>
      <c r="D474" s="45">
        <v>91941</v>
      </c>
      <c r="E474" s="6" t="s">
        <v>1021</v>
      </c>
      <c r="F474" s="45" t="s">
        <v>210</v>
      </c>
      <c r="G474" s="46">
        <f t="shared" si="52"/>
        <v>25</v>
      </c>
      <c r="H474" s="46">
        <f>TRUNC(S474*(1-LOTE_01!$K$10),2)</f>
        <v>6.27</v>
      </c>
      <c r="I474" s="46">
        <f>TRUNC(T474*(1-LOTE_01!$K$10),2)</f>
        <v>7.59</v>
      </c>
      <c r="J474" s="100">
        <f t="shared" si="53"/>
        <v>0.22470000000000001</v>
      </c>
      <c r="K474" s="48">
        <f t="shared" si="54"/>
        <v>7.67</v>
      </c>
      <c r="L474" s="48">
        <f t="shared" si="55"/>
        <v>9.2899999999999991</v>
      </c>
      <c r="M474" s="48">
        <f t="shared" si="56"/>
        <v>191.75</v>
      </c>
      <c r="N474" s="48">
        <f t="shared" si="57"/>
        <v>232.25</v>
      </c>
      <c r="O474" s="50">
        <f t="shared" si="58"/>
        <v>424</v>
      </c>
      <c r="P474" s="50">
        <v>0</v>
      </c>
      <c r="Q474" s="76"/>
      <c r="R474" s="140">
        <f>5*S9+5*S10</f>
        <v>25</v>
      </c>
      <c r="S474" s="79">
        <v>6.27</v>
      </c>
      <c r="T474" s="80">
        <v>7.59</v>
      </c>
    </row>
    <row r="475" spans="2:20" ht="56">
      <c r="B475" s="5" t="s">
        <v>1136</v>
      </c>
      <c r="C475" s="45" t="s">
        <v>135</v>
      </c>
      <c r="D475" s="45">
        <v>91944</v>
      </c>
      <c r="E475" s="6" t="s">
        <v>935</v>
      </c>
      <c r="F475" s="45" t="s">
        <v>210</v>
      </c>
      <c r="G475" s="46">
        <f t="shared" si="52"/>
        <v>32</v>
      </c>
      <c r="H475" s="46">
        <f>TRUNC(S475*(1-LOTE_01!$K$10),2)</f>
        <v>9.2899999999999991</v>
      </c>
      <c r="I475" s="46">
        <f>TRUNC(T475*(1-LOTE_01!$K$10),2)</f>
        <v>7.87</v>
      </c>
      <c r="J475" s="100">
        <f t="shared" si="53"/>
        <v>0.22470000000000001</v>
      </c>
      <c r="K475" s="48">
        <f t="shared" si="54"/>
        <v>11.37</v>
      </c>
      <c r="L475" s="48">
        <f t="shared" si="55"/>
        <v>9.6300000000000008</v>
      </c>
      <c r="M475" s="48">
        <f t="shared" si="56"/>
        <v>363.84</v>
      </c>
      <c r="N475" s="48">
        <f t="shared" si="57"/>
        <v>308.16000000000003</v>
      </c>
      <c r="O475" s="50">
        <f t="shared" si="58"/>
        <v>672</v>
      </c>
      <c r="P475" s="50">
        <v>0</v>
      </c>
      <c r="Q475" s="76"/>
      <c r="R475" s="140">
        <f>10*S9+1*S10</f>
        <v>32</v>
      </c>
      <c r="S475" s="79">
        <v>9.2899999999999991</v>
      </c>
      <c r="T475" s="80">
        <v>7.87</v>
      </c>
    </row>
    <row r="476" spans="2:20" ht="56">
      <c r="B476" s="5" t="s">
        <v>1137</v>
      </c>
      <c r="C476" s="45" t="s">
        <v>135</v>
      </c>
      <c r="D476" s="45">
        <v>92000</v>
      </c>
      <c r="E476" s="6" t="s">
        <v>856</v>
      </c>
      <c r="F476" s="45" t="s">
        <v>210</v>
      </c>
      <c r="G476" s="46">
        <f t="shared" si="52"/>
        <v>100</v>
      </c>
      <c r="H476" s="46">
        <f>TRUNC(S476*(1-LOTE_01!$K$10),2)</f>
        <v>17.47</v>
      </c>
      <c r="I476" s="46">
        <f>TRUNC(T476*(1-LOTE_01!$K$10),2)</f>
        <v>16.77</v>
      </c>
      <c r="J476" s="100">
        <f t="shared" si="53"/>
        <v>0.22470000000000001</v>
      </c>
      <c r="K476" s="48">
        <f t="shared" si="54"/>
        <v>21.39</v>
      </c>
      <c r="L476" s="48">
        <f t="shared" si="55"/>
        <v>20.53</v>
      </c>
      <c r="M476" s="48">
        <f t="shared" si="56"/>
        <v>2139</v>
      </c>
      <c r="N476" s="48">
        <f t="shared" si="57"/>
        <v>2053</v>
      </c>
      <c r="O476" s="50">
        <f t="shared" si="58"/>
        <v>4192</v>
      </c>
      <c r="P476" s="50">
        <v>0</v>
      </c>
      <c r="Q476" s="76"/>
      <c r="R476" s="140">
        <f>20*S9+20*S10</f>
        <v>100</v>
      </c>
      <c r="S476" s="79">
        <v>17.470000000000002</v>
      </c>
      <c r="T476" s="80">
        <v>16.77</v>
      </c>
    </row>
    <row r="477" spans="2:20" ht="28">
      <c r="B477" s="101" t="s">
        <v>1063</v>
      </c>
      <c r="C477" s="102" t="s">
        <v>21</v>
      </c>
      <c r="D477" s="102" t="s">
        <v>21</v>
      </c>
      <c r="E477" s="103" t="s">
        <v>1138</v>
      </c>
      <c r="F477" s="102" t="s">
        <v>21</v>
      </c>
      <c r="G477" s="46">
        <f t="shared" si="52"/>
        <v>0</v>
      </c>
      <c r="H477" s="46"/>
      <c r="I477" s="46"/>
      <c r="J477" s="105"/>
      <c r="K477" s="48">
        <f t="shared" si="54"/>
        <v>0</v>
      </c>
      <c r="L477" s="48">
        <f t="shared" si="55"/>
        <v>0</v>
      </c>
      <c r="M477" s="48">
        <f t="shared" si="56"/>
        <v>0</v>
      </c>
      <c r="N477" s="48">
        <f t="shared" si="57"/>
        <v>0</v>
      </c>
      <c r="O477" s="50">
        <f t="shared" si="58"/>
        <v>0</v>
      </c>
      <c r="P477" s="50">
        <v>0</v>
      </c>
      <c r="Q477" s="76"/>
      <c r="R477" s="154"/>
      <c r="S477" s="79" t="s">
        <v>22</v>
      </c>
      <c r="T477" s="80" t="s">
        <v>22</v>
      </c>
    </row>
    <row r="478" spans="2:20" ht="56">
      <c r="B478" s="5" t="s">
        <v>1139</v>
      </c>
      <c r="C478" s="45" t="s">
        <v>97</v>
      </c>
      <c r="D478" s="45" t="s">
        <v>1140</v>
      </c>
      <c r="E478" s="6" t="s">
        <v>1141</v>
      </c>
      <c r="F478" s="45" t="s">
        <v>104</v>
      </c>
      <c r="G478" s="46">
        <f t="shared" si="52"/>
        <v>5</v>
      </c>
      <c r="H478" s="46">
        <f>TRUNC(S478*(1-LOTE_01!$K$10),2)</f>
        <v>160.88999999999999</v>
      </c>
      <c r="I478" s="46">
        <f>TRUNC(T478*(1-LOTE_01!$K$10),2)</f>
        <v>298.32</v>
      </c>
      <c r="J478" s="100">
        <f t="shared" si="53"/>
        <v>0.22470000000000001</v>
      </c>
      <c r="K478" s="48">
        <f t="shared" si="54"/>
        <v>197.04</v>
      </c>
      <c r="L478" s="48">
        <f t="shared" si="55"/>
        <v>365.35</v>
      </c>
      <c r="M478" s="48">
        <f t="shared" si="56"/>
        <v>985.2</v>
      </c>
      <c r="N478" s="48">
        <f t="shared" si="57"/>
        <v>1826.75</v>
      </c>
      <c r="O478" s="50">
        <f t="shared" si="58"/>
        <v>2811.95</v>
      </c>
      <c r="P478" s="50">
        <v>0</v>
      </c>
      <c r="Q478" s="76"/>
      <c r="R478" s="140">
        <f>1*S9+1*S10</f>
        <v>5</v>
      </c>
      <c r="S478" s="79">
        <v>160.88999999999999</v>
      </c>
      <c r="T478" s="80">
        <v>298.32</v>
      </c>
    </row>
    <row r="479" spans="2:20" ht="28">
      <c r="B479" s="5" t="s">
        <v>1142</v>
      </c>
      <c r="C479" s="45" t="s">
        <v>97</v>
      </c>
      <c r="D479" s="45" t="s">
        <v>1143</v>
      </c>
      <c r="E479" s="6" t="s">
        <v>1144</v>
      </c>
      <c r="F479" s="45" t="s">
        <v>104</v>
      </c>
      <c r="G479" s="46">
        <f t="shared" si="52"/>
        <v>5</v>
      </c>
      <c r="H479" s="46">
        <f>TRUNC(S479*(1-LOTE_01!$K$10),2)</f>
        <v>16.03</v>
      </c>
      <c r="I479" s="46">
        <f>TRUNC(T479*(1-LOTE_01!$K$10),2)</f>
        <v>45.2</v>
      </c>
      <c r="J479" s="100">
        <f t="shared" si="53"/>
        <v>0.22470000000000001</v>
      </c>
      <c r="K479" s="48">
        <f t="shared" si="54"/>
        <v>19.63</v>
      </c>
      <c r="L479" s="48">
        <f t="shared" si="55"/>
        <v>55.35</v>
      </c>
      <c r="M479" s="48">
        <f t="shared" si="56"/>
        <v>98.15</v>
      </c>
      <c r="N479" s="48">
        <f t="shared" si="57"/>
        <v>276.75</v>
      </c>
      <c r="O479" s="50">
        <f t="shared" si="58"/>
        <v>374.9</v>
      </c>
      <c r="P479" s="50">
        <v>0</v>
      </c>
      <c r="Q479" s="76"/>
      <c r="R479" s="140">
        <f>IF((1*S9+1*S10)&gt;10,10,(1*S9+1*S10))</f>
        <v>5</v>
      </c>
      <c r="S479" s="79">
        <v>16.03</v>
      </c>
      <c r="T479" s="80">
        <v>45.2</v>
      </c>
    </row>
    <row r="480" spans="2:20">
      <c r="B480" s="5" t="s">
        <v>1145</v>
      </c>
      <c r="C480" s="45" t="s">
        <v>97</v>
      </c>
      <c r="D480" s="45" t="s">
        <v>1146</v>
      </c>
      <c r="E480" s="6" t="s">
        <v>1147</v>
      </c>
      <c r="F480" s="45" t="s">
        <v>104</v>
      </c>
      <c r="G480" s="46">
        <f t="shared" si="52"/>
        <v>5</v>
      </c>
      <c r="H480" s="46">
        <f>TRUNC(S480*(1-LOTE_01!$K$10),2)</f>
        <v>128.24</v>
      </c>
      <c r="I480" s="46">
        <f>TRUNC(T480*(1-LOTE_01!$K$10),2)</f>
        <v>361.6</v>
      </c>
      <c r="J480" s="100">
        <f t="shared" si="53"/>
        <v>0.22470000000000001</v>
      </c>
      <c r="K480" s="48">
        <f t="shared" si="54"/>
        <v>157.05000000000001</v>
      </c>
      <c r="L480" s="48">
        <f t="shared" si="55"/>
        <v>442.85</v>
      </c>
      <c r="M480" s="48">
        <f t="shared" si="56"/>
        <v>785.25</v>
      </c>
      <c r="N480" s="48">
        <f t="shared" si="57"/>
        <v>2214.25</v>
      </c>
      <c r="O480" s="50">
        <f t="shared" si="58"/>
        <v>2999.5</v>
      </c>
      <c r="P480" s="50">
        <v>0</v>
      </c>
      <c r="Q480" s="76"/>
      <c r="R480" s="140">
        <f>IF((1*S9+1*S10)&gt;10,10,(1*S9+1*S10))</f>
        <v>5</v>
      </c>
      <c r="S480" s="79">
        <v>128.24</v>
      </c>
      <c r="T480" s="80">
        <v>361.6</v>
      </c>
    </row>
    <row r="481" spans="2:20" ht="28">
      <c r="B481" s="5" t="s">
        <v>1148</v>
      </c>
      <c r="C481" s="45" t="s">
        <v>97</v>
      </c>
      <c r="D481" s="45" t="s">
        <v>1149</v>
      </c>
      <c r="E481" s="6" t="s">
        <v>1150</v>
      </c>
      <c r="F481" s="45" t="s">
        <v>104</v>
      </c>
      <c r="G481" s="46">
        <f t="shared" si="52"/>
        <v>5</v>
      </c>
      <c r="H481" s="46">
        <f>TRUNC(S481*(1-LOTE_01!$K$10),2)</f>
        <v>194</v>
      </c>
      <c r="I481" s="46">
        <f>TRUNC(T481*(1-LOTE_01!$K$10),2)</f>
        <v>601.67999999999995</v>
      </c>
      <c r="J481" s="100">
        <f t="shared" si="53"/>
        <v>0.22470000000000001</v>
      </c>
      <c r="K481" s="48">
        <f t="shared" si="54"/>
        <v>237.59</v>
      </c>
      <c r="L481" s="48">
        <f t="shared" si="55"/>
        <v>736.87</v>
      </c>
      <c r="M481" s="48">
        <f t="shared" si="56"/>
        <v>1187.95</v>
      </c>
      <c r="N481" s="48">
        <f t="shared" si="57"/>
        <v>3684.35</v>
      </c>
      <c r="O481" s="50">
        <f t="shared" si="58"/>
        <v>4872.3</v>
      </c>
      <c r="P481" s="50">
        <v>0</v>
      </c>
      <c r="Q481" s="76"/>
      <c r="R481" s="140">
        <f>IF((1*S9+1*S10)&gt;10,10,(1*S9+1*S10))</f>
        <v>5</v>
      </c>
      <c r="S481" s="79">
        <v>194</v>
      </c>
      <c r="T481" s="80">
        <v>601.67999999999995</v>
      </c>
    </row>
    <row r="482" spans="2:20">
      <c r="B482" s="5" t="s">
        <v>1151</v>
      </c>
      <c r="C482" s="45" t="s">
        <v>97</v>
      </c>
      <c r="D482" s="45" t="s">
        <v>1152</v>
      </c>
      <c r="E482" s="6" t="s">
        <v>1153</v>
      </c>
      <c r="F482" s="45" t="s">
        <v>104</v>
      </c>
      <c r="G482" s="46">
        <f t="shared" si="52"/>
        <v>5</v>
      </c>
      <c r="H482" s="46">
        <f>TRUNC(S482*(1-LOTE_01!$K$10),2)</f>
        <v>32.06</v>
      </c>
      <c r="I482" s="46">
        <f>TRUNC(T482*(1-LOTE_01!$K$10),2)</f>
        <v>90.4</v>
      </c>
      <c r="J482" s="100">
        <f t="shared" si="53"/>
        <v>0.22470000000000001</v>
      </c>
      <c r="K482" s="48">
        <f t="shared" si="54"/>
        <v>39.26</v>
      </c>
      <c r="L482" s="48">
        <f t="shared" si="55"/>
        <v>110.71</v>
      </c>
      <c r="M482" s="48">
        <f t="shared" si="56"/>
        <v>196.3</v>
      </c>
      <c r="N482" s="48">
        <f t="shared" si="57"/>
        <v>553.54999999999995</v>
      </c>
      <c r="O482" s="50">
        <f t="shared" si="58"/>
        <v>749.85</v>
      </c>
      <c r="P482" s="50">
        <v>0</v>
      </c>
      <c r="Q482" s="76"/>
      <c r="R482" s="140">
        <f>IF((1*S9+1*S10)&gt;10,10,(1*S9+1*S10))</f>
        <v>5</v>
      </c>
      <c r="S482" s="79">
        <v>32.06</v>
      </c>
      <c r="T482" s="80">
        <v>90.4</v>
      </c>
    </row>
    <row r="483" spans="2:20" ht="56">
      <c r="B483" s="5" t="s">
        <v>1154</v>
      </c>
      <c r="C483" s="45" t="s">
        <v>97</v>
      </c>
      <c r="D483" s="45" t="s">
        <v>1155</v>
      </c>
      <c r="E483" s="6" t="s">
        <v>1156</v>
      </c>
      <c r="F483" s="45" t="s">
        <v>104</v>
      </c>
      <c r="G483" s="46">
        <f t="shared" si="52"/>
        <v>5</v>
      </c>
      <c r="H483" s="46">
        <f>TRUNC(S483*(1-LOTE_01!$K$10),2)</f>
        <v>136.25</v>
      </c>
      <c r="I483" s="46">
        <f>TRUNC(T483*(1-LOTE_01!$K$10),2)</f>
        <v>384.2</v>
      </c>
      <c r="J483" s="100">
        <f t="shared" si="53"/>
        <v>0.22470000000000001</v>
      </c>
      <c r="K483" s="48">
        <f t="shared" si="54"/>
        <v>166.86</v>
      </c>
      <c r="L483" s="48">
        <f t="shared" si="55"/>
        <v>470.52</v>
      </c>
      <c r="M483" s="48">
        <f t="shared" si="56"/>
        <v>834.3</v>
      </c>
      <c r="N483" s="48">
        <f t="shared" si="57"/>
        <v>2352.6</v>
      </c>
      <c r="O483" s="50">
        <f t="shared" si="58"/>
        <v>3186.9</v>
      </c>
      <c r="P483" s="50">
        <v>0</v>
      </c>
      <c r="Q483" s="76"/>
      <c r="R483" s="140">
        <f>IF((1*S9+1*S10)&gt;10,10,(1*S9+1*S10))</f>
        <v>5</v>
      </c>
      <c r="S483" s="79">
        <v>136.25</v>
      </c>
      <c r="T483" s="80">
        <v>384.2</v>
      </c>
    </row>
    <row r="484" spans="2:20" ht="56">
      <c r="B484" s="5" t="s">
        <v>1157</v>
      </c>
      <c r="C484" s="45" t="s">
        <v>97</v>
      </c>
      <c r="D484" s="45" t="s">
        <v>1158</v>
      </c>
      <c r="E484" s="6" t="s">
        <v>1159</v>
      </c>
      <c r="F484" s="45" t="s">
        <v>104</v>
      </c>
      <c r="G484" s="46">
        <f t="shared" si="52"/>
        <v>5</v>
      </c>
      <c r="H484" s="46">
        <f>TRUNC(S484*(1-LOTE_01!$K$10),2)</f>
        <v>1899.02</v>
      </c>
      <c r="I484" s="46">
        <f>TRUNC(T484*(1-LOTE_01!$K$10),2)</f>
        <v>5794.4</v>
      </c>
      <c r="J484" s="100">
        <f t="shared" si="53"/>
        <v>0.22470000000000001</v>
      </c>
      <c r="K484" s="48">
        <f t="shared" si="54"/>
        <v>2325.7199999999998</v>
      </c>
      <c r="L484" s="48">
        <f t="shared" si="55"/>
        <v>7096.4</v>
      </c>
      <c r="M484" s="48">
        <f t="shared" si="56"/>
        <v>11628.6</v>
      </c>
      <c r="N484" s="48">
        <f t="shared" si="57"/>
        <v>35482</v>
      </c>
      <c r="O484" s="50">
        <f t="shared" si="58"/>
        <v>47110.6</v>
      </c>
      <c r="P484" s="50">
        <v>0</v>
      </c>
      <c r="Q484" s="76"/>
      <c r="R484" s="140">
        <f>IF((1*S9+1*S10)&gt;10,10,(1*S9+1*S10))</f>
        <v>5</v>
      </c>
      <c r="S484" s="79">
        <v>1899.02</v>
      </c>
      <c r="T484" s="80">
        <v>5794.4</v>
      </c>
    </row>
    <row r="485" spans="2:20" ht="70">
      <c r="B485" s="5" t="s">
        <v>1160</v>
      </c>
      <c r="C485" s="45" t="s">
        <v>97</v>
      </c>
      <c r="D485" s="45" t="s">
        <v>1161</v>
      </c>
      <c r="E485" s="6" t="s">
        <v>1162</v>
      </c>
      <c r="F485" s="45" t="s">
        <v>104</v>
      </c>
      <c r="G485" s="46">
        <f t="shared" si="52"/>
        <v>5</v>
      </c>
      <c r="H485" s="46">
        <f>TRUNC(S485*(1-LOTE_01!$K$10),2)</f>
        <v>1990.77</v>
      </c>
      <c r="I485" s="46">
        <f>TRUNC(T485*(1-LOTE_01!$K$10),2)</f>
        <v>1130.01</v>
      </c>
      <c r="J485" s="100">
        <f t="shared" si="53"/>
        <v>0.22470000000000001</v>
      </c>
      <c r="K485" s="48">
        <f t="shared" si="54"/>
        <v>2438.09</v>
      </c>
      <c r="L485" s="48">
        <f t="shared" si="55"/>
        <v>1383.92</v>
      </c>
      <c r="M485" s="48">
        <f t="shared" si="56"/>
        <v>12190.45</v>
      </c>
      <c r="N485" s="48">
        <f t="shared" si="57"/>
        <v>6919.6</v>
      </c>
      <c r="O485" s="50">
        <f t="shared" si="58"/>
        <v>19110.05</v>
      </c>
      <c r="P485" s="50">
        <v>0</v>
      </c>
      <c r="Q485" s="76"/>
      <c r="R485" s="140">
        <f>IF((1*S9+1*S10)&gt;10,10,(1*S9+1*S10))</f>
        <v>5</v>
      </c>
      <c r="S485" s="79">
        <v>1990.77</v>
      </c>
      <c r="T485" s="80">
        <v>1130.01</v>
      </c>
    </row>
    <row r="486" spans="2:20" ht="28">
      <c r="B486" s="5" t="s">
        <v>1163</v>
      </c>
      <c r="C486" s="45" t="s">
        <v>97</v>
      </c>
      <c r="D486" s="45" t="s">
        <v>1164</v>
      </c>
      <c r="E486" s="6" t="s">
        <v>1165</v>
      </c>
      <c r="F486" s="45" t="s">
        <v>104</v>
      </c>
      <c r="G486" s="46">
        <f t="shared" si="52"/>
        <v>80</v>
      </c>
      <c r="H486" s="46">
        <f>TRUNC(S486*(1-LOTE_01!$K$10),2)</f>
        <v>163.89</v>
      </c>
      <c r="I486" s="46">
        <f>TRUNC(T486*(1-LOTE_01!$K$10),2)</f>
        <v>15.71</v>
      </c>
      <c r="J486" s="100">
        <f t="shared" si="53"/>
        <v>0.22470000000000001</v>
      </c>
      <c r="K486" s="48">
        <f t="shared" si="54"/>
        <v>200.71</v>
      </c>
      <c r="L486" s="48">
        <f t="shared" si="55"/>
        <v>19.239999999999998</v>
      </c>
      <c r="M486" s="48">
        <f t="shared" si="56"/>
        <v>16056.8</v>
      </c>
      <c r="N486" s="48">
        <f t="shared" si="57"/>
        <v>1539.2</v>
      </c>
      <c r="O486" s="50">
        <f t="shared" si="58"/>
        <v>17596</v>
      </c>
      <c r="P486" s="50">
        <v>0</v>
      </c>
      <c r="Q486" s="76"/>
      <c r="R486" s="140">
        <f>16*S10+16*S9</f>
        <v>80</v>
      </c>
      <c r="S486" s="79">
        <v>163.89</v>
      </c>
      <c r="T486" s="80">
        <v>15.71</v>
      </c>
    </row>
    <row r="487" spans="2:20" ht="28">
      <c r="B487" s="5" t="s">
        <v>1166</v>
      </c>
      <c r="C487" s="45" t="s">
        <v>97</v>
      </c>
      <c r="D487" s="45" t="s">
        <v>1167</v>
      </c>
      <c r="E487" s="6" t="s">
        <v>1168</v>
      </c>
      <c r="F487" s="45" t="s">
        <v>104</v>
      </c>
      <c r="G487" s="46">
        <f t="shared" si="52"/>
        <v>80</v>
      </c>
      <c r="H487" s="46">
        <f>TRUNC(S487*(1-LOTE_01!$K$10),2)</f>
        <v>179.49</v>
      </c>
      <c r="I487" s="46">
        <f>TRUNC(T487*(1-LOTE_01!$K$10),2)</f>
        <v>15.71</v>
      </c>
      <c r="J487" s="100">
        <f t="shared" si="53"/>
        <v>0.22470000000000001</v>
      </c>
      <c r="K487" s="48">
        <f t="shared" si="54"/>
        <v>219.82</v>
      </c>
      <c r="L487" s="48">
        <f t="shared" si="55"/>
        <v>19.239999999999998</v>
      </c>
      <c r="M487" s="48">
        <f t="shared" si="56"/>
        <v>17585.599999999999</v>
      </c>
      <c r="N487" s="48">
        <f t="shared" si="57"/>
        <v>1539.2</v>
      </c>
      <c r="O487" s="50">
        <f t="shared" si="58"/>
        <v>19124.8</v>
      </c>
      <c r="P487" s="50">
        <v>0</v>
      </c>
      <c r="Q487" s="76"/>
      <c r="R487" s="140">
        <f>16*S10+16*S9</f>
        <v>80</v>
      </c>
      <c r="S487" s="79">
        <v>179.49</v>
      </c>
      <c r="T487" s="80">
        <v>15.71</v>
      </c>
    </row>
    <row r="488" spans="2:20" ht="28">
      <c r="B488" s="5" t="s">
        <v>1169</v>
      </c>
      <c r="C488" s="45" t="s">
        <v>97</v>
      </c>
      <c r="D488" s="45" t="s">
        <v>1170</v>
      </c>
      <c r="E488" s="6" t="s">
        <v>1171</v>
      </c>
      <c r="F488" s="45" t="s">
        <v>104</v>
      </c>
      <c r="G488" s="46">
        <f t="shared" si="52"/>
        <v>80</v>
      </c>
      <c r="H488" s="46">
        <f>TRUNC(S488*(1-LOTE_01!$K$10),2)</f>
        <v>332.99</v>
      </c>
      <c r="I488" s="46">
        <f>TRUNC(T488*(1-LOTE_01!$K$10),2)</f>
        <v>15.71</v>
      </c>
      <c r="J488" s="100">
        <f t="shared" si="53"/>
        <v>0.22470000000000001</v>
      </c>
      <c r="K488" s="48">
        <f t="shared" si="54"/>
        <v>407.81</v>
      </c>
      <c r="L488" s="48">
        <f t="shared" si="55"/>
        <v>19.239999999999998</v>
      </c>
      <c r="M488" s="48">
        <f t="shared" si="56"/>
        <v>32624.799999999999</v>
      </c>
      <c r="N488" s="48">
        <f t="shared" si="57"/>
        <v>1539.2</v>
      </c>
      <c r="O488" s="50">
        <f t="shared" si="58"/>
        <v>34164</v>
      </c>
      <c r="P488" s="50">
        <v>0</v>
      </c>
      <c r="Q488" s="76"/>
      <c r="R488" s="140">
        <f>16*S10+16*S9</f>
        <v>80</v>
      </c>
      <c r="S488" s="79">
        <v>332.99</v>
      </c>
      <c r="T488" s="80">
        <v>15.71</v>
      </c>
    </row>
    <row r="489" spans="2:20" ht="56">
      <c r="B489" s="5" t="s">
        <v>1172</v>
      </c>
      <c r="C489" s="45" t="s">
        <v>97</v>
      </c>
      <c r="D489" s="45" t="s">
        <v>1173</v>
      </c>
      <c r="E489" s="6" t="s">
        <v>1174</v>
      </c>
      <c r="F489" s="45" t="s">
        <v>104</v>
      </c>
      <c r="G489" s="46">
        <f t="shared" si="52"/>
        <v>5</v>
      </c>
      <c r="H489" s="46">
        <f>TRUNC(S489*(1-LOTE_01!$K$10),2)</f>
        <v>753.44</v>
      </c>
      <c r="I489" s="46">
        <f>TRUNC(T489*(1-LOTE_01!$K$10),2)</f>
        <v>157.1</v>
      </c>
      <c r="J489" s="100">
        <f t="shared" si="53"/>
        <v>0.22470000000000001</v>
      </c>
      <c r="K489" s="48">
        <f t="shared" si="54"/>
        <v>922.73</v>
      </c>
      <c r="L489" s="48">
        <f t="shared" si="55"/>
        <v>192.4</v>
      </c>
      <c r="M489" s="48">
        <f t="shared" si="56"/>
        <v>4613.6499999999996</v>
      </c>
      <c r="N489" s="48">
        <f t="shared" si="57"/>
        <v>962</v>
      </c>
      <c r="O489" s="50">
        <f t="shared" si="58"/>
        <v>5575.65</v>
      </c>
      <c r="P489" s="50">
        <v>0</v>
      </c>
      <c r="Q489" s="76"/>
      <c r="R489" s="140">
        <f>S10+S9</f>
        <v>5</v>
      </c>
      <c r="S489" s="79">
        <v>753.44</v>
      </c>
      <c r="T489" s="80">
        <v>157.1</v>
      </c>
    </row>
    <row r="490" spans="2:20" ht="56">
      <c r="B490" s="5" t="s">
        <v>1175</v>
      </c>
      <c r="C490" s="45" t="s">
        <v>97</v>
      </c>
      <c r="D490" s="45" t="s">
        <v>1176</v>
      </c>
      <c r="E490" s="6" t="s">
        <v>1177</v>
      </c>
      <c r="F490" s="45" t="s">
        <v>104</v>
      </c>
      <c r="G490" s="46">
        <f t="shared" si="52"/>
        <v>5</v>
      </c>
      <c r="H490" s="46">
        <f>TRUNC(S490*(1-LOTE_01!$K$10),2)</f>
        <v>1977.68</v>
      </c>
      <c r="I490" s="46">
        <f>TRUNC(T490*(1-LOTE_01!$K$10),2)</f>
        <v>502.72</v>
      </c>
      <c r="J490" s="100">
        <f t="shared" si="53"/>
        <v>0.22470000000000001</v>
      </c>
      <c r="K490" s="48">
        <f t="shared" si="54"/>
        <v>2422.06</v>
      </c>
      <c r="L490" s="48">
        <f t="shared" si="55"/>
        <v>615.67999999999995</v>
      </c>
      <c r="M490" s="48">
        <f t="shared" si="56"/>
        <v>12110.3</v>
      </c>
      <c r="N490" s="48">
        <f t="shared" si="57"/>
        <v>3078.4</v>
      </c>
      <c r="O490" s="50">
        <f t="shared" si="58"/>
        <v>15188.7</v>
      </c>
      <c r="P490" s="50">
        <v>0</v>
      </c>
      <c r="Q490" s="76"/>
      <c r="R490" s="140">
        <f>S10+S9</f>
        <v>5</v>
      </c>
      <c r="S490" s="79">
        <v>1977.68</v>
      </c>
      <c r="T490" s="80">
        <v>502.72</v>
      </c>
    </row>
    <row r="491" spans="2:20" ht="56">
      <c r="B491" s="5" t="s">
        <v>1178</v>
      </c>
      <c r="C491" s="45" t="s">
        <v>97</v>
      </c>
      <c r="D491" s="45" t="s">
        <v>1179</v>
      </c>
      <c r="E491" s="6" t="s">
        <v>1180</v>
      </c>
      <c r="F491" s="45" t="s">
        <v>104</v>
      </c>
      <c r="G491" s="46">
        <f t="shared" si="52"/>
        <v>5</v>
      </c>
      <c r="H491" s="46">
        <f>TRUNC(S491*(1-LOTE_01!$K$10),2)</f>
        <v>2227.6799999999998</v>
      </c>
      <c r="I491" s="46">
        <f>TRUNC(T491*(1-LOTE_01!$K$10),2)</f>
        <v>502.72</v>
      </c>
      <c r="J491" s="100">
        <f t="shared" si="53"/>
        <v>0.22470000000000001</v>
      </c>
      <c r="K491" s="48">
        <f t="shared" si="54"/>
        <v>2728.23</v>
      </c>
      <c r="L491" s="48">
        <f t="shared" si="55"/>
        <v>615.67999999999995</v>
      </c>
      <c r="M491" s="48">
        <f t="shared" si="56"/>
        <v>13641.15</v>
      </c>
      <c r="N491" s="48">
        <f t="shared" si="57"/>
        <v>3078.4</v>
      </c>
      <c r="O491" s="50">
        <f t="shared" si="58"/>
        <v>16719.55</v>
      </c>
      <c r="P491" s="50">
        <v>0</v>
      </c>
      <c r="Q491" s="76"/>
      <c r="R491" s="140">
        <f>S10+S9</f>
        <v>5</v>
      </c>
      <c r="S491" s="79">
        <v>2227.6799999999998</v>
      </c>
      <c r="T491" s="80">
        <v>502.72</v>
      </c>
    </row>
    <row r="492" spans="2:20" ht="56">
      <c r="B492" s="5" t="s">
        <v>1181</v>
      </c>
      <c r="C492" s="45" t="s">
        <v>97</v>
      </c>
      <c r="D492" s="45" t="s">
        <v>1182</v>
      </c>
      <c r="E492" s="6" t="s">
        <v>1183</v>
      </c>
      <c r="F492" s="45" t="s">
        <v>104</v>
      </c>
      <c r="G492" s="46">
        <f t="shared" si="52"/>
        <v>5</v>
      </c>
      <c r="H492" s="46">
        <f>TRUNC(S492*(1-LOTE_01!$K$10),2)</f>
        <v>3709.6</v>
      </c>
      <c r="I492" s="46">
        <f>TRUNC(T492*(1-LOTE_01!$K$10),2)</f>
        <v>628.4</v>
      </c>
      <c r="J492" s="100">
        <f t="shared" si="53"/>
        <v>0.22470000000000001</v>
      </c>
      <c r="K492" s="48">
        <f t="shared" si="54"/>
        <v>4543.1400000000003</v>
      </c>
      <c r="L492" s="48">
        <f t="shared" si="55"/>
        <v>769.6</v>
      </c>
      <c r="M492" s="48">
        <f t="shared" si="56"/>
        <v>22715.7</v>
      </c>
      <c r="N492" s="48">
        <f t="shared" si="57"/>
        <v>3848</v>
      </c>
      <c r="O492" s="50">
        <f t="shared" si="58"/>
        <v>26563.7</v>
      </c>
      <c r="P492" s="50">
        <v>0</v>
      </c>
      <c r="Q492" s="76"/>
      <c r="R492" s="140">
        <f>S10+S9</f>
        <v>5</v>
      </c>
      <c r="S492" s="79">
        <v>3709.6</v>
      </c>
      <c r="T492" s="80">
        <v>628.4</v>
      </c>
    </row>
    <row r="493" spans="2:20" ht="56">
      <c r="B493" s="5" t="s">
        <v>1184</v>
      </c>
      <c r="C493" s="45" t="s">
        <v>97</v>
      </c>
      <c r="D493" s="45" t="s">
        <v>1185</v>
      </c>
      <c r="E493" s="6" t="s">
        <v>1186</v>
      </c>
      <c r="F493" s="45" t="s">
        <v>104</v>
      </c>
      <c r="G493" s="46">
        <f t="shared" si="52"/>
        <v>5</v>
      </c>
      <c r="H493" s="46">
        <f>TRUNC(S493*(1-LOTE_01!$K$10),2)</f>
        <v>4009.6</v>
      </c>
      <c r="I493" s="46">
        <f>TRUNC(T493*(1-LOTE_01!$K$10),2)</f>
        <v>628.4</v>
      </c>
      <c r="J493" s="100">
        <f t="shared" si="53"/>
        <v>0.22470000000000001</v>
      </c>
      <c r="K493" s="48">
        <f t="shared" si="54"/>
        <v>4910.55</v>
      </c>
      <c r="L493" s="48">
        <f t="shared" si="55"/>
        <v>769.6</v>
      </c>
      <c r="M493" s="48">
        <f t="shared" si="56"/>
        <v>24552.75</v>
      </c>
      <c r="N493" s="48">
        <f t="shared" si="57"/>
        <v>3848</v>
      </c>
      <c r="O493" s="50">
        <f t="shared" si="58"/>
        <v>28400.75</v>
      </c>
      <c r="P493" s="50">
        <v>0</v>
      </c>
      <c r="Q493" s="76"/>
      <c r="R493" s="140">
        <f>S10+S9</f>
        <v>5</v>
      </c>
      <c r="S493" s="79">
        <v>4009.6</v>
      </c>
      <c r="T493" s="80">
        <v>628.4</v>
      </c>
    </row>
    <row r="494" spans="2:20" ht="28">
      <c r="B494" s="5" t="s">
        <v>1187</v>
      </c>
      <c r="C494" s="45" t="s">
        <v>97</v>
      </c>
      <c r="D494" s="45" t="s">
        <v>1188</v>
      </c>
      <c r="E494" s="6" t="s">
        <v>1189</v>
      </c>
      <c r="F494" s="45" t="s">
        <v>104</v>
      </c>
      <c r="G494" s="46">
        <f t="shared" si="52"/>
        <v>25</v>
      </c>
      <c r="H494" s="46">
        <f>TRUNC(S494*(1-LOTE_01!$K$10),2)</f>
        <v>30.24</v>
      </c>
      <c r="I494" s="46">
        <f>TRUNC(T494*(1-LOTE_01!$K$10),2)</f>
        <v>36.380000000000003</v>
      </c>
      <c r="J494" s="100">
        <f t="shared" si="53"/>
        <v>0.22470000000000001</v>
      </c>
      <c r="K494" s="48">
        <f t="shared" si="54"/>
        <v>37.03</v>
      </c>
      <c r="L494" s="48">
        <f t="shared" si="55"/>
        <v>44.55</v>
      </c>
      <c r="M494" s="48">
        <f t="shared" si="56"/>
        <v>925.75</v>
      </c>
      <c r="N494" s="48">
        <f t="shared" si="57"/>
        <v>1113.75</v>
      </c>
      <c r="O494" s="50">
        <f t="shared" si="58"/>
        <v>2039.5</v>
      </c>
      <c r="P494" s="50">
        <v>0</v>
      </c>
      <c r="Q494" s="76"/>
      <c r="R494" s="140">
        <f>5*S9+5*S10</f>
        <v>25</v>
      </c>
      <c r="S494" s="79">
        <v>30.24</v>
      </c>
      <c r="T494" s="80">
        <v>36.380000000000003</v>
      </c>
    </row>
    <row r="495" spans="2:20">
      <c r="B495" s="101" t="s">
        <v>50</v>
      </c>
      <c r="C495" s="102" t="s">
        <v>21</v>
      </c>
      <c r="D495" s="102" t="s">
        <v>21</v>
      </c>
      <c r="E495" s="103" t="s">
        <v>87</v>
      </c>
      <c r="F495" s="102" t="s">
        <v>21</v>
      </c>
      <c r="G495" s="46">
        <f t="shared" si="52"/>
        <v>0</v>
      </c>
      <c r="H495" s="46"/>
      <c r="I495" s="46"/>
      <c r="J495" s="105"/>
      <c r="K495" s="48">
        <f t="shared" si="54"/>
        <v>0</v>
      </c>
      <c r="L495" s="48">
        <f t="shared" si="55"/>
        <v>0</v>
      </c>
      <c r="M495" s="48">
        <f t="shared" si="56"/>
        <v>0</v>
      </c>
      <c r="N495" s="48">
        <f t="shared" si="57"/>
        <v>0</v>
      </c>
      <c r="O495" s="50">
        <f t="shared" si="58"/>
        <v>0</v>
      </c>
      <c r="P495" s="50">
        <f>SUM(O496:O580)</f>
        <v>264994.34999999992</v>
      </c>
      <c r="Q495" s="76"/>
      <c r="R495" s="154"/>
      <c r="S495" s="79" t="s">
        <v>22</v>
      </c>
      <c r="T495" s="80" t="s">
        <v>22</v>
      </c>
    </row>
    <row r="496" spans="2:20" ht="42">
      <c r="B496" s="5" t="s">
        <v>1190</v>
      </c>
      <c r="C496" s="45" t="s">
        <v>135</v>
      </c>
      <c r="D496" s="45">
        <v>90447</v>
      </c>
      <c r="E496" s="6" t="s">
        <v>1191</v>
      </c>
      <c r="F496" s="45" t="s">
        <v>187</v>
      </c>
      <c r="G496" s="46">
        <f t="shared" si="52"/>
        <v>250</v>
      </c>
      <c r="H496" s="46">
        <f>TRUNC(S496*(1-LOTE_01!$K$10),2)</f>
        <v>2.4300000000000002</v>
      </c>
      <c r="I496" s="46">
        <f>TRUNC(T496*(1-LOTE_01!$K$10),2)</f>
        <v>7.66</v>
      </c>
      <c r="J496" s="100">
        <f t="shared" si="53"/>
        <v>0.22470000000000001</v>
      </c>
      <c r="K496" s="48">
        <f t="shared" si="54"/>
        <v>2.97</v>
      </c>
      <c r="L496" s="48">
        <f t="shared" si="55"/>
        <v>9.3800000000000008</v>
      </c>
      <c r="M496" s="48">
        <f t="shared" si="56"/>
        <v>742.5</v>
      </c>
      <c r="N496" s="48">
        <f t="shared" si="57"/>
        <v>2345</v>
      </c>
      <c r="O496" s="50">
        <f t="shared" si="58"/>
        <v>3087.5</v>
      </c>
      <c r="P496" s="50">
        <v>0</v>
      </c>
      <c r="Q496" s="76"/>
      <c r="R496" s="140">
        <f>50*S9+50*S10</f>
        <v>250</v>
      </c>
      <c r="S496" s="79">
        <v>2.4299999999999997</v>
      </c>
      <c r="T496" s="80">
        <v>7.66</v>
      </c>
    </row>
    <row r="497" spans="2:20" ht="70">
      <c r="B497" s="5" t="s">
        <v>1192</v>
      </c>
      <c r="C497" s="45" t="s">
        <v>135</v>
      </c>
      <c r="D497" s="45">
        <v>91222</v>
      </c>
      <c r="E497" s="6" t="s">
        <v>1193</v>
      </c>
      <c r="F497" s="45" t="s">
        <v>187</v>
      </c>
      <c r="G497" s="46">
        <f t="shared" si="52"/>
        <v>75</v>
      </c>
      <c r="H497" s="46">
        <f>TRUNC(S497*(1-LOTE_01!$K$10),2)</f>
        <v>2.57</v>
      </c>
      <c r="I497" s="46">
        <f>TRUNC(T497*(1-LOTE_01!$K$10),2)</f>
        <v>8.09</v>
      </c>
      <c r="J497" s="100">
        <f t="shared" si="53"/>
        <v>0.22470000000000001</v>
      </c>
      <c r="K497" s="48">
        <f t="shared" si="54"/>
        <v>3.14</v>
      </c>
      <c r="L497" s="48">
        <f t="shared" si="55"/>
        <v>9.9</v>
      </c>
      <c r="M497" s="48">
        <f t="shared" si="56"/>
        <v>235.5</v>
      </c>
      <c r="N497" s="48">
        <f t="shared" si="57"/>
        <v>742.5</v>
      </c>
      <c r="O497" s="50">
        <f t="shared" si="58"/>
        <v>978</v>
      </c>
      <c r="P497" s="50">
        <v>0</v>
      </c>
      <c r="Q497" s="76"/>
      <c r="R497" s="140">
        <f>IF((5*S9+30*S10)&gt;200,200,(5*S9+30*S10))</f>
        <v>75</v>
      </c>
      <c r="S497" s="79">
        <v>2.5700000000000003</v>
      </c>
      <c r="T497" s="80">
        <v>8.09</v>
      </c>
    </row>
    <row r="498" spans="2:20" ht="84">
      <c r="B498" s="5" t="s">
        <v>1194</v>
      </c>
      <c r="C498" s="45" t="s">
        <v>135</v>
      </c>
      <c r="D498" s="45">
        <v>90445</v>
      </c>
      <c r="E498" s="6" t="s">
        <v>1195</v>
      </c>
      <c r="F498" s="45" t="s">
        <v>187</v>
      </c>
      <c r="G498" s="46">
        <f t="shared" si="52"/>
        <v>75</v>
      </c>
      <c r="H498" s="46">
        <f>TRUNC(S498*(1-LOTE_01!$K$10),2)</f>
        <v>5.45</v>
      </c>
      <c r="I498" s="46">
        <f>TRUNC(T498*(1-LOTE_01!$K$10),2)</f>
        <v>14.19</v>
      </c>
      <c r="J498" s="100">
        <f t="shared" si="53"/>
        <v>0.22470000000000001</v>
      </c>
      <c r="K498" s="48">
        <f t="shared" si="54"/>
        <v>6.67</v>
      </c>
      <c r="L498" s="48">
        <f t="shared" si="55"/>
        <v>17.37</v>
      </c>
      <c r="M498" s="48">
        <f t="shared" si="56"/>
        <v>500.25</v>
      </c>
      <c r="N498" s="48">
        <f t="shared" si="57"/>
        <v>1302.75</v>
      </c>
      <c r="O498" s="50">
        <f t="shared" si="58"/>
        <v>1803</v>
      </c>
      <c r="P498" s="50">
        <v>0</v>
      </c>
      <c r="Q498" s="76"/>
      <c r="R498" s="140">
        <f>IF((5*S9+30*S10)&gt;100,100,(5*S9+30*S10))</f>
        <v>75</v>
      </c>
      <c r="S498" s="79">
        <v>5.4500000000000011</v>
      </c>
      <c r="T498" s="80">
        <v>14.19</v>
      </c>
    </row>
    <row r="499" spans="2:20" ht="28">
      <c r="B499" s="5" t="s">
        <v>1196</v>
      </c>
      <c r="C499" s="45" t="s">
        <v>97</v>
      </c>
      <c r="D499" s="45" t="s">
        <v>1197</v>
      </c>
      <c r="E499" s="6" t="s">
        <v>1198</v>
      </c>
      <c r="F499" s="45" t="s">
        <v>999</v>
      </c>
      <c r="G499" s="46">
        <f t="shared" si="52"/>
        <v>35</v>
      </c>
      <c r="H499" s="46">
        <f>TRUNC(S499*(1-LOTE_01!$K$10),2)</f>
        <v>274.75</v>
      </c>
      <c r="I499" s="46">
        <f>TRUNC(T499*(1-LOTE_01!$K$10),2)</f>
        <v>401.09</v>
      </c>
      <c r="J499" s="100">
        <f t="shared" si="53"/>
        <v>0.22470000000000001</v>
      </c>
      <c r="K499" s="48">
        <f t="shared" si="54"/>
        <v>336.48</v>
      </c>
      <c r="L499" s="48">
        <f t="shared" si="55"/>
        <v>491.21</v>
      </c>
      <c r="M499" s="48">
        <f t="shared" si="56"/>
        <v>11776.8</v>
      </c>
      <c r="N499" s="48">
        <f t="shared" si="57"/>
        <v>17192.349999999999</v>
      </c>
      <c r="O499" s="50">
        <f t="shared" si="58"/>
        <v>28969.15</v>
      </c>
      <c r="P499" s="50">
        <v>0</v>
      </c>
      <c r="Q499" s="76"/>
      <c r="R499" s="140">
        <f>IF((5*S9+10*S10)&gt;50,50,(5*S9+10*S10))</f>
        <v>35</v>
      </c>
      <c r="S499" s="79">
        <v>274.75</v>
      </c>
      <c r="T499" s="80">
        <v>401.09</v>
      </c>
    </row>
    <row r="500" spans="2:20" ht="28">
      <c r="B500" s="5" t="s">
        <v>1199</v>
      </c>
      <c r="C500" s="45" t="s">
        <v>97</v>
      </c>
      <c r="D500" s="45" t="s">
        <v>1200</v>
      </c>
      <c r="E500" s="6" t="s">
        <v>1201</v>
      </c>
      <c r="F500" s="45" t="s">
        <v>999</v>
      </c>
      <c r="G500" s="46">
        <f t="shared" si="52"/>
        <v>35</v>
      </c>
      <c r="H500" s="46">
        <f>TRUNC(S500*(1-LOTE_01!$K$10),2)</f>
        <v>120.01</v>
      </c>
      <c r="I500" s="46">
        <f>TRUNC(T500*(1-LOTE_01!$K$10),2)</f>
        <v>87.64</v>
      </c>
      <c r="J500" s="100">
        <f t="shared" si="53"/>
        <v>0.22470000000000001</v>
      </c>
      <c r="K500" s="48">
        <f t="shared" si="54"/>
        <v>146.97</v>
      </c>
      <c r="L500" s="48">
        <f t="shared" si="55"/>
        <v>107.33</v>
      </c>
      <c r="M500" s="48">
        <f t="shared" si="56"/>
        <v>5143.95</v>
      </c>
      <c r="N500" s="48">
        <f t="shared" si="57"/>
        <v>3756.55</v>
      </c>
      <c r="O500" s="50">
        <f t="shared" si="58"/>
        <v>8900.5</v>
      </c>
      <c r="P500" s="50">
        <v>0</v>
      </c>
      <c r="Q500" s="76"/>
      <c r="R500" s="140">
        <f>IF((5*S9+10*S10)&gt;50,50,(5*S9+10*S10))</f>
        <v>35</v>
      </c>
      <c r="S500" s="79">
        <v>120.01</v>
      </c>
      <c r="T500" s="80">
        <v>87.64</v>
      </c>
    </row>
    <row r="501" spans="2:20" ht="84">
      <c r="B501" s="5" t="s">
        <v>1202</v>
      </c>
      <c r="C501" s="45" t="s">
        <v>97</v>
      </c>
      <c r="D501" s="45" t="s">
        <v>1203</v>
      </c>
      <c r="E501" s="6" t="s">
        <v>1204</v>
      </c>
      <c r="F501" s="45" t="s">
        <v>104</v>
      </c>
      <c r="G501" s="46">
        <f t="shared" si="52"/>
        <v>35</v>
      </c>
      <c r="H501" s="46">
        <f>TRUNC(S501*(1-LOTE_01!$K$10),2)</f>
        <v>766.7</v>
      </c>
      <c r="I501" s="46">
        <f>TRUNC(T501*(1-LOTE_01!$K$10),2)</f>
        <v>737.26</v>
      </c>
      <c r="J501" s="100">
        <f t="shared" si="53"/>
        <v>0.22470000000000001</v>
      </c>
      <c r="K501" s="48">
        <f t="shared" si="54"/>
        <v>938.97</v>
      </c>
      <c r="L501" s="48">
        <f t="shared" si="55"/>
        <v>902.92</v>
      </c>
      <c r="M501" s="48">
        <f t="shared" si="56"/>
        <v>32863.949999999997</v>
      </c>
      <c r="N501" s="48">
        <f t="shared" si="57"/>
        <v>31602.2</v>
      </c>
      <c r="O501" s="50">
        <f t="shared" si="58"/>
        <v>64466.15</v>
      </c>
      <c r="P501" s="50">
        <v>0</v>
      </c>
      <c r="Q501" s="76"/>
      <c r="R501" s="140">
        <f>IF((5*S9+10*S10)&gt;50,50,(5*S9+10*S10))</f>
        <v>35</v>
      </c>
      <c r="S501" s="79">
        <v>766.7</v>
      </c>
      <c r="T501" s="80">
        <v>737.26</v>
      </c>
    </row>
    <row r="502" spans="2:20" ht="42">
      <c r="B502" s="5" t="s">
        <v>1205</v>
      </c>
      <c r="C502" s="45" t="s">
        <v>135</v>
      </c>
      <c r="D502" s="45">
        <v>86886</v>
      </c>
      <c r="E502" s="6" t="s">
        <v>1816</v>
      </c>
      <c r="F502" s="45" t="s">
        <v>210</v>
      </c>
      <c r="G502" s="46">
        <f t="shared" si="52"/>
        <v>35</v>
      </c>
      <c r="H502" s="46">
        <f>TRUNC(S502*(1-LOTE_01!$K$10),2)</f>
        <v>53.62</v>
      </c>
      <c r="I502" s="46">
        <f>TRUNC(T502*(1-LOTE_01!$K$10),2)</f>
        <v>4.47</v>
      </c>
      <c r="J502" s="100">
        <f t="shared" si="53"/>
        <v>0.22470000000000001</v>
      </c>
      <c r="K502" s="48">
        <f t="shared" si="54"/>
        <v>65.66</v>
      </c>
      <c r="L502" s="48">
        <f t="shared" si="55"/>
        <v>5.47</v>
      </c>
      <c r="M502" s="48">
        <f t="shared" si="56"/>
        <v>2298.1</v>
      </c>
      <c r="N502" s="48">
        <f t="shared" si="57"/>
        <v>191.45</v>
      </c>
      <c r="O502" s="50">
        <f t="shared" si="58"/>
        <v>2489.5500000000002</v>
      </c>
      <c r="P502" s="50">
        <v>0</v>
      </c>
      <c r="Q502" s="76"/>
      <c r="R502" s="140">
        <f>IF((5*S9+10*S10)&gt;50,50,(5*S9+10*S10))</f>
        <v>35</v>
      </c>
      <c r="S502" s="79">
        <v>53.620000000000005</v>
      </c>
      <c r="T502" s="80">
        <v>4.47</v>
      </c>
    </row>
    <row r="503" spans="2:20" ht="28">
      <c r="B503" s="5" t="s">
        <v>1206</v>
      </c>
      <c r="C503" s="45" t="s">
        <v>165</v>
      </c>
      <c r="D503" s="45" t="s">
        <v>1207</v>
      </c>
      <c r="E503" s="6" t="s">
        <v>1208</v>
      </c>
      <c r="F503" s="45" t="s">
        <v>559</v>
      </c>
      <c r="G503" s="46">
        <f t="shared" si="52"/>
        <v>35</v>
      </c>
      <c r="H503" s="46">
        <f>TRUNC(S503*(1-LOTE_01!$K$10),2)</f>
        <v>182.41</v>
      </c>
      <c r="I503" s="46">
        <f>TRUNC(T503*(1-LOTE_01!$K$10),2)</f>
        <v>19.45</v>
      </c>
      <c r="J503" s="100">
        <f t="shared" si="53"/>
        <v>0.22470000000000001</v>
      </c>
      <c r="K503" s="48">
        <f t="shared" si="54"/>
        <v>223.39</v>
      </c>
      <c r="L503" s="48">
        <f t="shared" si="55"/>
        <v>23.82</v>
      </c>
      <c r="M503" s="48">
        <f t="shared" si="56"/>
        <v>7818.65</v>
      </c>
      <c r="N503" s="48">
        <f t="shared" si="57"/>
        <v>833.7</v>
      </c>
      <c r="O503" s="50">
        <f t="shared" si="58"/>
        <v>8652.35</v>
      </c>
      <c r="P503" s="50">
        <v>0</v>
      </c>
      <c r="Q503" s="76"/>
      <c r="R503" s="140">
        <f>IF((5*S9+10*S10)&gt;50,50,(5*S9+10*S10))</f>
        <v>35</v>
      </c>
      <c r="S503" s="79">
        <v>182.41</v>
      </c>
      <c r="T503" s="80">
        <v>19.45</v>
      </c>
    </row>
    <row r="504" spans="2:20" ht="28">
      <c r="B504" s="5" t="s">
        <v>1209</v>
      </c>
      <c r="C504" s="45" t="s">
        <v>165</v>
      </c>
      <c r="D504" s="45" t="s">
        <v>1210</v>
      </c>
      <c r="E504" s="6" t="s">
        <v>1211</v>
      </c>
      <c r="F504" s="45" t="s">
        <v>559</v>
      </c>
      <c r="G504" s="46">
        <f t="shared" si="52"/>
        <v>35</v>
      </c>
      <c r="H504" s="46">
        <f>TRUNC(S504*(1-LOTE_01!$K$10),2)</f>
        <v>119.1</v>
      </c>
      <c r="I504" s="46">
        <f>TRUNC(T504*(1-LOTE_01!$K$10),2)</f>
        <v>19.45</v>
      </c>
      <c r="J504" s="100">
        <f t="shared" si="53"/>
        <v>0.22470000000000001</v>
      </c>
      <c r="K504" s="48">
        <f t="shared" si="54"/>
        <v>145.86000000000001</v>
      </c>
      <c r="L504" s="48">
        <f t="shared" si="55"/>
        <v>23.82</v>
      </c>
      <c r="M504" s="48">
        <f t="shared" si="56"/>
        <v>5105.1000000000004</v>
      </c>
      <c r="N504" s="48">
        <f t="shared" si="57"/>
        <v>833.7</v>
      </c>
      <c r="O504" s="50">
        <f t="shared" si="58"/>
        <v>5938.8</v>
      </c>
      <c r="P504" s="50">
        <v>0</v>
      </c>
      <c r="Q504" s="76"/>
      <c r="R504" s="140">
        <f>IF((5*S9+10*S10)&gt;50,50,(5*S9+10*S10))</f>
        <v>35</v>
      </c>
      <c r="S504" s="79">
        <v>119.1</v>
      </c>
      <c r="T504" s="80">
        <v>19.45</v>
      </c>
    </row>
    <row r="505" spans="2:20" ht="56">
      <c r="B505" s="5" t="s">
        <v>1212</v>
      </c>
      <c r="C505" s="45" t="s">
        <v>135</v>
      </c>
      <c r="D505" s="45">
        <v>89358</v>
      </c>
      <c r="E505" s="6" t="s">
        <v>1213</v>
      </c>
      <c r="F505" s="45" t="s">
        <v>210</v>
      </c>
      <c r="G505" s="46">
        <f t="shared" si="52"/>
        <v>35</v>
      </c>
      <c r="H505" s="46">
        <f>TRUNC(S505*(1-LOTE_01!$K$10),2)</f>
        <v>3.34</v>
      </c>
      <c r="I505" s="46">
        <f>TRUNC(T505*(1-LOTE_01!$K$10),2)</f>
        <v>5.77</v>
      </c>
      <c r="J505" s="100">
        <f t="shared" si="53"/>
        <v>0.22470000000000001</v>
      </c>
      <c r="K505" s="48">
        <f t="shared" si="54"/>
        <v>4.09</v>
      </c>
      <c r="L505" s="48">
        <f t="shared" si="55"/>
        <v>7.06</v>
      </c>
      <c r="M505" s="48">
        <f t="shared" si="56"/>
        <v>143.15</v>
      </c>
      <c r="N505" s="48">
        <f t="shared" si="57"/>
        <v>247.1</v>
      </c>
      <c r="O505" s="50">
        <f t="shared" si="58"/>
        <v>390.25</v>
      </c>
      <c r="P505" s="50">
        <v>0</v>
      </c>
      <c r="Q505" s="76"/>
      <c r="R505" s="140">
        <f>IF((5*S9+10*S10)&gt;50,50,(5*S9+10*S10))</f>
        <v>35</v>
      </c>
      <c r="S505" s="79">
        <v>3.34</v>
      </c>
      <c r="T505" s="80">
        <v>5.77</v>
      </c>
    </row>
    <row r="506" spans="2:20" ht="56">
      <c r="B506" s="5" t="s">
        <v>1214</v>
      </c>
      <c r="C506" s="45" t="s">
        <v>135</v>
      </c>
      <c r="D506" s="45">
        <v>89362</v>
      </c>
      <c r="E506" s="6" t="s">
        <v>1215</v>
      </c>
      <c r="F506" s="45" t="s">
        <v>210</v>
      </c>
      <c r="G506" s="46">
        <f t="shared" si="52"/>
        <v>35</v>
      </c>
      <c r="H506" s="46">
        <f>TRUNC(S506*(1-LOTE_01!$K$10),2)</f>
        <v>4.09</v>
      </c>
      <c r="I506" s="46">
        <f>TRUNC(T506*(1-LOTE_01!$K$10),2)</f>
        <v>6.69</v>
      </c>
      <c r="J506" s="100">
        <f t="shared" si="53"/>
        <v>0.22470000000000001</v>
      </c>
      <c r="K506" s="48">
        <f t="shared" si="54"/>
        <v>5</v>
      </c>
      <c r="L506" s="48">
        <f t="shared" si="55"/>
        <v>8.19</v>
      </c>
      <c r="M506" s="48">
        <f t="shared" si="56"/>
        <v>175</v>
      </c>
      <c r="N506" s="48">
        <f t="shared" si="57"/>
        <v>286.64999999999998</v>
      </c>
      <c r="O506" s="50">
        <f t="shared" si="58"/>
        <v>461.65</v>
      </c>
      <c r="P506" s="50">
        <v>0</v>
      </c>
      <c r="Q506" s="76"/>
      <c r="R506" s="140">
        <f>IF((5*S9+10*S10)&gt;50,50,(5*S9+10*S10))</f>
        <v>35</v>
      </c>
      <c r="S506" s="79">
        <v>4.089999999999999</v>
      </c>
      <c r="T506" s="80">
        <v>6.69</v>
      </c>
    </row>
    <row r="507" spans="2:20" ht="70">
      <c r="B507" s="5" t="s">
        <v>1216</v>
      </c>
      <c r="C507" s="45" t="s">
        <v>135</v>
      </c>
      <c r="D507" s="45">
        <v>89366</v>
      </c>
      <c r="E507" s="6" t="s">
        <v>1217</v>
      </c>
      <c r="F507" s="45" t="s">
        <v>210</v>
      </c>
      <c r="G507" s="46">
        <f t="shared" si="52"/>
        <v>35</v>
      </c>
      <c r="H507" s="46">
        <f>TRUNC(S507*(1-LOTE_01!$K$10),2)</f>
        <v>11.26</v>
      </c>
      <c r="I507" s="46">
        <f>TRUNC(T507*(1-LOTE_01!$K$10),2)</f>
        <v>6.27</v>
      </c>
      <c r="J507" s="100">
        <f t="shared" si="53"/>
        <v>0.22470000000000001</v>
      </c>
      <c r="K507" s="48">
        <f t="shared" si="54"/>
        <v>13.79</v>
      </c>
      <c r="L507" s="48">
        <f t="shared" si="55"/>
        <v>7.67</v>
      </c>
      <c r="M507" s="48">
        <f t="shared" si="56"/>
        <v>482.65</v>
      </c>
      <c r="N507" s="48">
        <f t="shared" si="57"/>
        <v>268.45</v>
      </c>
      <c r="O507" s="50">
        <f t="shared" si="58"/>
        <v>751.1</v>
      </c>
      <c r="P507" s="50">
        <v>0</v>
      </c>
      <c r="Q507" s="76"/>
      <c r="R507" s="140">
        <f>IF((5*S9+10*S10)&gt;50,50,(5*S9+10*S10))</f>
        <v>35</v>
      </c>
      <c r="S507" s="79">
        <v>11.260000000000002</v>
      </c>
      <c r="T507" s="80">
        <v>6.27</v>
      </c>
    </row>
    <row r="508" spans="2:20" ht="70">
      <c r="B508" s="5" t="s">
        <v>1218</v>
      </c>
      <c r="C508" s="45" t="s">
        <v>135</v>
      </c>
      <c r="D508" s="45">
        <v>89366</v>
      </c>
      <c r="E508" s="6" t="s">
        <v>1217</v>
      </c>
      <c r="F508" s="45" t="s">
        <v>210</v>
      </c>
      <c r="G508" s="46">
        <f t="shared" si="52"/>
        <v>35</v>
      </c>
      <c r="H508" s="46">
        <f>TRUNC(S508*(1-LOTE_01!$K$10),2)</f>
        <v>11.26</v>
      </c>
      <c r="I508" s="46">
        <f>TRUNC(T508*(1-LOTE_01!$K$10),2)</f>
        <v>6.27</v>
      </c>
      <c r="J508" s="100">
        <f t="shared" si="53"/>
        <v>0.22470000000000001</v>
      </c>
      <c r="K508" s="48">
        <f t="shared" si="54"/>
        <v>13.79</v>
      </c>
      <c r="L508" s="48">
        <f t="shared" si="55"/>
        <v>7.67</v>
      </c>
      <c r="M508" s="48">
        <f t="shared" si="56"/>
        <v>482.65</v>
      </c>
      <c r="N508" s="48">
        <f t="shared" si="57"/>
        <v>268.45</v>
      </c>
      <c r="O508" s="50">
        <f t="shared" si="58"/>
        <v>751.1</v>
      </c>
      <c r="P508" s="50">
        <v>0</v>
      </c>
      <c r="Q508" s="76"/>
      <c r="R508" s="140">
        <f>IF((5*S9+10*S10)&gt;50,50,(5*S9+10*S10))</f>
        <v>35</v>
      </c>
      <c r="S508" s="79">
        <v>11.260000000000002</v>
      </c>
      <c r="T508" s="80">
        <v>6.27</v>
      </c>
    </row>
    <row r="509" spans="2:20" ht="56">
      <c r="B509" s="5" t="s">
        <v>1219</v>
      </c>
      <c r="C509" s="45" t="s">
        <v>135</v>
      </c>
      <c r="D509" s="45">
        <v>89367</v>
      </c>
      <c r="E509" s="6" t="s">
        <v>1220</v>
      </c>
      <c r="F509" s="45" t="s">
        <v>210</v>
      </c>
      <c r="G509" s="46">
        <f t="shared" si="52"/>
        <v>35</v>
      </c>
      <c r="H509" s="46">
        <f>TRUNC(S509*(1-LOTE_01!$K$10),2)</f>
        <v>6.63</v>
      </c>
      <c r="I509" s="46">
        <f>TRUNC(T509*(1-LOTE_01!$K$10),2)</f>
        <v>7.99</v>
      </c>
      <c r="J509" s="100">
        <f t="shared" si="53"/>
        <v>0.22470000000000001</v>
      </c>
      <c r="K509" s="48">
        <f t="shared" si="54"/>
        <v>8.11</v>
      </c>
      <c r="L509" s="48">
        <f t="shared" si="55"/>
        <v>9.7799999999999994</v>
      </c>
      <c r="M509" s="48">
        <f t="shared" si="56"/>
        <v>283.85000000000002</v>
      </c>
      <c r="N509" s="48">
        <f t="shared" si="57"/>
        <v>342.3</v>
      </c>
      <c r="O509" s="50">
        <f t="shared" si="58"/>
        <v>626.15</v>
      </c>
      <c r="P509" s="50">
        <v>0</v>
      </c>
      <c r="Q509" s="76"/>
      <c r="R509" s="140">
        <f>IF((5*S9+10*S10)&gt;50,50,(5*S9+10*S10))</f>
        <v>35</v>
      </c>
      <c r="S509" s="79">
        <v>6.629999999999999</v>
      </c>
      <c r="T509" s="80">
        <v>7.99</v>
      </c>
    </row>
    <row r="510" spans="2:20" ht="56">
      <c r="B510" s="5" t="s">
        <v>1221</v>
      </c>
      <c r="C510" s="45" t="s">
        <v>135</v>
      </c>
      <c r="D510" s="45">
        <v>89497</v>
      </c>
      <c r="E510" s="6" t="s">
        <v>1222</v>
      </c>
      <c r="F510" s="45" t="s">
        <v>210</v>
      </c>
      <c r="G510" s="46">
        <f t="shared" si="52"/>
        <v>35</v>
      </c>
      <c r="H510" s="46">
        <f>TRUNC(S510*(1-LOTE_01!$K$10),2)</f>
        <v>9.33</v>
      </c>
      <c r="I510" s="46">
        <f>TRUNC(T510*(1-LOTE_01!$K$10),2)</f>
        <v>4.63</v>
      </c>
      <c r="J510" s="100">
        <f t="shared" si="53"/>
        <v>0.22470000000000001</v>
      </c>
      <c r="K510" s="48">
        <f t="shared" si="54"/>
        <v>11.42</v>
      </c>
      <c r="L510" s="48">
        <f t="shared" si="55"/>
        <v>5.67</v>
      </c>
      <c r="M510" s="48">
        <f t="shared" si="56"/>
        <v>399.7</v>
      </c>
      <c r="N510" s="48">
        <f t="shared" si="57"/>
        <v>198.45</v>
      </c>
      <c r="O510" s="50">
        <f t="shared" si="58"/>
        <v>598.15</v>
      </c>
      <c r="P510" s="50">
        <v>0</v>
      </c>
      <c r="Q510" s="76"/>
      <c r="R510" s="140">
        <f>IF((5*S9+10*S10)&gt;50,50,(5*S9+10*S10))</f>
        <v>35</v>
      </c>
      <c r="S510" s="79">
        <v>9.3300000000000018</v>
      </c>
      <c r="T510" s="80">
        <v>4.63</v>
      </c>
    </row>
    <row r="511" spans="2:20" ht="70">
      <c r="B511" s="5" t="s">
        <v>1223</v>
      </c>
      <c r="C511" s="45" t="s">
        <v>135</v>
      </c>
      <c r="D511" s="45">
        <v>96853</v>
      </c>
      <c r="E511" s="6" t="s">
        <v>1224</v>
      </c>
      <c r="F511" s="45" t="s">
        <v>210</v>
      </c>
      <c r="G511" s="46">
        <f t="shared" si="52"/>
        <v>35</v>
      </c>
      <c r="H511" s="46">
        <f>TRUNC(S511*(1-LOTE_01!$K$10),2)</f>
        <v>16.760000000000002</v>
      </c>
      <c r="I511" s="46">
        <f>TRUNC(T511*(1-LOTE_01!$K$10),2)</f>
        <v>10.54</v>
      </c>
      <c r="J511" s="100">
        <f t="shared" si="53"/>
        <v>0.22470000000000001</v>
      </c>
      <c r="K511" s="48">
        <f t="shared" si="54"/>
        <v>20.52</v>
      </c>
      <c r="L511" s="48">
        <f t="shared" si="55"/>
        <v>12.9</v>
      </c>
      <c r="M511" s="48">
        <f t="shared" si="56"/>
        <v>718.2</v>
      </c>
      <c r="N511" s="48">
        <f t="shared" si="57"/>
        <v>451.5</v>
      </c>
      <c r="O511" s="50">
        <f t="shared" si="58"/>
        <v>1169.7</v>
      </c>
      <c r="P511" s="50">
        <v>0</v>
      </c>
      <c r="Q511" s="76"/>
      <c r="R511" s="140">
        <f>IF((5*S9+10*S10)&gt;50,50,(5*S9+10*S10))</f>
        <v>35</v>
      </c>
      <c r="S511" s="79">
        <v>16.760000000000002</v>
      </c>
      <c r="T511" s="80">
        <v>10.54</v>
      </c>
    </row>
    <row r="512" spans="2:20" ht="70">
      <c r="B512" s="5" t="s">
        <v>1225</v>
      </c>
      <c r="C512" s="45" t="s">
        <v>135</v>
      </c>
      <c r="D512" s="45">
        <v>90373</v>
      </c>
      <c r="E512" s="6" t="s">
        <v>1226</v>
      </c>
      <c r="F512" s="45" t="s">
        <v>210</v>
      </c>
      <c r="G512" s="46">
        <f t="shared" si="52"/>
        <v>35</v>
      </c>
      <c r="H512" s="46">
        <f>TRUNC(S512*(1-LOTE_01!$K$10),2)</f>
        <v>8.34</v>
      </c>
      <c r="I512" s="46">
        <f>TRUNC(T512*(1-LOTE_01!$K$10),2)</f>
        <v>5.81</v>
      </c>
      <c r="J512" s="100">
        <f t="shared" si="53"/>
        <v>0.22470000000000001</v>
      </c>
      <c r="K512" s="48">
        <f t="shared" si="54"/>
        <v>10.210000000000001</v>
      </c>
      <c r="L512" s="48">
        <f t="shared" si="55"/>
        <v>7.11</v>
      </c>
      <c r="M512" s="48">
        <f t="shared" si="56"/>
        <v>357.35</v>
      </c>
      <c r="N512" s="48">
        <f t="shared" si="57"/>
        <v>248.85</v>
      </c>
      <c r="O512" s="50">
        <f t="shared" si="58"/>
        <v>606.20000000000005</v>
      </c>
      <c r="P512" s="50">
        <v>0</v>
      </c>
      <c r="Q512" s="76"/>
      <c r="R512" s="140">
        <f>IF((5*S9+10*S10)&gt;50,50,(5*S9+10*S10))</f>
        <v>35</v>
      </c>
      <c r="S512" s="79">
        <v>8.34</v>
      </c>
      <c r="T512" s="80">
        <v>5.81</v>
      </c>
    </row>
    <row r="513" spans="2:20" ht="56">
      <c r="B513" s="5" t="s">
        <v>1227</v>
      </c>
      <c r="C513" s="45" t="s">
        <v>135</v>
      </c>
      <c r="D513" s="45">
        <v>89369</v>
      </c>
      <c r="E513" s="6" t="s">
        <v>1228</v>
      </c>
      <c r="F513" s="45" t="s">
        <v>210</v>
      </c>
      <c r="G513" s="46">
        <f t="shared" si="52"/>
        <v>35</v>
      </c>
      <c r="H513" s="46">
        <f>TRUNC(S513*(1-LOTE_01!$K$10),2)</f>
        <v>10.73</v>
      </c>
      <c r="I513" s="46">
        <f>TRUNC(T513*(1-LOTE_01!$K$10),2)</f>
        <v>8.02</v>
      </c>
      <c r="J513" s="100">
        <f t="shared" si="53"/>
        <v>0.22470000000000001</v>
      </c>
      <c r="K513" s="48">
        <f t="shared" si="54"/>
        <v>13.14</v>
      </c>
      <c r="L513" s="48">
        <f t="shared" si="55"/>
        <v>9.82</v>
      </c>
      <c r="M513" s="48">
        <f t="shared" si="56"/>
        <v>459.9</v>
      </c>
      <c r="N513" s="48">
        <f t="shared" si="57"/>
        <v>343.7</v>
      </c>
      <c r="O513" s="50">
        <f t="shared" si="58"/>
        <v>803.6</v>
      </c>
      <c r="P513" s="50">
        <v>0</v>
      </c>
      <c r="Q513" s="76"/>
      <c r="R513" s="140">
        <f>IF((5*S9+10*S10)&gt;50,50,(5*S9+10*S10))</f>
        <v>35</v>
      </c>
      <c r="S513" s="79">
        <v>10.73</v>
      </c>
      <c r="T513" s="80">
        <v>8.02</v>
      </c>
    </row>
    <row r="514" spans="2:20" ht="84">
      <c r="B514" s="5" t="s">
        <v>1229</v>
      </c>
      <c r="C514" s="45" t="s">
        <v>135</v>
      </c>
      <c r="D514" s="45">
        <v>89391</v>
      </c>
      <c r="E514" s="6" t="s">
        <v>1230</v>
      </c>
      <c r="F514" s="45" t="s">
        <v>210</v>
      </c>
      <c r="G514" s="46">
        <f t="shared" si="52"/>
        <v>35</v>
      </c>
      <c r="H514" s="46">
        <f>TRUNC(S514*(1-LOTE_01!$K$10),2)</f>
        <v>4.7300000000000004</v>
      </c>
      <c r="I514" s="46">
        <f>TRUNC(T514*(1-LOTE_01!$K$10),2)</f>
        <v>4.9000000000000004</v>
      </c>
      <c r="J514" s="100">
        <f t="shared" si="53"/>
        <v>0.22470000000000001</v>
      </c>
      <c r="K514" s="48">
        <f t="shared" si="54"/>
        <v>5.79</v>
      </c>
      <c r="L514" s="48">
        <f t="shared" si="55"/>
        <v>6</v>
      </c>
      <c r="M514" s="48">
        <f t="shared" si="56"/>
        <v>202.65</v>
      </c>
      <c r="N514" s="48">
        <f t="shared" si="57"/>
        <v>210</v>
      </c>
      <c r="O514" s="50">
        <f t="shared" si="58"/>
        <v>412.65</v>
      </c>
      <c r="P514" s="50">
        <v>0</v>
      </c>
      <c r="Q514" s="76"/>
      <c r="R514" s="140">
        <f>IF((5*S9+10*S10)&gt;50,50,(5*S9+10*S10))</f>
        <v>35</v>
      </c>
      <c r="S514" s="79">
        <v>4.7300000000000004</v>
      </c>
      <c r="T514" s="80">
        <v>4.9000000000000004</v>
      </c>
    </row>
    <row r="515" spans="2:20" ht="56">
      <c r="B515" s="5" t="s">
        <v>1231</v>
      </c>
      <c r="C515" s="45" t="s">
        <v>135</v>
      </c>
      <c r="D515" s="45">
        <v>89401</v>
      </c>
      <c r="E515" s="6" t="s">
        <v>1232</v>
      </c>
      <c r="F515" s="45" t="s">
        <v>187</v>
      </c>
      <c r="G515" s="46">
        <f t="shared" si="52"/>
        <v>70</v>
      </c>
      <c r="H515" s="46">
        <f>TRUNC(S515*(1-LOTE_01!$K$10),2)</f>
        <v>6.06</v>
      </c>
      <c r="I515" s="46">
        <f>TRUNC(T515*(1-LOTE_01!$K$10),2)</f>
        <v>6.04</v>
      </c>
      <c r="J515" s="100">
        <f t="shared" si="53"/>
        <v>0.22470000000000001</v>
      </c>
      <c r="K515" s="48">
        <f t="shared" si="54"/>
        <v>7.42</v>
      </c>
      <c r="L515" s="48">
        <f t="shared" si="55"/>
        <v>7.39</v>
      </c>
      <c r="M515" s="48">
        <f t="shared" si="56"/>
        <v>519.4</v>
      </c>
      <c r="N515" s="48">
        <f t="shared" si="57"/>
        <v>517.29999999999995</v>
      </c>
      <c r="O515" s="50">
        <f t="shared" si="58"/>
        <v>1036.7</v>
      </c>
      <c r="P515" s="50">
        <v>0</v>
      </c>
      <c r="Q515" s="76"/>
      <c r="R515" s="140">
        <f>IF((10*S9+20*S10)&gt;100,100,(10*S9+20*S10))</f>
        <v>70</v>
      </c>
      <c r="S515" s="79">
        <v>6.06</v>
      </c>
      <c r="T515" s="80">
        <v>6.04</v>
      </c>
    </row>
    <row r="516" spans="2:20" ht="56">
      <c r="B516" s="5" t="s">
        <v>1233</v>
      </c>
      <c r="C516" s="45" t="s">
        <v>135</v>
      </c>
      <c r="D516" s="45">
        <v>89402</v>
      </c>
      <c r="E516" s="6" t="s">
        <v>1234</v>
      </c>
      <c r="F516" s="45" t="s">
        <v>187</v>
      </c>
      <c r="G516" s="46">
        <f t="shared" si="52"/>
        <v>70</v>
      </c>
      <c r="H516" s="46">
        <f>TRUNC(S516*(1-LOTE_01!$K$10),2)</f>
        <v>6.91</v>
      </c>
      <c r="I516" s="46">
        <f>TRUNC(T516*(1-LOTE_01!$K$10),2)</f>
        <v>6.99</v>
      </c>
      <c r="J516" s="100">
        <f t="shared" si="53"/>
        <v>0.22470000000000001</v>
      </c>
      <c r="K516" s="48">
        <f t="shared" si="54"/>
        <v>8.4600000000000009</v>
      </c>
      <c r="L516" s="48">
        <f t="shared" si="55"/>
        <v>8.56</v>
      </c>
      <c r="M516" s="48">
        <f t="shared" si="56"/>
        <v>592.20000000000005</v>
      </c>
      <c r="N516" s="48">
        <f t="shared" si="57"/>
        <v>599.20000000000005</v>
      </c>
      <c r="O516" s="50">
        <f t="shared" si="58"/>
        <v>1191.4000000000001</v>
      </c>
      <c r="P516" s="50">
        <v>0</v>
      </c>
      <c r="Q516" s="76"/>
      <c r="R516" s="140">
        <f>IF((10*S9+20*S10)&gt;100,100,(10*S9+20*S10))</f>
        <v>70</v>
      </c>
      <c r="S516" s="79">
        <v>6.91</v>
      </c>
      <c r="T516" s="80">
        <v>6.99</v>
      </c>
    </row>
    <row r="517" spans="2:20" ht="56">
      <c r="B517" s="5" t="s">
        <v>1235</v>
      </c>
      <c r="C517" s="45" t="s">
        <v>135</v>
      </c>
      <c r="D517" s="45">
        <v>89403</v>
      </c>
      <c r="E517" s="6" t="s">
        <v>1236</v>
      </c>
      <c r="F517" s="45" t="s">
        <v>187</v>
      </c>
      <c r="G517" s="46">
        <f t="shared" si="52"/>
        <v>70</v>
      </c>
      <c r="H517" s="46">
        <f>TRUNC(S517*(1-LOTE_01!$K$10),2)</f>
        <v>12.53</v>
      </c>
      <c r="I517" s="46">
        <f>TRUNC(T517*(1-LOTE_01!$K$10),2)</f>
        <v>8.3699999999999992</v>
      </c>
      <c r="J517" s="100">
        <f t="shared" si="53"/>
        <v>0.22470000000000001</v>
      </c>
      <c r="K517" s="48">
        <f t="shared" si="54"/>
        <v>15.34</v>
      </c>
      <c r="L517" s="48">
        <f t="shared" si="55"/>
        <v>10.25</v>
      </c>
      <c r="M517" s="48">
        <f t="shared" si="56"/>
        <v>1073.8</v>
      </c>
      <c r="N517" s="48">
        <f t="shared" si="57"/>
        <v>717.5</v>
      </c>
      <c r="O517" s="50">
        <f t="shared" si="58"/>
        <v>1791.3</v>
      </c>
      <c r="P517" s="50">
        <v>0</v>
      </c>
      <c r="Q517" s="76"/>
      <c r="R517" s="140">
        <f>IF((10*S9+20*S10)&gt;100,100,(10*S9+20*S10))</f>
        <v>70</v>
      </c>
      <c r="S517" s="79">
        <v>12.53</v>
      </c>
      <c r="T517" s="80">
        <v>8.3699999999999992</v>
      </c>
    </row>
    <row r="518" spans="2:20" ht="56">
      <c r="B518" s="5" t="s">
        <v>1237</v>
      </c>
      <c r="C518" s="45" t="s">
        <v>135</v>
      </c>
      <c r="D518" s="45">
        <v>89448</v>
      </c>
      <c r="E518" s="6" t="s">
        <v>1238</v>
      </c>
      <c r="F518" s="45" t="s">
        <v>187</v>
      </c>
      <c r="G518" s="46">
        <f t="shared" si="52"/>
        <v>70</v>
      </c>
      <c r="H518" s="46">
        <f>TRUNC(S518*(1-LOTE_01!$K$10),2)</f>
        <v>15.53</v>
      </c>
      <c r="I518" s="46">
        <f>TRUNC(T518*(1-LOTE_01!$K$10),2)</f>
        <v>1.25</v>
      </c>
      <c r="J518" s="100">
        <f t="shared" si="53"/>
        <v>0.22470000000000001</v>
      </c>
      <c r="K518" s="48">
        <f t="shared" si="54"/>
        <v>19.010000000000002</v>
      </c>
      <c r="L518" s="48">
        <f t="shared" si="55"/>
        <v>1.53</v>
      </c>
      <c r="M518" s="48">
        <f t="shared" si="56"/>
        <v>1330.7</v>
      </c>
      <c r="N518" s="48">
        <f t="shared" si="57"/>
        <v>107.1</v>
      </c>
      <c r="O518" s="50">
        <f t="shared" si="58"/>
        <v>1437.8</v>
      </c>
      <c r="P518" s="50">
        <v>0</v>
      </c>
      <c r="Q518" s="76"/>
      <c r="R518" s="140">
        <f>IF((10*S9+20*S10)&gt;100,100,(10*S9+20*S10))</f>
        <v>70</v>
      </c>
      <c r="S518" s="79">
        <v>15.530000000000001</v>
      </c>
      <c r="T518" s="80">
        <v>1.25</v>
      </c>
    </row>
    <row r="519" spans="2:20" ht="70">
      <c r="B519" s="5" t="s">
        <v>1239</v>
      </c>
      <c r="C519" s="45" t="s">
        <v>135</v>
      </c>
      <c r="D519" s="45">
        <v>89711</v>
      </c>
      <c r="E519" s="6" t="s">
        <v>1240</v>
      </c>
      <c r="F519" s="45" t="s">
        <v>187</v>
      </c>
      <c r="G519" s="46">
        <f t="shared" si="52"/>
        <v>70</v>
      </c>
      <c r="H519" s="46">
        <f>TRUNC(S519*(1-LOTE_01!$K$10),2)</f>
        <v>11.24</v>
      </c>
      <c r="I519" s="46">
        <f>TRUNC(T519*(1-LOTE_01!$K$10),2)</f>
        <v>12.63</v>
      </c>
      <c r="J519" s="100">
        <f t="shared" si="53"/>
        <v>0.22470000000000001</v>
      </c>
      <c r="K519" s="48">
        <f t="shared" si="54"/>
        <v>13.76</v>
      </c>
      <c r="L519" s="48">
        <f t="shared" si="55"/>
        <v>15.46</v>
      </c>
      <c r="M519" s="48">
        <f t="shared" si="56"/>
        <v>963.2</v>
      </c>
      <c r="N519" s="48">
        <f t="shared" si="57"/>
        <v>1082.2</v>
      </c>
      <c r="O519" s="50">
        <f t="shared" si="58"/>
        <v>2045.4</v>
      </c>
      <c r="P519" s="50">
        <v>0</v>
      </c>
      <c r="Q519" s="76"/>
      <c r="R519" s="140">
        <f>IF((10*S9+20*S10)&gt;100,100,(10*S9+20*S10))</f>
        <v>70</v>
      </c>
      <c r="S519" s="79">
        <v>11.24</v>
      </c>
      <c r="T519" s="80">
        <v>12.63</v>
      </c>
    </row>
    <row r="520" spans="2:20" ht="70">
      <c r="B520" s="5" t="s">
        <v>1241</v>
      </c>
      <c r="C520" s="45" t="s">
        <v>135</v>
      </c>
      <c r="D520" s="45">
        <v>89712</v>
      </c>
      <c r="E520" s="6" t="s">
        <v>1242</v>
      </c>
      <c r="F520" s="45" t="s">
        <v>187</v>
      </c>
      <c r="G520" s="46">
        <f t="shared" si="52"/>
        <v>70</v>
      </c>
      <c r="H520" s="46">
        <f>TRUNC(S520*(1-LOTE_01!$K$10),2)</f>
        <v>15.96</v>
      </c>
      <c r="I520" s="46">
        <f>TRUNC(T520*(1-LOTE_01!$K$10),2)</f>
        <v>13.63</v>
      </c>
      <c r="J520" s="100">
        <f t="shared" si="53"/>
        <v>0.22470000000000001</v>
      </c>
      <c r="K520" s="48">
        <f t="shared" si="54"/>
        <v>19.54</v>
      </c>
      <c r="L520" s="48">
        <f t="shared" si="55"/>
        <v>16.690000000000001</v>
      </c>
      <c r="M520" s="48">
        <f t="shared" si="56"/>
        <v>1367.8</v>
      </c>
      <c r="N520" s="48">
        <f t="shared" si="57"/>
        <v>1168.3</v>
      </c>
      <c r="O520" s="50">
        <f t="shared" si="58"/>
        <v>2536.1</v>
      </c>
      <c r="P520" s="50">
        <v>0</v>
      </c>
      <c r="Q520" s="76"/>
      <c r="R520" s="140">
        <f>IF((10*S9+20*S10)&gt;100,100,(10*S9+20*S10))</f>
        <v>70</v>
      </c>
      <c r="S520" s="79">
        <v>15.959999999999999</v>
      </c>
      <c r="T520" s="80">
        <v>13.63</v>
      </c>
    </row>
    <row r="521" spans="2:20" ht="70">
      <c r="B521" s="5" t="s">
        <v>1243</v>
      </c>
      <c r="C521" s="45" t="s">
        <v>135</v>
      </c>
      <c r="D521" s="45">
        <v>89714</v>
      </c>
      <c r="E521" s="6" t="s">
        <v>1244</v>
      </c>
      <c r="F521" s="45" t="s">
        <v>187</v>
      </c>
      <c r="G521" s="46">
        <f t="shared" si="52"/>
        <v>90</v>
      </c>
      <c r="H521" s="46">
        <f>TRUNC(S521*(1-LOTE_01!$K$10),2)</f>
        <v>22.2</v>
      </c>
      <c r="I521" s="46">
        <f>TRUNC(T521*(1-LOTE_01!$K$10),2)</f>
        <v>19.05</v>
      </c>
      <c r="J521" s="100">
        <f t="shared" si="53"/>
        <v>0.22470000000000001</v>
      </c>
      <c r="K521" s="48">
        <f t="shared" si="54"/>
        <v>27.18</v>
      </c>
      <c r="L521" s="48">
        <f t="shared" si="55"/>
        <v>23.33</v>
      </c>
      <c r="M521" s="48">
        <f t="shared" si="56"/>
        <v>2446.1999999999998</v>
      </c>
      <c r="N521" s="48">
        <f t="shared" si="57"/>
        <v>2099.6999999999998</v>
      </c>
      <c r="O521" s="50">
        <f t="shared" si="58"/>
        <v>4545.8999999999996</v>
      </c>
      <c r="P521" s="50">
        <v>0</v>
      </c>
      <c r="Q521" s="76"/>
      <c r="R521" s="140">
        <f>IF((10*S9+30*S10)&gt;200,200,(10*S9+30*S10))</f>
        <v>90</v>
      </c>
      <c r="S521" s="79">
        <v>22.2</v>
      </c>
      <c r="T521" s="80">
        <v>19.05</v>
      </c>
    </row>
    <row r="522" spans="2:20" ht="70">
      <c r="B522" s="5" t="s">
        <v>1245</v>
      </c>
      <c r="C522" s="45" t="s">
        <v>135</v>
      </c>
      <c r="D522" s="45">
        <v>89689</v>
      </c>
      <c r="E522" s="6" t="s">
        <v>1246</v>
      </c>
      <c r="F522" s="45" t="s">
        <v>210</v>
      </c>
      <c r="G522" s="46">
        <f t="shared" si="52"/>
        <v>35</v>
      </c>
      <c r="H522" s="46">
        <f>TRUNC(S522*(1-LOTE_01!$K$10),2)</f>
        <v>35.08</v>
      </c>
      <c r="I522" s="46">
        <f>TRUNC(T522*(1-LOTE_01!$K$10),2)</f>
        <v>4.88</v>
      </c>
      <c r="J522" s="100">
        <f t="shared" si="53"/>
        <v>0.22470000000000001</v>
      </c>
      <c r="K522" s="48">
        <f t="shared" si="54"/>
        <v>42.96</v>
      </c>
      <c r="L522" s="48">
        <f t="shared" si="55"/>
        <v>5.97</v>
      </c>
      <c r="M522" s="48">
        <f t="shared" si="56"/>
        <v>1503.6</v>
      </c>
      <c r="N522" s="48">
        <f t="shared" si="57"/>
        <v>208.95</v>
      </c>
      <c r="O522" s="50">
        <f t="shared" si="58"/>
        <v>1712.55</v>
      </c>
      <c r="P522" s="50">
        <v>0</v>
      </c>
      <c r="Q522" s="76"/>
      <c r="R522" s="140">
        <f>IF((5*S9+10*S10)&gt;50,50,(5*S9+10*S10))</f>
        <v>35</v>
      </c>
      <c r="S522" s="79">
        <v>35.08</v>
      </c>
      <c r="T522" s="80">
        <v>4.88</v>
      </c>
    </row>
    <row r="523" spans="2:20" ht="70">
      <c r="B523" s="5" t="s">
        <v>1247</v>
      </c>
      <c r="C523" s="45" t="s">
        <v>135</v>
      </c>
      <c r="D523" s="45">
        <v>89759</v>
      </c>
      <c r="E523" s="6" t="s">
        <v>1248</v>
      </c>
      <c r="F523" s="45" t="s">
        <v>210</v>
      </c>
      <c r="G523" s="46">
        <f t="shared" si="52"/>
        <v>35</v>
      </c>
      <c r="H523" s="46">
        <f>TRUNC(S523*(1-LOTE_01!$K$10),2)</f>
        <v>8.7200000000000006</v>
      </c>
      <c r="I523" s="46">
        <f>TRUNC(T523*(1-LOTE_01!$K$10),2)</f>
        <v>3.85</v>
      </c>
      <c r="J523" s="100">
        <f t="shared" si="53"/>
        <v>0.22470000000000001</v>
      </c>
      <c r="K523" s="48">
        <f t="shared" si="54"/>
        <v>10.67</v>
      </c>
      <c r="L523" s="48">
        <f t="shared" si="55"/>
        <v>4.71</v>
      </c>
      <c r="M523" s="48">
        <f t="shared" si="56"/>
        <v>373.45</v>
      </c>
      <c r="N523" s="48">
        <f t="shared" si="57"/>
        <v>164.85</v>
      </c>
      <c r="O523" s="50">
        <f t="shared" si="58"/>
        <v>538.29999999999995</v>
      </c>
      <c r="P523" s="50">
        <v>0</v>
      </c>
      <c r="Q523" s="76"/>
      <c r="R523" s="140">
        <f>IF((5*S9+10*S10)&gt;50,50,(5*S9+10*S10))</f>
        <v>35</v>
      </c>
      <c r="S523" s="79">
        <v>8.7200000000000006</v>
      </c>
      <c r="T523" s="80">
        <v>3.85</v>
      </c>
    </row>
    <row r="524" spans="2:20" ht="56">
      <c r="B524" s="5" t="s">
        <v>1249</v>
      </c>
      <c r="C524" s="45" t="s">
        <v>135</v>
      </c>
      <c r="D524" s="45">
        <v>103964</v>
      </c>
      <c r="E524" s="6" t="s">
        <v>1250</v>
      </c>
      <c r="F524" s="45" t="s">
        <v>210</v>
      </c>
      <c r="G524" s="46">
        <f t="shared" si="52"/>
        <v>35</v>
      </c>
      <c r="H524" s="46">
        <f>TRUNC(S524*(1-LOTE_01!$K$10),2)</f>
        <v>5.96</v>
      </c>
      <c r="I524" s="46">
        <f>TRUNC(T524*(1-LOTE_01!$K$10),2)</f>
        <v>2.57</v>
      </c>
      <c r="J524" s="100">
        <f t="shared" si="53"/>
        <v>0.22470000000000001</v>
      </c>
      <c r="K524" s="48">
        <f t="shared" si="54"/>
        <v>7.29</v>
      </c>
      <c r="L524" s="48">
        <f t="shared" si="55"/>
        <v>3.14</v>
      </c>
      <c r="M524" s="48">
        <f t="shared" si="56"/>
        <v>255.15</v>
      </c>
      <c r="N524" s="48">
        <f t="shared" si="57"/>
        <v>109.9</v>
      </c>
      <c r="O524" s="50">
        <f t="shared" si="58"/>
        <v>365.05</v>
      </c>
      <c r="P524" s="50">
        <v>0</v>
      </c>
      <c r="Q524" s="76"/>
      <c r="R524" s="140">
        <f>IF((5*S9+10*S10)&gt;50,50,(5*S9+10*S10))</f>
        <v>35</v>
      </c>
      <c r="S524" s="79">
        <v>5.9599999999999991</v>
      </c>
      <c r="T524" s="80">
        <v>2.57</v>
      </c>
    </row>
    <row r="525" spans="2:20" ht="70">
      <c r="B525" s="5" t="s">
        <v>1251</v>
      </c>
      <c r="C525" s="45" t="s">
        <v>135</v>
      </c>
      <c r="D525" s="45">
        <v>89709</v>
      </c>
      <c r="E525" s="6" t="s">
        <v>1252</v>
      </c>
      <c r="F525" s="45" t="s">
        <v>210</v>
      </c>
      <c r="G525" s="46">
        <f t="shared" si="52"/>
        <v>16</v>
      </c>
      <c r="H525" s="46">
        <f>TRUNC(S525*(1-LOTE_01!$K$10),2)</f>
        <v>14.27</v>
      </c>
      <c r="I525" s="46">
        <f>TRUNC(T525*(1-LOTE_01!$K$10),2)</f>
        <v>7.06</v>
      </c>
      <c r="J525" s="100">
        <f t="shared" si="53"/>
        <v>0.22470000000000001</v>
      </c>
      <c r="K525" s="48">
        <f t="shared" si="54"/>
        <v>17.47</v>
      </c>
      <c r="L525" s="48">
        <f t="shared" si="55"/>
        <v>8.64</v>
      </c>
      <c r="M525" s="48">
        <f t="shared" si="56"/>
        <v>279.52</v>
      </c>
      <c r="N525" s="48">
        <f t="shared" si="57"/>
        <v>138.24</v>
      </c>
      <c r="O525" s="50">
        <f t="shared" si="58"/>
        <v>417.76</v>
      </c>
      <c r="P525" s="50">
        <v>0</v>
      </c>
      <c r="Q525" s="76"/>
      <c r="R525" s="140">
        <f>IF((2*S9+5*S10)&gt;50,50,(2*S9+5*S10))</f>
        <v>16</v>
      </c>
      <c r="S525" s="79">
        <v>14.27</v>
      </c>
      <c r="T525" s="80">
        <v>7.06</v>
      </c>
    </row>
    <row r="526" spans="2:20" ht="56">
      <c r="B526" s="5" t="s">
        <v>1253</v>
      </c>
      <c r="C526" s="45" t="s">
        <v>135</v>
      </c>
      <c r="D526" s="45">
        <v>89491</v>
      </c>
      <c r="E526" s="6" t="s">
        <v>1254</v>
      </c>
      <c r="F526" s="45" t="s">
        <v>210</v>
      </c>
      <c r="G526" s="46">
        <f t="shared" si="52"/>
        <v>16</v>
      </c>
      <c r="H526" s="46">
        <f>TRUNC(S526*(1-LOTE_01!$K$10),2)</f>
        <v>81.77</v>
      </c>
      <c r="I526" s="46">
        <f>TRUNC(T526*(1-LOTE_01!$K$10),2)</f>
        <v>14.4</v>
      </c>
      <c r="J526" s="100">
        <f t="shared" si="53"/>
        <v>0.22470000000000001</v>
      </c>
      <c r="K526" s="48">
        <f t="shared" si="54"/>
        <v>100.14</v>
      </c>
      <c r="L526" s="48">
        <f t="shared" si="55"/>
        <v>17.63</v>
      </c>
      <c r="M526" s="48">
        <f t="shared" si="56"/>
        <v>1602.24</v>
      </c>
      <c r="N526" s="48">
        <f t="shared" si="57"/>
        <v>282.08</v>
      </c>
      <c r="O526" s="50">
        <f t="shared" si="58"/>
        <v>1884.32</v>
      </c>
      <c r="P526" s="50">
        <v>0</v>
      </c>
      <c r="Q526" s="76"/>
      <c r="R526" s="140">
        <f>IF((2*S9+5*S10)&gt;50,50,(2*S9+5*S10))</f>
        <v>16</v>
      </c>
      <c r="S526" s="79">
        <v>81.77</v>
      </c>
      <c r="T526" s="80">
        <v>14.4</v>
      </c>
    </row>
    <row r="527" spans="2:20" ht="28">
      <c r="B527" s="5" t="s">
        <v>1255</v>
      </c>
      <c r="C527" s="45" t="s">
        <v>165</v>
      </c>
      <c r="D527" s="45" t="s">
        <v>1210</v>
      </c>
      <c r="E527" s="6" t="s">
        <v>1211</v>
      </c>
      <c r="F527" s="45" t="s">
        <v>559</v>
      </c>
      <c r="G527" s="46">
        <f t="shared" si="52"/>
        <v>35</v>
      </c>
      <c r="H527" s="46">
        <f>TRUNC(S527*(1-LOTE_01!$K$10),2)</f>
        <v>119.1</v>
      </c>
      <c r="I527" s="46">
        <f>TRUNC(T527*(1-LOTE_01!$K$10),2)</f>
        <v>19.45</v>
      </c>
      <c r="J527" s="100">
        <f t="shared" si="53"/>
        <v>0.22470000000000001</v>
      </c>
      <c r="K527" s="48">
        <f t="shared" si="54"/>
        <v>145.86000000000001</v>
      </c>
      <c r="L527" s="48">
        <f t="shared" si="55"/>
        <v>23.82</v>
      </c>
      <c r="M527" s="48">
        <f t="shared" si="56"/>
        <v>5105.1000000000004</v>
      </c>
      <c r="N527" s="48">
        <f t="shared" si="57"/>
        <v>833.7</v>
      </c>
      <c r="O527" s="50">
        <f t="shared" si="58"/>
        <v>5938.8</v>
      </c>
      <c r="P527" s="50">
        <v>0</v>
      </c>
      <c r="Q527" s="76"/>
      <c r="R527" s="140">
        <f>IF((5*S9+10*S10)&gt;50,50,(5*S9+10*S10))</f>
        <v>35</v>
      </c>
      <c r="S527" s="79">
        <v>119.1</v>
      </c>
      <c r="T527" s="80">
        <v>19.45</v>
      </c>
    </row>
    <row r="528" spans="2:20" ht="56">
      <c r="B528" s="5" t="s">
        <v>1256</v>
      </c>
      <c r="C528" s="45" t="s">
        <v>135</v>
      </c>
      <c r="D528" s="45">
        <v>89986</v>
      </c>
      <c r="E528" s="6" t="s">
        <v>1257</v>
      </c>
      <c r="F528" s="45" t="s">
        <v>210</v>
      </c>
      <c r="G528" s="46">
        <f t="shared" si="52"/>
        <v>35</v>
      </c>
      <c r="H528" s="46">
        <f>TRUNC(S528*(1-LOTE_01!$K$10),2)</f>
        <v>74.959999999999994</v>
      </c>
      <c r="I528" s="46">
        <f>TRUNC(T528*(1-LOTE_01!$K$10),2)</f>
        <v>7.78</v>
      </c>
      <c r="J528" s="100">
        <f t="shared" si="53"/>
        <v>0.22470000000000001</v>
      </c>
      <c r="K528" s="48">
        <f t="shared" si="54"/>
        <v>91.8</v>
      </c>
      <c r="L528" s="48">
        <f t="shared" si="55"/>
        <v>9.52</v>
      </c>
      <c r="M528" s="48">
        <f t="shared" si="56"/>
        <v>3213</v>
      </c>
      <c r="N528" s="48">
        <f t="shared" si="57"/>
        <v>333.2</v>
      </c>
      <c r="O528" s="50">
        <f t="shared" si="58"/>
        <v>3546.2</v>
      </c>
      <c r="P528" s="50">
        <v>0</v>
      </c>
      <c r="Q528" s="76"/>
      <c r="R528" s="140">
        <f>IF((5*S9+10*S10)&gt;50,50,(5*S9+10*S10))</f>
        <v>35</v>
      </c>
      <c r="S528" s="79">
        <v>74.959999999999994</v>
      </c>
      <c r="T528" s="80">
        <v>7.78</v>
      </c>
    </row>
    <row r="529" spans="2:20" ht="28">
      <c r="B529" s="5" t="s">
        <v>1258</v>
      </c>
      <c r="C529" s="45" t="s">
        <v>165</v>
      </c>
      <c r="D529" s="45" t="s">
        <v>1259</v>
      </c>
      <c r="E529" s="6" t="s">
        <v>1260</v>
      </c>
      <c r="F529" s="45" t="s">
        <v>559</v>
      </c>
      <c r="G529" s="46">
        <f t="shared" si="52"/>
        <v>35</v>
      </c>
      <c r="H529" s="46">
        <f>TRUNC(S529*(1-LOTE_01!$K$10),2)</f>
        <v>95.61</v>
      </c>
      <c r="I529" s="46">
        <f>TRUNC(T529*(1-LOTE_01!$K$10),2)</f>
        <v>19.45</v>
      </c>
      <c r="J529" s="100">
        <f t="shared" si="53"/>
        <v>0.22470000000000001</v>
      </c>
      <c r="K529" s="48">
        <f t="shared" si="54"/>
        <v>117.09</v>
      </c>
      <c r="L529" s="48">
        <f t="shared" si="55"/>
        <v>23.82</v>
      </c>
      <c r="M529" s="48">
        <f t="shared" si="56"/>
        <v>4098.1499999999996</v>
      </c>
      <c r="N529" s="48">
        <f t="shared" si="57"/>
        <v>833.7</v>
      </c>
      <c r="O529" s="50">
        <f t="shared" si="58"/>
        <v>4931.8500000000004</v>
      </c>
      <c r="P529" s="50">
        <v>0</v>
      </c>
      <c r="Q529" s="76"/>
      <c r="R529" s="140">
        <f>IF((5*S9+10*S10)&gt;50,50,(5*S9+10*S10))</f>
        <v>35</v>
      </c>
      <c r="S529" s="79">
        <v>95.61</v>
      </c>
      <c r="T529" s="80">
        <v>19.45</v>
      </c>
    </row>
    <row r="530" spans="2:20" ht="42">
      <c r="B530" s="5" t="s">
        <v>1261</v>
      </c>
      <c r="C530" s="45" t="s">
        <v>135</v>
      </c>
      <c r="D530" s="45">
        <v>94496</v>
      </c>
      <c r="E530" s="6" t="s">
        <v>1262</v>
      </c>
      <c r="F530" s="45" t="s">
        <v>210</v>
      </c>
      <c r="G530" s="46">
        <f t="shared" ref="G530:G593" si="59">TRUNC(R530,2)</f>
        <v>35</v>
      </c>
      <c r="H530" s="46">
        <f>TRUNC(S530*(1-LOTE_01!$K$10),2)</f>
        <v>75.010000000000005</v>
      </c>
      <c r="I530" s="46">
        <f>TRUNC(T530*(1-LOTE_01!$K$10),2)</f>
        <v>8.6</v>
      </c>
      <c r="J530" s="100">
        <f t="shared" ref="J530:J593" si="60">$J$4</f>
        <v>0.22470000000000001</v>
      </c>
      <c r="K530" s="48">
        <f t="shared" ref="K530:K593" si="61">TRUNC(H530*(1+J530),2)</f>
        <v>91.86</v>
      </c>
      <c r="L530" s="48">
        <f t="shared" ref="L530:L593" si="62">TRUNC(I530*(1+J530),2)</f>
        <v>10.53</v>
      </c>
      <c r="M530" s="48">
        <f t="shared" ref="M530:M593" si="63">TRUNC(K530*G530,2)</f>
        <v>3215.1</v>
      </c>
      <c r="N530" s="48">
        <f t="shared" ref="N530:N593" si="64">TRUNC(L530*G530,2)</f>
        <v>368.55</v>
      </c>
      <c r="O530" s="50">
        <f t="shared" ref="O530:O593" si="65">TRUNC(M530+N530,2)</f>
        <v>3583.65</v>
      </c>
      <c r="P530" s="50">
        <v>0</v>
      </c>
      <c r="Q530" s="76"/>
      <c r="R530" s="140">
        <f>IF((5*S9+10*S10)&gt;50,50,(5*S9+10*S10))</f>
        <v>35</v>
      </c>
      <c r="S530" s="79">
        <v>75.010000000000005</v>
      </c>
      <c r="T530" s="80">
        <v>8.6</v>
      </c>
    </row>
    <row r="531" spans="2:20" ht="70">
      <c r="B531" s="5" t="s">
        <v>1263</v>
      </c>
      <c r="C531" s="45" t="s">
        <v>135</v>
      </c>
      <c r="D531" s="45">
        <v>94691</v>
      </c>
      <c r="E531" s="6" t="s">
        <v>1264</v>
      </c>
      <c r="F531" s="45" t="s">
        <v>210</v>
      </c>
      <c r="G531" s="46">
        <f t="shared" si="59"/>
        <v>35</v>
      </c>
      <c r="H531" s="46">
        <f>TRUNC(S531*(1-LOTE_01!$K$10),2)</f>
        <v>9.98</v>
      </c>
      <c r="I531" s="46">
        <f>TRUNC(T531*(1-LOTE_01!$K$10),2)</f>
        <v>4.09</v>
      </c>
      <c r="J531" s="100">
        <f t="shared" si="60"/>
        <v>0.22470000000000001</v>
      </c>
      <c r="K531" s="48">
        <f t="shared" si="61"/>
        <v>12.22</v>
      </c>
      <c r="L531" s="48">
        <f t="shared" si="62"/>
        <v>5</v>
      </c>
      <c r="M531" s="48">
        <f t="shared" si="63"/>
        <v>427.7</v>
      </c>
      <c r="N531" s="48">
        <f t="shared" si="64"/>
        <v>175</v>
      </c>
      <c r="O531" s="50">
        <f t="shared" si="65"/>
        <v>602.70000000000005</v>
      </c>
      <c r="P531" s="50">
        <v>0</v>
      </c>
      <c r="Q531" s="76"/>
      <c r="R531" s="140">
        <f>IF((5*S9+10*S10)&gt;50,50,(5*S9+10*S10))</f>
        <v>35</v>
      </c>
      <c r="S531" s="79">
        <v>9.98</v>
      </c>
      <c r="T531" s="80">
        <v>4.09</v>
      </c>
    </row>
    <row r="532" spans="2:20" ht="70">
      <c r="B532" s="5" t="s">
        <v>1265</v>
      </c>
      <c r="C532" s="45" t="s">
        <v>135</v>
      </c>
      <c r="D532" s="45">
        <v>94693</v>
      </c>
      <c r="E532" s="6" t="s">
        <v>1266</v>
      </c>
      <c r="F532" s="45" t="s">
        <v>210</v>
      </c>
      <c r="G532" s="46">
        <f t="shared" si="59"/>
        <v>35</v>
      </c>
      <c r="H532" s="46">
        <f>TRUNC(S532*(1-LOTE_01!$K$10),2)</f>
        <v>13.01</v>
      </c>
      <c r="I532" s="46">
        <f>TRUNC(T532*(1-LOTE_01!$K$10),2)</f>
        <v>5.43</v>
      </c>
      <c r="J532" s="100">
        <f t="shared" si="60"/>
        <v>0.22470000000000001</v>
      </c>
      <c r="K532" s="48">
        <f t="shared" si="61"/>
        <v>15.93</v>
      </c>
      <c r="L532" s="48">
        <f t="shared" si="62"/>
        <v>6.65</v>
      </c>
      <c r="M532" s="48">
        <f t="shared" si="63"/>
        <v>557.54999999999995</v>
      </c>
      <c r="N532" s="48">
        <f t="shared" si="64"/>
        <v>232.75</v>
      </c>
      <c r="O532" s="50">
        <f t="shared" si="65"/>
        <v>790.3</v>
      </c>
      <c r="P532" s="50">
        <v>0</v>
      </c>
      <c r="Q532" s="76"/>
      <c r="R532" s="140">
        <f>IF((5*S9+10*S10)&gt;50,50,(5*S9+10*S10))</f>
        <v>35</v>
      </c>
      <c r="S532" s="79">
        <v>13.010000000000002</v>
      </c>
      <c r="T532" s="80">
        <v>5.43</v>
      </c>
    </row>
    <row r="533" spans="2:20" ht="28">
      <c r="B533" s="5" t="s">
        <v>1267</v>
      </c>
      <c r="C533" s="45" t="s">
        <v>165</v>
      </c>
      <c r="D533" s="45" t="s">
        <v>1268</v>
      </c>
      <c r="E533" s="6" t="s">
        <v>1269</v>
      </c>
      <c r="F533" s="45" t="s">
        <v>559</v>
      </c>
      <c r="G533" s="46">
        <f t="shared" si="59"/>
        <v>35</v>
      </c>
      <c r="H533" s="46">
        <f>TRUNC(S533*(1-LOTE_01!$K$10),2)</f>
        <v>5.89</v>
      </c>
      <c r="I533" s="46">
        <f>TRUNC(T533*(1-LOTE_01!$K$10),2)</f>
        <v>6.06</v>
      </c>
      <c r="J533" s="100">
        <f t="shared" si="60"/>
        <v>0.22470000000000001</v>
      </c>
      <c r="K533" s="48">
        <f t="shared" si="61"/>
        <v>7.21</v>
      </c>
      <c r="L533" s="48">
        <f t="shared" si="62"/>
        <v>7.42</v>
      </c>
      <c r="M533" s="48">
        <f t="shared" si="63"/>
        <v>252.35</v>
      </c>
      <c r="N533" s="48">
        <f t="shared" si="64"/>
        <v>259.7</v>
      </c>
      <c r="O533" s="50">
        <f t="shared" si="65"/>
        <v>512.04999999999995</v>
      </c>
      <c r="P533" s="50">
        <v>0</v>
      </c>
      <c r="Q533" s="76"/>
      <c r="R533" s="140">
        <f>IF((5*S9+10*S10)&gt;50,50,(5*S9+10*S10))</f>
        <v>35</v>
      </c>
      <c r="S533" s="79">
        <v>5.89</v>
      </c>
      <c r="T533" s="80">
        <v>6.06</v>
      </c>
    </row>
    <row r="534" spans="2:20" ht="28">
      <c r="B534" s="5" t="s">
        <v>1270</v>
      </c>
      <c r="C534" s="45" t="s">
        <v>165</v>
      </c>
      <c r="D534" s="45" t="s">
        <v>1271</v>
      </c>
      <c r="E534" s="6" t="s">
        <v>1272</v>
      </c>
      <c r="F534" s="45" t="s">
        <v>559</v>
      </c>
      <c r="G534" s="46">
        <f t="shared" si="59"/>
        <v>35</v>
      </c>
      <c r="H534" s="46">
        <f>TRUNC(S534*(1-LOTE_01!$K$10),2)</f>
        <v>6.82</v>
      </c>
      <c r="I534" s="46">
        <f>TRUNC(T534*(1-LOTE_01!$K$10),2)</f>
        <v>6.38</v>
      </c>
      <c r="J534" s="100">
        <f t="shared" si="60"/>
        <v>0.22470000000000001</v>
      </c>
      <c r="K534" s="48">
        <f t="shared" si="61"/>
        <v>8.35</v>
      </c>
      <c r="L534" s="48">
        <f t="shared" si="62"/>
        <v>7.81</v>
      </c>
      <c r="M534" s="48">
        <f t="shared" si="63"/>
        <v>292.25</v>
      </c>
      <c r="N534" s="48">
        <f t="shared" si="64"/>
        <v>273.35000000000002</v>
      </c>
      <c r="O534" s="50">
        <f t="shared" si="65"/>
        <v>565.6</v>
      </c>
      <c r="P534" s="50">
        <v>0</v>
      </c>
      <c r="Q534" s="76"/>
      <c r="R534" s="140">
        <f>IF((5*S9+10*S10)&gt;50,50,(5*S9+10*S10))</f>
        <v>35</v>
      </c>
      <c r="S534" s="79">
        <v>6.82</v>
      </c>
      <c r="T534" s="80">
        <v>6.38</v>
      </c>
    </row>
    <row r="535" spans="2:20" ht="56">
      <c r="B535" s="5" t="s">
        <v>1273</v>
      </c>
      <c r="C535" s="45" t="s">
        <v>135</v>
      </c>
      <c r="D535" s="45">
        <v>89395</v>
      </c>
      <c r="E535" s="6" t="s">
        <v>1274</v>
      </c>
      <c r="F535" s="45" t="s">
        <v>210</v>
      </c>
      <c r="G535" s="46">
        <f t="shared" si="59"/>
        <v>35</v>
      </c>
      <c r="H535" s="46">
        <f>TRUNC(S535*(1-LOTE_01!$K$10),2)</f>
        <v>5.87</v>
      </c>
      <c r="I535" s="46">
        <f>TRUNC(T535*(1-LOTE_01!$K$10),2)</f>
        <v>8.93</v>
      </c>
      <c r="J535" s="100">
        <f t="shared" si="60"/>
        <v>0.22470000000000001</v>
      </c>
      <c r="K535" s="48">
        <f t="shared" si="61"/>
        <v>7.18</v>
      </c>
      <c r="L535" s="48">
        <f t="shared" si="62"/>
        <v>10.93</v>
      </c>
      <c r="M535" s="48">
        <f t="shared" si="63"/>
        <v>251.3</v>
      </c>
      <c r="N535" s="48">
        <f t="shared" si="64"/>
        <v>382.55</v>
      </c>
      <c r="O535" s="50">
        <f t="shared" si="65"/>
        <v>633.85</v>
      </c>
      <c r="P535" s="50">
        <v>0</v>
      </c>
      <c r="Q535" s="76"/>
      <c r="R535" s="140">
        <f>IF((5*S9+10*S10)&gt;50,50,(5*S9+10*S10))</f>
        <v>35</v>
      </c>
      <c r="S535" s="79">
        <v>5.870000000000001</v>
      </c>
      <c r="T535" s="80">
        <v>8.93</v>
      </c>
    </row>
    <row r="536" spans="2:20" ht="70">
      <c r="B536" s="5" t="s">
        <v>1275</v>
      </c>
      <c r="C536" s="45" t="s">
        <v>135</v>
      </c>
      <c r="D536" s="45">
        <v>89546</v>
      </c>
      <c r="E536" s="6" t="s">
        <v>1276</v>
      </c>
      <c r="F536" s="45" t="s">
        <v>210</v>
      </c>
      <c r="G536" s="46">
        <f t="shared" si="59"/>
        <v>35</v>
      </c>
      <c r="H536" s="46">
        <f>TRUNC(S536*(1-LOTE_01!$K$10),2)</f>
        <v>9.6199999999999992</v>
      </c>
      <c r="I536" s="46">
        <f>TRUNC(T536*(1-LOTE_01!$K$10),2)</f>
        <v>1.58</v>
      </c>
      <c r="J536" s="100">
        <f t="shared" si="60"/>
        <v>0.22470000000000001</v>
      </c>
      <c r="K536" s="48">
        <f t="shared" si="61"/>
        <v>11.78</v>
      </c>
      <c r="L536" s="48">
        <f t="shared" si="62"/>
        <v>1.93</v>
      </c>
      <c r="M536" s="48">
        <f t="shared" si="63"/>
        <v>412.3</v>
      </c>
      <c r="N536" s="48">
        <f t="shared" si="64"/>
        <v>67.55</v>
      </c>
      <c r="O536" s="50">
        <f t="shared" si="65"/>
        <v>479.85</v>
      </c>
      <c r="P536" s="50">
        <v>0</v>
      </c>
      <c r="Q536" s="76"/>
      <c r="R536" s="140">
        <f>IF((5*S9+10*S10)&gt;50,50,(5*S9+10*S10))</f>
        <v>35</v>
      </c>
      <c r="S536" s="79">
        <v>9.6199999999999992</v>
      </c>
      <c r="T536" s="80">
        <v>1.58</v>
      </c>
    </row>
    <row r="537" spans="2:20" ht="28">
      <c r="B537" s="5" t="s">
        <v>1277</v>
      </c>
      <c r="C537" s="45" t="s">
        <v>97</v>
      </c>
      <c r="D537" s="45" t="s">
        <v>1278</v>
      </c>
      <c r="E537" s="6" t="s">
        <v>1279</v>
      </c>
      <c r="F537" s="45" t="s">
        <v>104</v>
      </c>
      <c r="G537" s="46">
        <f t="shared" si="59"/>
        <v>10</v>
      </c>
      <c r="H537" s="46">
        <f>TRUNC(S537*(1-LOTE_01!$K$10),2)</f>
        <v>11.76</v>
      </c>
      <c r="I537" s="46">
        <f>TRUNC(T537*(1-LOTE_01!$K$10),2)</f>
        <v>5.2</v>
      </c>
      <c r="J537" s="100">
        <f t="shared" si="60"/>
        <v>0.22470000000000001</v>
      </c>
      <c r="K537" s="48">
        <f t="shared" si="61"/>
        <v>14.4</v>
      </c>
      <c r="L537" s="48">
        <f t="shared" si="62"/>
        <v>6.36</v>
      </c>
      <c r="M537" s="48">
        <f t="shared" si="63"/>
        <v>144</v>
      </c>
      <c r="N537" s="48">
        <f t="shared" si="64"/>
        <v>63.6</v>
      </c>
      <c r="O537" s="50">
        <f t="shared" si="65"/>
        <v>207.6</v>
      </c>
      <c r="P537" s="50">
        <v>0</v>
      </c>
      <c r="Q537" s="76"/>
      <c r="R537" s="140">
        <f>2*S9+2*S10</f>
        <v>10</v>
      </c>
      <c r="S537" s="79">
        <v>11.76</v>
      </c>
      <c r="T537" s="80">
        <v>5.2</v>
      </c>
    </row>
    <row r="538" spans="2:20" ht="70">
      <c r="B538" s="5" t="s">
        <v>1280</v>
      </c>
      <c r="C538" s="45" t="s">
        <v>135</v>
      </c>
      <c r="D538" s="45">
        <v>89707</v>
      </c>
      <c r="E538" s="6" t="s">
        <v>1281</v>
      </c>
      <c r="F538" s="45" t="s">
        <v>210</v>
      </c>
      <c r="G538" s="46">
        <f t="shared" si="59"/>
        <v>16</v>
      </c>
      <c r="H538" s="46">
        <f>TRUNC(S538*(1-LOTE_01!$K$10),2)</f>
        <v>32.630000000000003</v>
      </c>
      <c r="I538" s="46">
        <f>TRUNC(T538*(1-LOTE_01!$K$10),2)</f>
        <v>17.14</v>
      </c>
      <c r="J538" s="100">
        <f t="shared" si="60"/>
        <v>0.22470000000000001</v>
      </c>
      <c r="K538" s="48">
        <f t="shared" si="61"/>
        <v>39.96</v>
      </c>
      <c r="L538" s="48">
        <f t="shared" si="62"/>
        <v>20.99</v>
      </c>
      <c r="M538" s="48">
        <f t="shared" si="63"/>
        <v>639.36</v>
      </c>
      <c r="N538" s="48">
        <f t="shared" si="64"/>
        <v>335.84</v>
      </c>
      <c r="O538" s="50">
        <f t="shared" si="65"/>
        <v>975.2</v>
      </c>
      <c r="P538" s="50">
        <v>0</v>
      </c>
      <c r="Q538" s="76"/>
      <c r="R538" s="140">
        <f>IF((2*S9+5*S10)&gt;50,50,(2*S9+5*S10))</f>
        <v>16</v>
      </c>
      <c r="S538" s="79">
        <v>32.630000000000003</v>
      </c>
      <c r="T538" s="80">
        <v>17.14</v>
      </c>
    </row>
    <row r="539" spans="2:20" ht="28">
      <c r="B539" s="5" t="s">
        <v>1282</v>
      </c>
      <c r="C539" s="45" t="s">
        <v>97</v>
      </c>
      <c r="D539" s="45" t="s">
        <v>1283</v>
      </c>
      <c r="E539" s="6" t="s">
        <v>1284</v>
      </c>
      <c r="F539" s="45" t="s">
        <v>104</v>
      </c>
      <c r="G539" s="46">
        <f t="shared" si="59"/>
        <v>5</v>
      </c>
      <c r="H539" s="46">
        <f>TRUNC(S539*(1-LOTE_01!$K$10),2)</f>
        <v>350</v>
      </c>
      <c r="I539" s="46">
        <f>TRUNC(T539*(1-LOTE_01!$K$10),2)</f>
        <v>0</v>
      </c>
      <c r="J539" s="100">
        <f t="shared" si="60"/>
        <v>0.22470000000000001</v>
      </c>
      <c r="K539" s="48">
        <f t="shared" si="61"/>
        <v>428.64</v>
      </c>
      <c r="L539" s="48">
        <f t="shared" si="62"/>
        <v>0</v>
      </c>
      <c r="M539" s="48">
        <f t="shared" si="63"/>
        <v>2143.1999999999998</v>
      </c>
      <c r="N539" s="48">
        <f t="shared" si="64"/>
        <v>0</v>
      </c>
      <c r="O539" s="50">
        <f t="shared" si="65"/>
        <v>2143.1999999999998</v>
      </c>
      <c r="P539" s="50">
        <v>0</v>
      </c>
      <c r="Q539" s="76"/>
      <c r="R539" s="140">
        <f>1*S9+1*S10</f>
        <v>5</v>
      </c>
      <c r="S539" s="79">
        <v>350</v>
      </c>
      <c r="T539" s="80">
        <v>0</v>
      </c>
    </row>
    <row r="540" spans="2:20" ht="28">
      <c r="B540" s="101" t="s">
        <v>1285</v>
      </c>
      <c r="C540" s="102" t="s">
        <v>21</v>
      </c>
      <c r="D540" s="102" t="s">
        <v>21</v>
      </c>
      <c r="E540" s="103" t="s">
        <v>1286</v>
      </c>
      <c r="F540" s="102" t="s">
        <v>21</v>
      </c>
      <c r="G540" s="46">
        <f t="shared" si="59"/>
        <v>0</v>
      </c>
      <c r="H540" s="46"/>
      <c r="I540" s="46"/>
      <c r="J540" s="105"/>
      <c r="K540" s="48">
        <f t="shared" si="61"/>
        <v>0</v>
      </c>
      <c r="L540" s="48">
        <f t="shared" si="62"/>
        <v>0</v>
      </c>
      <c r="M540" s="48">
        <f t="shared" si="63"/>
        <v>0</v>
      </c>
      <c r="N540" s="48">
        <f t="shared" si="64"/>
        <v>0</v>
      </c>
      <c r="O540" s="50">
        <f t="shared" si="65"/>
        <v>0</v>
      </c>
      <c r="P540" s="50">
        <v>0</v>
      </c>
      <c r="Q540" s="76"/>
      <c r="R540" s="154"/>
      <c r="S540" s="79" t="s">
        <v>22</v>
      </c>
      <c r="T540" s="80" t="s">
        <v>22</v>
      </c>
    </row>
    <row r="541" spans="2:20" ht="42">
      <c r="B541" s="5" t="s">
        <v>1287</v>
      </c>
      <c r="C541" s="45" t="s">
        <v>97</v>
      </c>
      <c r="D541" s="45" t="s">
        <v>1288</v>
      </c>
      <c r="E541" s="6" t="s">
        <v>1289</v>
      </c>
      <c r="F541" s="45" t="s">
        <v>104</v>
      </c>
      <c r="G541" s="46">
        <f t="shared" si="59"/>
        <v>10</v>
      </c>
      <c r="H541" s="46">
        <f>TRUNC(S541*(1-LOTE_01!$K$10),2)</f>
        <v>7.68</v>
      </c>
      <c r="I541" s="46">
        <f>TRUNC(T541*(1-LOTE_01!$K$10),2)</f>
        <v>21.98</v>
      </c>
      <c r="J541" s="100">
        <f t="shared" si="60"/>
        <v>0.22470000000000001</v>
      </c>
      <c r="K541" s="48">
        <f t="shared" si="61"/>
        <v>9.4</v>
      </c>
      <c r="L541" s="48">
        <f t="shared" si="62"/>
        <v>26.91</v>
      </c>
      <c r="M541" s="48">
        <f t="shared" si="63"/>
        <v>94</v>
      </c>
      <c r="N541" s="48">
        <f t="shared" si="64"/>
        <v>269.10000000000002</v>
      </c>
      <c r="O541" s="50">
        <f t="shared" si="65"/>
        <v>363.1</v>
      </c>
      <c r="P541" s="50">
        <v>0</v>
      </c>
      <c r="Q541" s="76"/>
      <c r="R541" s="140">
        <f>2*S9+2*S10</f>
        <v>10</v>
      </c>
      <c r="S541" s="79">
        <v>7.68</v>
      </c>
      <c r="T541" s="80">
        <v>21.98</v>
      </c>
    </row>
    <row r="542" spans="2:20" ht="28">
      <c r="B542" s="5" t="s">
        <v>1290</v>
      </c>
      <c r="C542" s="45" t="s">
        <v>97</v>
      </c>
      <c r="D542" s="45" t="s">
        <v>1291</v>
      </c>
      <c r="E542" s="6" t="s">
        <v>1292</v>
      </c>
      <c r="F542" s="45" t="s">
        <v>104</v>
      </c>
      <c r="G542" s="46">
        <f t="shared" si="59"/>
        <v>10</v>
      </c>
      <c r="H542" s="46">
        <f>TRUNC(S542*(1-LOTE_01!$K$10),2)</f>
        <v>3.29</v>
      </c>
      <c r="I542" s="46">
        <f>TRUNC(T542*(1-LOTE_01!$K$10),2)</f>
        <v>4.08</v>
      </c>
      <c r="J542" s="100">
        <f t="shared" si="60"/>
        <v>0.22470000000000001</v>
      </c>
      <c r="K542" s="48">
        <f t="shared" si="61"/>
        <v>4.0199999999999996</v>
      </c>
      <c r="L542" s="48">
        <f t="shared" si="62"/>
        <v>4.99</v>
      </c>
      <c r="M542" s="48">
        <f t="shared" si="63"/>
        <v>40.200000000000003</v>
      </c>
      <c r="N542" s="48">
        <f t="shared" si="64"/>
        <v>49.9</v>
      </c>
      <c r="O542" s="50">
        <f t="shared" si="65"/>
        <v>90.1</v>
      </c>
      <c r="P542" s="50">
        <v>0</v>
      </c>
      <c r="Q542" s="76"/>
      <c r="R542" s="140">
        <f>2*S9+2*S10</f>
        <v>10</v>
      </c>
      <c r="S542" s="79">
        <v>3.29</v>
      </c>
      <c r="T542" s="80">
        <v>4.08</v>
      </c>
    </row>
    <row r="543" spans="2:20" ht="28">
      <c r="B543" s="5" t="s">
        <v>1293</v>
      </c>
      <c r="C543" s="45" t="s">
        <v>97</v>
      </c>
      <c r="D543" s="45" t="s">
        <v>1294</v>
      </c>
      <c r="E543" s="6" t="s">
        <v>1295</v>
      </c>
      <c r="F543" s="45" t="s">
        <v>104</v>
      </c>
      <c r="G543" s="46">
        <f t="shared" si="59"/>
        <v>10</v>
      </c>
      <c r="H543" s="46">
        <f>TRUNC(S543*(1-LOTE_01!$K$10),2)</f>
        <v>3.29</v>
      </c>
      <c r="I543" s="46">
        <f>TRUNC(T543*(1-LOTE_01!$K$10),2)</f>
        <v>4.08</v>
      </c>
      <c r="J543" s="100">
        <f t="shared" si="60"/>
        <v>0.22470000000000001</v>
      </c>
      <c r="K543" s="48">
        <f t="shared" si="61"/>
        <v>4.0199999999999996</v>
      </c>
      <c r="L543" s="48">
        <f t="shared" si="62"/>
        <v>4.99</v>
      </c>
      <c r="M543" s="48">
        <f t="shared" si="63"/>
        <v>40.200000000000003</v>
      </c>
      <c r="N543" s="48">
        <f t="shared" si="64"/>
        <v>49.9</v>
      </c>
      <c r="O543" s="50">
        <f t="shared" si="65"/>
        <v>90.1</v>
      </c>
      <c r="P543" s="50">
        <v>0</v>
      </c>
      <c r="Q543" s="76"/>
      <c r="R543" s="140">
        <f>2*S9+2*S10</f>
        <v>10</v>
      </c>
      <c r="S543" s="79">
        <v>3.29</v>
      </c>
      <c r="T543" s="80">
        <v>4.08</v>
      </c>
    </row>
    <row r="544" spans="2:20" ht="70">
      <c r="B544" s="5" t="s">
        <v>1296</v>
      </c>
      <c r="C544" s="45" t="s">
        <v>97</v>
      </c>
      <c r="D544" s="45" t="s">
        <v>1297</v>
      </c>
      <c r="E544" s="6" t="s">
        <v>1298</v>
      </c>
      <c r="F544" s="45" t="s">
        <v>104</v>
      </c>
      <c r="G544" s="46">
        <f t="shared" si="59"/>
        <v>10</v>
      </c>
      <c r="H544" s="46">
        <f>TRUNC(S544*(1-LOTE_01!$K$10),2)</f>
        <v>420.85</v>
      </c>
      <c r="I544" s="46">
        <f>TRUNC(T544*(1-LOTE_01!$K$10),2)</f>
        <v>38.74</v>
      </c>
      <c r="J544" s="100">
        <f t="shared" si="60"/>
        <v>0.22470000000000001</v>
      </c>
      <c r="K544" s="48">
        <f t="shared" si="61"/>
        <v>515.41</v>
      </c>
      <c r="L544" s="48">
        <f t="shared" si="62"/>
        <v>47.44</v>
      </c>
      <c r="M544" s="48">
        <f t="shared" si="63"/>
        <v>5154.1000000000004</v>
      </c>
      <c r="N544" s="48">
        <f t="shared" si="64"/>
        <v>474.4</v>
      </c>
      <c r="O544" s="50">
        <f t="shared" si="65"/>
        <v>5628.5</v>
      </c>
      <c r="P544" s="50">
        <v>0</v>
      </c>
      <c r="Q544" s="76"/>
      <c r="R544" s="140">
        <f>2*S9+2*S10</f>
        <v>10</v>
      </c>
      <c r="S544" s="79">
        <v>420.85</v>
      </c>
      <c r="T544" s="80">
        <v>38.74</v>
      </c>
    </row>
    <row r="545" spans="2:20" ht="28">
      <c r="B545" s="5" t="s">
        <v>1299</v>
      </c>
      <c r="C545" s="45" t="s">
        <v>97</v>
      </c>
      <c r="D545" s="45" t="s">
        <v>1300</v>
      </c>
      <c r="E545" s="6" t="s">
        <v>1301</v>
      </c>
      <c r="F545" s="45" t="s">
        <v>104</v>
      </c>
      <c r="G545" s="46">
        <f t="shared" si="59"/>
        <v>10</v>
      </c>
      <c r="H545" s="46">
        <f>TRUNC(S545*(1-LOTE_01!$K$10),2)</f>
        <v>89.19</v>
      </c>
      <c r="I545" s="46">
        <f>TRUNC(T545*(1-LOTE_01!$K$10),2)</f>
        <v>28.19</v>
      </c>
      <c r="J545" s="100">
        <f t="shared" si="60"/>
        <v>0.22470000000000001</v>
      </c>
      <c r="K545" s="48">
        <f t="shared" si="61"/>
        <v>109.23</v>
      </c>
      <c r="L545" s="48">
        <f t="shared" si="62"/>
        <v>34.520000000000003</v>
      </c>
      <c r="M545" s="48">
        <f t="shared" si="63"/>
        <v>1092.3</v>
      </c>
      <c r="N545" s="48">
        <f t="shared" si="64"/>
        <v>345.2</v>
      </c>
      <c r="O545" s="50">
        <f t="shared" si="65"/>
        <v>1437.5</v>
      </c>
      <c r="P545" s="50">
        <v>0</v>
      </c>
      <c r="Q545" s="76"/>
      <c r="R545" s="140">
        <f>2*S9+2*S10</f>
        <v>10</v>
      </c>
      <c r="S545" s="79">
        <v>89.19</v>
      </c>
      <c r="T545" s="80">
        <v>28.19</v>
      </c>
    </row>
    <row r="546" spans="2:20" ht="28">
      <c r="B546" s="5" t="s">
        <v>1302</v>
      </c>
      <c r="C546" s="45" t="s">
        <v>97</v>
      </c>
      <c r="D546" s="45" t="s">
        <v>1303</v>
      </c>
      <c r="E546" s="6" t="s">
        <v>1304</v>
      </c>
      <c r="F546" s="45" t="s">
        <v>104</v>
      </c>
      <c r="G546" s="46">
        <f t="shared" si="59"/>
        <v>10</v>
      </c>
      <c r="H546" s="46">
        <f>TRUNC(S546*(1-LOTE_01!$K$10),2)</f>
        <v>79.02</v>
      </c>
      <c r="I546" s="46">
        <f>TRUNC(T546*(1-LOTE_01!$K$10),2)</f>
        <v>18.64</v>
      </c>
      <c r="J546" s="100">
        <f t="shared" si="60"/>
        <v>0.22470000000000001</v>
      </c>
      <c r="K546" s="48">
        <f t="shared" si="61"/>
        <v>96.77</v>
      </c>
      <c r="L546" s="48">
        <f t="shared" si="62"/>
        <v>22.82</v>
      </c>
      <c r="M546" s="48">
        <f t="shared" si="63"/>
        <v>967.7</v>
      </c>
      <c r="N546" s="48">
        <f t="shared" si="64"/>
        <v>228.2</v>
      </c>
      <c r="O546" s="50">
        <f t="shared" si="65"/>
        <v>1195.9000000000001</v>
      </c>
      <c r="P546" s="50">
        <v>0</v>
      </c>
      <c r="Q546" s="76"/>
      <c r="R546" s="140">
        <f>2*S9+2*S10</f>
        <v>10</v>
      </c>
      <c r="S546" s="79">
        <v>79.02</v>
      </c>
      <c r="T546" s="80">
        <v>18.64</v>
      </c>
    </row>
    <row r="547" spans="2:20" ht="70">
      <c r="B547" s="5" t="s">
        <v>1305</v>
      </c>
      <c r="C547" s="45" t="s">
        <v>135</v>
      </c>
      <c r="D547" s="45">
        <v>86932</v>
      </c>
      <c r="E547" s="6" t="s">
        <v>1817</v>
      </c>
      <c r="F547" s="45" t="s">
        <v>210</v>
      </c>
      <c r="G547" s="46">
        <f t="shared" si="59"/>
        <v>7</v>
      </c>
      <c r="H547" s="46">
        <f>TRUNC(S547*(1-LOTE_01!$K$10),2)</f>
        <v>462.31</v>
      </c>
      <c r="I547" s="46">
        <f>TRUNC(T547*(1-LOTE_01!$K$10),2)</f>
        <v>27.16</v>
      </c>
      <c r="J547" s="100">
        <f t="shared" si="60"/>
        <v>0.22470000000000001</v>
      </c>
      <c r="K547" s="48">
        <f t="shared" si="61"/>
        <v>566.19000000000005</v>
      </c>
      <c r="L547" s="48">
        <f t="shared" si="62"/>
        <v>33.26</v>
      </c>
      <c r="M547" s="48">
        <f t="shared" si="63"/>
        <v>3963.33</v>
      </c>
      <c r="N547" s="48">
        <f t="shared" si="64"/>
        <v>232.82</v>
      </c>
      <c r="O547" s="50">
        <f t="shared" si="65"/>
        <v>4196.1499999999996</v>
      </c>
      <c r="P547" s="50">
        <v>0</v>
      </c>
      <c r="Q547" s="76"/>
      <c r="R547" s="140">
        <f>1*S9+2*S10</f>
        <v>7</v>
      </c>
      <c r="S547" s="79">
        <v>462.31</v>
      </c>
      <c r="T547" s="80">
        <v>27.16</v>
      </c>
    </row>
    <row r="548" spans="2:20" ht="28">
      <c r="B548" s="5" t="s">
        <v>1306</v>
      </c>
      <c r="C548" s="45" t="s">
        <v>97</v>
      </c>
      <c r="D548" s="45" t="s">
        <v>1307</v>
      </c>
      <c r="E548" s="6" t="s">
        <v>1308</v>
      </c>
      <c r="F548" s="45" t="s">
        <v>104</v>
      </c>
      <c r="G548" s="46">
        <f t="shared" si="59"/>
        <v>10</v>
      </c>
      <c r="H548" s="46">
        <f>TRUNC(S548*(1-LOTE_01!$K$10),2)</f>
        <v>111.76</v>
      </c>
      <c r="I548" s="46">
        <f>TRUNC(T548*(1-LOTE_01!$K$10),2)</f>
        <v>4.78</v>
      </c>
      <c r="J548" s="100">
        <f t="shared" si="60"/>
        <v>0.22470000000000001</v>
      </c>
      <c r="K548" s="48">
        <f t="shared" si="61"/>
        <v>136.87</v>
      </c>
      <c r="L548" s="48">
        <f t="shared" si="62"/>
        <v>5.85</v>
      </c>
      <c r="M548" s="48">
        <f t="shared" si="63"/>
        <v>1368.7</v>
      </c>
      <c r="N548" s="48">
        <f t="shared" si="64"/>
        <v>58.5</v>
      </c>
      <c r="O548" s="50">
        <f t="shared" si="65"/>
        <v>1427.2</v>
      </c>
      <c r="P548" s="50">
        <v>0</v>
      </c>
      <c r="Q548" s="76"/>
      <c r="R548" s="140">
        <f>2*S9+2*S10</f>
        <v>10</v>
      </c>
      <c r="S548" s="79">
        <v>111.76</v>
      </c>
      <c r="T548" s="80">
        <v>4.78</v>
      </c>
    </row>
    <row r="549" spans="2:20" ht="28">
      <c r="B549" s="5" t="s">
        <v>1309</v>
      </c>
      <c r="C549" s="45" t="s">
        <v>97</v>
      </c>
      <c r="D549" s="45" t="s">
        <v>1310</v>
      </c>
      <c r="E549" s="6" t="s">
        <v>1311</v>
      </c>
      <c r="F549" s="45" t="s">
        <v>104</v>
      </c>
      <c r="G549" s="46">
        <f t="shared" si="59"/>
        <v>10</v>
      </c>
      <c r="H549" s="46">
        <f>TRUNC(S549*(1-LOTE_01!$K$10),2)</f>
        <v>371.47</v>
      </c>
      <c r="I549" s="46">
        <f>TRUNC(T549*(1-LOTE_01!$K$10),2)</f>
        <v>4.78</v>
      </c>
      <c r="J549" s="100">
        <f t="shared" si="60"/>
        <v>0.22470000000000001</v>
      </c>
      <c r="K549" s="48">
        <f t="shared" si="61"/>
        <v>454.93</v>
      </c>
      <c r="L549" s="48">
        <f t="shared" si="62"/>
        <v>5.85</v>
      </c>
      <c r="M549" s="48">
        <f t="shared" si="63"/>
        <v>4549.3</v>
      </c>
      <c r="N549" s="48">
        <f t="shared" si="64"/>
        <v>58.5</v>
      </c>
      <c r="O549" s="50">
        <f t="shared" si="65"/>
        <v>4607.8</v>
      </c>
      <c r="P549" s="50">
        <v>0</v>
      </c>
      <c r="Q549" s="76"/>
      <c r="R549" s="140">
        <f>2*S9+2*S10</f>
        <v>10</v>
      </c>
      <c r="S549" s="79">
        <v>371.47</v>
      </c>
      <c r="T549" s="80">
        <v>4.78</v>
      </c>
    </row>
    <row r="550" spans="2:20" ht="56">
      <c r="B550" s="5" t="s">
        <v>1312</v>
      </c>
      <c r="C550" s="45" t="s">
        <v>135</v>
      </c>
      <c r="D550" s="45">
        <v>86903</v>
      </c>
      <c r="E550" s="6" t="s">
        <v>1818</v>
      </c>
      <c r="F550" s="45" t="s">
        <v>210</v>
      </c>
      <c r="G550" s="46">
        <f t="shared" si="59"/>
        <v>7</v>
      </c>
      <c r="H550" s="46">
        <f>TRUNC(S550*(1-LOTE_01!$K$10),2)</f>
        <v>284.69</v>
      </c>
      <c r="I550" s="46">
        <f>TRUNC(T550*(1-LOTE_01!$K$10),2)</f>
        <v>40.74</v>
      </c>
      <c r="J550" s="100">
        <f t="shared" si="60"/>
        <v>0.22470000000000001</v>
      </c>
      <c r="K550" s="48">
        <f t="shared" si="61"/>
        <v>348.65</v>
      </c>
      <c r="L550" s="48">
        <f t="shared" si="62"/>
        <v>49.89</v>
      </c>
      <c r="M550" s="48">
        <f t="shared" si="63"/>
        <v>2440.5500000000002</v>
      </c>
      <c r="N550" s="48">
        <f t="shared" si="64"/>
        <v>349.23</v>
      </c>
      <c r="O550" s="50">
        <f t="shared" si="65"/>
        <v>2789.78</v>
      </c>
      <c r="P550" s="50">
        <v>0</v>
      </c>
      <c r="Q550" s="76"/>
      <c r="R550" s="140">
        <f>1*S9+2*S10</f>
        <v>7</v>
      </c>
      <c r="S550" s="79">
        <v>284.69</v>
      </c>
      <c r="T550" s="80">
        <v>40.74</v>
      </c>
    </row>
    <row r="551" spans="2:20" ht="98">
      <c r="B551" s="5" t="s">
        <v>1313</v>
      </c>
      <c r="C551" s="45" t="s">
        <v>97</v>
      </c>
      <c r="D551" s="45" t="s">
        <v>1314</v>
      </c>
      <c r="E551" s="6" t="s">
        <v>1315</v>
      </c>
      <c r="F551" s="45" t="s">
        <v>104</v>
      </c>
      <c r="G551" s="46">
        <f t="shared" si="59"/>
        <v>7</v>
      </c>
      <c r="H551" s="46">
        <f>TRUNC(S551*(1-LOTE_01!$K$10),2)</f>
        <v>821.38</v>
      </c>
      <c r="I551" s="46">
        <f>TRUNC(T551*(1-LOTE_01!$K$10),2)</f>
        <v>74.13</v>
      </c>
      <c r="J551" s="100">
        <f t="shared" si="60"/>
        <v>0.22470000000000001</v>
      </c>
      <c r="K551" s="48">
        <f t="shared" si="61"/>
        <v>1005.94</v>
      </c>
      <c r="L551" s="48">
        <f t="shared" si="62"/>
        <v>90.78</v>
      </c>
      <c r="M551" s="48">
        <f t="shared" si="63"/>
        <v>7041.58</v>
      </c>
      <c r="N551" s="48">
        <f t="shared" si="64"/>
        <v>635.46</v>
      </c>
      <c r="O551" s="50">
        <f t="shared" si="65"/>
        <v>7677.04</v>
      </c>
      <c r="P551" s="50">
        <v>0</v>
      </c>
      <c r="Q551" s="76"/>
      <c r="R551" s="140">
        <f>1*S9+2*S10</f>
        <v>7</v>
      </c>
      <c r="S551" s="79">
        <v>821.38</v>
      </c>
      <c r="T551" s="80">
        <v>74.13</v>
      </c>
    </row>
    <row r="552" spans="2:20" ht="56">
      <c r="B552" s="5" t="s">
        <v>1316</v>
      </c>
      <c r="C552" s="45" t="s">
        <v>135</v>
      </c>
      <c r="D552" s="45">
        <v>86904</v>
      </c>
      <c r="E552" s="6" t="s">
        <v>1819</v>
      </c>
      <c r="F552" s="45" t="s">
        <v>210</v>
      </c>
      <c r="G552" s="46">
        <f t="shared" si="59"/>
        <v>7</v>
      </c>
      <c r="H552" s="46">
        <f>TRUNC(S552*(1-LOTE_01!$K$10),2)</f>
        <v>120.81</v>
      </c>
      <c r="I552" s="46">
        <f>TRUNC(T552*(1-LOTE_01!$K$10),2)</f>
        <v>10.9</v>
      </c>
      <c r="J552" s="100">
        <f t="shared" si="60"/>
        <v>0.22470000000000001</v>
      </c>
      <c r="K552" s="48">
        <f t="shared" si="61"/>
        <v>147.94999999999999</v>
      </c>
      <c r="L552" s="48">
        <f t="shared" si="62"/>
        <v>13.34</v>
      </c>
      <c r="M552" s="48">
        <f t="shared" si="63"/>
        <v>1035.6500000000001</v>
      </c>
      <c r="N552" s="48">
        <f t="shared" si="64"/>
        <v>93.38</v>
      </c>
      <c r="O552" s="50">
        <f t="shared" si="65"/>
        <v>1129.03</v>
      </c>
      <c r="P552" s="50">
        <v>0</v>
      </c>
      <c r="Q552" s="76"/>
      <c r="R552" s="140">
        <f>1*S9+2*S10</f>
        <v>7</v>
      </c>
      <c r="S552" s="79">
        <v>120.81</v>
      </c>
      <c r="T552" s="80">
        <v>10.9</v>
      </c>
    </row>
    <row r="553" spans="2:20" ht="56">
      <c r="B553" s="5" t="s">
        <v>1317</v>
      </c>
      <c r="C553" s="45" t="s">
        <v>135</v>
      </c>
      <c r="D553" s="45">
        <v>100858</v>
      </c>
      <c r="E553" s="6" t="s">
        <v>1820</v>
      </c>
      <c r="F553" s="45" t="s">
        <v>210</v>
      </c>
      <c r="G553" s="46">
        <f t="shared" si="59"/>
        <v>7</v>
      </c>
      <c r="H553" s="46">
        <f>TRUNC(S553*(1-LOTE_01!$K$10),2)</f>
        <v>703.38</v>
      </c>
      <c r="I553" s="46">
        <f>TRUNC(T553*(1-LOTE_01!$K$10),2)</f>
        <v>29.23</v>
      </c>
      <c r="J553" s="100">
        <f t="shared" si="60"/>
        <v>0.22470000000000001</v>
      </c>
      <c r="K553" s="48">
        <f t="shared" si="61"/>
        <v>861.42</v>
      </c>
      <c r="L553" s="48">
        <f t="shared" si="62"/>
        <v>35.79</v>
      </c>
      <c r="M553" s="48">
        <f t="shared" si="63"/>
        <v>6029.94</v>
      </c>
      <c r="N553" s="48">
        <f t="shared" si="64"/>
        <v>250.53</v>
      </c>
      <c r="O553" s="50">
        <f t="shared" si="65"/>
        <v>6280.47</v>
      </c>
      <c r="P553" s="50">
        <v>0</v>
      </c>
      <c r="Q553" s="76"/>
      <c r="R553" s="140">
        <f>1*S9+2*S10</f>
        <v>7</v>
      </c>
      <c r="S553" s="79">
        <v>703.38</v>
      </c>
      <c r="T553" s="80">
        <v>29.23</v>
      </c>
    </row>
    <row r="554" spans="2:20" ht="28">
      <c r="B554" s="5" t="s">
        <v>1318</v>
      </c>
      <c r="C554" s="45" t="s">
        <v>165</v>
      </c>
      <c r="D554" s="45" t="s">
        <v>1319</v>
      </c>
      <c r="E554" s="6" t="s">
        <v>1320</v>
      </c>
      <c r="F554" s="45" t="s">
        <v>168</v>
      </c>
      <c r="G554" s="46">
        <f t="shared" si="59"/>
        <v>3.84</v>
      </c>
      <c r="H554" s="46">
        <f>TRUNC(S554*(1-LOTE_01!$K$10),2)</f>
        <v>392.78</v>
      </c>
      <c r="I554" s="46">
        <f>TRUNC(T554*(1-LOTE_01!$K$10),2)</f>
        <v>78.489999999999995</v>
      </c>
      <c r="J554" s="100">
        <f t="shared" si="60"/>
        <v>0.22470000000000001</v>
      </c>
      <c r="K554" s="48">
        <f t="shared" si="61"/>
        <v>481.03</v>
      </c>
      <c r="L554" s="48">
        <f t="shared" si="62"/>
        <v>96.12</v>
      </c>
      <c r="M554" s="48">
        <f t="shared" si="63"/>
        <v>1847.15</v>
      </c>
      <c r="N554" s="48">
        <f t="shared" si="64"/>
        <v>369.1</v>
      </c>
      <c r="O554" s="50">
        <f t="shared" si="65"/>
        <v>2216.25</v>
      </c>
      <c r="P554" s="50">
        <v>0</v>
      </c>
      <c r="Q554" s="76"/>
      <c r="R554" s="140">
        <f>0.4*0.6*4*S9+0.4*0.6*2*S10</f>
        <v>3.84</v>
      </c>
      <c r="S554" s="79">
        <v>392.78</v>
      </c>
      <c r="T554" s="80">
        <v>78.489999999999995</v>
      </c>
    </row>
    <row r="555" spans="2:20" ht="42">
      <c r="B555" s="5" t="s">
        <v>1321</v>
      </c>
      <c r="C555" s="45" t="s">
        <v>135</v>
      </c>
      <c r="D555" s="45">
        <v>95544</v>
      </c>
      <c r="E555" s="6" t="s">
        <v>1821</v>
      </c>
      <c r="F555" s="45" t="s">
        <v>210</v>
      </c>
      <c r="G555" s="46">
        <f t="shared" si="59"/>
        <v>10</v>
      </c>
      <c r="H555" s="46">
        <f>TRUNC(S555*(1-LOTE_01!$K$10),2)</f>
        <v>41.89</v>
      </c>
      <c r="I555" s="46">
        <f>TRUNC(T555*(1-LOTE_01!$K$10),2)</f>
        <v>10.24</v>
      </c>
      <c r="J555" s="100">
        <f t="shared" si="60"/>
        <v>0.22470000000000001</v>
      </c>
      <c r="K555" s="48">
        <f t="shared" si="61"/>
        <v>51.3</v>
      </c>
      <c r="L555" s="48">
        <f t="shared" si="62"/>
        <v>12.54</v>
      </c>
      <c r="M555" s="48">
        <f t="shared" si="63"/>
        <v>513</v>
      </c>
      <c r="N555" s="48">
        <f t="shared" si="64"/>
        <v>125.4</v>
      </c>
      <c r="O555" s="50">
        <f t="shared" si="65"/>
        <v>638.4</v>
      </c>
      <c r="P555" s="50">
        <v>0</v>
      </c>
      <c r="Q555" s="76"/>
      <c r="R555" s="140">
        <f>2*S9+2*S10</f>
        <v>10</v>
      </c>
      <c r="S555" s="79">
        <v>41.89</v>
      </c>
      <c r="T555" s="80">
        <v>10.24</v>
      </c>
    </row>
    <row r="556" spans="2:20" ht="28">
      <c r="B556" s="5" t="s">
        <v>1322</v>
      </c>
      <c r="C556" s="45" t="s">
        <v>97</v>
      </c>
      <c r="D556" s="45" t="s">
        <v>1323</v>
      </c>
      <c r="E556" s="6" t="s">
        <v>1324</v>
      </c>
      <c r="F556" s="45" t="s">
        <v>104</v>
      </c>
      <c r="G556" s="46">
        <f t="shared" si="59"/>
        <v>10</v>
      </c>
      <c r="H556" s="46">
        <f>TRUNC(S556*(1-LOTE_01!$K$10),2)</f>
        <v>93.71</v>
      </c>
      <c r="I556" s="46">
        <f>TRUNC(T556*(1-LOTE_01!$K$10),2)</f>
        <v>4.08</v>
      </c>
      <c r="J556" s="100">
        <f t="shared" si="60"/>
        <v>0.22470000000000001</v>
      </c>
      <c r="K556" s="48">
        <f t="shared" si="61"/>
        <v>114.76</v>
      </c>
      <c r="L556" s="48">
        <f t="shared" si="62"/>
        <v>4.99</v>
      </c>
      <c r="M556" s="48">
        <f t="shared" si="63"/>
        <v>1147.5999999999999</v>
      </c>
      <c r="N556" s="48">
        <f t="shared" si="64"/>
        <v>49.9</v>
      </c>
      <c r="O556" s="50">
        <f t="shared" si="65"/>
        <v>1197.5</v>
      </c>
      <c r="P556" s="50">
        <v>0</v>
      </c>
      <c r="Q556" s="76"/>
      <c r="R556" s="140">
        <f>2*S9+2*S10</f>
        <v>10</v>
      </c>
      <c r="S556" s="79">
        <v>93.71</v>
      </c>
      <c r="T556" s="80">
        <v>4.08</v>
      </c>
    </row>
    <row r="557" spans="2:20" ht="42">
      <c r="B557" s="5" t="s">
        <v>1325</v>
      </c>
      <c r="C557" s="45" t="s">
        <v>97</v>
      </c>
      <c r="D557" s="45" t="s">
        <v>1326</v>
      </c>
      <c r="E557" s="6" t="s">
        <v>1327</v>
      </c>
      <c r="F557" s="45" t="s">
        <v>104</v>
      </c>
      <c r="G557" s="46">
        <f t="shared" si="59"/>
        <v>10</v>
      </c>
      <c r="H557" s="46">
        <f>TRUNC(S557*(1-LOTE_01!$K$10),2)</f>
        <v>93.71</v>
      </c>
      <c r="I557" s="46">
        <f>TRUNC(T557*(1-LOTE_01!$K$10),2)</f>
        <v>4.08</v>
      </c>
      <c r="J557" s="100">
        <f t="shared" si="60"/>
        <v>0.22470000000000001</v>
      </c>
      <c r="K557" s="48">
        <f t="shared" si="61"/>
        <v>114.76</v>
      </c>
      <c r="L557" s="48">
        <f t="shared" si="62"/>
        <v>4.99</v>
      </c>
      <c r="M557" s="48">
        <f t="shared" si="63"/>
        <v>1147.5999999999999</v>
      </c>
      <c r="N557" s="48">
        <f t="shared" si="64"/>
        <v>49.9</v>
      </c>
      <c r="O557" s="50">
        <f t="shared" si="65"/>
        <v>1197.5</v>
      </c>
      <c r="P557" s="50">
        <v>0</v>
      </c>
      <c r="Q557" s="76"/>
      <c r="R557" s="140">
        <f>2*S9+2*S10</f>
        <v>10</v>
      </c>
      <c r="S557" s="79">
        <v>93.71</v>
      </c>
      <c r="T557" s="80">
        <v>4.08</v>
      </c>
    </row>
    <row r="558" spans="2:20" ht="56">
      <c r="B558" s="5" t="s">
        <v>1328</v>
      </c>
      <c r="C558" s="45" t="s">
        <v>135</v>
      </c>
      <c r="D558" s="45">
        <v>95547</v>
      </c>
      <c r="E558" s="6" t="s">
        <v>1822</v>
      </c>
      <c r="F558" s="45" t="s">
        <v>210</v>
      </c>
      <c r="G558" s="46">
        <f t="shared" si="59"/>
        <v>10</v>
      </c>
      <c r="H558" s="46">
        <f>TRUNC(S558*(1-LOTE_01!$K$10),2)</f>
        <v>92.99</v>
      </c>
      <c r="I558" s="46">
        <f>TRUNC(T558*(1-LOTE_01!$K$10),2)</f>
        <v>10.09</v>
      </c>
      <c r="J558" s="100">
        <f t="shared" si="60"/>
        <v>0.22470000000000001</v>
      </c>
      <c r="K558" s="48">
        <f t="shared" si="61"/>
        <v>113.88</v>
      </c>
      <c r="L558" s="48">
        <f t="shared" si="62"/>
        <v>12.35</v>
      </c>
      <c r="M558" s="48">
        <f t="shared" si="63"/>
        <v>1138.8</v>
      </c>
      <c r="N558" s="48">
        <f t="shared" si="64"/>
        <v>123.5</v>
      </c>
      <c r="O558" s="50">
        <f t="shared" si="65"/>
        <v>1262.3</v>
      </c>
      <c r="P558" s="50">
        <v>0</v>
      </c>
      <c r="Q558" s="76"/>
      <c r="R558" s="140">
        <f>2*S9+2*S10</f>
        <v>10</v>
      </c>
      <c r="S558" s="79">
        <v>92.99</v>
      </c>
      <c r="T558" s="80">
        <v>10.09</v>
      </c>
    </row>
    <row r="559" spans="2:20" ht="42">
      <c r="B559" s="5" t="s">
        <v>1329</v>
      </c>
      <c r="C559" s="45" t="s">
        <v>135</v>
      </c>
      <c r="D559" s="45">
        <v>95545</v>
      </c>
      <c r="E559" s="6" t="s">
        <v>1823</v>
      </c>
      <c r="F559" s="45" t="s">
        <v>210</v>
      </c>
      <c r="G559" s="46">
        <f t="shared" si="59"/>
        <v>10</v>
      </c>
      <c r="H559" s="46">
        <f>TRUNC(S559*(1-LOTE_01!$K$10),2)</f>
        <v>40.97</v>
      </c>
      <c r="I559" s="46">
        <f>TRUNC(T559*(1-LOTE_01!$K$10),2)</f>
        <v>10.26</v>
      </c>
      <c r="J559" s="100">
        <f t="shared" si="60"/>
        <v>0.22470000000000001</v>
      </c>
      <c r="K559" s="48">
        <f t="shared" si="61"/>
        <v>50.17</v>
      </c>
      <c r="L559" s="48">
        <f t="shared" si="62"/>
        <v>12.56</v>
      </c>
      <c r="M559" s="48">
        <f t="shared" si="63"/>
        <v>501.7</v>
      </c>
      <c r="N559" s="48">
        <f t="shared" si="64"/>
        <v>125.6</v>
      </c>
      <c r="O559" s="50">
        <f t="shared" si="65"/>
        <v>627.29999999999995</v>
      </c>
      <c r="P559" s="50">
        <v>0</v>
      </c>
      <c r="Q559" s="76"/>
      <c r="R559" s="140">
        <f>2*S9+2*S10</f>
        <v>10</v>
      </c>
      <c r="S559" s="79">
        <v>40.97</v>
      </c>
      <c r="T559" s="80">
        <v>10.26</v>
      </c>
    </row>
    <row r="560" spans="2:20" ht="28">
      <c r="B560" s="5" t="s">
        <v>1330</v>
      </c>
      <c r="C560" s="45" t="s">
        <v>165</v>
      </c>
      <c r="D560" s="45" t="s">
        <v>1331</v>
      </c>
      <c r="E560" s="6" t="s">
        <v>1332</v>
      </c>
      <c r="F560" s="45" t="s">
        <v>559</v>
      </c>
      <c r="G560" s="46">
        <f t="shared" si="59"/>
        <v>10</v>
      </c>
      <c r="H560" s="46">
        <f>TRUNC(S560*(1-LOTE_01!$K$10),2)</f>
        <v>456.03</v>
      </c>
      <c r="I560" s="46">
        <f>TRUNC(T560*(1-LOTE_01!$K$10),2)</f>
        <v>15.94</v>
      </c>
      <c r="J560" s="100">
        <f t="shared" si="60"/>
        <v>0.22470000000000001</v>
      </c>
      <c r="K560" s="48">
        <f t="shared" si="61"/>
        <v>558.49</v>
      </c>
      <c r="L560" s="48">
        <f t="shared" si="62"/>
        <v>19.52</v>
      </c>
      <c r="M560" s="48">
        <f t="shared" si="63"/>
        <v>5584.9</v>
      </c>
      <c r="N560" s="48">
        <f t="shared" si="64"/>
        <v>195.2</v>
      </c>
      <c r="O560" s="50">
        <f t="shared" si="65"/>
        <v>5780.1</v>
      </c>
      <c r="P560" s="50">
        <v>0</v>
      </c>
      <c r="Q560" s="76"/>
      <c r="R560" s="140">
        <f>2*S9+2*S10</f>
        <v>10</v>
      </c>
      <c r="S560" s="79">
        <v>456.03</v>
      </c>
      <c r="T560" s="80">
        <v>15.94</v>
      </c>
    </row>
    <row r="561" spans="2:20" ht="42">
      <c r="B561" s="5" t="s">
        <v>1333</v>
      </c>
      <c r="C561" s="45" t="s">
        <v>97</v>
      </c>
      <c r="D561" s="45" t="s">
        <v>1354</v>
      </c>
      <c r="E561" s="6" t="s">
        <v>1355</v>
      </c>
      <c r="F561" s="45" t="s">
        <v>104</v>
      </c>
      <c r="G561" s="46">
        <f t="shared" si="59"/>
        <v>10</v>
      </c>
      <c r="H561" s="46">
        <f>TRUNC(S561*(1-LOTE_01!$K$10),2)</f>
        <v>47.57</v>
      </c>
      <c r="I561" s="46">
        <f>TRUNC(T561*(1-LOTE_01!$K$10),2)</f>
        <v>12.7</v>
      </c>
      <c r="J561" s="100">
        <f t="shared" si="60"/>
        <v>0.22470000000000001</v>
      </c>
      <c r="K561" s="48">
        <f t="shared" si="61"/>
        <v>58.25</v>
      </c>
      <c r="L561" s="48">
        <f t="shared" si="62"/>
        <v>15.55</v>
      </c>
      <c r="M561" s="48">
        <f t="shared" si="63"/>
        <v>582.5</v>
      </c>
      <c r="N561" s="48">
        <f t="shared" si="64"/>
        <v>155.5</v>
      </c>
      <c r="O561" s="50">
        <f t="shared" si="65"/>
        <v>738</v>
      </c>
      <c r="P561" s="50">
        <v>0</v>
      </c>
      <c r="Q561" s="76"/>
      <c r="R561" s="140">
        <f>2*S9+2*S10</f>
        <v>10</v>
      </c>
      <c r="S561" s="79">
        <v>47.57</v>
      </c>
      <c r="T561" s="80">
        <v>12.7</v>
      </c>
    </row>
    <row r="562" spans="2:20" ht="42">
      <c r="B562" s="5" t="s">
        <v>1334</v>
      </c>
      <c r="C562" s="45" t="s">
        <v>135</v>
      </c>
      <c r="D562" s="45">
        <v>95546</v>
      </c>
      <c r="E562" s="6" t="s">
        <v>1824</v>
      </c>
      <c r="F562" s="45" t="s">
        <v>210</v>
      </c>
      <c r="G562" s="46">
        <f t="shared" si="59"/>
        <v>10</v>
      </c>
      <c r="H562" s="46">
        <f>TRUNC(S562*(1-LOTE_01!$K$10),2)</f>
        <v>125.09</v>
      </c>
      <c r="I562" s="46">
        <f>TRUNC(T562*(1-LOTE_01!$K$10),2)</f>
        <v>64.58</v>
      </c>
      <c r="J562" s="100">
        <f t="shared" si="60"/>
        <v>0.22470000000000001</v>
      </c>
      <c r="K562" s="48">
        <f t="shared" si="61"/>
        <v>153.19</v>
      </c>
      <c r="L562" s="48">
        <f t="shared" si="62"/>
        <v>79.09</v>
      </c>
      <c r="M562" s="48">
        <f t="shared" si="63"/>
        <v>1531.9</v>
      </c>
      <c r="N562" s="48">
        <f t="shared" si="64"/>
        <v>790.9</v>
      </c>
      <c r="O562" s="50">
        <f t="shared" si="65"/>
        <v>2322.8000000000002</v>
      </c>
      <c r="P562" s="50">
        <v>0</v>
      </c>
      <c r="Q562" s="76"/>
      <c r="R562" s="140">
        <f>2*S9+2*S10</f>
        <v>10</v>
      </c>
      <c r="S562" s="79">
        <v>125.08999999999999</v>
      </c>
      <c r="T562" s="80">
        <v>64.58</v>
      </c>
    </row>
    <row r="563" spans="2:20" ht="42">
      <c r="B563" s="5" t="s">
        <v>1335</v>
      </c>
      <c r="C563" s="45" t="s">
        <v>97</v>
      </c>
      <c r="D563" s="45" t="s">
        <v>1336</v>
      </c>
      <c r="E563" s="6" t="s">
        <v>1337</v>
      </c>
      <c r="F563" s="45" t="s">
        <v>104</v>
      </c>
      <c r="G563" s="46">
        <f t="shared" si="59"/>
        <v>10</v>
      </c>
      <c r="H563" s="46">
        <f>TRUNC(S563*(1-LOTE_01!$K$10),2)</f>
        <v>69.19</v>
      </c>
      <c r="I563" s="46">
        <f>TRUNC(T563*(1-LOTE_01!$K$10),2)</f>
        <v>4.08</v>
      </c>
      <c r="J563" s="100">
        <f t="shared" si="60"/>
        <v>0.22470000000000001</v>
      </c>
      <c r="K563" s="48">
        <f t="shared" si="61"/>
        <v>84.73</v>
      </c>
      <c r="L563" s="48">
        <f t="shared" si="62"/>
        <v>4.99</v>
      </c>
      <c r="M563" s="48">
        <f t="shared" si="63"/>
        <v>847.3</v>
      </c>
      <c r="N563" s="48">
        <f t="shared" si="64"/>
        <v>49.9</v>
      </c>
      <c r="O563" s="50">
        <f t="shared" si="65"/>
        <v>897.2</v>
      </c>
      <c r="P563" s="50">
        <v>0</v>
      </c>
      <c r="Q563" s="76"/>
      <c r="R563" s="140">
        <f>2*S9+2*S10</f>
        <v>10</v>
      </c>
      <c r="S563" s="79">
        <v>69.19</v>
      </c>
      <c r="T563" s="80">
        <v>4.08</v>
      </c>
    </row>
    <row r="564" spans="2:20" ht="28">
      <c r="B564" s="5" t="s">
        <v>1338</v>
      </c>
      <c r="C564" s="45" t="s">
        <v>97</v>
      </c>
      <c r="D564" s="45" t="s">
        <v>1339</v>
      </c>
      <c r="E564" s="6" t="s">
        <v>1340</v>
      </c>
      <c r="F564" s="45" t="s">
        <v>104</v>
      </c>
      <c r="G564" s="46">
        <f t="shared" si="59"/>
        <v>10</v>
      </c>
      <c r="H564" s="46">
        <f>TRUNC(S564*(1-LOTE_01!$K$10),2)</f>
        <v>27.06</v>
      </c>
      <c r="I564" s="46">
        <f>TRUNC(T564*(1-LOTE_01!$K$10),2)</f>
        <v>4.08</v>
      </c>
      <c r="J564" s="100">
        <f t="shared" si="60"/>
        <v>0.22470000000000001</v>
      </c>
      <c r="K564" s="48">
        <f t="shared" si="61"/>
        <v>33.14</v>
      </c>
      <c r="L564" s="48">
        <f t="shared" si="62"/>
        <v>4.99</v>
      </c>
      <c r="M564" s="48">
        <f t="shared" si="63"/>
        <v>331.4</v>
      </c>
      <c r="N564" s="48">
        <f t="shared" si="64"/>
        <v>49.9</v>
      </c>
      <c r="O564" s="50">
        <f t="shared" si="65"/>
        <v>381.3</v>
      </c>
      <c r="P564" s="50">
        <v>0</v>
      </c>
      <c r="Q564" s="76"/>
      <c r="R564" s="140">
        <f>2*S9+2*S10</f>
        <v>10</v>
      </c>
      <c r="S564" s="79">
        <v>27.06</v>
      </c>
      <c r="T564" s="80">
        <v>4.08</v>
      </c>
    </row>
    <row r="565" spans="2:20" ht="28">
      <c r="B565" s="5" t="s">
        <v>1341</v>
      </c>
      <c r="C565" s="45" t="s">
        <v>97</v>
      </c>
      <c r="D565" s="45" t="s">
        <v>1342</v>
      </c>
      <c r="E565" s="6" t="s">
        <v>1343</v>
      </c>
      <c r="F565" s="45" t="s">
        <v>104</v>
      </c>
      <c r="G565" s="46">
        <f t="shared" si="59"/>
        <v>7</v>
      </c>
      <c r="H565" s="46">
        <f>TRUNC(S565*(1-LOTE_01!$K$10),2)</f>
        <v>90.86</v>
      </c>
      <c r="I565" s="46">
        <f>TRUNC(T565*(1-LOTE_01!$K$10),2)</f>
        <v>13.92</v>
      </c>
      <c r="J565" s="100">
        <f t="shared" si="60"/>
        <v>0.22470000000000001</v>
      </c>
      <c r="K565" s="48">
        <f t="shared" si="61"/>
        <v>111.27</v>
      </c>
      <c r="L565" s="48">
        <f t="shared" si="62"/>
        <v>17.04</v>
      </c>
      <c r="M565" s="48">
        <f t="shared" si="63"/>
        <v>778.89</v>
      </c>
      <c r="N565" s="48">
        <f t="shared" si="64"/>
        <v>119.28</v>
      </c>
      <c r="O565" s="50">
        <f t="shared" si="65"/>
        <v>898.17</v>
      </c>
      <c r="P565" s="50">
        <v>0</v>
      </c>
      <c r="Q565" s="76"/>
      <c r="R565" s="140">
        <f>1*S9+2*S10</f>
        <v>7</v>
      </c>
      <c r="S565" s="79">
        <v>90.86</v>
      </c>
      <c r="T565" s="80">
        <v>13.92</v>
      </c>
    </row>
    <row r="566" spans="2:20" ht="70">
      <c r="B566" s="5" t="s">
        <v>1344</v>
      </c>
      <c r="C566" s="45" t="s">
        <v>135</v>
      </c>
      <c r="D566" s="45">
        <v>86909</v>
      </c>
      <c r="E566" s="6" t="s">
        <v>1825</v>
      </c>
      <c r="F566" s="45" t="s">
        <v>210</v>
      </c>
      <c r="G566" s="46">
        <f t="shared" si="59"/>
        <v>5</v>
      </c>
      <c r="H566" s="46">
        <f>TRUNC(S566*(1-LOTE_01!$K$10),2)</f>
        <v>123.46</v>
      </c>
      <c r="I566" s="46">
        <f>TRUNC(T566*(1-LOTE_01!$K$10),2)</f>
        <v>4.91</v>
      </c>
      <c r="J566" s="100">
        <f t="shared" si="60"/>
        <v>0.22470000000000001</v>
      </c>
      <c r="K566" s="48">
        <f t="shared" si="61"/>
        <v>151.19999999999999</v>
      </c>
      <c r="L566" s="48">
        <f t="shared" si="62"/>
        <v>6.01</v>
      </c>
      <c r="M566" s="48">
        <f t="shared" si="63"/>
        <v>756</v>
      </c>
      <c r="N566" s="48">
        <f t="shared" si="64"/>
        <v>30.05</v>
      </c>
      <c r="O566" s="50">
        <f t="shared" si="65"/>
        <v>786.05</v>
      </c>
      <c r="P566" s="50">
        <v>0</v>
      </c>
      <c r="Q566" s="76"/>
      <c r="R566" s="140">
        <f>1*S9+1*S10</f>
        <v>5</v>
      </c>
      <c r="S566" s="79">
        <v>123.46000000000001</v>
      </c>
      <c r="T566" s="80">
        <v>4.91</v>
      </c>
    </row>
    <row r="567" spans="2:20" ht="70">
      <c r="B567" s="5" t="s">
        <v>1345</v>
      </c>
      <c r="C567" s="45" t="s">
        <v>135</v>
      </c>
      <c r="D567" s="45">
        <v>86910</v>
      </c>
      <c r="E567" s="6" t="s">
        <v>1826</v>
      </c>
      <c r="F567" s="45" t="s">
        <v>210</v>
      </c>
      <c r="G567" s="46">
        <f t="shared" si="59"/>
        <v>5</v>
      </c>
      <c r="H567" s="46">
        <f>TRUNC(S567*(1-LOTE_01!$K$10),2)</f>
        <v>122.33</v>
      </c>
      <c r="I567" s="46">
        <f>TRUNC(T567*(1-LOTE_01!$K$10),2)</f>
        <v>3.43</v>
      </c>
      <c r="J567" s="100">
        <f t="shared" si="60"/>
        <v>0.22470000000000001</v>
      </c>
      <c r="K567" s="48">
        <f t="shared" si="61"/>
        <v>149.81</v>
      </c>
      <c r="L567" s="48">
        <f t="shared" si="62"/>
        <v>4.2</v>
      </c>
      <c r="M567" s="48">
        <f t="shared" si="63"/>
        <v>749.05</v>
      </c>
      <c r="N567" s="48">
        <f t="shared" si="64"/>
        <v>21</v>
      </c>
      <c r="O567" s="50">
        <f t="shared" si="65"/>
        <v>770.05</v>
      </c>
      <c r="P567" s="50">
        <v>0</v>
      </c>
      <c r="Q567" s="76"/>
      <c r="R567" s="140">
        <f>1*S9+1*S10</f>
        <v>5</v>
      </c>
      <c r="S567" s="79">
        <v>122.33</v>
      </c>
      <c r="T567" s="80">
        <v>3.43</v>
      </c>
    </row>
    <row r="568" spans="2:20" ht="42">
      <c r="B568" s="5" t="s">
        <v>1346</v>
      </c>
      <c r="C568" s="45" t="s">
        <v>135</v>
      </c>
      <c r="D568" s="45">
        <v>100853</v>
      </c>
      <c r="E568" s="6" t="s">
        <v>1827</v>
      </c>
      <c r="F568" s="45" t="s">
        <v>210</v>
      </c>
      <c r="G568" s="46">
        <f t="shared" si="59"/>
        <v>5</v>
      </c>
      <c r="H568" s="46">
        <f>TRUNC(S568*(1-LOTE_01!$K$10),2)</f>
        <v>326.13</v>
      </c>
      <c r="I568" s="46">
        <f>TRUNC(T568*(1-LOTE_01!$K$10),2)</f>
        <v>13.69</v>
      </c>
      <c r="J568" s="100">
        <f t="shared" si="60"/>
        <v>0.22470000000000001</v>
      </c>
      <c r="K568" s="48">
        <f t="shared" si="61"/>
        <v>399.41</v>
      </c>
      <c r="L568" s="48">
        <f t="shared" si="62"/>
        <v>16.760000000000002</v>
      </c>
      <c r="M568" s="48">
        <f t="shared" si="63"/>
        <v>1997.05</v>
      </c>
      <c r="N568" s="48">
        <f t="shared" si="64"/>
        <v>83.8</v>
      </c>
      <c r="O568" s="50">
        <f t="shared" si="65"/>
        <v>2080.85</v>
      </c>
      <c r="P568" s="50">
        <v>0</v>
      </c>
      <c r="Q568" s="76"/>
      <c r="R568" s="140">
        <f>1*S9+1*S10</f>
        <v>5</v>
      </c>
      <c r="S568" s="79">
        <v>326.13</v>
      </c>
      <c r="T568" s="80">
        <v>13.69</v>
      </c>
    </row>
    <row r="569" spans="2:20" ht="70">
      <c r="B569" s="5" t="s">
        <v>1347</v>
      </c>
      <c r="C569" s="45" t="s">
        <v>97</v>
      </c>
      <c r="D569" s="45" t="s">
        <v>1348</v>
      </c>
      <c r="E569" s="6" t="s">
        <v>1349</v>
      </c>
      <c r="F569" s="45" t="s">
        <v>104</v>
      </c>
      <c r="G569" s="46">
        <f t="shared" si="59"/>
        <v>7</v>
      </c>
      <c r="H569" s="46">
        <f>TRUNC(S569*(1-LOTE_01!$K$10),2)</f>
        <v>208.99</v>
      </c>
      <c r="I569" s="46">
        <f>TRUNC(T569*(1-LOTE_01!$K$10),2)</f>
        <v>3.14</v>
      </c>
      <c r="J569" s="100">
        <f t="shared" si="60"/>
        <v>0.22470000000000001</v>
      </c>
      <c r="K569" s="48">
        <f t="shared" si="61"/>
        <v>255.95</v>
      </c>
      <c r="L569" s="48">
        <f t="shared" si="62"/>
        <v>3.84</v>
      </c>
      <c r="M569" s="48">
        <f t="shared" si="63"/>
        <v>1791.65</v>
      </c>
      <c r="N569" s="48">
        <f t="shared" si="64"/>
        <v>26.88</v>
      </c>
      <c r="O569" s="50">
        <f t="shared" si="65"/>
        <v>1818.53</v>
      </c>
      <c r="P569" s="50">
        <v>0</v>
      </c>
      <c r="Q569" s="76"/>
      <c r="R569" s="140">
        <f>1*S9+2*S10</f>
        <v>7</v>
      </c>
      <c r="S569" s="79">
        <v>208.99</v>
      </c>
      <c r="T569" s="80">
        <v>3.14</v>
      </c>
    </row>
    <row r="570" spans="2:20" ht="42">
      <c r="B570" s="5" t="s">
        <v>1350</v>
      </c>
      <c r="C570" s="45" t="s">
        <v>165</v>
      </c>
      <c r="D570" s="45" t="s">
        <v>1351</v>
      </c>
      <c r="E570" s="6" t="s">
        <v>1352</v>
      </c>
      <c r="F570" s="45" t="s">
        <v>559</v>
      </c>
      <c r="G570" s="46">
        <f t="shared" si="59"/>
        <v>10</v>
      </c>
      <c r="H570" s="46">
        <f>TRUNC(S570*(1-LOTE_01!$K$10),2)</f>
        <v>410.67</v>
      </c>
      <c r="I570" s="46">
        <f>TRUNC(T570*(1-LOTE_01!$K$10),2)</f>
        <v>63.77</v>
      </c>
      <c r="J570" s="100">
        <f t="shared" si="60"/>
        <v>0.22470000000000001</v>
      </c>
      <c r="K570" s="48">
        <f t="shared" si="61"/>
        <v>502.94</v>
      </c>
      <c r="L570" s="48">
        <f t="shared" si="62"/>
        <v>78.09</v>
      </c>
      <c r="M570" s="48">
        <f t="shared" si="63"/>
        <v>5029.3999999999996</v>
      </c>
      <c r="N570" s="48">
        <f t="shared" si="64"/>
        <v>780.9</v>
      </c>
      <c r="O570" s="50">
        <f t="shared" si="65"/>
        <v>5810.3</v>
      </c>
      <c r="P570" s="50">
        <v>0</v>
      </c>
      <c r="Q570" s="76"/>
      <c r="R570" s="140">
        <f>2*S9+2*S10</f>
        <v>10</v>
      </c>
      <c r="S570" s="79">
        <v>410.67</v>
      </c>
      <c r="T570" s="80">
        <v>63.77</v>
      </c>
    </row>
    <row r="571" spans="2:20" ht="42">
      <c r="B571" s="5" t="s">
        <v>1353</v>
      </c>
      <c r="C571" s="45" t="s">
        <v>97</v>
      </c>
      <c r="D571" s="45" t="s">
        <v>1354</v>
      </c>
      <c r="E571" s="6" t="s">
        <v>1355</v>
      </c>
      <c r="F571" s="45" t="s">
        <v>104</v>
      </c>
      <c r="G571" s="46">
        <f t="shared" si="59"/>
        <v>7</v>
      </c>
      <c r="H571" s="46">
        <f>TRUNC(S571*(1-LOTE_01!$K$10),2)</f>
        <v>47.57</v>
      </c>
      <c r="I571" s="46">
        <f>TRUNC(T571*(1-LOTE_01!$K$10),2)</f>
        <v>12.7</v>
      </c>
      <c r="J571" s="100">
        <f t="shared" si="60"/>
        <v>0.22470000000000001</v>
      </c>
      <c r="K571" s="48">
        <f t="shared" si="61"/>
        <v>58.25</v>
      </c>
      <c r="L571" s="48">
        <f t="shared" si="62"/>
        <v>15.55</v>
      </c>
      <c r="M571" s="48">
        <f t="shared" si="63"/>
        <v>407.75</v>
      </c>
      <c r="N571" s="48">
        <f t="shared" si="64"/>
        <v>108.85</v>
      </c>
      <c r="O571" s="50">
        <f t="shared" si="65"/>
        <v>516.6</v>
      </c>
      <c r="P571" s="50">
        <v>0</v>
      </c>
      <c r="Q571" s="76"/>
      <c r="R571" s="140">
        <f>1*S9+2*S10</f>
        <v>7</v>
      </c>
      <c r="S571" s="79">
        <v>47.57</v>
      </c>
      <c r="T571" s="80">
        <v>12.7</v>
      </c>
    </row>
    <row r="572" spans="2:20" ht="56">
      <c r="B572" s="5" t="s">
        <v>1356</v>
      </c>
      <c r="C572" s="45" t="s">
        <v>135</v>
      </c>
      <c r="D572" s="45">
        <v>86877</v>
      </c>
      <c r="E572" s="6" t="s">
        <v>1828</v>
      </c>
      <c r="F572" s="45" t="s">
        <v>210</v>
      </c>
      <c r="G572" s="46">
        <f t="shared" si="59"/>
        <v>5</v>
      </c>
      <c r="H572" s="46">
        <f>TRUNC(S572*(1-LOTE_01!$K$10),2)</f>
        <v>73.33</v>
      </c>
      <c r="I572" s="46">
        <f>TRUNC(T572*(1-LOTE_01!$K$10),2)</f>
        <v>5.12</v>
      </c>
      <c r="J572" s="100">
        <f t="shared" si="60"/>
        <v>0.22470000000000001</v>
      </c>
      <c r="K572" s="48">
        <f t="shared" si="61"/>
        <v>89.8</v>
      </c>
      <c r="L572" s="48">
        <f t="shared" si="62"/>
        <v>6.27</v>
      </c>
      <c r="M572" s="48">
        <f t="shared" si="63"/>
        <v>449</v>
      </c>
      <c r="N572" s="48">
        <f t="shared" si="64"/>
        <v>31.35</v>
      </c>
      <c r="O572" s="50">
        <f t="shared" si="65"/>
        <v>480.35</v>
      </c>
      <c r="P572" s="50">
        <v>0</v>
      </c>
      <c r="Q572" s="76"/>
      <c r="R572" s="140">
        <f>IF((1*S9+1*S10)&gt;10,10,(1*S9+1*S10))</f>
        <v>5</v>
      </c>
      <c r="S572" s="79">
        <v>73.33</v>
      </c>
      <c r="T572" s="80">
        <v>5.12</v>
      </c>
    </row>
    <row r="573" spans="2:20" ht="56">
      <c r="B573" s="5" t="s">
        <v>1357</v>
      </c>
      <c r="C573" s="45" t="s">
        <v>135</v>
      </c>
      <c r="D573" s="45">
        <v>86878</v>
      </c>
      <c r="E573" s="6" t="s">
        <v>1829</v>
      </c>
      <c r="F573" s="45" t="s">
        <v>210</v>
      </c>
      <c r="G573" s="46">
        <f t="shared" si="59"/>
        <v>5</v>
      </c>
      <c r="H573" s="46">
        <f>TRUNC(S573*(1-LOTE_01!$K$10),2)</f>
        <v>79.39</v>
      </c>
      <c r="I573" s="46">
        <f>TRUNC(T573*(1-LOTE_01!$K$10),2)</f>
        <v>5.12</v>
      </c>
      <c r="J573" s="100">
        <f t="shared" si="60"/>
        <v>0.22470000000000001</v>
      </c>
      <c r="K573" s="48">
        <f t="shared" si="61"/>
        <v>97.22</v>
      </c>
      <c r="L573" s="48">
        <f t="shared" si="62"/>
        <v>6.27</v>
      </c>
      <c r="M573" s="48">
        <f t="shared" si="63"/>
        <v>486.1</v>
      </c>
      <c r="N573" s="48">
        <f t="shared" si="64"/>
        <v>31.35</v>
      </c>
      <c r="O573" s="50">
        <f t="shared" si="65"/>
        <v>517.45000000000005</v>
      </c>
      <c r="P573" s="50">
        <v>0</v>
      </c>
      <c r="Q573" s="76"/>
      <c r="R573" s="140">
        <f>IF((1*S9+1*S10)&gt;10,10,(1*S9+1*S10))</f>
        <v>5</v>
      </c>
      <c r="S573" s="79">
        <v>79.39</v>
      </c>
      <c r="T573" s="80">
        <v>5.12</v>
      </c>
    </row>
    <row r="574" spans="2:20" ht="42">
      <c r="B574" s="5" t="s">
        <v>1358</v>
      </c>
      <c r="C574" s="45" t="s">
        <v>135</v>
      </c>
      <c r="D574" s="45">
        <v>86886</v>
      </c>
      <c r="E574" s="6" t="s">
        <v>1816</v>
      </c>
      <c r="F574" s="45" t="s">
        <v>210</v>
      </c>
      <c r="G574" s="46">
        <f t="shared" si="59"/>
        <v>10</v>
      </c>
      <c r="H574" s="46">
        <f>TRUNC(S574*(1-LOTE_01!$K$10),2)</f>
        <v>53.62</v>
      </c>
      <c r="I574" s="46">
        <f>TRUNC(T574*(1-LOTE_01!$K$10),2)</f>
        <v>4.47</v>
      </c>
      <c r="J574" s="100">
        <f t="shared" si="60"/>
        <v>0.22470000000000001</v>
      </c>
      <c r="K574" s="48">
        <f t="shared" si="61"/>
        <v>65.66</v>
      </c>
      <c r="L574" s="48">
        <f t="shared" si="62"/>
        <v>5.47</v>
      </c>
      <c r="M574" s="48">
        <f t="shared" si="63"/>
        <v>656.6</v>
      </c>
      <c r="N574" s="48">
        <f t="shared" si="64"/>
        <v>54.7</v>
      </c>
      <c r="O574" s="50">
        <f t="shared" si="65"/>
        <v>711.3</v>
      </c>
      <c r="P574" s="50">
        <v>0</v>
      </c>
      <c r="Q574" s="76"/>
      <c r="R574" s="140">
        <f>2*S9+2*S10</f>
        <v>10</v>
      </c>
      <c r="S574" s="79">
        <v>53.620000000000005</v>
      </c>
      <c r="T574" s="80">
        <v>4.47</v>
      </c>
    </row>
    <row r="575" spans="2:20" ht="42">
      <c r="B575" s="5" t="s">
        <v>1359</v>
      </c>
      <c r="C575" s="45" t="s">
        <v>135</v>
      </c>
      <c r="D575" s="45">
        <v>86887</v>
      </c>
      <c r="E575" s="6" t="s">
        <v>1830</v>
      </c>
      <c r="F575" s="45" t="s">
        <v>210</v>
      </c>
      <c r="G575" s="46">
        <f t="shared" si="59"/>
        <v>10</v>
      </c>
      <c r="H575" s="46">
        <f>TRUNC(S575*(1-LOTE_01!$K$10),2)</f>
        <v>58.5</v>
      </c>
      <c r="I575" s="46">
        <f>TRUNC(T575*(1-LOTE_01!$K$10),2)</f>
        <v>4.47</v>
      </c>
      <c r="J575" s="100">
        <f t="shared" si="60"/>
        <v>0.22470000000000001</v>
      </c>
      <c r="K575" s="48">
        <f t="shared" si="61"/>
        <v>71.64</v>
      </c>
      <c r="L575" s="48">
        <f t="shared" si="62"/>
        <v>5.47</v>
      </c>
      <c r="M575" s="48">
        <f t="shared" si="63"/>
        <v>716.4</v>
      </c>
      <c r="N575" s="48">
        <f t="shared" si="64"/>
        <v>54.7</v>
      </c>
      <c r="O575" s="50">
        <f t="shared" si="65"/>
        <v>771.1</v>
      </c>
      <c r="P575" s="50">
        <v>0</v>
      </c>
      <c r="Q575" s="76"/>
      <c r="R575" s="140">
        <f>2*S9+2*S10</f>
        <v>10</v>
      </c>
      <c r="S575" s="79">
        <v>58.5</v>
      </c>
      <c r="T575" s="80">
        <v>4.47</v>
      </c>
    </row>
    <row r="576" spans="2:20" ht="42">
      <c r="B576" s="5" t="s">
        <v>1360</v>
      </c>
      <c r="C576" s="45" t="s">
        <v>135</v>
      </c>
      <c r="D576" s="45">
        <v>86881</v>
      </c>
      <c r="E576" s="6" t="s">
        <v>1831</v>
      </c>
      <c r="F576" s="45" t="s">
        <v>210</v>
      </c>
      <c r="G576" s="46">
        <f t="shared" si="59"/>
        <v>12</v>
      </c>
      <c r="H576" s="46">
        <f>TRUNC(S576*(1-LOTE_01!$K$10),2)</f>
        <v>229.93</v>
      </c>
      <c r="I576" s="46">
        <f>TRUNC(T576*(1-LOTE_01!$K$10),2)</f>
        <v>8.0399999999999991</v>
      </c>
      <c r="J576" s="100">
        <f t="shared" si="60"/>
        <v>0.22470000000000001</v>
      </c>
      <c r="K576" s="48">
        <f t="shared" si="61"/>
        <v>281.58999999999997</v>
      </c>
      <c r="L576" s="48">
        <f t="shared" si="62"/>
        <v>9.84</v>
      </c>
      <c r="M576" s="48">
        <f t="shared" si="63"/>
        <v>3379.08</v>
      </c>
      <c r="N576" s="48">
        <f t="shared" si="64"/>
        <v>118.08</v>
      </c>
      <c r="O576" s="50">
        <f t="shared" si="65"/>
        <v>3497.16</v>
      </c>
      <c r="P576" s="50">
        <v>0</v>
      </c>
      <c r="Q576" s="76"/>
      <c r="R576" s="140">
        <f>2*S9+3*S10</f>
        <v>12</v>
      </c>
      <c r="S576" s="79">
        <v>229.93</v>
      </c>
      <c r="T576" s="80">
        <v>8.0399999999999991</v>
      </c>
    </row>
    <row r="577" spans="2:20" ht="42">
      <c r="B577" s="5" t="s">
        <v>1361</v>
      </c>
      <c r="C577" s="45" t="s">
        <v>135</v>
      </c>
      <c r="D577" s="45">
        <v>86883</v>
      </c>
      <c r="E577" s="6" t="s">
        <v>1832</v>
      </c>
      <c r="F577" s="45" t="s">
        <v>210</v>
      </c>
      <c r="G577" s="46">
        <f t="shared" si="59"/>
        <v>12</v>
      </c>
      <c r="H577" s="46">
        <f>TRUNC(S577*(1-LOTE_01!$K$10),2)</f>
        <v>9.41</v>
      </c>
      <c r="I577" s="46">
        <f>TRUNC(T577*(1-LOTE_01!$K$10),2)</f>
        <v>2.7</v>
      </c>
      <c r="J577" s="100">
        <f t="shared" si="60"/>
        <v>0.22470000000000001</v>
      </c>
      <c r="K577" s="48">
        <f t="shared" si="61"/>
        <v>11.52</v>
      </c>
      <c r="L577" s="48">
        <f t="shared" si="62"/>
        <v>3.3</v>
      </c>
      <c r="M577" s="48">
        <f t="shared" si="63"/>
        <v>138.24</v>
      </c>
      <c r="N577" s="48">
        <f t="shared" si="64"/>
        <v>39.6</v>
      </c>
      <c r="O577" s="50">
        <f t="shared" si="65"/>
        <v>177.84</v>
      </c>
      <c r="P577" s="50">
        <v>0</v>
      </c>
      <c r="Q577" s="76"/>
      <c r="R577" s="140">
        <f>2*S9+3*S10</f>
        <v>12</v>
      </c>
      <c r="S577" s="79">
        <v>9.41</v>
      </c>
      <c r="T577" s="80">
        <v>2.7</v>
      </c>
    </row>
    <row r="578" spans="2:20" ht="56">
      <c r="B578" s="5" t="s">
        <v>1362</v>
      </c>
      <c r="C578" s="45" t="s">
        <v>135</v>
      </c>
      <c r="D578" s="45">
        <v>86889</v>
      </c>
      <c r="E578" s="6" t="s">
        <v>1833</v>
      </c>
      <c r="F578" s="45" t="s">
        <v>210</v>
      </c>
      <c r="G578" s="46">
        <f t="shared" si="59"/>
        <v>5</v>
      </c>
      <c r="H578" s="46">
        <f>TRUNC(S578*(1-LOTE_01!$K$10),2)</f>
        <v>783.42</v>
      </c>
      <c r="I578" s="46">
        <f>TRUNC(T578*(1-LOTE_01!$K$10),2)</f>
        <v>52.31</v>
      </c>
      <c r="J578" s="100">
        <f t="shared" si="60"/>
        <v>0.22470000000000001</v>
      </c>
      <c r="K578" s="48">
        <f t="shared" si="61"/>
        <v>959.45</v>
      </c>
      <c r="L578" s="48">
        <f t="shared" si="62"/>
        <v>64.06</v>
      </c>
      <c r="M578" s="48">
        <f t="shared" si="63"/>
        <v>4797.25</v>
      </c>
      <c r="N578" s="48">
        <f t="shared" si="64"/>
        <v>320.3</v>
      </c>
      <c r="O578" s="50">
        <f t="shared" si="65"/>
        <v>5117.55</v>
      </c>
      <c r="P578" s="50">
        <v>0</v>
      </c>
      <c r="Q578" s="76"/>
      <c r="R578" s="140">
        <f>IF((1*S9+1*S10)&gt;5,5,(1*S9+1*S10))</f>
        <v>5</v>
      </c>
      <c r="S578" s="79">
        <v>783.42000000000007</v>
      </c>
      <c r="T578" s="80">
        <v>52.31</v>
      </c>
    </row>
    <row r="579" spans="2:20" ht="28">
      <c r="B579" s="5" t="s">
        <v>1363</v>
      </c>
      <c r="C579" s="45" t="s">
        <v>165</v>
      </c>
      <c r="D579" s="45" t="s">
        <v>1364</v>
      </c>
      <c r="E579" s="6" t="s">
        <v>1365</v>
      </c>
      <c r="F579" s="45" t="s">
        <v>559</v>
      </c>
      <c r="G579" s="46">
        <f t="shared" si="59"/>
        <v>5</v>
      </c>
      <c r="H579" s="46">
        <f>TRUNC(S579*(1-LOTE_01!$K$10),2)</f>
        <v>872.57</v>
      </c>
      <c r="I579" s="46">
        <f>TRUNC(T579*(1-LOTE_01!$K$10),2)</f>
        <v>95.66</v>
      </c>
      <c r="J579" s="100">
        <f t="shared" si="60"/>
        <v>0.22470000000000001</v>
      </c>
      <c r="K579" s="48">
        <f t="shared" si="61"/>
        <v>1068.6300000000001</v>
      </c>
      <c r="L579" s="48">
        <f t="shared" si="62"/>
        <v>117.15</v>
      </c>
      <c r="M579" s="48">
        <f t="shared" si="63"/>
        <v>5343.15</v>
      </c>
      <c r="N579" s="48">
        <f t="shared" si="64"/>
        <v>585.75</v>
      </c>
      <c r="O579" s="50">
        <f t="shared" si="65"/>
        <v>5928.9</v>
      </c>
      <c r="P579" s="50">
        <v>0</v>
      </c>
      <c r="Q579" s="76"/>
      <c r="R579" s="140">
        <f>IF((1*S9+1*S10)&gt;10,10,(1*S9+1*S10))</f>
        <v>5</v>
      </c>
      <c r="S579" s="79">
        <v>872.57</v>
      </c>
      <c r="T579" s="80">
        <v>95.66</v>
      </c>
    </row>
    <row r="580" spans="2:20" ht="28">
      <c r="B580" s="5" t="s">
        <v>1366</v>
      </c>
      <c r="C580" s="45" t="s">
        <v>165</v>
      </c>
      <c r="D580" s="45" t="s">
        <v>1367</v>
      </c>
      <c r="E580" s="6" t="s">
        <v>1368</v>
      </c>
      <c r="F580" s="45" t="s">
        <v>559</v>
      </c>
      <c r="G580" s="46">
        <f t="shared" si="59"/>
        <v>5</v>
      </c>
      <c r="H580" s="46">
        <f>TRUNC(S580*(1-LOTE_01!$K$10),2)</f>
        <v>651.35</v>
      </c>
      <c r="I580" s="46">
        <f>TRUNC(T580*(1-LOTE_01!$K$10),2)</f>
        <v>111.6</v>
      </c>
      <c r="J580" s="100">
        <f t="shared" si="60"/>
        <v>0.22470000000000001</v>
      </c>
      <c r="K580" s="48">
        <f t="shared" si="61"/>
        <v>797.7</v>
      </c>
      <c r="L580" s="48">
        <f t="shared" si="62"/>
        <v>136.66999999999999</v>
      </c>
      <c r="M580" s="48">
        <f t="shared" si="63"/>
        <v>3988.5</v>
      </c>
      <c r="N580" s="48">
        <f t="shared" si="64"/>
        <v>683.35</v>
      </c>
      <c r="O580" s="50">
        <f t="shared" si="65"/>
        <v>4671.8500000000004</v>
      </c>
      <c r="P580" s="50">
        <v>0</v>
      </c>
      <c r="Q580" s="76"/>
      <c r="R580" s="140">
        <f>IF((1*S9+1*S10)&gt;10,10,(1*S9+1*S10))</f>
        <v>5</v>
      </c>
      <c r="S580" s="79">
        <v>651.35</v>
      </c>
      <c r="T580" s="80">
        <v>111.6</v>
      </c>
    </row>
    <row r="581" spans="2:20">
      <c r="B581" s="101" t="s">
        <v>52</v>
      </c>
      <c r="C581" s="102" t="s">
        <v>21</v>
      </c>
      <c r="D581" s="102" t="s">
        <v>21</v>
      </c>
      <c r="E581" s="103" t="s">
        <v>59</v>
      </c>
      <c r="F581" s="102" t="s">
        <v>21</v>
      </c>
      <c r="G581" s="46">
        <f t="shared" si="59"/>
        <v>0</v>
      </c>
      <c r="H581" s="46"/>
      <c r="I581" s="46"/>
      <c r="J581" s="105"/>
      <c r="K581" s="48">
        <f t="shared" si="61"/>
        <v>0</v>
      </c>
      <c r="L581" s="48">
        <f t="shared" si="62"/>
        <v>0</v>
      </c>
      <c r="M581" s="48">
        <f t="shared" si="63"/>
        <v>0</v>
      </c>
      <c r="N581" s="48">
        <f t="shared" si="64"/>
        <v>0</v>
      </c>
      <c r="O581" s="50">
        <f t="shared" si="65"/>
        <v>0</v>
      </c>
      <c r="P581" s="50">
        <f>SUM(O582:O604)</f>
        <v>86197.21</v>
      </c>
      <c r="Q581" s="76"/>
      <c r="R581" s="154"/>
      <c r="S581" s="79" t="s">
        <v>22</v>
      </c>
      <c r="T581" s="80" t="s">
        <v>22</v>
      </c>
    </row>
    <row r="582" spans="2:20">
      <c r="B582" s="5" t="s">
        <v>1369</v>
      </c>
      <c r="C582" s="45" t="s">
        <v>97</v>
      </c>
      <c r="D582" s="45" t="s">
        <v>1370</v>
      </c>
      <c r="E582" s="6" t="s">
        <v>1371</v>
      </c>
      <c r="F582" s="45" t="s">
        <v>104</v>
      </c>
      <c r="G582" s="46">
        <f t="shared" si="59"/>
        <v>25</v>
      </c>
      <c r="H582" s="46">
        <f>TRUNC(S582*(1-LOTE_01!$K$10),2)</f>
        <v>1.66</v>
      </c>
      <c r="I582" s="46">
        <f>TRUNC(T582*(1-LOTE_01!$K$10),2)</f>
        <v>4.22</v>
      </c>
      <c r="J582" s="100">
        <f t="shared" si="60"/>
        <v>0.22470000000000001</v>
      </c>
      <c r="K582" s="48">
        <f t="shared" si="61"/>
        <v>2.0299999999999998</v>
      </c>
      <c r="L582" s="48">
        <f t="shared" si="62"/>
        <v>5.16</v>
      </c>
      <c r="M582" s="48">
        <f t="shared" si="63"/>
        <v>50.75</v>
      </c>
      <c r="N582" s="48">
        <f t="shared" si="64"/>
        <v>129</v>
      </c>
      <c r="O582" s="50">
        <f t="shared" si="65"/>
        <v>179.75</v>
      </c>
      <c r="P582" s="50">
        <v>0</v>
      </c>
      <c r="Q582" s="76"/>
      <c r="R582" s="140">
        <f>5*S9+5*S10</f>
        <v>25</v>
      </c>
      <c r="S582" s="79">
        <v>1.66</v>
      </c>
      <c r="T582" s="80">
        <v>4.22</v>
      </c>
    </row>
    <row r="583" spans="2:20" ht="28">
      <c r="B583" s="5" t="s">
        <v>1372</v>
      </c>
      <c r="C583" s="45" t="s">
        <v>97</v>
      </c>
      <c r="D583" s="45" t="s">
        <v>1373</v>
      </c>
      <c r="E583" s="6" t="s">
        <v>1374</v>
      </c>
      <c r="F583" s="45" t="s">
        <v>104</v>
      </c>
      <c r="G583" s="46">
        <f t="shared" si="59"/>
        <v>25</v>
      </c>
      <c r="H583" s="46">
        <f>TRUNC(S583*(1-LOTE_01!$K$10),2)</f>
        <v>8.17</v>
      </c>
      <c r="I583" s="46">
        <f>TRUNC(T583*(1-LOTE_01!$K$10),2)</f>
        <v>20.100000000000001</v>
      </c>
      <c r="J583" s="100">
        <f t="shared" si="60"/>
        <v>0.22470000000000001</v>
      </c>
      <c r="K583" s="48">
        <f t="shared" si="61"/>
        <v>10</v>
      </c>
      <c r="L583" s="48">
        <f t="shared" si="62"/>
        <v>24.61</v>
      </c>
      <c r="M583" s="48">
        <f t="shared" si="63"/>
        <v>250</v>
      </c>
      <c r="N583" s="48">
        <f t="shared" si="64"/>
        <v>615.25</v>
      </c>
      <c r="O583" s="50">
        <f t="shared" si="65"/>
        <v>865.25</v>
      </c>
      <c r="P583" s="50">
        <v>0</v>
      </c>
      <c r="Q583" s="76"/>
      <c r="R583" s="140">
        <f>5*S9+5*S10</f>
        <v>25</v>
      </c>
      <c r="S583" s="79">
        <v>8.17</v>
      </c>
      <c r="T583" s="80">
        <v>20.100000000000001</v>
      </c>
    </row>
    <row r="584" spans="2:20" ht="56">
      <c r="B584" s="5" t="s">
        <v>1375</v>
      </c>
      <c r="C584" s="45" t="s">
        <v>97</v>
      </c>
      <c r="D584" s="45" t="s">
        <v>1376</v>
      </c>
      <c r="E584" s="6" t="s">
        <v>1377</v>
      </c>
      <c r="F584" s="45" t="s">
        <v>104</v>
      </c>
      <c r="G584" s="46">
        <f t="shared" si="59"/>
        <v>25</v>
      </c>
      <c r="H584" s="46">
        <f>TRUNC(S584*(1-LOTE_01!$K$10),2)</f>
        <v>17.239999999999998</v>
      </c>
      <c r="I584" s="46">
        <f>TRUNC(T584*(1-LOTE_01!$K$10),2)</f>
        <v>12.98</v>
      </c>
      <c r="J584" s="100">
        <f t="shared" si="60"/>
        <v>0.22470000000000001</v>
      </c>
      <c r="K584" s="48">
        <f t="shared" si="61"/>
        <v>21.11</v>
      </c>
      <c r="L584" s="48">
        <f t="shared" si="62"/>
        <v>15.89</v>
      </c>
      <c r="M584" s="48">
        <f t="shared" si="63"/>
        <v>527.75</v>
      </c>
      <c r="N584" s="48">
        <f t="shared" si="64"/>
        <v>397.25</v>
      </c>
      <c r="O584" s="50">
        <f t="shared" si="65"/>
        <v>925</v>
      </c>
      <c r="P584" s="50">
        <v>0</v>
      </c>
      <c r="Q584" s="76"/>
      <c r="R584" s="140">
        <f>5*S9+5*S10</f>
        <v>25</v>
      </c>
      <c r="S584" s="79">
        <v>17.239999999999998</v>
      </c>
      <c r="T584" s="80">
        <v>12.98</v>
      </c>
    </row>
    <row r="585" spans="2:20" ht="56">
      <c r="B585" s="5" t="s">
        <v>1378</v>
      </c>
      <c r="C585" s="45" t="s">
        <v>135</v>
      </c>
      <c r="D585" s="45">
        <v>101905</v>
      </c>
      <c r="E585" s="6" t="s">
        <v>1834</v>
      </c>
      <c r="F585" s="45" t="s">
        <v>210</v>
      </c>
      <c r="G585" s="46">
        <f t="shared" si="59"/>
        <v>10</v>
      </c>
      <c r="H585" s="46">
        <f>TRUNC(S585*(1-LOTE_01!$K$10),2)</f>
        <v>246.74</v>
      </c>
      <c r="I585" s="46">
        <f>TRUNC(T585*(1-LOTE_01!$K$10),2)</f>
        <v>20.58</v>
      </c>
      <c r="J585" s="100">
        <f t="shared" si="60"/>
        <v>0.22470000000000001</v>
      </c>
      <c r="K585" s="48">
        <f t="shared" si="61"/>
        <v>302.18</v>
      </c>
      <c r="L585" s="48">
        <f t="shared" si="62"/>
        <v>25.2</v>
      </c>
      <c r="M585" s="48">
        <f t="shared" si="63"/>
        <v>3021.8</v>
      </c>
      <c r="N585" s="48">
        <f t="shared" si="64"/>
        <v>252</v>
      </c>
      <c r="O585" s="50">
        <f t="shared" si="65"/>
        <v>3273.8</v>
      </c>
      <c r="P585" s="50">
        <v>0</v>
      </c>
      <c r="Q585" s="76"/>
      <c r="R585" s="140">
        <f>2*S9+2*S10</f>
        <v>10</v>
      </c>
      <c r="S585" s="79">
        <v>246.74</v>
      </c>
      <c r="T585" s="80">
        <v>20.58</v>
      </c>
    </row>
    <row r="586" spans="2:20" ht="56">
      <c r="B586" s="5" t="s">
        <v>1379</v>
      </c>
      <c r="C586" s="45" t="s">
        <v>135</v>
      </c>
      <c r="D586" s="45">
        <v>101907</v>
      </c>
      <c r="E586" s="6" t="s">
        <v>1835</v>
      </c>
      <c r="F586" s="45" t="s">
        <v>210</v>
      </c>
      <c r="G586" s="46">
        <f t="shared" si="59"/>
        <v>10</v>
      </c>
      <c r="H586" s="46">
        <f>TRUNC(S586*(1-LOTE_01!$K$10),2)</f>
        <v>831.01</v>
      </c>
      <c r="I586" s="46">
        <f>TRUNC(T586*(1-LOTE_01!$K$10),2)</f>
        <v>20.69</v>
      </c>
      <c r="J586" s="100">
        <f t="shared" si="60"/>
        <v>0.22470000000000001</v>
      </c>
      <c r="K586" s="48">
        <f t="shared" si="61"/>
        <v>1017.73</v>
      </c>
      <c r="L586" s="48">
        <f t="shared" si="62"/>
        <v>25.33</v>
      </c>
      <c r="M586" s="48">
        <f t="shared" si="63"/>
        <v>10177.299999999999</v>
      </c>
      <c r="N586" s="48">
        <f t="shared" si="64"/>
        <v>253.3</v>
      </c>
      <c r="O586" s="50">
        <f t="shared" si="65"/>
        <v>10430.6</v>
      </c>
      <c r="P586" s="50">
        <v>0</v>
      </c>
      <c r="Q586" s="76"/>
      <c r="R586" s="140">
        <f>2*S9+2*S10</f>
        <v>10</v>
      </c>
      <c r="S586" s="79">
        <v>831.01</v>
      </c>
      <c r="T586" s="80">
        <v>20.69</v>
      </c>
    </row>
    <row r="587" spans="2:20" ht="56">
      <c r="B587" s="5" t="s">
        <v>1380</v>
      </c>
      <c r="C587" s="45" t="s">
        <v>135</v>
      </c>
      <c r="D587" s="45">
        <v>101909</v>
      </c>
      <c r="E587" s="6" t="s">
        <v>1836</v>
      </c>
      <c r="F587" s="45" t="s">
        <v>210</v>
      </c>
      <c r="G587" s="46">
        <f t="shared" si="59"/>
        <v>10</v>
      </c>
      <c r="H587" s="46">
        <f>TRUNC(S587*(1-LOTE_01!$K$10),2)</f>
        <v>281.10000000000002</v>
      </c>
      <c r="I587" s="46">
        <f>TRUNC(T587*(1-LOTE_01!$K$10),2)</f>
        <v>20.6</v>
      </c>
      <c r="J587" s="100">
        <f t="shared" si="60"/>
        <v>0.22470000000000001</v>
      </c>
      <c r="K587" s="48">
        <f t="shared" si="61"/>
        <v>344.26</v>
      </c>
      <c r="L587" s="48">
        <f t="shared" si="62"/>
        <v>25.22</v>
      </c>
      <c r="M587" s="48">
        <f t="shared" si="63"/>
        <v>3442.6</v>
      </c>
      <c r="N587" s="48">
        <f t="shared" si="64"/>
        <v>252.2</v>
      </c>
      <c r="O587" s="50">
        <f t="shared" si="65"/>
        <v>3694.8</v>
      </c>
      <c r="P587" s="50">
        <v>0</v>
      </c>
      <c r="Q587" s="76"/>
      <c r="R587" s="140">
        <f>2*S9+2*S10</f>
        <v>10</v>
      </c>
      <c r="S587" s="79">
        <v>281.09999999999997</v>
      </c>
      <c r="T587" s="80">
        <v>20.6</v>
      </c>
    </row>
    <row r="588" spans="2:20" ht="42">
      <c r="B588" s="5" t="s">
        <v>1381</v>
      </c>
      <c r="C588" s="45" t="s">
        <v>135</v>
      </c>
      <c r="D588" s="45">
        <v>101914</v>
      </c>
      <c r="E588" s="6" t="s">
        <v>1837</v>
      </c>
      <c r="F588" s="45" t="s">
        <v>210</v>
      </c>
      <c r="G588" s="46">
        <f t="shared" si="59"/>
        <v>5</v>
      </c>
      <c r="H588" s="46">
        <f>TRUNC(S588*(1-LOTE_01!$K$10),2)</f>
        <v>571.16999999999996</v>
      </c>
      <c r="I588" s="46">
        <f>TRUNC(T588*(1-LOTE_01!$K$10),2)</f>
        <v>56.42</v>
      </c>
      <c r="J588" s="100">
        <f t="shared" si="60"/>
        <v>0.22470000000000001</v>
      </c>
      <c r="K588" s="48">
        <f t="shared" si="61"/>
        <v>699.51</v>
      </c>
      <c r="L588" s="48">
        <f t="shared" si="62"/>
        <v>69.09</v>
      </c>
      <c r="M588" s="48">
        <f t="shared" si="63"/>
        <v>3497.55</v>
      </c>
      <c r="N588" s="48">
        <f t="shared" si="64"/>
        <v>345.45</v>
      </c>
      <c r="O588" s="50">
        <f t="shared" si="65"/>
        <v>3843</v>
      </c>
      <c r="P588" s="50">
        <v>0</v>
      </c>
      <c r="Q588" s="76"/>
      <c r="R588" s="140">
        <f>1*S9+1*S10</f>
        <v>5</v>
      </c>
      <c r="S588" s="79">
        <v>571.17000000000007</v>
      </c>
      <c r="T588" s="80">
        <v>56.42</v>
      </c>
    </row>
    <row r="589" spans="2:20" ht="84">
      <c r="B589" s="5" t="s">
        <v>1382</v>
      </c>
      <c r="C589" s="45" t="s">
        <v>135</v>
      </c>
      <c r="D589" s="45">
        <v>101915</v>
      </c>
      <c r="E589" s="6" t="s">
        <v>1838</v>
      </c>
      <c r="F589" s="45" t="s">
        <v>210</v>
      </c>
      <c r="G589" s="46">
        <f t="shared" si="59"/>
        <v>5</v>
      </c>
      <c r="H589" s="46">
        <f>TRUNC(S589*(1-LOTE_01!$K$10),2)</f>
        <v>389.79</v>
      </c>
      <c r="I589" s="46">
        <f>TRUNC(T589*(1-LOTE_01!$K$10),2)</f>
        <v>6.57</v>
      </c>
      <c r="J589" s="100">
        <f t="shared" si="60"/>
        <v>0.22470000000000001</v>
      </c>
      <c r="K589" s="48">
        <f t="shared" si="61"/>
        <v>477.37</v>
      </c>
      <c r="L589" s="48">
        <f t="shared" si="62"/>
        <v>8.0399999999999991</v>
      </c>
      <c r="M589" s="48">
        <f t="shared" si="63"/>
        <v>2386.85</v>
      </c>
      <c r="N589" s="48">
        <f t="shared" si="64"/>
        <v>40.200000000000003</v>
      </c>
      <c r="O589" s="50">
        <f t="shared" si="65"/>
        <v>2427.0500000000002</v>
      </c>
      <c r="P589" s="50">
        <v>0</v>
      </c>
      <c r="Q589" s="76"/>
      <c r="R589" s="140">
        <f>1*S9+1*S10</f>
        <v>5</v>
      </c>
      <c r="S589" s="79">
        <v>389.79</v>
      </c>
      <c r="T589" s="80">
        <v>6.57</v>
      </c>
    </row>
    <row r="590" spans="2:20" ht="56">
      <c r="B590" s="5" t="s">
        <v>1383</v>
      </c>
      <c r="C590" s="45" t="s">
        <v>97</v>
      </c>
      <c r="D590" s="45" t="s">
        <v>1384</v>
      </c>
      <c r="E590" s="6" t="s">
        <v>1385</v>
      </c>
      <c r="F590" s="45" t="s">
        <v>104</v>
      </c>
      <c r="G590" s="46">
        <f t="shared" si="59"/>
        <v>10</v>
      </c>
      <c r="H590" s="46">
        <f>TRUNC(S590*(1-LOTE_01!$K$10),2)</f>
        <v>23.55</v>
      </c>
      <c r="I590" s="46">
        <f>TRUNC(T590*(1-LOTE_01!$K$10),2)</f>
        <v>3.26</v>
      </c>
      <c r="J590" s="100">
        <f t="shared" si="60"/>
        <v>0.22470000000000001</v>
      </c>
      <c r="K590" s="48">
        <f t="shared" si="61"/>
        <v>28.84</v>
      </c>
      <c r="L590" s="48">
        <f t="shared" si="62"/>
        <v>3.99</v>
      </c>
      <c r="M590" s="48">
        <f t="shared" si="63"/>
        <v>288.39999999999998</v>
      </c>
      <c r="N590" s="48">
        <f t="shared" si="64"/>
        <v>39.9</v>
      </c>
      <c r="O590" s="50">
        <f t="shared" si="65"/>
        <v>328.3</v>
      </c>
      <c r="P590" s="50">
        <v>0</v>
      </c>
      <c r="Q590" s="76"/>
      <c r="R590" s="140">
        <f>2*S9+2*S10</f>
        <v>10</v>
      </c>
      <c r="S590" s="79">
        <v>23.55</v>
      </c>
      <c r="T590" s="80">
        <v>3.26</v>
      </c>
    </row>
    <row r="591" spans="2:20" ht="70">
      <c r="B591" s="5" t="s">
        <v>1386</v>
      </c>
      <c r="C591" s="45" t="s">
        <v>97</v>
      </c>
      <c r="D591" s="45" t="s">
        <v>1387</v>
      </c>
      <c r="E591" s="6" t="s">
        <v>1388</v>
      </c>
      <c r="F591" s="45" t="s">
        <v>104</v>
      </c>
      <c r="G591" s="46">
        <f t="shared" si="59"/>
        <v>25</v>
      </c>
      <c r="H591" s="46">
        <f>TRUNC(S591*(1-LOTE_01!$K$10),2)</f>
        <v>44.77</v>
      </c>
      <c r="I591" s="46">
        <f>TRUNC(T591*(1-LOTE_01!$K$10),2)</f>
        <v>5.19</v>
      </c>
      <c r="J591" s="100">
        <f t="shared" si="60"/>
        <v>0.22470000000000001</v>
      </c>
      <c r="K591" s="48">
        <f t="shared" si="61"/>
        <v>54.82</v>
      </c>
      <c r="L591" s="48">
        <f t="shared" si="62"/>
        <v>6.35</v>
      </c>
      <c r="M591" s="48">
        <f t="shared" si="63"/>
        <v>1370.5</v>
      </c>
      <c r="N591" s="48">
        <f t="shared" si="64"/>
        <v>158.75</v>
      </c>
      <c r="O591" s="50">
        <f t="shared" si="65"/>
        <v>1529.25</v>
      </c>
      <c r="P591" s="50">
        <v>0</v>
      </c>
      <c r="Q591" s="76"/>
      <c r="R591" s="140">
        <f>5*S9+5*S10</f>
        <v>25</v>
      </c>
      <c r="S591" s="79">
        <v>44.77</v>
      </c>
      <c r="T591" s="80">
        <v>5.19</v>
      </c>
    </row>
    <row r="592" spans="2:20" ht="84">
      <c r="B592" s="5" t="s">
        <v>1389</v>
      </c>
      <c r="C592" s="45" t="s">
        <v>97</v>
      </c>
      <c r="D592" s="45" t="s">
        <v>1390</v>
      </c>
      <c r="E592" s="6" t="s">
        <v>1391</v>
      </c>
      <c r="F592" s="45" t="s">
        <v>104</v>
      </c>
      <c r="G592" s="46">
        <f t="shared" si="59"/>
        <v>25</v>
      </c>
      <c r="H592" s="46">
        <f>TRUNC(S592*(1-LOTE_01!$K$10),2)</f>
        <v>14.75</v>
      </c>
      <c r="I592" s="46">
        <f>TRUNC(T592*(1-LOTE_01!$K$10),2)</f>
        <v>5.19</v>
      </c>
      <c r="J592" s="100">
        <f t="shared" si="60"/>
        <v>0.22470000000000001</v>
      </c>
      <c r="K592" s="48">
        <f t="shared" si="61"/>
        <v>18.059999999999999</v>
      </c>
      <c r="L592" s="48">
        <f t="shared" si="62"/>
        <v>6.35</v>
      </c>
      <c r="M592" s="48">
        <f t="shared" si="63"/>
        <v>451.5</v>
      </c>
      <c r="N592" s="48">
        <f t="shared" si="64"/>
        <v>158.75</v>
      </c>
      <c r="O592" s="50">
        <f t="shared" si="65"/>
        <v>610.25</v>
      </c>
      <c r="P592" s="50">
        <v>0</v>
      </c>
      <c r="Q592" s="76"/>
      <c r="R592" s="140">
        <f>5*S9+5*S10</f>
        <v>25</v>
      </c>
      <c r="S592" s="79">
        <v>14.75</v>
      </c>
      <c r="T592" s="80">
        <v>5.19</v>
      </c>
    </row>
    <row r="593" spans="2:20" ht="84">
      <c r="B593" s="5" t="s">
        <v>1392</v>
      </c>
      <c r="C593" s="45" t="s">
        <v>97</v>
      </c>
      <c r="D593" s="45" t="s">
        <v>1393</v>
      </c>
      <c r="E593" s="6" t="s">
        <v>1394</v>
      </c>
      <c r="F593" s="45" t="s">
        <v>104</v>
      </c>
      <c r="G593" s="46">
        <f t="shared" si="59"/>
        <v>25</v>
      </c>
      <c r="H593" s="46">
        <f>TRUNC(S593*(1-LOTE_01!$K$10),2)</f>
        <v>26.99</v>
      </c>
      <c r="I593" s="46">
        <f>TRUNC(T593*(1-LOTE_01!$K$10),2)</f>
        <v>5.19</v>
      </c>
      <c r="J593" s="100">
        <f t="shared" si="60"/>
        <v>0.22470000000000001</v>
      </c>
      <c r="K593" s="48">
        <f t="shared" si="61"/>
        <v>33.049999999999997</v>
      </c>
      <c r="L593" s="48">
        <f t="shared" si="62"/>
        <v>6.35</v>
      </c>
      <c r="M593" s="48">
        <f t="shared" si="63"/>
        <v>826.25</v>
      </c>
      <c r="N593" s="48">
        <f t="shared" si="64"/>
        <v>158.75</v>
      </c>
      <c r="O593" s="50">
        <f t="shared" si="65"/>
        <v>985</v>
      </c>
      <c r="P593" s="50">
        <v>0</v>
      </c>
      <c r="Q593" s="76"/>
      <c r="R593" s="140">
        <f>5*S9+5*S10</f>
        <v>25</v>
      </c>
      <c r="S593" s="79">
        <v>26.99</v>
      </c>
      <c r="T593" s="80">
        <v>5.19</v>
      </c>
    </row>
    <row r="594" spans="2:20" ht="84">
      <c r="B594" s="5" t="s">
        <v>1395</v>
      </c>
      <c r="C594" s="45" t="s">
        <v>97</v>
      </c>
      <c r="D594" s="45" t="s">
        <v>1396</v>
      </c>
      <c r="E594" s="6" t="s">
        <v>1397</v>
      </c>
      <c r="F594" s="45" t="s">
        <v>104</v>
      </c>
      <c r="G594" s="46">
        <f t="shared" ref="G594:G657" si="66">TRUNC(R594,2)</f>
        <v>25</v>
      </c>
      <c r="H594" s="46">
        <f>TRUNC(S594*(1-LOTE_01!$K$10),2)</f>
        <v>32.729999999999997</v>
      </c>
      <c r="I594" s="46">
        <f>TRUNC(T594*(1-LOTE_01!$K$10),2)</f>
        <v>5.19</v>
      </c>
      <c r="J594" s="100">
        <f t="shared" ref="J594:J657" si="67">$J$4</f>
        <v>0.22470000000000001</v>
      </c>
      <c r="K594" s="48">
        <f t="shared" ref="K594:K657" si="68">TRUNC(H594*(1+J594),2)</f>
        <v>40.08</v>
      </c>
      <c r="L594" s="48">
        <f t="shared" ref="L594:L657" si="69">TRUNC(I594*(1+J594),2)</f>
        <v>6.35</v>
      </c>
      <c r="M594" s="48">
        <f t="shared" ref="M594:M657" si="70">TRUNC(K594*G594,2)</f>
        <v>1002</v>
      </c>
      <c r="N594" s="48">
        <f t="shared" ref="N594:N657" si="71">TRUNC(L594*G594,2)</f>
        <v>158.75</v>
      </c>
      <c r="O594" s="50">
        <f t="shared" ref="O594:O657" si="72">TRUNC(M594+N594,2)</f>
        <v>1160.75</v>
      </c>
      <c r="P594" s="50">
        <v>0</v>
      </c>
      <c r="Q594" s="76"/>
      <c r="R594" s="140">
        <f>5*S9+5*S10</f>
        <v>25</v>
      </c>
      <c r="S594" s="79">
        <v>32.729999999999997</v>
      </c>
      <c r="T594" s="80">
        <v>5.19</v>
      </c>
    </row>
    <row r="595" spans="2:20" ht="84">
      <c r="B595" s="5" t="s">
        <v>1398</v>
      </c>
      <c r="C595" s="45" t="s">
        <v>97</v>
      </c>
      <c r="D595" s="45" t="s">
        <v>1399</v>
      </c>
      <c r="E595" s="6" t="s">
        <v>1400</v>
      </c>
      <c r="F595" s="45" t="s">
        <v>104</v>
      </c>
      <c r="G595" s="46">
        <f t="shared" si="66"/>
        <v>25</v>
      </c>
      <c r="H595" s="46">
        <f>TRUNC(S595*(1-LOTE_01!$K$10),2)</f>
        <v>23.56</v>
      </c>
      <c r="I595" s="46">
        <f>TRUNC(T595*(1-LOTE_01!$K$10),2)</f>
        <v>5.19</v>
      </c>
      <c r="J595" s="100">
        <f t="shared" si="67"/>
        <v>0.22470000000000001</v>
      </c>
      <c r="K595" s="48">
        <f t="shared" si="68"/>
        <v>28.85</v>
      </c>
      <c r="L595" s="48">
        <f t="shared" si="69"/>
        <v>6.35</v>
      </c>
      <c r="M595" s="48">
        <f t="shared" si="70"/>
        <v>721.25</v>
      </c>
      <c r="N595" s="48">
        <f t="shared" si="71"/>
        <v>158.75</v>
      </c>
      <c r="O595" s="50">
        <f t="shared" si="72"/>
        <v>880</v>
      </c>
      <c r="P595" s="50">
        <v>0</v>
      </c>
      <c r="Q595" s="76"/>
      <c r="R595" s="140">
        <f>5*S9+5*S10</f>
        <v>25</v>
      </c>
      <c r="S595" s="79">
        <v>23.56</v>
      </c>
      <c r="T595" s="80">
        <v>5.19</v>
      </c>
    </row>
    <row r="596" spans="2:20" ht="84">
      <c r="B596" s="5" t="s">
        <v>1401</v>
      </c>
      <c r="C596" s="45" t="s">
        <v>97</v>
      </c>
      <c r="D596" s="45" t="s">
        <v>1402</v>
      </c>
      <c r="E596" s="6" t="s">
        <v>1403</v>
      </c>
      <c r="F596" s="45" t="s">
        <v>104</v>
      </c>
      <c r="G596" s="46">
        <f t="shared" si="66"/>
        <v>25</v>
      </c>
      <c r="H596" s="46">
        <f>TRUNC(S596*(1-LOTE_01!$K$10),2)</f>
        <v>42.49</v>
      </c>
      <c r="I596" s="46">
        <f>TRUNC(T596*(1-LOTE_01!$K$10),2)</f>
        <v>5.19</v>
      </c>
      <c r="J596" s="100">
        <f t="shared" si="67"/>
        <v>0.22470000000000001</v>
      </c>
      <c r="K596" s="48">
        <f t="shared" si="68"/>
        <v>52.03</v>
      </c>
      <c r="L596" s="48">
        <f t="shared" si="69"/>
        <v>6.35</v>
      </c>
      <c r="M596" s="48">
        <f t="shared" si="70"/>
        <v>1300.75</v>
      </c>
      <c r="N596" s="48">
        <f t="shared" si="71"/>
        <v>158.75</v>
      </c>
      <c r="O596" s="50">
        <f t="shared" si="72"/>
        <v>1459.5</v>
      </c>
      <c r="P596" s="50">
        <v>0</v>
      </c>
      <c r="Q596" s="76"/>
      <c r="R596" s="140">
        <f>5*S9+5*S10</f>
        <v>25</v>
      </c>
      <c r="S596" s="79">
        <v>42.49</v>
      </c>
      <c r="T596" s="80">
        <v>5.19</v>
      </c>
    </row>
    <row r="597" spans="2:20" ht="56">
      <c r="B597" s="5" t="s">
        <v>1404</v>
      </c>
      <c r="C597" s="45" t="s">
        <v>97</v>
      </c>
      <c r="D597" s="45" t="s">
        <v>1405</v>
      </c>
      <c r="E597" s="6" t="s">
        <v>1406</v>
      </c>
      <c r="F597" s="45" t="s">
        <v>104</v>
      </c>
      <c r="G597" s="46">
        <f t="shared" si="66"/>
        <v>10</v>
      </c>
      <c r="H597" s="46">
        <f>TRUNC(S597*(1-LOTE_01!$K$10),2)</f>
        <v>26.98</v>
      </c>
      <c r="I597" s="46">
        <f>TRUNC(T597*(1-LOTE_01!$K$10),2)</f>
        <v>3.26</v>
      </c>
      <c r="J597" s="100">
        <f t="shared" si="67"/>
        <v>0.22470000000000001</v>
      </c>
      <c r="K597" s="48">
        <f t="shared" si="68"/>
        <v>33.04</v>
      </c>
      <c r="L597" s="48">
        <f t="shared" si="69"/>
        <v>3.99</v>
      </c>
      <c r="M597" s="48">
        <f t="shared" si="70"/>
        <v>330.4</v>
      </c>
      <c r="N597" s="48">
        <f t="shared" si="71"/>
        <v>39.9</v>
      </c>
      <c r="O597" s="50">
        <f t="shared" si="72"/>
        <v>370.3</v>
      </c>
      <c r="P597" s="50">
        <v>0</v>
      </c>
      <c r="Q597" s="76"/>
      <c r="R597" s="140">
        <f>2*S9+2*S10</f>
        <v>10</v>
      </c>
      <c r="S597" s="79">
        <v>26.98</v>
      </c>
      <c r="T597" s="80">
        <v>3.26</v>
      </c>
    </row>
    <row r="598" spans="2:20" ht="28">
      <c r="B598" s="5" t="s">
        <v>1407</v>
      </c>
      <c r="C598" s="45" t="s">
        <v>165</v>
      </c>
      <c r="D598" s="45" t="s">
        <v>1408</v>
      </c>
      <c r="E598" s="6" t="s">
        <v>1409</v>
      </c>
      <c r="F598" s="45" t="s">
        <v>559</v>
      </c>
      <c r="G598" s="46">
        <f t="shared" si="66"/>
        <v>5</v>
      </c>
      <c r="H598" s="46">
        <f>TRUNC(S598*(1-LOTE_01!$K$10),2)</f>
        <v>1046.97</v>
      </c>
      <c r="I598" s="46">
        <f>TRUNC(T598*(1-LOTE_01!$K$10),2)</f>
        <v>63.77</v>
      </c>
      <c r="J598" s="100">
        <f t="shared" si="67"/>
        <v>0.22470000000000001</v>
      </c>
      <c r="K598" s="48">
        <f t="shared" si="68"/>
        <v>1282.22</v>
      </c>
      <c r="L598" s="48">
        <f t="shared" si="69"/>
        <v>78.09</v>
      </c>
      <c r="M598" s="48">
        <f t="shared" si="70"/>
        <v>6411.1</v>
      </c>
      <c r="N598" s="48">
        <f t="shared" si="71"/>
        <v>390.45</v>
      </c>
      <c r="O598" s="50">
        <f t="shared" si="72"/>
        <v>6801.55</v>
      </c>
      <c r="P598" s="50">
        <v>0</v>
      </c>
      <c r="Q598" s="76"/>
      <c r="R598" s="140">
        <f>IF((1*S9+1*S10)&gt;5,5,(1*S9+1*S10))</f>
        <v>5</v>
      </c>
      <c r="S598" s="79">
        <v>1046.97</v>
      </c>
      <c r="T598" s="80">
        <v>63.77</v>
      </c>
    </row>
    <row r="599" spans="2:20" ht="28">
      <c r="B599" s="5" t="s">
        <v>1410</v>
      </c>
      <c r="C599" s="45" t="s">
        <v>165</v>
      </c>
      <c r="D599" s="45" t="s">
        <v>1411</v>
      </c>
      <c r="E599" s="6" t="s">
        <v>1412</v>
      </c>
      <c r="F599" s="45" t="s">
        <v>559</v>
      </c>
      <c r="G599" s="46">
        <f t="shared" si="66"/>
        <v>5</v>
      </c>
      <c r="H599" s="46">
        <f>TRUNC(S599*(1-LOTE_01!$K$10),2)</f>
        <v>107.88</v>
      </c>
      <c r="I599" s="46">
        <f>TRUNC(T599*(1-LOTE_01!$K$10),2)</f>
        <v>9.25</v>
      </c>
      <c r="J599" s="100">
        <f t="shared" si="67"/>
        <v>0.22470000000000001</v>
      </c>
      <c r="K599" s="48">
        <f t="shared" si="68"/>
        <v>132.12</v>
      </c>
      <c r="L599" s="48">
        <f t="shared" si="69"/>
        <v>11.32</v>
      </c>
      <c r="M599" s="48">
        <f t="shared" si="70"/>
        <v>660.6</v>
      </c>
      <c r="N599" s="48">
        <f t="shared" si="71"/>
        <v>56.6</v>
      </c>
      <c r="O599" s="50">
        <f t="shared" si="72"/>
        <v>717.2</v>
      </c>
      <c r="P599" s="50">
        <v>0</v>
      </c>
      <c r="Q599" s="76"/>
      <c r="R599" s="140">
        <f>IF((1*S9+1*S10)&gt;5,5,(1*S9+1*S10))</f>
        <v>5</v>
      </c>
      <c r="S599" s="79">
        <v>107.88</v>
      </c>
      <c r="T599" s="80">
        <v>9.25</v>
      </c>
    </row>
    <row r="600" spans="2:20" ht="28">
      <c r="B600" s="5" t="s">
        <v>1413</v>
      </c>
      <c r="C600" s="45" t="s">
        <v>97</v>
      </c>
      <c r="D600" s="45" t="s">
        <v>1414</v>
      </c>
      <c r="E600" s="6" t="s">
        <v>1415</v>
      </c>
      <c r="F600" s="45" t="s">
        <v>1416</v>
      </c>
      <c r="G600" s="46">
        <f t="shared" si="66"/>
        <v>500</v>
      </c>
      <c r="H600" s="46">
        <f>TRUNC(S600*(1-LOTE_01!$K$10),2)</f>
        <v>22.58</v>
      </c>
      <c r="I600" s="46">
        <f>TRUNC(T600*(1-LOTE_01!$K$10),2)</f>
        <v>6.78</v>
      </c>
      <c r="J600" s="100">
        <f t="shared" si="67"/>
        <v>0.22470000000000001</v>
      </c>
      <c r="K600" s="48">
        <f t="shared" si="68"/>
        <v>27.65</v>
      </c>
      <c r="L600" s="48">
        <f t="shared" si="69"/>
        <v>8.3000000000000007</v>
      </c>
      <c r="M600" s="48">
        <f t="shared" si="70"/>
        <v>13825</v>
      </c>
      <c r="N600" s="48">
        <f t="shared" si="71"/>
        <v>4150</v>
      </c>
      <c r="O600" s="50">
        <f t="shared" si="72"/>
        <v>17975</v>
      </c>
      <c r="P600" s="50">
        <v>0</v>
      </c>
      <c r="Q600" s="76"/>
      <c r="R600" s="141">
        <f>IF(100*(S9+S10)&gt;500,500,100*(S9+S10))</f>
        <v>500</v>
      </c>
      <c r="S600" s="79">
        <v>22.58</v>
      </c>
      <c r="T600" s="80">
        <v>6.78</v>
      </c>
    </row>
    <row r="601" spans="2:20" ht="28">
      <c r="B601" s="5" t="s">
        <v>1417</v>
      </c>
      <c r="C601" s="45" t="s">
        <v>97</v>
      </c>
      <c r="D601" s="45" t="s">
        <v>1418</v>
      </c>
      <c r="E601" s="6" t="s">
        <v>1419</v>
      </c>
      <c r="F601" s="45" t="s">
        <v>187</v>
      </c>
      <c r="G601" s="46">
        <f t="shared" si="66"/>
        <v>500</v>
      </c>
      <c r="H601" s="46">
        <f>TRUNC(S601*(1-LOTE_01!$K$10),2)</f>
        <v>27.51</v>
      </c>
      <c r="I601" s="46">
        <f>TRUNC(T601*(1-LOTE_01!$K$10),2)</f>
        <v>6.78</v>
      </c>
      <c r="J601" s="100">
        <f t="shared" si="67"/>
        <v>0.22470000000000001</v>
      </c>
      <c r="K601" s="48">
        <f t="shared" si="68"/>
        <v>33.69</v>
      </c>
      <c r="L601" s="48">
        <f t="shared" si="69"/>
        <v>8.3000000000000007</v>
      </c>
      <c r="M601" s="48">
        <f t="shared" si="70"/>
        <v>16845</v>
      </c>
      <c r="N601" s="48">
        <f t="shared" si="71"/>
        <v>4150</v>
      </c>
      <c r="O601" s="50">
        <f t="shared" si="72"/>
        <v>20995</v>
      </c>
      <c r="P601" s="50">
        <v>0</v>
      </c>
      <c r="Q601" s="76"/>
      <c r="R601" s="141">
        <f>IF(100*(S9+S10)&gt;500,500,100*(S9+S10))</f>
        <v>500</v>
      </c>
      <c r="S601" s="79">
        <v>27.51</v>
      </c>
      <c r="T601" s="80">
        <v>6.78</v>
      </c>
    </row>
    <row r="602" spans="2:20" ht="28">
      <c r="B602" s="5" t="s">
        <v>1420</v>
      </c>
      <c r="C602" s="45" t="s">
        <v>97</v>
      </c>
      <c r="D602" s="45" t="s">
        <v>1421</v>
      </c>
      <c r="E602" s="6" t="s">
        <v>1422</v>
      </c>
      <c r="F602" s="45" t="s">
        <v>104</v>
      </c>
      <c r="G602" s="46">
        <f t="shared" si="66"/>
        <v>10</v>
      </c>
      <c r="H602" s="46">
        <f>TRUNC(S602*(1-LOTE_01!$K$10),2)</f>
        <v>218.74</v>
      </c>
      <c r="I602" s="46">
        <f>TRUNC(T602*(1-LOTE_01!$K$10),2)</f>
        <v>31.64</v>
      </c>
      <c r="J602" s="100">
        <f t="shared" si="67"/>
        <v>0.22470000000000001</v>
      </c>
      <c r="K602" s="48">
        <f t="shared" si="68"/>
        <v>267.89</v>
      </c>
      <c r="L602" s="48">
        <f t="shared" si="69"/>
        <v>38.74</v>
      </c>
      <c r="M602" s="48">
        <f t="shared" si="70"/>
        <v>2678.9</v>
      </c>
      <c r="N602" s="48">
        <f t="shared" si="71"/>
        <v>387.4</v>
      </c>
      <c r="O602" s="50">
        <f t="shared" si="72"/>
        <v>3066.3</v>
      </c>
      <c r="P602" s="50">
        <v>0</v>
      </c>
      <c r="Q602" s="76"/>
      <c r="R602" s="141">
        <f>IF(2*(S9+S10)&gt;10,10,2*(S9+S10))</f>
        <v>10</v>
      </c>
      <c r="S602" s="79">
        <v>218.74</v>
      </c>
      <c r="T602" s="80">
        <v>31.64</v>
      </c>
    </row>
    <row r="603" spans="2:20" ht="28">
      <c r="B603" s="5" t="s">
        <v>1423</v>
      </c>
      <c r="C603" s="45" t="s">
        <v>97</v>
      </c>
      <c r="D603" s="45" t="s">
        <v>1421</v>
      </c>
      <c r="E603" s="6" t="s">
        <v>1422</v>
      </c>
      <c r="F603" s="45" t="s">
        <v>104</v>
      </c>
      <c r="G603" s="46">
        <f t="shared" si="66"/>
        <v>5</v>
      </c>
      <c r="H603" s="46">
        <f>TRUNC(S603*(1-LOTE_01!$K$10),2)</f>
        <v>218.74</v>
      </c>
      <c r="I603" s="46">
        <f>TRUNC(T603*(1-LOTE_01!$K$10),2)</f>
        <v>31.64</v>
      </c>
      <c r="J603" s="100">
        <f t="shared" si="67"/>
        <v>0.22470000000000001</v>
      </c>
      <c r="K603" s="48">
        <f t="shared" si="68"/>
        <v>267.89</v>
      </c>
      <c r="L603" s="48">
        <f t="shared" si="69"/>
        <v>38.74</v>
      </c>
      <c r="M603" s="48">
        <f t="shared" si="70"/>
        <v>1339.45</v>
      </c>
      <c r="N603" s="48">
        <f t="shared" si="71"/>
        <v>193.7</v>
      </c>
      <c r="O603" s="50">
        <f t="shared" si="72"/>
        <v>1533.15</v>
      </c>
      <c r="P603" s="50">
        <v>0</v>
      </c>
      <c r="Q603" s="76"/>
      <c r="R603" s="141">
        <f>IF(1*(S9+S10)&gt;5,5,1*(S9+S10))</f>
        <v>5</v>
      </c>
      <c r="S603" s="79">
        <v>218.74</v>
      </c>
      <c r="T603" s="80">
        <v>31.64</v>
      </c>
    </row>
    <row r="604" spans="2:20" ht="28">
      <c r="B604" s="5" t="s">
        <v>1424</v>
      </c>
      <c r="C604" s="45" t="s">
        <v>97</v>
      </c>
      <c r="D604" s="45" t="s">
        <v>1421</v>
      </c>
      <c r="E604" s="6" t="s">
        <v>1422</v>
      </c>
      <c r="F604" s="45" t="s">
        <v>104</v>
      </c>
      <c r="G604" s="46">
        <f t="shared" si="66"/>
        <v>7</v>
      </c>
      <c r="H604" s="46">
        <f>TRUNC(S604*(1-LOTE_01!$K$10),2)</f>
        <v>218.74</v>
      </c>
      <c r="I604" s="46">
        <f>TRUNC(T604*(1-LOTE_01!$K$10),2)</f>
        <v>31.64</v>
      </c>
      <c r="J604" s="100">
        <f t="shared" si="67"/>
        <v>0.22470000000000001</v>
      </c>
      <c r="K604" s="48">
        <f t="shared" si="68"/>
        <v>267.89</v>
      </c>
      <c r="L604" s="48">
        <f t="shared" si="69"/>
        <v>38.74</v>
      </c>
      <c r="M604" s="48">
        <f t="shared" si="70"/>
        <v>1875.23</v>
      </c>
      <c r="N604" s="48">
        <f t="shared" si="71"/>
        <v>271.18</v>
      </c>
      <c r="O604" s="50">
        <f t="shared" si="72"/>
        <v>2146.41</v>
      </c>
      <c r="P604" s="50">
        <v>0</v>
      </c>
      <c r="Q604" s="76"/>
      <c r="R604" s="141">
        <f>IF(1*(S10+1*S9)&gt;5,5,(2*S10+1*S9))</f>
        <v>7</v>
      </c>
      <c r="S604" s="79">
        <v>218.74</v>
      </c>
      <c r="T604" s="80">
        <v>31.64</v>
      </c>
    </row>
    <row r="605" spans="2:20">
      <c r="B605" s="101" t="s">
        <v>54</v>
      </c>
      <c r="C605" s="102" t="s">
        <v>21</v>
      </c>
      <c r="D605" s="102" t="s">
        <v>21</v>
      </c>
      <c r="E605" s="103" t="s">
        <v>60</v>
      </c>
      <c r="F605" s="102" t="s">
        <v>21</v>
      </c>
      <c r="G605" s="46">
        <f t="shared" si="66"/>
        <v>0</v>
      </c>
      <c r="H605" s="46"/>
      <c r="I605" s="46"/>
      <c r="J605" s="105"/>
      <c r="K605" s="48">
        <f t="shared" si="68"/>
        <v>0</v>
      </c>
      <c r="L605" s="48">
        <f t="shared" si="69"/>
        <v>0</v>
      </c>
      <c r="M605" s="48">
        <f t="shared" si="70"/>
        <v>0</v>
      </c>
      <c r="N605" s="48">
        <f t="shared" si="71"/>
        <v>0</v>
      </c>
      <c r="O605" s="50">
        <f t="shared" si="72"/>
        <v>0</v>
      </c>
      <c r="P605" s="50">
        <f>SUM(O606:O623)</f>
        <v>236582.94999999998</v>
      </c>
      <c r="Q605" s="76"/>
      <c r="R605" s="154"/>
      <c r="S605" s="79" t="s">
        <v>22</v>
      </c>
      <c r="T605" s="80" t="s">
        <v>22</v>
      </c>
    </row>
    <row r="606" spans="2:20" ht="56">
      <c r="B606" s="5" t="s">
        <v>1425</v>
      </c>
      <c r="C606" s="45" t="s">
        <v>97</v>
      </c>
      <c r="D606" s="45" t="s">
        <v>1426</v>
      </c>
      <c r="E606" s="6" t="s">
        <v>1427</v>
      </c>
      <c r="F606" s="45" t="s">
        <v>104</v>
      </c>
      <c r="G606" s="46">
        <f t="shared" si="66"/>
        <v>15</v>
      </c>
      <c r="H606" s="46">
        <f>TRUNC(S606*(1-LOTE_01!$K$10),2)</f>
        <v>8.1300000000000008</v>
      </c>
      <c r="I606" s="46">
        <f>TRUNC(T606*(1-LOTE_01!$K$10),2)</f>
        <v>21.94</v>
      </c>
      <c r="J606" s="100">
        <f t="shared" si="67"/>
        <v>0.22470000000000001</v>
      </c>
      <c r="K606" s="48">
        <f t="shared" si="68"/>
        <v>9.9499999999999993</v>
      </c>
      <c r="L606" s="48">
        <f t="shared" si="69"/>
        <v>26.86</v>
      </c>
      <c r="M606" s="48">
        <f t="shared" si="70"/>
        <v>149.25</v>
      </c>
      <c r="N606" s="48">
        <f t="shared" si="71"/>
        <v>402.9</v>
      </c>
      <c r="O606" s="50">
        <f t="shared" si="72"/>
        <v>552.15</v>
      </c>
      <c r="P606" s="50">
        <v>0</v>
      </c>
      <c r="Q606" s="76"/>
      <c r="R606" s="139">
        <f>3*S9+3*S10</f>
        <v>15</v>
      </c>
      <c r="S606" s="79">
        <v>8.1300000000000008</v>
      </c>
      <c r="T606" s="80">
        <v>21.94</v>
      </c>
    </row>
    <row r="607" spans="2:20" ht="42">
      <c r="B607" s="5" t="s">
        <v>1428</v>
      </c>
      <c r="C607" s="45" t="s">
        <v>135</v>
      </c>
      <c r="D607" s="45">
        <v>103288</v>
      </c>
      <c r="E607" s="6" t="s">
        <v>1429</v>
      </c>
      <c r="F607" s="45" t="s">
        <v>210</v>
      </c>
      <c r="G607" s="46">
        <f t="shared" si="66"/>
        <v>10</v>
      </c>
      <c r="H607" s="46">
        <f>TRUNC(S607*(1-LOTE_01!$K$10),2)</f>
        <v>7.02</v>
      </c>
      <c r="I607" s="46">
        <f>TRUNC(T607*(1-LOTE_01!$K$10),2)</f>
        <v>12.05</v>
      </c>
      <c r="J607" s="100">
        <f t="shared" si="67"/>
        <v>0.22470000000000001</v>
      </c>
      <c r="K607" s="48">
        <f t="shared" si="68"/>
        <v>8.59</v>
      </c>
      <c r="L607" s="48">
        <f t="shared" si="69"/>
        <v>14.75</v>
      </c>
      <c r="M607" s="48">
        <f t="shared" si="70"/>
        <v>85.9</v>
      </c>
      <c r="N607" s="48">
        <f t="shared" si="71"/>
        <v>147.5</v>
      </c>
      <c r="O607" s="50">
        <f t="shared" si="72"/>
        <v>233.4</v>
      </c>
      <c r="P607" s="50">
        <v>0</v>
      </c>
      <c r="Q607" s="76"/>
      <c r="R607" s="139">
        <f>2*S9+2*S10</f>
        <v>10</v>
      </c>
      <c r="S607" s="79">
        <v>7.02</v>
      </c>
      <c r="T607" s="80">
        <v>12.05</v>
      </c>
    </row>
    <row r="608" spans="2:20" ht="28">
      <c r="B608" s="5" t="s">
        <v>1430</v>
      </c>
      <c r="C608" s="45" t="s">
        <v>165</v>
      </c>
      <c r="D608" s="45" t="s">
        <v>1431</v>
      </c>
      <c r="E608" s="6" t="s">
        <v>1432</v>
      </c>
      <c r="F608" s="45" t="s">
        <v>168</v>
      </c>
      <c r="G608" s="46">
        <f t="shared" si="66"/>
        <v>170</v>
      </c>
      <c r="H608" s="46">
        <f>TRUNC(S608*(1-LOTE_01!$K$10),2)</f>
        <v>146.9</v>
      </c>
      <c r="I608" s="46">
        <f>TRUNC(T608*(1-LOTE_01!$K$10),2)</f>
        <v>106.75</v>
      </c>
      <c r="J608" s="100">
        <f t="shared" si="67"/>
        <v>0.22470000000000001</v>
      </c>
      <c r="K608" s="48">
        <f t="shared" si="68"/>
        <v>179.9</v>
      </c>
      <c r="L608" s="48">
        <f t="shared" si="69"/>
        <v>130.72999999999999</v>
      </c>
      <c r="M608" s="48">
        <f t="shared" si="70"/>
        <v>30583</v>
      </c>
      <c r="N608" s="48">
        <f t="shared" si="71"/>
        <v>22224.1</v>
      </c>
      <c r="O608" s="50">
        <f t="shared" si="72"/>
        <v>52807.1</v>
      </c>
      <c r="P608" s="50">
        <v>0</v>
      </c>
      <c r="Q608" s="76"/>
      <c r="R608" s="139">
        <f>(21+10+3)*(S9+S10)</f>
        <v>170</v>
      </c>
      <c r="S608" s="79">
        <v>146.9</v>
      </c>
      <c r="T608" s="80">
        <v>106.75</v>
      </c>
    </row>
    <row r="609" spans="2:20" ht="28">
      <c r="B609" s="5" t="s">
        <v>1433</v>
      </c>
      <c r="C609" s="45" t="s">
        <v>165</v>
      </c>
      <c r="D609" s="45" t="s">
        <v>1434</v>
      </c>
      <c r="E609" s="6" t="s">
        <v>1435</v>
      </c>
      <c r="F609" s="45" t="s">
        <v>559</v>
      </c>
      <c r="G609" s="46">
        <f t="shared" si="66"/>
        <v>20</v>
      </c>
      <c r="H609" s="46">
        <f>TRUNC(S609*(1-LOTE_01!$K$10),2)</f>
        <v>109.45</v>
      </c>
      <c r="I609" s="46">
        <f>TRUNC(T609*(1-LOTE_01!$K$10),2)</f>
        <v>79.709999999999994</v>
      </c>
      <c r="J609" s="100">
        <f t="shared" si="67"/>
        <v>0.22470000000000001</v>
      </c>
      <c r="K609" s="48">
        <f t="shared" si="68"/>
        <v>134.04</v>
      </c>
      <c r="L609" s="48">
        <f t="shared" si="69"/>
        <v>97.62</v>
      </c>
      <c r="M609" s="48">
        <f t="shared" si="70"/>
        <v>2680.8</v>
      </c>
      <c r="N609" s="48">
        <f t="shared" si="71"/>
        <v>1952.4</v>
      </c>
      <c r="O609" s="50">
        <f t="shared" si="72"/>
        <v>4633.2</v>
      </c>
      <c r="P609" s="50">
        <v>0</v>
      </c>
      <c r="Q609" s="76"/>
      <c r="R609" s="139">
        <f>4*(S9+S10)</f>
        <v>20</v>
      </c>
      <c r="S609" s="79">
        <v>109.45</v>
      </c>
      <c r="T609" s="80">
        <v>79.709999999999994</v>
      </c>
    </row>
    <row r="610" spans="2:20" ht="42">
      <c r="B610" s="5" t="s">
        <v>1436</v>
      </c>
      <c r="C610" s="45" t="s">
        <v>165</v>
      </c>
      <c r="D610" s="45" t="s">
        <v>1437</v>
      </c>
      <c r="E610" s="6" t="s">
        <v>1438</v>
      </c>
      <c r="F610" s="45" t="s">
        <v>559</v>
      </c>
      <c r="G610" s="46">
        <f t="shared" si="66"/>
        <v>20</v>
      </c>
      <c r="H610" s="46">
        <f>TRUNC(S610*(1-LOTE_01!$K$10),2)</f>
        <v>110.86</v>
      </c>
      <c r="I610" s="46">
        <f>TRUNC(T610*(1-LOTE_01!$K$10),2)</f>
        <v>102.35</v>
      </c>
      <c r="J610" s="100">
        <f t="shared" si="67"/>
        <v>0.22470000000000001</v>
      </c>
      <c r="K610" s="48">
        <f t="shared" si="68"/>
        <v>135.77000000000001</v>
      </c>
      <c r="L610" s="48">
        <f t="shared" si="69"/>
        <v>125.34</v>
      </c>
      <c r="M610" s="48">
        <f t="shared" si="70"/>
        <v>2715.4</v>
      </c>
      <c r="N610" s="48">
        <f t="shared" si="71"/>
        <v>2506.8000000000002</v>
      </c>
      <c r="O610" s="50">
        <f t="shared" si="72"/>
        <v>5222.2</v>
      </c>
      <c r="P610" s="50">
        <v>0</v>
      </c>
      <c r="Q610" s="76"/>
      <c r="R610" s="139">
        <f>4*(S9+S10)</f>
        <v>20</v>
      </c>
      <c r="S610" s="79">
        <v>110.86</v>
      </c>
      <c r="T610" s="80">
        <v>102.35</v>
      </c>
    </row>
    <row r="611" spans="2:20" ht="28">
      <c r="B611" s="5" t="s">
        <v>1439</v>
      </c>
      <c r="C611" s="45" t="s">
        <v>165</v>
      </c>
      <c r="D611" s="45" t="s">
        <v>1440</v>
      </c>
      <c r="E611" s="6" t="s">
        <v>1441</v>
      </c>
      <c r="F611" s="45" t="s">
        <v>559</v>
      </c>
      <c r="G611" s="46">
        <f t="shared" si="66"/>
        <v>25</v>
      </c>
      <c r="H611" s="46">
        <f>TRUNC(S611*(1-LOTE_01!$K$10),2)</f>
        <v>137.68</v>
      </c>
      <c r="I611" s="46">
        <f>TRUNC(T611*(1-LOTE_01!$K$10),2)</f>
        <v>111.6</v>
      </c>
      <c r="J611" s="100">
        <f t="shared" si="67"/>
        <v>0.22470000000000001</v>
      </c>
      <c r="K611" s="48">
        <f t="shared" si="68"/>
        <v>168.61</v>
      </c>
      <c r="L611" s="48">
        <f t="shared" si="69"/>
        <v>136.66999999999999</v>
      </c>
      <c r="M611" s="48">
        <f t="shared" si="70"/>
        <v>4215.25</v>
      </c>
      <c r="N611" s="48">
        <f t="shared" si="71"/>
        <v>3416.75</v>
      </c>
      <c r="O611" s="50">
        <f t="shared" si="72"/>
        <v>7632</v>
      </c>
      <c r="P611" s="50">
        <v>0</v>
      </c>
      <c r="Q611" s="76"/>
      <c r="R611" s="139">
        <f>5*(S9+S10)</f>
        <v>25</v>
      </c>
      <c r="S611" s="79">
        <v>137.68</v>
      </c>
      <c r="T611" s="80">
        <v>111.6</v>
      </c>
    </row>
    <row r="612" spans="2:20" ht="28">
      <c r="B612" s="5" t="s">
        <v>1442</v>
      </c>
      <c r="C612" s="45" t="s">
        <v>165</v>
      </c>
      <c r="D612" s="45" t="s">
        <v>1443</v>
      </c>
      <c r="E612" s="6" t="s">
        <v>1444</v>
      </c>
      <c r="F612" s="45" t="s">
        <v>559</v>
      </c>
      <c r="G612" s="46">
        <f t="shared" si="66"/>
        <v>25</v>
      </c>
      <c r="H612" s="46">
        <f>TRUNC(S612*(1-LOTE_01!$K$10),2)</f>
        <v>147.44</v>
      </c>
      <c r="I612" s="46">
        <f>TRUNC(T612*(1-LOTE_01!$K$10),2)</f>
        <v>111.6</v>
      </c>
      <c r="J612" s="100">
        <f t="shared" si="67"/>
        <v>0.22470000000000001</v>
      </c>
      <c r="K612" s="48">
        <f t="shared" si="68"/>
        <v>180.56</v>
      </c>
      <c r="L612" s="48">
        <f t="shared" si="69"/>
        <v>136.66999999999999</v>
      </c>
      <c r="M612" s="48">
        <f t="shared" si="70"/>
        <v>4514</v>
      </c>
      <c r="N612" s="48">
        <f t="shared" si="71"/>
        <v>3416.75</v>
      </c>
      <c r="O612" s="50">
        <f t="shared" si="72"/>
        <v>7930.75</v>
      </c>
      <c r="P612" s="50">
        <v>0</v>
      </c>
      <c r="Q612" s="76"/>
      <c r="R612" s="139">
        <f>5*(S9+S10)</f>
        <v>25</v>
      </c>
      <c r="S612" s="79">
        <v>147.44</v>
      </c>
      <c r="T612" s="80">
        <v>111.6</v>
      </c>
    </row>
    <row r="613" spans="2:20" ht="28">
      <c r="B613" s="5" t="s">
        <v>1445</v>
      </c>
      <c r="C613" s="45" t="s">
        <v>165</v>
      </c>
      <c r="D613" s="45" t="s">
        <v>1446</v>
      </c>
      <c r="E613" s="6" t="s">
        <v>1447</v>
      </c>
      <c r="F613" s="45" t="s">
        <v>559</v>
      </c>
      <c r="G613" s="46">
        <f t="shared" si="66"/>
        <v>25</v>
      </c>
      <c r="H613" s="46">
        <f>TRUNC(S613*(1-LOTE_01!$K$10),2)</f>
        <v>169.53</v>
      </c>
      <c r="I613" s="46">
        <f>TRUNC(T613*(1-LOTE_01!$K$10),2)</f>
        <v>111.6</v>
      </c>
      <c r="J613" s="100">
        <f t="shared" si="67"/>
        <v>0.22470000000000001</v>
      </c>
      <c r="K613" s="48">
        <f t="shared" si="68"/>
        <v>207.62</v>
      </c>
      <c r="L613" s="48">
        <f t="shared" si="69"/>
        <v>136.66999999999999</v>
      </c>
      <c r="M613" s="48">
        <f t="shared" si="70"/>
        <v>5190.5</v>
      </c>
      <c r="N613" s="48">
        <f t="shared" si="71"/>
        <v>3416.75</v>
      </c>
      <c r="O613" s="50">
        <f t="shared" si="72"/>
        <v>8607.25</v>
      </c>
      <c r="P613" s="50">
        <v>0</v>
      </c>
      <c r="Q613" s="76"/>
      <c r="R613" s="139">
        <f>5*(S9+S10)</f>
        <v>25</v>
      </c>
      <c r="S613" s="79">
        <v>169.53</v>
      </c>
      <c r="T613" s="80">
        <v>111.6</v>
      </c>
    </row>
    <row r="614" spans="2:20" ht="28">
      <c r="B614" s="5" t="s">
        <v>1448</v>
      </c>
      <c r="C614" s="45" t="s">
        <v>97</v>
      </c>
      <c r="D614" s="45" t="s">
        <v>1449</v>
      </c>
      <c r="E614" s="6" t="s">
        <v>1450</v>
      </c>
      <c r="F614" s="45" t="s">
        <v>104</v>
      </c>
      <c r="G614" s="46">
        <f t="shared" si="66"/>
        <v>15</v>
      </c>
      <c r="H614" s="46">
        <f>TRUNC(S614*(1-LOTE_01!$K$10),2)</f>
        <v>492.78</v>
      </c>
      <c r="I614" s="46">
        <f>TRUNC(T614*(1-LOTE_01!$K$10),2)</f>
        <v>430.89</v>
      </c>
      <c r="J614" s="100">
        <f t="shared" si="67"/>
        <v>0.22470000000000001</v>
      </c>
      <c r="K614" s="48">
        <f t="shared" si="68"/>
        <v>603.5</v>
      </c>
      <c r="L614" s="48">
        <f t="shared" si="69"/>
        <v>527.71</v>
      </c>
      <c r="M614" s="48">
        <f t="shared" si="70"/>
        <v>9052.5</v>
      </c>
      <c r="N614" s="48">
        <f t="shared" si="71"/>
        <v>7915.65</v>
      </c>
      <c r="O614" s="50">
        <f t="shared" si="72"/>
        <v>16968.150000000001</v>
      </c>
      <c r="P614" s="50">
        <v>0</v>
      </c>
      <c r="Q614" s="76"/>
      <c r="R614" s="139">
        <f>3*S9+3*S10</f>
        <v>15</v>
      </c>
      <c r="S614" s="79">
        <v>492.78</v>
      </c>
      <c r="T614" s="80">
        <v>430.89</v>
      </c>
    </row>
    <row r="615" spans="2:20" ht="42">
      <c r="B615" s="5" t="s">
        <v>1451</v>
      </c>
      <c r="C615" s="45" t="s">
        <v>97</v>
      </c>
      <c r="D615" s="45" t="s">
        <v>1452</v>
      </c>
      <c r="E615" s="6" t="s">
        <v>1453</v>
      </c>
      <c r="F615" s="45" t="s">
        <v>104</v>
      </c>
      <c r="G615" s="46">
        <f t="shared" si="66"/>
        <v>15</v>
      </c>
      <c r="H615" s="46">
        <f>TRUNC(S615*(1-LOTE_01!$K$10),2)</f>
        <v>176.06</v>
      </c>
      <c r="I615" s="46">
        <f>TRUNC(T615*(1-LOTE_01!$K$10),2)</f>
        <v>223.83</v>
      </c>
      <c r="J615" s="100">
        <f t="shared" si="67"/>
        <v>0.22470000000000001</v>
      </c>
      <c r="K615" s="48">
        <f t="shared" si="68"/>
        <v>215.62</v>
      </c>
      <c r="L615" s="48">
        <f t="shared" si="69"/>
        <v>274.12</v>
      </c>
      <c r="M615" s="48">
        <f t="shared" si="70"/>
        <v>3234.3</v>
      </c>
      <c r="N615" s="48">
        <f t="shared" si="71"/>
        <v>4111.8</v>
      </c>
      <c r="O615" s="50">
        <f t="shared" si="72"/>
        <v>7346.1</v>
      </c>
      <c r="P615" s="50">
        <v>0</v>
      </c>
      <c r="Q615" s="76"/>
      <c r="R615" s="139">
        <f>3*S9+3*S10</f>
        <v>15</v>
      </c>
      <c r="S615" s="79">
        <v>176.06</v>
      </c>
      <c r="T615" s="80">
        <v>223.83</v>
      </c>
    </row>
    <row r="616" spans="2:20" ht="28">
      <c r="B616" s="5" t="s">
        <v>1454</v>
      </c>
      <c r="C616" s="45" t="s">
        <v>97</v>
      </c>
      <c r="D616" s="45" t="s">
        <v>1455</v>
      </c>
      <c r="E616" s="6" t="s">
        <v>1456</v>
      </c>
      <c r="F616" s="45" t="s">
        <v>104</v>
      </c>
      <c r="G616" s="46">
        <f t="shared" si="66"/>
        <v>15</v>
      </c>
      <c r="H616" s="46">
        <f>TRUNC(S616*(1-LOTE_01!$K$10),2)</f>
        <v>2291.2600000000002</v>
      </c>
      <c r="I616" s="46">
        <f>TRUNC(T616*(1-LOTE_01!$K$10),2)</f>
        <v>637.26</v>
      </c>
      <c r="J616" s="100">
        <f t="shared" si="67"/>
        <v>0.22470000000000001</v>
      </c>
      <c r="K616" s="48">
        <f t="shared" si="68"/>
        <v>2806.1</v>
      </c>
      <c r="L616" s="48">
        <f t="shared" si="69"/>
        <v>780.45</v>
      </c>
      <c r="M616" s="48">
        <f t="shared" si="70"/>
        <v>42091.5</v>
      </c>
      <c r="N616" s="48">
        <f t="shared" si="71"/>
        <v>11706.75</v>
      </c>
      <c r="O616" s="50">
        <f t="shared" si="72"/>
        <v>53798.25</v>
      </c>
      <c r="P616" s="50">
        <v>0</v>
      </c>
      <c r="Q616" s="76"/>
      <c r="R616" s="139">
        <f>3*S9+3*S10</f>
        <v>15</v>
      </c>
      <c r="S616" s="79">
        <v>2291.2600000000002</v>
      </c>
      <c r="T616" s="80">
        <v>637.26</v>
      </c>
    </row>
    <row r="617" spans="2:20" ht="70">
      <c r="B617" s="5" t="s">
        <v>1457</v>
      </c>
      <c r="C617" s="45" t="s">
        <v>97</v>
      </c>
      <c r="D617" s="45" t="s">
        <v>1458</v>
      </c>
      <c r="E617" s="6" t="s">
        <v>1459</v>
      </c>
      <c r="F617" s="45" t="s">
        <v>104</v>
      </c>
      <c r="G617" s="46">
        <f t="shared" si="66"/>
        <v>10</v>
      </c>
      <c r="H617" s="46">
        <f>TRUNC(S617*(1-LOTE_01!$K$10),2)</f>
        <v>461.19</v>
      </c>
      <c r="I617" s="46">
        <f>TRUNC(T617*(1-LOTE_01!$K$10),2)</f>
        <v>56.43</v>
      </c>
      <c r="J617" s="100">
        <f t="shared" si="67"/>
        <v>0.22470000000000001</v>
      </c>
      <c r="K617" s="48">
        <f t="shared" si="68"/>
        <v>564.80999999999995</v>
      </c>
      <c r="L617" s="48">
        <f t="shared" si="69"/>
        <v>69.099999999999994</v>
      </c>
      <c r="M617" s="48">
        <f t="shared" si="70"/>
        <v>5648.1</v>
      </c>
      <c r="N617" s="48">
        <f t="shared" si="71"/>
        <v>691</v>
      </c>
      <c r="O617" s="50">
        <f t="shared" si="72"/>
        <v>6339.1</v>
      </c>
      <c r="P617" s="50">
        <v>0</v>
      </c>
      <c r="Q617" s="76"/>
      <c r="R617" s="139">
        <f>2*S9+2*S10</f>
        <v>10</v>
      </c>
      <c r="S617" s="79">
        <v>461.19</v>
      </c>
      <c r="T617" s="80">
        <v>56.43</v>
      </c>
    </row>
    <row r="618" spans="2:20" ht="70">
      <c r="B618" s="5" t="s">
        <v>1460</v>
      </c>
      <c r="C618" s="45" t="s">
        <v>97</v>
      </c>
      <c r="D618" s="45" t="s">
        <v>1461</v>
      </c>
      <c r="E618" s="6" t="s">
        <v>1462</v>
      </c>
      <c r="F618" s="45" t="s">
        <v>104</v>
      </c>
      <c r="G618" s="46">
        <f t="shared" si="66"/>
        <v>10</v>
      </c>
      <c r="H618" s="46">
        <f>TRUNC(S618*(1-LOTE_01!$K$10),2)</f>
        <v>2041.42</v>
      </c>
      <c r="I618" s="46">
        <f>TRUNC(T618*(1-LOTE_01!$K$10),2)</f>
        <v>319.97000000000003</v>
      </c>
      <c r="J618" s="100">
        <f t="shared" si="67"/>
        <v>0.22470000000000001</v>
      </c>
      <c r="K618" s="48">
        <f t="shared" si="68"/>
        <v>2500.12</v>
      </c>
      <c r="L618" s="48">
        <f t="shared" si="69"/>
        <v>391.86</v>
      </c>
      <c r="M618" s="48">
        <f t="shared" si="70"/>
        <v>25001.200000000001</v>
      </c>
      <c r="N618" s="48">
        <f t="shared" si="71"/>
        <v>3918.6</v>
      </c>
      <c r="O618" s="50">
        <f t="shared" si="72"/>
        <v>28919.8</v>
      </c>
      <c r="P618" s="50">
        <v>0</v>
      </c>
      <c r="Q618" s="76"/>
      <c r="R618" s="139">
        <f>2*S9+2*S10</f>
        <v>10</v>
      </c>
      <c r="S618" s="79">
        <v>2041.42</v>
      </c>
      <c r="T618" s="80">
        <v>319.97000000000003</v>
      </c>
    </row>
    <row r="619" spans="2:20" ht="70">
      <c r="B619" s="5" t="s">
        <v>1463</v>
      </c>
      <c r="C619" s="45" t="s">
        <v>135</v>
      </c>
      <c r="D619" s="45">
        <v>103289</v>
      </c>
      <c r="E619" s="6" t="s">
        <v>1464</v>
      </c>
      <c r="F619" s="45" t="s">
        <v>187</v>
      </c>
      <c r="G619" s="46">
        <f t="shared" si="66"/>
        <v>50</v>
      </c>
      <c r="H619" s="46">
        <f>TRUNC(S619*(1-LOTE_01!$K$10),2)</f>
        <v>31.59</v>
      </c>
      <c r="I619" s="46">
        <f>TRUNC(T619*(1-LOTE_01!$K$10),2)</f>
        <v>3.32</v>
      </c>
      <c r="J619" s="100">
        <f t="shared" si="67"/>
        <v>0.22470000000000001</v>
      </c>
      <c r="K619" s="48">
        <f t="shared" si="68"/>
        <v>38.68</v>
      </c>
      <c r="L619" s="48">
        <f t="shared" si="69"/>
        <v>4.0599999999999996</v>
      </c>
      <c r="M619" s="48">
        <f t="shared" si="70"/>
        <v>1934</v>
      </c>
      <c r="N619" s="48">
        <f t="shared" si="71"/>
        <v>203</v>
      </c>
      <c r="O619" s="50">
        <f t="shared" si="72"/>
        <v>2137</v>
      </c>
      <c r="P619" s="50">
        <v>0</v>
      </c>
      <c r="Q619" s="76"/>
      <c r="R619" s="139">
        <f>10*S9+10*S10</f>
        <v>50</v>
      </c>
      <c r="S619" s="79">
        <v>31.589999999999996</v>
      </c>
      <c r="T619" s="80">
        <v>3.32</v>
      </c>
    </row>
    <row r="620" spans="2:20" ht="70">
      <c r="B620" s="5" t="s">
        <v>1465</v>
      </c>
      <c r="C620" s="45" t="s">
        <v>135</v>
      </c>
      <c r="D620" s="45">
        <v>103290</v>
      </c>
      <c r="E620" s="6" t="s">
        <v>1466</v>
      </c>
      <c r="F620" s="45" t="s">
        <v>187</v>
      </c>
      <c r="G620" s="46">
        <f t="shared" si="66"/>
        <v>50</v>
      </c>
      <c r="H620" s="46">
        <f>TRUNC(S620*(1-LOTE_01!$K$10),2)</f>
        <v>53.41</v>
      </c>
      <c r="I620" s="46">
        <f>TRUNC(T620*(1-LOTE_01!$K$10),2)</f>
        <v>3.68</v>
      </c>
      <c r="J620" s="100">
        <f t="shared" si="67"/>
        <v>0.22470000000000001</v>
      </c>
      <c r="K620" s="48">
        <f t="shared" si="68"/>
        <v>65.41</v>
      </c>
      <c r="L620" s="48">
        <f t="shared" si="69"/>
        <v>4.5</v>
      </c>
      <c r="M620" s="48">
        <f t="shared" si="70"/>
        <v>3270.5</v>
      </c>
      <c r="N620" s="48">
        <f t="shared" si="71"/>
        <v>225</v>
      </c>
      <c r="O620" s="50">
        <f t="shared" si="72"/>
        <v>3495.5</v>
      </c>
      <c r="P620" s="50">
        <v>0</v>
      </c>
      <c r="Q620" s="76"/>
      <c r="R620" s="139">
        <f>10*S9+10*S10</f>
        <v>50</v>
      </c>
      <c r="S620" s="79">
        <v>53.410000000000004</v>
      </c>
      <c r="T620" s="80">
        <v>3.68</v>
      </c>
    </row>
    <row r="621" spans="2:20" ht="70">
      <c r="B621" s="5" t="s">
        <v>1467</v>
      </c>
      <c r="C621" s="45" t="s">
        <v>135</v>
      </c>
      <c r="D621" s="45">
        <v>103291</v>
      </c>
      <c r="E621" s="6" t="s">
        <v>1468</v>
      </c>
      <c r="F621" s="45" t="s">
        <v>187</v>
      </c>
      <c r="G621" s="46">
        <f t="shared" si="66"/>
        <v>50</v>
      </c>
      <c r="H621" s="46">
        <f>TRUNC(S621*(1-LOTE_01!$K$10),2)</f>
        <v>66.84</v>
      </c>
      <c r="I621" s="46">
        <f>TRUNC(T621*(1-LOTE_01!$K$10),2)</f>
        <v>4.05</v>
      </c>
      <c r="J621" s="100">
        <f t="shared" si="67"/>
        <v>0.22470000000000001</v>
      </c>
      <c r="K621" s="48">
        <f t="shared" si="68"/>
        <v>81.849999999999994</v>
      </c>
      <c r="L621" s="48">
        <f t="shared" si="69"/>
        <v>4.96</v>
      </c>
      <c r="M621" s="48">
        <f t="shared" si="70"/>
        <v>4092.5</v>
      </c>
      <c r="N621" s="48">
        <f t="shared" si="71"/>
        <v>248</v>
      </c>
      <c r="O621" s="50">
        <f t="shared" si="72"/>
        <v>4340.5</v>
      </c>
      <c r="P621" s="50">
        <v>0</v>
      </c>
      <c r="Q621" s="76"/>
      <c r="R621" s="139">
        <f>10*S9+10*S10</f>
        <v>50</v>
      </c>
      <c r="S621" s="79">
        <v>66.84</v>
      </c>
      <c r="T621" s="80">
        <v>4.05</v>
      </c>
    </row>
    <row r="622" spans="2:20" ht="70">
      <c r="B622" s="5" t="s">
        <v>1469</v>
      </c>
      <c r="C622" s="45" t="s">
        <v>135</v>
      </c>
      <c r="D622" s="45">
        <v>103292</v>
      </c>
      <c r="E622" s="6" t="s">
        <v>1470</v>
      </c>
      <c r="F622" s="45" t="s">
        <v>187</v>
      </c>
      <c r="G622" s="46">
        <f t="shared" si="66"/>
        <v>50</v>
      </c>
      <c r="H622" s="46">
        <f>TRUNC(S622*(1-LOTE_01!$K$10),2)</f>
        <v>81.41</v>
      </c>
      <c r="I622" s="46">
        <f>TRUNC(T622*(1-LOTE_01!$K$10),2)</f>
        <v>4.4000000000000004</v>
      </c>
      <c r="J622" s="100">
        <f t="shared" si="67"/>
        <v>0.22470000000000001</v>
      </c>
      <c r="K622" s="48">
        <f t="shared" si="68"/>
        <v>99.7</v>
      </c>
      <c r="L622" s="48">
        <f t="shared" si="69"/>
        <v>5.38</v>
      </c>
      <c r="M622" s="48">
        <f t="shared" si="70"/>
        <v>4985</v>
      </c>
      <c r="N622" s="48">
        <f t="shared" si="71"/>
        <v>269</v>
      </c>
      <c r="O622" s="50">
        <f t="shared" si="72"/>
        <v>5254</v>
      </c>
      <c r="P622" s="50">
        <v>0</v>
      </c>
      <c r="Q622" s="76"/>
      <c r="R622" s="139">
        <f>10*S9+10*S10</f>
        <v>50</v>
      </c>
      <c r="S622" s="79">
        <v>81.41</v>
      </c>
      <c r="T622" s="80">
        <v>4.4000000000000004</v>
      </c>
    </row>
    <row r="623" spans="2:20" ht="28">
      <c r="B623" s="5" t="s">
        <v>1471</v>
      </c>
      <c r="C623" s="45" t="s">
        <v>97</v>
      </c>
      <c r="D623" s="45" t="s">
        <v>1472</v>
      </c>
      <c r="E623" s="6" t="s">
        <v>1473</v>
      </c>
      <c r="F623" s="45" t="s">
        <v>104</v>
      </c>
      <c r="G623" s="46">
        <f t="shared" si="66"/>
        <v>25</v>
      </c>
      <c r="H623" s="46">
        <f>TRUNC(S623*(1-LOTE_01!$K$10),2)</f>
        <v>258.39999999999998</v>
      </c>
      <c r="I623" s="46">
        <f>TRUNC(T623*(1-LOTE_01!$K$10),2)</f>
        <v>406.8</v>
      </c>
      <c r="J623" s="100">
        <f t="shared" si="67"/>
        <v>0.22470000000000001</v>
      </c>
      <c r="K623" s="48">
        <f t="shared" si="68"/>
        <v>316.45999999999998</v>
      </c>
      <c r="L623" s="48">
        <f t="shared" si="69"/>
        <v>498.2</v>
      </c>
      <c r="M623" s="48">
        <f t="shared" si="70"/>
        <v>7911.5</v>
      </c>
      <c r="N623" s="48">
        <f t="shared" si="71"/>
        <v>12455</v>
      </c>
      <c r="O623" s="50">
        <f t="shared" si="72"/>
        <v>20366.5</v>
      </c>
      <c r="P623" s="50">
        <v>0</v>
      </c>
      <c r="Q623" s="76"/>
      <c r="R623" s="139">
        <f>5*S9+5*S10</f>
        <v>25</v>
      </c>
      <c r="S623" s="79">
        <v>258.39999999999998</v>
      </c>
      <c r="T623" s="80">
        <v>406.8</v>
      </c>
    </row>
    <row r="624" spans="2:20" ht="28">
      <c r="B624" s="101" t="s">
        <v>56</v>
      </c>
      <c r="C624" s="102" t="s">
        <v>21</v>
      </c>
      <c r="D624" s="102" t="s">
        <v>21</v>
      </c>
      <c r="E624" s="103" t="s">
        <v>88</v>
      </c>
      <c r="F624" s="102" t="s">
        <v>21</v>
      </c>
      <c r="G624" s="46">
        <f t="shared" si="66"/>
        <v>0</v>
      </c>
      <c r="H624" s="46"/>
      <c r="I624" s="46"/>
      <c r="J624" s="105"/>
      <c r="K624" s="48">
        <f t="shared" si="68"/>
        <v>0</v>
      </c>
      <c r="L624" s="48">
        <f t="shared" si="69"/>
        <v>0</v>
      </c>
      <c r="M624" s="48">
        <f t="shared" si="70"/>
        <v>0</v>
      </c>
      <c r="N624" s="48">
        <f t="shared" si="71"/>
        <v>0</v>
      </c>
      <c r="O624" s="50">
        <f t="shared" si="72"/>
        <v>0</v>
      </c>
      <c r="P624" s="50">
        <f>SUM(O626:O683)</f>
        <v>3279379.6199999992</v>
      </c>
      <c r="Q624" s="76"/>
      <c r="R624" s="154"/>
      <c r="S624" s="79" t="s">
        <v>22</v>
      </c>
      <c r="T624" s="80" t="s">
        <v>22</v>
      </c>
    </row>
    <row r="625" spans="2:20">
      <c r="B625" s="101" t="s">
        <v>1474</v>
      </c>
      <c r="C625" s="102" t="s">
        <v>21</v>
      </c>
      <c r="D625" s="102" t="s">
        <v>21</v>
      </c>
      <c r="E625" s="103" t="s">
        <v>1475</v>
      </c>
      <c r="F625" s="102" t="s">
        <v>21</v>
      </c>
      <c r="G625" s="46">
        <f t="shared" si="66"/>
        <v>0</v>
      </c>
      <c r="H625" s="46"/>
      <c r="I625" s="46"/>
      <c r="J625" s="105"/>
      <c r="K625" s="48">
        <f t="shared" si="68"/>
        <v>0</v>
      </c>
      <c r="L625" s="48">
        <f t="shared" si="69"/>
        <v>0</v>
      </c>
      <c r="M625" s="48">
        <f t="shared" si="70"/>
        <v>0</v>
      </c>
      <c r="N625" s="48">
        <f t="shared" si="71"/>
        <v>0</v>
      </c>
      <c r="O625" s="50">
        <f t="shared" si="72"/>
        <v>0</v>
      </c>
      <c r="P625" s="50">
        <v>0</v>
      </c>
      <c r="Q625" s="76"/>
      <c r="R625" s="154"/>
      <c r="S625" s="79" t="s">
        <v>22</v>
      </c>
      <c r="T625" s="80" t="s">
        <v>22</v>
      </c>
    </row>
    <row r="626" spans="2:20" ht="84">
      <c r="B626" s="5" t="s">
        <v>1476</v>
      </c>
      <c r="C626" s="45" t="s">
        <v>97</v>
      </c>
      <c r="D626" s="45" t="s">
        <v>1477</v>
      </c>
      <c r="E626" s="6" t="s">
        <v>1478</v>
      </c>
      <c r="F626" s="45" t="s">
        <v>121</v>
      </c>
      <c r="G626" s="46">
        <f t="shared" si="66"/>
        <v>150</v>
      </c>
      <c r="H626" s="46">
        <f>TRUNC(S626*(1-LOTE_01!$K$10),2)</f>
        <v>341.98</v>
      </c>
      <c r="I626" s="46">
        <f>TRUNC(T626*(1-LOTE_01!$K$10),2)</f>
        <v>41.06</v>
      </c>
      <c r="J626" s="100">
        <f t="shared" si="67"/>
        <v>0.22470000000000001</v>
      </c>
      <c r="K626" s="48">
        <f t="shared" si="68"/>
        <v>418.82</v>
      </c>
      <c r="L626" s="48">
        <f t="shared" si="69"/>
        <v>50.28</v>
      </c>
      <c r="M626" s="48">
        <f t="shared" si="70"/>
        <v>62823</v>
      </c>
      <c r="N626" s="48">
        <f t="shared" si="71"/>
        <v>7542</v>
      </c>
      <c r="O626" s="50">
        <f t="shared" si="72"/>
        <v>70365</v>
      </c>
      <c r="P626" s="50">
        <v>0</v>
      </c>
      <c r="Q626" s="76"/>
      <c r="R626" s="139">
        <f>30*(S9+S10)</f>
        <v>150</v>
      </c>
      <c r="S626" s="79">
        <v>341.98</v>
      </c>
      <c r="T626" s="80">
        <v>41.06</v>
      </c>
    </row>
    <row r="627" spans="2:20" ht="70">
      <c r="B627" s="5" t="s">
        <v>1479</v>
      </c>
      <c r="C627" s="45" t="s">
        <v>97</v>
      </c>
      <c r="D627" s="45" t="s">
        <v>1480</v>
      </c>
      <c r="E627" s="6" t="s">
        <v>1481</v>
      </c>
      <c r="F627" s="45" t="s">
        <v>104</v>
      </c>
      <c r="G627" s="46">
        <f t="shared" si="66"/>
        <v>5</v>
      </c>
      <c r="H627" s="46">
        <f>TRUNC(S627*(1-LOTE_01!$K$10),2)</f>
        <v>1669.44</v>
      </c>
      <c r="I627" s="46">
        <f>TRUNC(T627*(1-LOTE_01!$K$10),2)</f>
        <v>145.41999999999999</v>
      </c>
      <c r="J627" s="100">
        <f t="shared" si="67"/>
        <v>0.22470000000000001</v>
      </c>
      <c r="K627" s="48">
        <f t="shared" si="68"/>
        <v>2044.56</v>
      </c>
      <c r="L627" s="48">
        <f t="shared" si="69"/>
        <v>178.09</v>
      </c>
      <c r="M627" s="48">
        <f t="shared" si="70"/>
        <v>10222.799999999999</v>
      </c>
      <c r="N627" s="48">
        <f t="shared" si="71"/>
        <v>890.45</v>
      </c>
      <c r="O627" s="50">
        <f t="shared" si="72"/>
        <v>11113.25</v>
      </c>
      <c r="P627" s="50">
        <v>0</v>
      </c>
      <c r="Q627" s="76"/>
      <c r="R627" s="140">
        <f>IF((S9+S10)&gt;10,10,(S9+S10))</f>
        <v>5</v>
      </c>
      <c r="S627" s="79">
        <v>1669.44</v>
      </c>
      <c r="T627" s="80">
        <v>145.41999999999999</v>
      </c>
    </row>
    <row r="628" spans="2:20" ht="56">
      <c r="B628" s="5" t="s">
        <v>1482</v>
      </c>
      <c r="C628" s="45" t="s">
        <v>97</v>
      </c>
      <c r="D628" s="45" t="s">
        <v>467</v>
      </c>
      <c r="E628" s="6" t="s">
        <v>468</v>
      </c>
      <c r="F628" s="45" t="s">
        <v>121</v>
      </c>
      <c r="G628" s="46">
        <f t="shared" si="66"/>
        <v>335.5</v>
      </c>
      <c r="H628" s="46">
        <f>TRUNC(S628*(1-LOTE_01!$K$10),2)</f>
        <v>388.44</v>
      </c>
      <c r="I628" s="46">
        <f>TRUNC(T628*(1-LOTE_01!$K$10),2)</f>
        <v>154.4</v>
      </c>
      <c r="J628" s="100">
        <f t="shared" si="67"/>
        <v>0.22470000000000001</v>
      </c>
      <c r="K628" s="48">
        <f t="shared" si="68"/>
        <v>475.72</v>
      </c>
      <c r="L628" s="48">
        <f t="shared" si="69"/>
        <v>189.09</v>
      </c>
      <c r="M628" s="48">
        <f t="shared" si="70"/>
        <v>159604.06</v>
      </c>
      <c r="N628" s="48">
        <f t="shared" si="71"/>
        <v>63439.69</v>
      </c>
      <c r="O628" s="50">
        <f t="shared" si="72"/>
        <v>223043.75</v>
      </c>
      <c r="P628" s="50">
        <v>0</v>
      </c>
      <c r="Q628" s="76"/>
      <c r="R628" s="139">
        <f>(13.5+12.5+5.5+22.6+13)*(S9+S10)</f>
        <v>335.5</v>
      </c>
      <c r="S628" s="79">
        <v>388.44</v>
      </c>
      <c r="T628" s="80">
        <v>154.4</v>
      </c>
    </row>
    <row r="629" spans="2:20" ht="28">
      <c r="B629" s="5" t="s">
        <v>1483</v>
      </c>
      <c r="C629" s="45" t="s">
        <v>97</v>
      </c>
      <c r="D629" s="45" t="s">
        <v>1484</v>
      </c>
      <c r="E629" s="6" t="s">
        <v>1485</v>
      </c>
      <c r="F629" s="45" t="s">
        <v>121</v>
      </c>
      <c r="G629" s="46">
        <f t="shared" si="66"/>
        <v>40</v>
      </c>
      <c r="H629" s="46">
        <f>TRUNC(S629*(1-LOTE_01!$K$10),2)</f>
        <v>444.55</v>
      </c>
      <c r="I629" s="46">
        <f>TRUNC(T629*(1-LOTE_01!$K$10),2)</f>
        <v>5.19</v>
      </c>
      <c r="J629" s="100">
        <f t="shared" si="67"/>
        <v>0.22470000000000001</v>
      </c>
      <c r="K629" s="48">
        <f t="shared" si="68"/>
        <v>544.44000000000005</v>
      </c>
      <c r="L629" s="48">
        <f t="shared" si="69"/>
        <v>6.35</v>
      </c>
      <c r="M629" s="48">
        <f t="shared" si="70"/>
        <v>21777.599999999999</v>
      </c>
      <c r="N629" s="48">
        <f t="shared" si="71"/>
        <v>254</v>
      </c>
      <c r="O629" s="50">
        <f t="shared" si="72"/>
        <v>22031.599999999999</v>
      </c>
      <c r="P629" s="50">
        <v>0</v>
      </c>
      <c r="Q629" s="76"/>
      <c r="R629" s="139">
        <f>8*(S9+S10)</f>
        <v>40</v>
      </c>
      <c r="S629" s="79">
        <v>444.55</v>
      </c>
      <c r="T629" s="80">
        <v>5.19</v>
      </c>
    </row>
    <row r="630" spans="2:20" ht="126">
      <c r="B630" s="5" t="s">
        <v>1486</v>
      </c>
      <c r="C630" s="45" t="s">
        <v>97</v>
      </c>
      <c r="D630" s="45" t="s">
        <v>1487</v>
      </c>
      <c r="E630" s="6" t="s">
        <v>1488</v>
      </c>
      <c r="F630" s="45" t="s">
        <v>104</v>
      </c>
      <c r="G630" s="46">
        <f t="shared" si="66"/>
        <v>5</v>
      </c>
      <c r="H630" s="46">
        <f>TRUNC(S630*(1-LOTE_01!$K$10),2)</f>
        <v>11779.75</v>
      </c>
      <c r="I630" s="46">
        <f>TRUNC(T630*(1-LOTE_01!$K$10),2)</f>
        <v>1430.19</v>
      </c>
      <c r="J630" s="100">
        <f t="shared" si="67"/>
        <v>0.22470000000000001</v>
      </c>
      <c r="K630" s="48">
        <f t="shared" si="68"/>
        <v>14426.65</v>
      </c>
      <c r="L630" s="48">
        <f t="shared" si="69"/>
        <v>1751.55</v>
      </c>
      <c r="M630" s="48">
        <f t="shared" si="70"/>
        <v>72133.25</v>
      </c>
      <c r="N630" s="48">
        <f t="shared" si="71"/>
        <v>8757.75</v>
      </c>
      <c r="O630" s="50">
        <f t="shared" si="72"/>
        <v>80891</v>
      </c>
      <c r="P630" s="50">
        <v>0</v>
      </c>
      <c r="Q630" s="76"/>
      <c r="R630" s="139">
        <f>1*(S9+S10)</f>
        <v>5</v>
      </c>
      <c r="S630" s="79">
        <v>11779.75</v>
      </c>
      <c r="T630" s="80">
        <v>1430.19</v>
      </c>
    </row>
    <row r="631" spans="2:20" ht="42">
      <c r="B631" s="5" t="s">
        <v>1489</v>
      </c>
      <c r="C631" s="45" t="s">
        <v>97</v>
      </c>
      <c r="D631" s="45" t="s">
        <v>1490</v>
      </c>
      <c r="E631" s="6" t="s">
        <v>1491</v>
      </c>
      <c r="F631" s="45" t="s">
        <v>104</v>
      </c>
      <c r="G631" s="46">
        <f t="shared" si="66"/>
        <v>5</v>
      </c>
      <c r="H631" s="46">
        <f>TRUNC(S631*(1-LOTE_01!$K$10),2)</f>
        <v>3038.66</v>
      </c>
      <c r="I631" s="46">
        <f>TRUNC(T631*(1-LOTE_01!$K$10),2)</f>
        <v>418.52</v>
      </c>
      <c r="J631" s="100">
        <f t="shared" si="67"/>
        <v>0.22470000000000001</v>
      </c>
      <c r="K631" s="48">
        <f t="shared" si="68"/>
        <v>3721.44</v>
      </c>
      <c r="L631" s="48">
        <f t="shared" si="69"/>
        <v>512.55999999999995</v>
      </c>
      <c r="M631" s="48">
        <f t="shared" si="70"/>
        <v>18607.2</v>
      </c>
      <c r="N631" s="48">
        <f t="shared" si="71"/>
        <v>2562.8000000000002</v>
      </c>
      <c r="O631" s="50">
        <f t="shared" si="72"/>
        <v>21170</v>
      </c>
      <c r="P631" s="50">
        <v>0</v>
      </c>
      <c r="Q631" s="76"/>
      <c r="R631" s="139">
        <f>1*(S9+S10)</f>
        <v>5</v>
      </c>
      <c r="S631" s="79">
        <v>3038.66</v>
      </c>
      <c r="T631" s="80">
        <v>418.52</v>
      </c>
    </row>
    <row r="632" spans="2:20" ht="84">
      <c r="B632" s="5" t="s">
        <v>1492</v>
      </c>
      <c r="C632" s="45" t="s">
        <v>97</v>
      </c>
      <c r="D632" s="45" t="s">
        <v>1493</v>
      </c>
      <c r="E632" s="6" t="s">
        <v>1494</v>
      </c>
      <c r="F632" s="45" t="s">
        <v>104</v>
      </c>
      <c r="G632" s="46">
        <f t="shared" si="66"/>
        <v>5</v>
      </c>
      <c r="H632" s="46">
        <f>TRUNC(S632*(1-LOTE_01!$K$10),2)</f>
        <v>9019.7999999999993</v>
      </c>
      <c r="I632" s="46">
        <f>TRUNC(T632*(1-LOTE_01!$K$10),2)</f>
        <v>126.87</v>
      </c>
      <c r="J632" s="100">
        <f t="shared" si="67"/>
        <v>0.22470000000000001</v>
      </c>
      <c r="K632" s="48">
        <f t="shared" si="68"/>
        <v>11046.54</v>
      </c>
      <c r="L632" s="48">
        <f t="shared" si="69"/>
        <v>155.37</v>
      </c>
      <c r="M632" s="48">
        <f t="shared" si="70"/>
        <v>55232.7</v>
      </c>
      <c r="N632" s="48">
        <f t="shared" si="71"/>
        <v>776.85</v>
      </c>
      <c r="O632" s="50">
        <f t="shared" si="72"/>
        <v>56009.55</v>
      </c>
      <c r="P632" s="50">
        <v>0</v>
      </c>
      <c r="Q632" s="76"/>
      <c r="R632" s="139">
        <f>1*(S9+S10)</f>
        <v>5</v>
      </c>
      <c r="S632" s="79">
        <v>9019.7999999999993</v>
      </c>
      <c r="T632" s="80">
        <v>126.87</v>
      </c>
    </row>
    <row r="633" spans="2:20" ht="84">
      <c r="B633" s="5" t="s">
        <v>1495</v>
      </c>
      <c r="C633" s="45" t="s">
        <v>97</v>
      </c>
      <c r="D633" s="45" t="s">
        <v>1496</v>
      </c>
      <c r="E633" s="6" t="s">
        <v>1497</v>
      </c>
      <c r="F633" s="45" t="s">
        <v>104</v>
      </c>
      <c r="G633" s="46">
        <f t="shared" si="66"/>
        <v>5</v>
      </c>
      <c r="H633" s="46">
        <f>TRUNC(S633*(1-LOTE_01!$K$10),2)</f>
        <v>6807.55</v>
      </c>
      <c r="I633" s="46">
        <f>TRUNC(T633*(1-LOTE_01!$K$10),2)</f>
        <v>126.87</v>
      </c>
      <c r="J633" s="100">
        <f t="shared" si="67"/>
        <v>0.22470000000000001</v>
      </c>
      <c r="K633" s="48">
        <f t="shared" si="68"/>
        <v>8337.2000000000007</v>
      </c>
      <c r="L633" s="48">
        <f t="shared" si="69"/>
        <v>155.37</v>
      </c>
      <c r="M633" s="48">
        <f t="shared" si="70"/>
        <v>41686</v>
      </c>
      <c r="N633" s="48">
        <f t="shared" si="71"/>
        <v>776.85</v>
      </c>
      <c r="O633" s="50">
        <f t="shared" si="72"/>
        <v>42462.85</v>
      </c>
      <c r="P633" s="50">
        <v>0</v>
      </c>
      <c r="Q633" s="76"/>
      <c r="R633" s="139">
        <f>1*(S9+S10)</f>
        <v>5</v>
      </c>
      <c r="S633" s="79">
        <v>6807.55</v>
      </c>
      <c r="T633" s="80">
        <v>126.87</v>
      </c>
    </row>
    <row r="634" spans="2:20" ht="56">
      <c r="B634" s="5" t="s">
        <v>1498</v>
      </c>
      <c r="C634" s="45" t="s">
        <v>97</v>
      </c>
      <c r="D634" s="45" t="s">
        <v>1499</v>
      </c>
      <c r="E634" s="6" t="s">
        <v>1500</v>
      </c>
      <c r="F634" s="45" t="s">
        <v>121</v>
      </c>
      <c r="G634" s="46">
        <f t="shared" si="66"/>
        <v>75</v>
      </c>
      <c r="H634" s="46">
        <f>TRUNC(S634*(1-LOTE_01!$K$10),2)</f>
        <v>446.2</v>
      </c>
      <c r="I634" s="46">
        <f>TRUNC(T634*(1-LOTE_01!$K$10),2)</f>
        <v>8.4499999999999993</v>
      </c>
      <c r="J634" s="100">
        <f t="shared" si="67"/>
        <v>0.22470000000000001</v>
      </c>
      <c r="K634" s="48">
        <f t="shared" si="68"/>
        <v>546.46</v>
      </c>
      <c r="L634" s="48">
        <f t="shared" si="69"/>
        <v>10.34</v>
      </c>
      <c r="M634" s="48">
        <f t="shared" si="70"/>
        <v>40984.5</v>
      </c>
      <c r="N634" s="48">
        <f t="shared" si="71"/>
        <v>775.5</v>
      </c>
      <c r="O634" s="50">
        <f t="shared" si="72"/>
        <v>41760</v>
      </c>
      <c r="P634" s="50">
        <v>0</v>
      </c>
      <c r="Q634" s="76"/>
      <c r="R634" s="139">
        <f>15*(S9+S10)</f>
        <v>75</v>
      </c>
      <c r="S634" s="79">
        <v>446.2</v>
      </c>
      <c r="T634" s="80">
        <v>8.4499999999999993</v>
      </c>
    </row>
    <row r="635" spans="2:20" ht="28">
      <c r="B635" s="5" t="s">
        <v>1501</v>
      </c>
      <c r="C635" s="45" t="s">
        <v>97</v>
      </c>
      <c r="D635" s="45" t="s">
        <v>1502</v>
      </c>
      <c r="E635" s="6" t="s">
        <v>1503</v>
      </c>
      <c r="F635" s="45" t="s">
        <v>104</v>
      </c>
      <c r="G635" s="46">
        <f t="shared" si="66"/>
        <v>10</v>
      </c>
      <c r="H635" s="46">
        <f>TRUNC(S635*(1-LOTE_01!$K$10),2)</f>
        <v>312.67</v>
      </c>
      <c r="I635" s="46">
        <f>TRUNC(T635*(1-LOTE_01!$K$10),2)</f>
        <v>25.85</v>
      </c>
      <c r="J635" s="100">
        <f t="shared" si="67"/>
        <v>0.22470000000000001</v>
      </c>
      <c r="K635" s="48">
        <f t="shared" si="68"/>
        <v>382.92</v>
      </c>
      <c r="L635" s="48">
        <f t="shared" si="69"/>
        <v>31.65</v>
      </c>
      <c r="M635" s="48">
        <f t="shared" si="70"/>
        <v>3829.2</v>
      </c>
      <c r="N635" s="48">
        <f t="shared" si="71"/>
        <v>316.5</v>
      </c>
      <c r="O635" s="50">
        <f t="shared" si="72"/>
        <v>4145.7</v>
      </c>
      <c r="P635" s="50">
        <v>0</v>
      </c>
      <c r="Q635" s="76"/>
      <c r="R635" s="139">
        <f>2*(S9+S10)</f>
        <v>10</v>
      </c>
      <c r="S635" s="79">
        <v>312.67</v>
      </c>
      <c r="T635" s="80">
        <v>25.85</v>
      </c>
    </row>
    <row r="636" spans="2:20" ht="56">
      <c r="B636" s="5" t="s">
        <v>1504</v>
      </c>
      <c r="C636" s="45" t="s">
        <v>97</v>
      </c>
      <c r="D636" s="45" t="s">
        <v>1505</v>
      </c>
      <c r="E636" s="6" t="s">
        <v>1506</v>
      </c>
      <c r="F636" s="45" t="s">
        <v>104</v>
      </c>
      <c r="G636" s="46">
        <f t="shared" si="66"/>
        <v>5</v>
      </c>
      <c r="H636" s="46">
        <f>TRUNC(S636*(1-LOTE_01!$K$10),2)</f>
        <v>217.4</v>
      </c>
      <c r="I636" s="46">
        <f>TRUNC(T636*(1-LOTE_01!$K$10),2)</f>
        <v>3.26</v>
      </c>
      <c r="J636" s="100">
        <f t="shared" si="67"/>
        <v>0.22470000000000001</v>
      </c>
      <c r="K636" s="48">
        <f t="shared" si="68"/>
        <v>266.24</v>
      </c>
      <c r="L636" s="48">
        <f t="shared" si="69"/>
        <v>3.99</v>
      </c>
      <c r="M636" s="48">
        <f t="shared" si="70"/>
        <v>1331.2</v>
      </c>
      <c r="N636" s="48">
        <f t="shared" si="71"/>
        <v>19.95</v>
      </c>
      <c r="O636" s="50">
        <f t="shared" si="72"/>
        <v>1351.15</v>
      </c>
      <c r="P636" s="50">
        <v>0</v>
      </c>
      <c r="Q636" s="76"/>
      <c r="R636" s="139">
        <f>1*(S9+S10)</f>
        <v>5</v>
      </c>
      <c r="S636" s="79">
        <v>217.4</v>
      </c>
      <c r="T636" s="80">
        <v>3.26</v>
      </c>
    </row>
    <row r="637" spans="2:20" ht="42">
      <c r="B637" s="5" t="s">
        <v>1507</v>
      </c>
      <c r="C637" s="45" t="s">
        <v>97</v>
      </c>
      <c r="D637" s="45" t="s">
        <v>1508</v>
      </c>
      <c r="E637" s="6" t="s">
        <v>1509</v>
      </c>
      <c r="F637" s="45" t="s">
        <v>121</v>
      </c>
      <c r="G637" s="46">
        <f t="shared" si="66"/>
        <v>25</v>
      </c>
      <c r="H637" s="46">
        <f>TRUNC(S637*(1-LOTE_01!$K$10),2)</f>
        <v>3505.14</v>
      </c>
      <c r="I637" s="46">
        <f>TRUNC(T637*(1-LOTE_01!$K$10),2)</f>
        <v>42.29</v>
      </c>
      <c r="J637" s="100">
        <f t="shared" si="67"/>
        <v>0.22470000000000001</v>
      </c>
      <c r="K637" s="48">
        <f t="shared" si="68"/>
        <v>4292.74</v>
      </c>
      <c r="L637" s="48">
        <f t="shared" si="69"/>
        <v>51.79</v>
      </c>
      <c r="M637" s="48">
        <f t="shared" si="70"/>
        <v>107318.5</v>
      </c>
      <c r="N637" s="48">
        <f t="shared" si="71"/>
        <v>1294.75</v>
      </c>
      <c r="O637" s="50">
        <f t="shared" si="72"/>
        <v>108613.25</v>
      </c>
      <c r="P637" s="50">
        <v>0</v>
      </c>
      <c r="Q637" s="76"/>
      <c r="R637" s="139">
        <f>2.5*2*(S9+S10)</f>
        <v>25</v>
      </c>
      <c r="S637" s="79">
        <v>3505.14</v>
      </c>
      <c r="T637" s="80">
        <v>42.29</v>
      </c>
    </row>
    <row r="638" spans="2:20">
      <c r="B638" s="101" t="s">
        <v>1510</v>
      </c>
      <c r="C638" s="102" t="s">
        <v>21</v>
      </c>
      <c r="D638" s="102" t="s">
        <v>21</v>
      </c>
      <c r="E638" s="103" t="s">
        <v>1511</v>
      </c>
      <c r="F638" s="102" t="s">
        <v>21</v>
      </c>
      <c r="G638" s="46">
        <f t="shared" si="66"/>
        <v>0</v>
      </c>
      <c r="H638" s="46"/>
      <c r="I638" s="46"/>
      <c r="J638" s="105"/>
      <c r="K638" s="48">
        <f t="shared" si="68"/>
        <v>0</v>
      </c>
      <c r="L638" s="48">
        <f t="shared" si="69"/>
        <v>0</v>
      </c>
      <c r="M638" s="48">
        <f t="shared" si="70"/>
        <v>0</v>
      </c>
      <c r="N638" s="48">
        <f t="shared" si="71"/>
        <v>0</v>
      </c>
      <c r="O638" s="50">
        <f t="shared" si="72"/>
        <v>0</v>
      </c>
      <c r="P638" s="50">
        <v>0</v>
      </c>
      <c r="Q638" s="76"/>
      <c r="R638" s="154"/>
      <c r="S638" s="79" t="s">
        <v>22</v>
      </c>
      <c r="T638" s="80" t="s">
        <v>22</v>
      </c>
    </row>
    <row r="639" spans="2:20" ht="98">
      <c r="B639" s="5" t="s">
        <v>1512</v>
      </c>
      <c r="C639" s="45" t="s">
        <v>135</v>
      </c>
      <c r="D639" s="45">
        <v>96369</v>
      </c>
      <c r="E639" s="6" t="s">
        <v>1513</v>
      </c>
      <c r="F639" s="45" t="s">
        <v>121</v>
      </c>
      <c r="G639" s="46">
        <f t="shared" si="66"/>
        <v>90</v>
      </c>
      <c r="H639" s="46">
        <f>TRUNC(S639*(1-LOTE_01!$K$10),2)</f>
        <v>184.53</v>
      </c>
      <c r="I639" s="46">
        <f>TRUNC(T639*(1-LOTE_01!$K$10),2)</f>
        <v>18.829999999999998</v>
      </c>
      <c r="J639" s="100">
        <f t="shared" si="67"/>
        <v>0.22470000000000001</v>
      </c>
      <c r="K639" s="48">
        <f t="shared" si="68"/>
        <v>225.99</v>
      </c>
      <c r="L639" s="48">
        <f t="shared" si="69"/>
        <v>23.06</v>
      </c>
      <c r="M639" s="48">
        <f t="shared" si="70"/>
        <v>20339.099999999999</v>
      </c>
      <c r="N639" s="48">
        <f t="shared" si="71"/>
        <v>2075.4</v>
      </c>
      <c r="O639" s="50">
        <f t="shared" si="72"/>
        <v>22414.5</v>
      </c>
      <c r="P639" s="50">
        <v>0</v>
      </c>
      <c r="Q639" s="76"/>
      <c r="R639" s="139">
        <f>4.5*4*(S9+S10)</f>
        <v>90</v>
      </c>
      <c r="S639" s="79">
        <v>184.53000000000003</v>
      </c>
      <c r="T639" s="80">
        <v>18.829999999999998</v>
      </c>
    </row>
    <row r="640" spans="2:20" ht="98">
      <c r="B640" s="5" t="s">
        <v>1514</v>
      </c>
      <c r="C640" s="45" t="s">
        <v>97</v>
      </c>
      <c r="D640" s="45" t="s">
        <v>1515</v>
      </c>
      <c r="E640" s="6" t="s">
        <v>1516</v>
      </c>
      <c r="F640" s="45" t="s">
        <v>121</v>
      </c>
      <c r="G640" s="46">
        <f t="shared" si="66"/>
        <v>45</v>
      </c>
      <c r="H640" s="46">
        <f>TRUNC(S640*(1-LOTE_01!$K$10),2)</f>
        <v>1301.1300000000001</v>
      </c>
      <c r="I640" s="46">
        <f>TRUNC(T640*(1-LOTE_01!$K$10),2)</f>
        <v>21.14</v>
      </c>
      <c r="J640" s="100">
        <f t="shared" si="67"/>
        <v>0.22470000000000001</v>
      </c>
      <c r="K640" s="48">
        <f t="shared" si="68"/>
        <v>1593.49</v>
      </c>
      <c r="L640" s="48">
        <f t="shared" si="69"/>
        <v>25.89</v>
      </c>
      <c r="M640" s="48">
        <f t="shared" si="70"/>
        <v>71707.05</v>
      </c>
      <c r="N640" s="48">
        <f t="shared" si="71"/>
        <v>1165.05</v>
      </c>
      <c r="O640" s="50">
        <f t="shared" si="72"/>
        <v>72872.100000000006</v>
      </c>
      <c r="P640" s="50">
        <v>0</v>
      </c>
      <c r="Q640" s="76"/>
      <c r="R640" s="139">
        <f>1.2*3*2.5*(S9+S10)</f>
        <v>45</v>
      </c>
      <c r="S640" s="79">
        <v>1301.1300000000001</v>
      </c>
      <c r="T640" s="80">
        <v>21.14</v>
      </c>
    </row>
    <row r="641" spans="2:20" ht="42">
      <c r="B641" s="5" t="s">
        <v>1517</v>
      </c>
      <c r="C641" s="45" t="s">
        <v>97</v>
      </c>
      <c r="D641" s="45" t="s">
        <v>1518</v>
      </c>
      <c r="E641" s="6" t="s">
        <v>1519</v>
      </c>
      <c r="F641" s="45" t="s">
        <v>121</v>
      </c>
      <c r="G641" s="46">
        <f t="shared" si="66"/>
        <v>45</v>
      </c>
      <c r="H641" s="46">
        <f>TRUNC(S641*(1-LOTE_01!$K$10),2)</f>
        <v>614.85</v>
      </c>
      <c r="I641" s="46">
        <f>TRUNC(T641*(1-LOTE_01!$K$10),2)</f>
        <v>18.600000000000001</v>
      </c>
      <c r="J641" s="100">
        <f t="shared" si="67"/>
        <v>0.22470000000000001</v>
      </c>
      <c r="K641" s="48">
        <f t="shared" si="68"/>
        <v>753</v>
      </c>
      <c r="L641" s="48">
        <f t="shared" si="69"/>
        <v>22.77</v>
      </c>
      <c r="M641" s="48">
        <f t="shared" si="70"/>
        <v>33885</v>
      </c>
      <c r="N641" s="48">
        <f t="shared" si="71"/>
        <v>1024.6500000000001</v>
      </c>
      <c r="O641" s="50">
        <f t="shared" si="72"/>
        <v>34909.65</v>
      </c>
      <c r="P641" s="50">
        <v>0</v>
      </c>
      <c r="Q641" s="76"/>
      <c r="R641" s="139">
        <f>(R639-R640)</f>
        <v>45</v>
      </c>
      <c r="S641" s="79">
        <v>614.85</v>
      </c>
      <c r="T641" s="80">
        <v>18.600000000000001</v>
      </c>
    </row>
    <row r="642" spans="2:20" ht="70">
      <c r="B642" s="5" t="s">
        <v>1520</v>
      </c>
      <c r="C642" s="45" t="s">
        <v>97</v>
      </c>
      <c r="D642" s="45" t="s">
        <v>1521</v>
      </c>
      <c r="E642" s="6" t="s">
        <v>1522</v>
      </c>
      <c r="F642" s="45" t="s">
        <v>104</v>
      </c>
      <c r="G642" s="46">
        <f t="shared" si="66"/>
        <v>15</v>
      </c>
      <c r="H642" s="46">
        <f>TRUNC(S642*(1-LOTE_01!$K$10),2)</f>
        <v>1135.1199999999999</v>
      </c>
      <c r="I642" s="46">
        <f>TRUNC(T642*(1-LOTE_01!$K$10),2)</f>
        <v>8.4499999999999993</v>
      </c>
      <c r="J642" s="100">
        <f t="shared" si="67"/>
        <v>0.22470000000000001</v>
      </c>
      <c r="K642" s="48">
        <f t="shared" si="68"/>
        <v>1390.18</v>
      </c>
      <c r="L642" s="48">
        <f t="shared" si="69"/>
        <v>10.34</v>
      </c>
      <c r="M642" s="48">
        <f t="shared" si="70"/>
        <v>20852.7</v>
      </c>
      <c r="N642" s="48">
        <f t="shared" si="71"/>
        <v>155.1</v>
      </c>
      <c r="O642" s="50">
        <f t="shared" si="72"/>
        <v>21007.8</v>
      </c>
      <c r="P642" s="50">
        <v>0</v>
      </c>
      <c r="Q642" s="76"/>
      <c r="R642" s="139">
        <f>3*(S9+S10)</f>
        <v>15</v>
      </c>
      <c r="S642" s="79">
        <v>1135.1199999999999</v>
      </c>
      <c r="T642" s="80">
        <v>8.4499999999999993</v>
      </c>
    </row>
    <row r="643" spans="2:20">
      <c r="B643" s="101" t="s">
        <v>1523</v>
      </c>
      <c r="C643" s="102" t="s">
        <v>21</v>
      </c>
      <c r="D643" s="102" t="s">
        <v>21</v>
      </c>
      <c r="E643" s="103" t="s">
        <v>1524</v>
      </c>
      <c r="F643" s="102" t="s">
        <v>21</v>
      </c>
      <c r="G643" s="46">
        <f t="shared" si="66"/>
        <v>0</v>
      </c>
      <c r="H643" s="46"/>
      <c r="I643" s="46"/>
      <c r="J643" s="105"/>
      <c r="K643" s="48">
        <f t="shared" si="68"/>
        <v>0</v>
      </c>
      <c r="L643" s="48">
        <f t="shared" si="69"/>
        <v>0</v>
      </c>
      <c r="M643" s="48">
        <f t="shared" si="70"/>
        <v>0</v>
      </c>
      <c r="N643" s="48">
        <f t="shared" si="71"/>
        <v>0</v>
      </c>
      <c r="O643" s="50">
        <f t="shared" si="72"/>
        <v>0</v>
      </c>
      <c r="P643" s="50">
        <v>0</v>
      </c>
      <c r="Q643" s="76"/>
      <c r="R643" s="154"/>
      <c r="S643" s="79" t="s">
        <v>22</v>
      </c>
      <c r="T643" s="80" t="s">
        <v>22</v>
      </c>
    </row>
    <row r="644" spans="2:20" ht="28">
      <c r="B644" s="5" t="s">
        <v>1525</v>
      </c>
      <c r="C644" s="45" t="s">
        <v>97</v>
      </c>
      <c r="D644" s="45" t="s">
        <v>1526</v>
      </c>
      <c r="E644" s="6" t="s">
        <v>1527</v>
      </c>
      <c r="F644" s="45" t="s">
        <v>121</v>
      </c>
      <c r="G644" s="46">
        <f t="shared" si="66"/>
        <v>1020</v>
      </c>
      <c r="H644" s="46">
        <f>TRUNC(S644*(1-LOTE_01!$K$10),2)</f>
        <v>590.46</v>
      </c>
      <c r="I644" s="46">
        <f>TRUNC(T644*(1-LOTE_01!$K$10),2)</f>
        <v>83.64</v>
      </c>
      <c r="J644" s="100">
        <f t="shared" si="67"/>
        <v>0.22470000000000001</v>
      </c>
      <c r="K644" s="48">
        <f t="shared" si="68"/>
        <v>723.13</v>
      </c>
      <c r="L644" s="48">
        <f t="shared" si="69"/>
        <v>102.43</v>
      </c>
      <c r="M644" s="48">
        <f t="shared" si="70"/>
        <v>737592.6</v>
      </c>
      <c r="N644" s="48">
        <f t="shared" si="71"/>
        <v>104478.6</v>
      </c>
      <c r="O644" s="50">
        <f t="shared" si="72"/>
        <v>842071.2</v>
      </c>
      <c r="P644" s="50">
        <v>0</v>
      </c>
      <c r="Q644" s="76"/>
      <c r="R644" s="139">
        <f>(25*(4+2*2)+2*2)*(S9+S10)</f>
        <v>1020</v>
      </c>
      <c r="S644" s="79">
        <v>590.46</v>
      </c>
      <c r="T644" s="80">
        <v>83.64</v>
      </c>
    </row>
    <row r="645" spans="2:20" ht="42">
      <c r="B645" s="5" t="s">
        <v>1528</v>
      </c>
      <c r="C645" s="45" t="s">
        <v>165</v>
      </c>
      <c r="D645" s="45" t="s">
        <v>1529</v>
      </c>
      <c r="E645" s="6" t="s">
        <v>1530</v>
      </c>
      <c r="F645" s="45" t="s">
        <v>168</v>
      </c>
      <c r="G645" s="46">
        <f t="shared" si="66"/>
        <v>1055</v>
      </c>
      <c r="H645" s="46">
        <f>TRUNC(S645*(1-LOTE_01!$K$10),2)</f>
        <v>256.83</v>
      </c>
      <c r="I645" s="46">
        <f>TRUNC(T645*(1-LOTE_01!$K$10),2)</f>
        <v>15.94</v>
      </c>
      <c r="J645" s="100">
        <f t="shared" si="67"/>
        <v>0.22470000000000001</v>
      </c>
      <c r="K645" s="48">
        <f t="shared" si="68"/>
        <v>314.52999999999997</v>
      </c>
      <c r="L645" s="48">
        <f t="shared" si="69"/>
        <v>19.52</v>
      </c>
      <c r="M645" s="48">
        <f t="shared" si="70"/>
        <v>331829.15000000002</v>
      </c>
      <c r="N645" s="48">
        <f t="shared" si="71"/>
        <v>20593.599999999999</v>
      </c>
      <c r="O645" s="50">
        <f t="shared" si="72"/>
        <v>352422.75</v>
      </c>
      <c r="P645" s="50">
        <v>0</v>
      </c>
      <c r="Q645" s="76"/>
      <c r="R645" s="139">
        <f>211*(S9+S10)</f>
        <v>1055</v>
      </c>
      <c r="S645" s="79">
        <v>256.83</v>
      </c>
      <c r="T645" s="80">
        <v>15.94</v>
      </c>
    </row>
    <row r="646" spans="2:20" ht="28">
      <c r="B646" s="5" t="s">
        <v>1531</v>
      </c>
      <c r="C646" s="45" t="s">
        <v>97</v>
      </c>
      <c r="D646" s="45" t="s">
        <v>1532</v>
      </c>
      <c r="E646" s="6" t="s">
        <v>1533</v>
      </c>
      <c r="F646" s="45" t="s">
        <v>121</v>
      </c>
      <c r="G646" s="46">
        <f t="shared" si="66"/>
        <v>52.5</v>
      </c>
      <c r="H646" s="46">
        <f>TRUNC(S646*(1-LOTE_01!$K$10),2)</f>
        <v>2127.5100000000002</v>
      </c>
      <c r="I646" s="46">
        <f>TRUNC(T646*(1-LOTE_01!$K$10),2)</f>
        <v>25.09</v>
      </c>
      <c r="J646" s="100">
        <f t="shared" si="67"/>
        <v>0.22470000000000001</v>
      </c>
      <c r="K646" s="48">
        <f t="shared" si="68"/>
        <v>2605.56</v>
      </c>
      <c r="L646" s="48">
        <f t="shared" si="69"/>
        <v>30.72</v>
      </c>
      <c r="M646" s="48">
        <f t="shared" si="70"/>
        <v>136791.9</v>
      </c>
      <c r="N646" s="48">
        <f t="shared" si="71"/>
        <v>1612.8</v>
      </c>
      <c r="O646" s="50">
        <f t="shared" si="72"/>
        <v>138404.70000000001</v>
      </c>
      <c r="P646" s="50">
        <v>0</v>
      </c>
      <c r="Q646" s="76"/>
      <c r="R646" s="139">
        <f>3*3.5*(S9+S10)</f>
        <v>52.5</v>
      </c>
      <c r="S646" s="79">
        <v>2127.5100000000002</v>
      </c>
      <c r="T646" s="80">
        <v>25.09</v>
      </c>
    </row>
    <row r="647" spans="2:20" ht="56">
      <c r="B647" s="5" t="s">
        <v>1534</v>
      </c>
      <c r="C647" s="45" t="s">
        <v>97</v>
      </c>
      <c r="D647" s="45" t="s">
        <v>1535</v>
      </c>
      <c r="E647" s="6" t="s">
        <v>1536</v>
      </c>
      <c r="F647" s="45" t="s">
        <v>104</v>
      </c>
      <c r="G647" s="46">
        <f t="shared" si="66"/>
        <v>5</v>
      </c>
      <c r="H647" s="46">
        <f>TRUNC(S647*(1-LOTE_01!$K$10),2)</f>
        <v>3330.93</v>
      </c>
      <c r="I647" s="46">
        <f>TRUNC(T647*(1-LOTE_01!$K$10),2)</f>
        <v>42.29</v>
      </c>
      <c r="J647" s="100">
        <f t="shared" si="67"/>
        <v>0.22470000000000001</v>
      </c>
      <c r="K647" s="48">
        <f t="shared" si="68"/>
        <v>4079.38</v>
      </c>
      <c r="L647" s="48">
        <f t="shared" si="69"/>
        <v>51.79</v>
      </c>
      <c r="M647" s="48">
        <f t="shared" si="70"/>
        <v>20396.900000000001</v>
      </c>
      <c r="N647" s="48">
        <f t="shared" si="71"/>
        <v>258.95</v>
      </c>
      <c r="O647" s="50">
        <f t="shared" si="72"/>
        <v>20655.849999999999</v>
      </c>
      <c r="P647" s="50">
        <v>0</v>
      </c>
      <c r="Q647" s="76"/>
      <c r="R647" s="139">
        <f>1*(S9+S10)</f>
        <v>5</v>
      </c>
      <c r="S647" s="79">
        <v>3330.93</v>
      </c>
      <c r="T647" s="80">
        <v>42.29</v>
      </c>
    </row>
    <row r="648" spans="2:20" ht="84">
      <c r="B648" s="5" t="s">
        <v>1537</v>
      </c>
      <c r="C648" s="45" t="s">
        <v>97</v>
      </c>
      <c r="D648" s="45" t="s">
        <v>1477</v>
      </c>
      <c r="E648" s="6" t="s">
        <v>1478</v>
      </c>
      <c r="F648" s="45" t="s">
        <v>121</v>
      </c>
      <c r="G648" s="46">
        <f t="shared" si="66"/>
        <v>75</v>
      </c>
      <c r="H648" s="46">
        <f>TRUNC(S648*(1-LOTE_01!$K$10),2)</f>
        <v>341.98</v>
      </c>
      <c r="I648" s="46">
        <f>TRUNC(T648*(1-LOTE_01!$K$10),2)</f>
        <v>41.06</v>
      </c>
      <c r="J648" s="100">
        <f t="shared" si="67"/>
        <v>0.22470000000000001</v>
      </c>
      <c r="K648" s="48">
        <f t="shared" si="68"/>
        <v>418.82</v>
      </c>
      <c r="L648" s="48">
        <f t="shared" si="69"/>
        <v>50.28</v>
      </c>
      <c r="M648" s="48">
        <f t="shared" si="70"/>
        <v>31411.5</v>
      </c>
      <c r="N648" s="48">
        <f t="shared" si="71"/>
        <v>3771</v>
      </c>
      <c r="O648" s="50">
        <f t="shared" si="72"/>
        <v>35182.5</v>
      </c>
      <c r="P648" s="50">
        <v>0</v>
      </c>
      <c r="Q648" s="76"/>
      <c r="R648" s="139">
        <f>5*3*(S9+S10)</f>
        <v>75</v>
      </c>
      <c r="S648" s="79">
        <v>341.98</v>
      </c>
      <c r="T648" s="80">
        <v>41.06</v>
      </c>
    </row>
    <row r="649" spans="2:20" ht="56">
      <c r="B649" s="5" t="s">
        <v>1538</v>
      </c>
      <c r="C649" s="45" t="s">
        <v>97</v>
      </c>
      <c r="D649" s="45" t="s">
        <v>1539</v>
      </c>
      <c r="E649" s="6" t="s">
        <v>1540</v>
      </c>
      <c r="F649" s="45" t="s">
        <v>104</v>
      </c>
      <c r="G649" s="46">
        <f t="shared" si="66"/>
        <v>5</v>
      </c>
      <c r="H649" s="46">
        <f>TRUNC(S649*(1-LOTE_01!$K$10),2)</f>
        <v>5062.62</v>
      </c>
      <c r="I649" s="46">
        <f>TRUNC(T649*(1-LOTE_01!$K$10),2)</f>
        <v>84.58</v>
      </c>
      <c r="J649" s="100">
        <f t="shared" si="67"/>
        <v>0.22470000000000001</v>
      </c>
      <c r="K649" s="48">
        <f t="shared" si="68"/>
        <v>6200.19</v>
      </c>
      <c r="L649" s="48">
        <f t="shared" si="69"/>
        <v>103.58</v>
      </c>
      <c r="M649" s="48">
        <f t="shared" si="70"/>
        <v>31000.95</v>
      </c>
      <c r="N649" s="48">
        <f t="shared" si="71"/>
        <v>517.9</v>
      </c>
      <c r="O649" s="50">
        <f t="shared" si="72"/>
        <v>31518.85</v>
      </c>
      <c r="P649" s="50">
        <v>0</v>
      </c>
      <c r="Q649" s="76"/>
      <c r="R649" s="139">
        <f>1*(S9+S10)</f>
        <v>5</v>
      </c>
      <c r="S649" s="79">
        <v>5062.62</v>
      </c>
      <c r="T649" s="80">
        <v>84.58</v>
      </c>
    </row>
    <row r="650" spans="2:20" ht="42">
      <c r="B650" s="5" t="s">
        <v>1541</v>
      </c>
      <c r="C650" s="45" t="s">
        <v>97</v>
      </c>
      <c r="D650" s="45" t="s">
        <v>1542</v>
      </c>
      <c r="E650" s="6" t="s">
        <v>1543</v>
      </c>
      <c r="F650" s="45" t="s">
        <v>121</v>
      </c>
      <c r="G650" s="46">
        <f t="shared" si="66"/>
        <v>20</v>
      </c>
      <c r="H650" s="46">
        <f>TRUNC(S650*(1-LOTE_01!$K$10),2)</f>
        <v>1644.04</v>
      </c>
      <c r="I650" s="46">
        <f>TRUNC(T650*(1-LOTE_01!$K$10),2)</f>
        <v>12.98</v>
      </c>
      <c r="J650" s="100">
        <f t="shared" si="67"/>
        <v>0.22470000000000001</v>
      </c>
      <c r="K650" s="48">
        <f t="shared" si="68"/>
        <v>2013.45</v>
      </c>
      <c r="L650" s="48">
        <f t="shared" si="69"/>
        <v>15.89</v>
      </c>
      <c r="M650" s="48">
        <f t="shared" si="70"/>
        <v>40269</v>
      </c>
      <c r="N650" s="48">
        <f t="shared" si="71"/>
        <v>317.8</v>
      </c>
      <c r="O650" s="50">
        <f t="shared" si="72"/>
        <v>40586.800000000003</v>
      </c>
      <c r="P650" s="50">
        <v>0</v>
      </c>
      <c r="Q650" s="76"/>
      <c r="R650" s="139">
        <f>(2+2)*(S9+S10)</f>
        <v>20</v>
      </c>
      <c r="S650" s="79">
        <v>1644.04</v>
      </c>
      <c r="T650" s="80">
        <v>12.98</v>
      </c>
    </row>
    <row r="651" spans="2:20" ht="70">
      <c r="B651" s="5" t="s">
        <v>1544</v>
      </c>
      <c r="C651" s="45" t="s">
        <v>97</v>
      </c>
      <c r="D651" s="45" t="s">
        <v>1545</v>
      </c>
      <c r="E651" s="6" t="s">
        <v>1546</v>
      </c>
      <c r="F651" s="45" t="s">
        <v>104</v>
      </c>
      <c r="G651" s="46">
        <f t="shared" si="66"/>
        <v>35</v>
      </c>
      <c r="H651" s="46">
        <f>TRUNC(S651*(1-LOTE_01!$K$10),2)</f>
        <v>793.08</v>
      </c>
      <c r="I651" s="46">
        <f>TRUNC(T651*(1-LOTE_01!$K$10),2)</f>
        <v>5.19</v>
      </c>
      <c r="J651" s="100">
        <f t="shared" si="67"/>
        <v>0.22470000000000001</v>
      </c>
      <c r="K651" s="48">
        <f t="shared" si="68"/>
        <v>971.28</v>
      </c>
      <c r="L651" s="48">
        <f t="shared" si="69"/>
        <v>6.35</v>
      </c>
      <c r="M651" s="48">
        <f t="shared" si="70"/>
        <v>33994.800000000003</v>
      </c>
      <c r="N651" s="48">
        <f t="shared" si="71"/>
        <v>222.25</v>
      </c>
      <c r="O651" s="50">
        <f t="shared" si="72"/>
        <v>34217.050000000003</v>
      </c>
      <c r="P651" s="50">
        <v>0</v>
      </c>
      <c r="Q651" s="76"/>
      <c r="R651" s="139">
        <f>7*(S9+S10)</f>
        <v>35</v>
      </c>
      <c r="S651" s="79">
        <v>793.08</v>
      </c>
      <c r="T651" s="80">
        <v>5.19</v>
      </c>
    </row>
    <row r="652" spans="2:20" ht="70">
      <c r="B652" s="5" t="s">
        <v>1547</v>
      </c>
      <c r="C652" s="45" t="s">
        <v>97</v>
      </c>
      <c r="D652" s="45" t="s">
        <v>1548</v>
      </c>
      <c r="E652" s="6" t="s">
        <v>1549</v>
      </c>
      <c r="F652" s="45" t="s">
        <v>104</v>
      </c>
      <c r="G652" s="46">
        <f t="shared" si="66"/>
        <v>5</v>
      </c>
      <c r="H652" s="46">
        <f>TRUNC(S652*(1-LOTE_01!$K$10),2)</f>
        <v>1864.99</v>
      </c>
      <c r="I652" s="46">
        <f>TRUNC(T652*(1-LOTE_01!$K$10),2)</f>
        <v>5.19</v>
      </c>
      <c r="J652" s="100">
        <f t="shared" si="67"/>
        <v>0.22470000000000001</v>
      </c>
      <c r="K652" s="48">
        <f t="shared" si="68"/>
        <v>2284.0500000000002</v>
      </c>
      <c r="L652" s="48">
        <f t="shared" si="69"/>
        <v>6.35</v>
      </c>
      <c r="M652" s="48">
        <f t="shared" si="70"/>
        <v>11420.25</v>
      </c>
      <c r="N652" s="48">
        <f t="shared" si="71"/>
        <v>31.75</v>
      </c>
      <c r="O652" s="50">
        <f t="shared" si="72"/>
        <v>11452</v>
      </c>
      <c r="P652" s="50">
        <v>0</v>
      </c>
      <c r="Q652" s="76"/>
      <c r="R652" s="139">
        <f>1*(S9+S10)</f>
        <v>5</v>
      </c>
      <c r="S652" s="79">
        <v>1864.99</v>
      </c>
      <c r="T652" s="80">
        <v>5.19</v>
      </c>
    </row>
    <row r="653" spans="2:20" ht="70">
      <c r="B653" s="5" t="s">
        <v>1550</v>
      </c>
      <c r="C653" s="45" t="s">
        <v>97</v>
      </c>
      <c r="D653" s="45" t="s">
        <v>1551</v>
      </c>
      <c r="E653" s="6" t="s">
        <v>1552</v>
      </c>
      <c r="F653" s="45" t="s">
        <v>104</v>
      </c>
      <c r="G653" s="46">
        <f t="shared" si="66"/>
        <v>20</v>
      </c>
      <c r="H653" s="46">
        <f>TRUNC(S653*(1-LOTE_01!$K$10),2)</f>
        <v>782.68</v>
      </c>
      <c r="I653" s="46">
        <f>TRUNC(T653*(1-LOTE_01!$K$10),2)</f>
        <v>4.83</v>
      </c>
      <c r="J653" s="100">
        <f t="shared" si="67"/>
        <v>0.22470000000000001</v>
      </c>
      <c r="K653" s="48">
        <f t="shared" si="68"/>
        <v>958.54</v>
      </c>
      <c r="L653" s="48">
        <f t="shared" si="69"/>
        <v>5.91</v>
      </c>
      <c r="M653" s="48">
        <f t="shared" si="70"/>
        <v>19170.8</v>
      </c>
      <c r="N653" s="48">
        <f t="shared" si="71"/>
        <v>118.2</v>
      </c>
      <c r="O653" s="50">
        <f t="shared" si="72"/>
        <v>19289</v>
      </c>
      <c r="P653" s="50">
        <v>0</v>
      </c>
      <c r="Q653" s="76"/>
      <c r="R653" s="139">
        <f>4*(S9+S10)</f>
        <v>20</v>
      </c>
      <c r="S653" s="79">
        <v>782.68</v>
      </c>
      <c r="T653" s="80">
        <v>4.83</v>
      </c>
    </row>
    <row r="654" spans="2:20" ht="56">
      <c r="B654" s="5" t="s">
        <v>1553</v>
      </c>
      <c r="C654" s="45" t="s">
        <v>97</v>
      </c>
      <c r="D654" s="45" t="s">
        <v>1554</v>
      </c>
      <c r="E654" s="6" t="s">
        <v>1555</v>
      </c>
      <c r="F654" s="45" t="s">
        <v>104</v>
      </c>
      <c r="G654" s="46">
        <f t="shared" si="66"/>
        <v>25</v>
      </c>
      <c r="H654" s="46">
        <f>TRUNC(S654*(1-LOTE_01!$K$10),2)</f>
        <v>563.16</v>
      </c>
      <c r="I654" s="46">
        <f>TRUNC(T654*(1-LOTE_01!$K$10),2)</f>
        <v>5.19</v>
      </c>
      <c r="J654" s="100">
        <f t="shared" si="67"/>
        <v>0.22470000000000001</v>
      </c>
      <c r="K654" s="48">
        <f t="shared" si="68"/>
        <v>689.7</v>
      </c>
      <c r="L654" s="48">
        <f t="shared" si="69"/>
        <v>6.35</v>
      </c>
      <c r="M654" s="48">
        <f t="shared" si="70"/>
        <v>17242.5</v>
      </c>
      <c r="N654" s="48">
        <f t="shared" si="71"/>
        <v>158.75</v>
      </c>
      <c r="O654" s="50">
        <f t="shared" si="72"/>
        <v>17401.25</v>
      </c>
      <c r="P654" s="50">
        <v>0</v>
      </c>
      <c r="Q654" s="76"/>
      <c r="R654" s="139">
        <f>5*(S9+S10)</f>
        <v>25</v>
      </c>
      <c r="S654" s="79">
        <v>563.16</v>
      </c>
      <c r="T654" s="80">
        <v>5.19</v>
      </c>
    </row>
    <row r="655" spans="2:20" ht="70">
      <c r="B655" s="5" t="s">
        <v>1556</v>
      </c>
      <c r="C655" s="45" t="s">
        <v>97</v>
      </c>
      <c r="D655" s="45" t="s">
        <v>1557</v>
      </c>
      <c r="E655" s="6" t="s">
        <v>1558</v>
      </c>
      <c r="F655" s="45" t="s">
        <v>104</v>
      </c>
      <c r="G655" s="46">
        <f t="shared" si="66"/>
        <v>5</v>
      </c>
      <c r="H655" s="46">
        <f>TRUNC(S655*(1-LOTE_01!$K$10),2)</f>
        <v>2926.66</v>
      </c>
      <c r="I655" s="46">
        <f>TRUNC(T655*(1-LOTE_01!$K$10),2)</f>
        <v>5.19</v>
      </c>
      <c r="J655" s="100">
        <f t="shared" si="67"/>
        <v>0.22470000000000001</v>
      </c>
      <c r="K655" s="48">
        <f t="shared" si="68"/>
        <v>3584.28</v>
      </c>
      <c r="L655" s="48">
        <f t="shared" si="69"/>
        <v>6.35</v>
      </c>
      <c r="M655" s="48">
        <f t="shared" si="70"/>
        <v>17921.400000000001</v>
      </c>
      <c r="N655" s="48">
        <f t="shared" si="71"/>
        <v>31.75</v>
      </c>
      <c r="O655" s="50">
        <f t="shared" si="72"/>
        <v>17953.150000000001</v>
      </c>
      <c r="P655" s="50">
        <v>0</v>
      </c>
      <c r="Q655" s="76"/>
      <c r="R655" s="139">
        <f>1*(S9+S10)</f>
        <v>5</v>
      </c>
      <c r="S655" s="79">
        <v>2926.66</v>
      </c>
      <c r="T655" s="80">
        <v>5.19</v>
      </c>
    </row>
    <row r="656" spans="2:20" ht="56">
      <c r="B656" s="5" t="s">
        <v>1559</v>
      </c>
      <c r="C656" s="45" t="s">
        <v>97</v>
      </c>
      <c r="D656" s="45" t="s">
        <v>1560</v>
      </c>
      <c r="E656" s="6" t="s">
        <v>1561</v>
      </c>
      <c r="F656" s="45" t="s">
        <v>104</v>
      </c>
      <c r="G656" s="46">
        <f t="shared" si="66"/>
        <v>5</v>
      </c>
      <c r="H656" s="46">
        <f>TRUNC(S656*(1-LOTE_01!$K$10),2)</f>
        <v>1032.9100000000001</v>
      </c>
      <c r="I656" s="46">
        <f>TRUNC(T656*(1-LOTE_01!$K$10),2)</f>
        <v>5.19</v>
      </c>
      <c r="J656" s="100">
        <f t="shared" si="67"/>
        <v>0.22470000000000001</v>
      </c>
      <c r="K656" s="48">
        <f t="shared" si="68"/>
        <v>1265</v>
      </c>
      <c r="L656" s="48">
        <f t="shared" si="69"/>
        <v>6.35</v>
      </c>
      <c r="M656" s="48">
        <f t="shared" si="70"/>
        <v>6325</v>
      </c>
      <c r="N656" s="48">
        <f t="shared" si="71"/>
        <v>31.75</v>
      </c>
      <c r="O656" s="50">
        <f t="shared" si="72"/>
        <v>6356.75</v>
      </c>
      <c r="P656" s="50">
        <v>0</v>
      </c>
      <c r="Q656" s="76"/>
      <c r="R656" s="139">
        <f>1*(S9+S10)</f>
        <v>5</v>
      </c>
      <c r="S656" s="79">
        <v>1032.9100000000001</v>
      </c>
      <c r="T656" s="80">
        <v>5.19</v>
      </c>
    </row>
    <row r="657" spans="2:20" ht="56">
      <c r="B657" s="5" t="s">
        <v>1562</v>
      </c>
      <c r="C657" s="45" t="s">
        <v>97</v>
      </c>
      <c r="D657" s="45" t="s">
        <v>1563</v>
      </c>
      <c r="E657" s="6" t="s">
        <v>1564</v>
      </c>
      <c r="F657" s="45" t="s">
        <v>104</v>
      </c>
      <c r="G657" s="46">
        <f t="shared" si="66"/>
        <v>5</v>
      </c>
      <c r="H657" s="46">
        <f>TRUNC(S657*(1-LOTE_01!$K$10),2)</f>
        <v>691.28</v>
      </c>
      <c r="I657" s="46">
        <f>TRUNC(T657*(1-LOTE_01!$K$10),2)</f>
        <v>5.19</v>
      </c>
      <c r="J657" s="100">
        <f t="shared" si="67"/>
        <v>0.22470000000000001</v>
      </c>
      <c r="K657" s="48">
        <f t="shared" si="68"/>
        <v>846.61</v>
      </c>
      <c r="L657" s="48">
        <f t="shared" si="69"/>
        <v>6.35</v>
      </c>
      <c r="M657" s="48">
        <f t="shared" si="70"/>
        <v>4233.05</v>
      </c>
      <c r="N657" s="48">
        <f t="shared" si="71"/>
        <v>31.75</v>
      </c>
      <c r="O657" s="50">
        <f t="shared" si="72"/>
        <v>4264.8</v>
      </c>
      <c r="P657" s="50">
        <v>0</v>
      </c>
      <c r="Q657" s="76"/>
      <c r="R657" s="139">
        <f>1*(S9+S10)</f>
        <v>5</v>
      </c>
      <c r="S657" s="79">
        <v>691.28</v>
      </c>
      <c r="T657" s="80">
        <v>5.19</v>
      </c>
    </row>
    <row r="658" spans="2:20" ht="56">
      <c r="B658" s="5" t="s">
        <v>1565</v>
      </c>
      <c r="C658" s="45" t="s">
        <v>97</v>
      </c>
      <c r="D658" s="45" t="s">
        <v>1566</v>
      </c>
      <c r="E658" s="6" t="s">
        <v>1567</v>
      </c>
      <c r="F658" s="45" t="s">
        <v>104</v>
      </c>
      <c r="G658" s="46">
        <f t="shared" ref="G658:G721" si="73">TRUNC(R658,2)</f>
        <v>15</v>
      </c>
      <c r="H658" s="46">
        <f>TRUNC(S658*(1-LOTE_01!$K$10),2)</f>
        <v>975.85</v>
      </c>
      <c r="I658" s="46">
        <f>TRUNC(T658*(1-LOTE_01!$K$10),2)</f>
        <v>7.25</v>
      </c>
      <c r="J658" s="100">
        <f t="shared" ref="J658:J721" si="74">$J$4</f>
        <v>0.22470000000000001</v>
      </c>
      <c r="K658" s="48">
        <f t="shared" ref="K658:K721" si="75">TRUNC(H658*(1+J658),2)</f>
        <v>1195.1199999999999</v>
      </c>
      <c r="L658" s="48">
        <f t="shared" ref="L658:L721" si="76">TRUNC(I658*(1+J658),2)</f>
        <v>8.8699999999999992</v>
      </c>
      <c r="M658" s="48">
        <f t="shared" ref="M658:M721" si="77">TRUNC(K658*G658,2)</f>
        <v>17926.8</v>
      </c>
      <c r="N658" s="48">
        <f t="shared" ref="N658:N721" si="78">TRUNC(L658*G658,2)</f>
        <v>133.05000000000001</v>
      </c>
      <c r="O658" s="50">
        <f t="shared" ref="O658:O721" si="79">TRUNC(M658+N658,2)</f>
        <v>18059.849999999999</v>
      </c>
      <c r="P658" s="50">
        <v>0</v>
      </c>
      <c r="Q658" s="76"/>
      <c r="R658" s="139">
        <f>3*(S9+S10)</f>
        <v>15</v>
      </c>
      <c r="S658" s="79">
        <v>975.85</v>
      </c>
      <c r="T658" s="80">
        <v>7.25</v>
      </c>
    </row>
    <row r="659" spans="2:20" ht="56">
      <c r="B659" s="5" t="s">
        <v>1568</v>
      </c>
      <c r="C659" s="45" t="s">
        <v>97</v>
      </c>
      <c r="D659" s="45" t="s">
        <v>1569</v>
      </c>
      <c r="E659" s="6" t="s">
        <v>1570</v>
      </c>
      <c r="F659" s="45" t="s">
        <v>104</v>
      </c>
      <c r="G659" s="46">
        <f t="shared" si="73"/>
        <v>5</v>
      </c>
      <c r="H659" s="46">
        <f>TRUNC(S659*(1-LOTE_01!$K$10),2)</f>
        <v>154</v>
      </c>
      <c r="I659" s="46">
        <f>TRUNC(T659*(1-LOTE_01!$K$10),2)</f>
        <v>5.19</v>
      </c>
      <c r="J659" s="100">
        <f t="shared" si="74"/>
        <v>0.22470000000000001</v>
      </c>
      <c r="K659" s="48">
        <f t="shared" si="75"/>
        <v>188.6</v>
      </c>
      <c r="L659" s="48">
        <f t="shared" si="76"/>
        <v>6.35</v>
      </c>
      <c r="M659" s="48">
        <f t="shared" si="77"/>
        <v>943</v>
      </c>
      <c r="N659" s="48">
        <f t="shared" si="78"/>
        <v>31.75</v>
      </c>
      <c r="O659" s="50">
        <f t="shared" si="79"/>
        <v>974.75</v>
      </c>
      <c r="P659" s="50">
        <v>0</v>
      </c>
      <c r="Q659" s="76"/>
      <c r="R659" s="139">
        <f>1*(S9+S10)</f>
        <v>5</v>
      </c>
      <c r="S659" s="79">
        <v>154</v>
      </c>
      <c r="T659" s="80">
        <v>5.19</v>
      </c>
    </row>
    <row r="660" spans="2:20" ht="56">
      <c r="B660" s="5" t="s">
        <v>1571</v>
      </c>
      <c r="C660" s="45" t="s">
        <v>97</v>
      </c>
      <c r="D660" s="45" t="s">
        <v>1572</v>
      </c>
      <c r="E660" s="6" t="s">
        <v>1573</v>
      </c>
      <c r="F660" s="45" t="s">
        <v>104</v>
      </c>
      <c r="G660" s="46">
        <f t="shared" si="73"/>
        <v>20</v>
      </c>
      <c r="H660" s="46">
        <f>TRUNC(S660*(1-LOTE_01!$K$10),2)</f>
        <v>60.16</v>
      </c>
      <c r="I660" s="46">
        <f>TRUNC(T660*(1-LOTE_01!$K$10),2)</f>
        <v>5.19</v>
      </c>
      <c r="J660" s="100">
        <f t="shared" si="74"/>
        <v>0.22470000000000001</v>
      </c>
      <c r="K660" s="48">
        <f t="shared" si="75"/>
        <v>73.67</v>
      </c>
      <c r="L660" s="48">
        <f t="shared" si="76"/>
        <v>6.35</v>
      </c>
      <c r="M660" s="48">
        <f t="shared" si="77"/>
        <v>1473.4</v>
      </c>
      <c r="N660" s="48">
        <f t="shared" si="78"/>
        <v>127</v>
      </c>
      <c r="O660" s="50">
        <f t="shared" si="79"/>
        <v>1600.4</v>
      </c>
      <c r="P660" s="50">
        <v>0</v>
      </c>
      <c r="Q660" s="76"/>
      <c r="R660" s="139">
        <f>4*(S9+S10)</f>
        <v>20</v>
      </c>
      <c r="S660" s="79">
        <v>60.16</v>
      </c>
      <c r="T660" s="80">
        <v>5.19</v>
      </c>
    </row>
    <row r="661" spans="2:20" ht="42">
      <c r="B661" s="5" t="s">
        <v>1574</v>
      </c>
      <c r="C661" s="45" t="s">
        <v>97</v>
      </c>
      <c r="D661" s="45" t="s">
        <v>1575</v>
      </c>
      <c r="E661" s="6" t="s">
        <v>1576</v>
      </c>
      <c r="F661" s="45" t="s">
        <v>121</v>
      </c>
      <c r="G661" s="46">
        <f t="shared" si="73"/>
        <v>5</v>
      </c>
      <c r="H661" s="46">
        <f>TRUNC(S661*(1-LOTE_01!$K$10),2)</f>
        <v>2682.41</v>
      </c>
      <c r="I661" s="46">
        <f>TRUNC(T661*(1-LOTE_01!$K$10),2)</f>
        <v>21.14</v>
      </c>
      <c r="J661" s="100">
        <f t="shared" si="74"/>
        <v>0.22470000000000001</v>
      </c>
      <c r="K661" s="48">
        <f t="shared" si="75"/>
        <v>3285.14</v>
      </c>
      <c r="L661" s="48">
        <f t="shared" si="76"/>
        <v>25.89</v>
      </c>
      <c r="M661" s="48">
        <f t="shared" si="77"/>
        <v>16425.7</v>
      </c>
      <c r="N661" s="48">
        <f t="shared" si="78"/>
        <v>129.44999999999999</v>
      </c>
      <c r="O661" s="50">
        <f t="shared" si="79"/>
        <v>16555.150000000001</v>
      </c>
      <c r="P661" s="50">
        <v>0</v>
      </c>
      <c r="Q661" s="76"/>
      <c r="R661" s="139">
        <f>1*(S9+S10)</f>
        <v>5</v>
      </c>
      <c r="S661" s="79">
        <v>2682.41</v>
      </c>
      <c r="T661" s="80">
        <v>21.14</v>
      </c>
    </row>
    <row r="662" spans="2:20" ht="56">
      <c r="B662" s="5" t="s">
        <v>1577</v>
      </c>
      <c r="C662" s="45" t="s">
        <v>97</v>
      </c>
      <c r="D662" s="45" t="s">
        <v>1578</v>
      </c>
      <c r="E662" s="6" t="s">
        <v>1579</v>
      </c>
      <c r="F662" s="45" t="s">
        <v>121</v>
      </c>
      <c r="G662" s="46">
        <f t="shared" si="73"/>
        <v>5</v>
      </c>
      <c r="H662" s="46">
        <f>TRUNC(S662*(1-LOTE_01!$K$10),2)</f>
        <v>1222.96</v>
      </c>
      <c r="I662" s="46">
        <f>TRUNC(T662*(1-LOTE_01!$K$10),2)</f>
        <v>42.29</v>
      </c>
      <c r="J662" s="100">
        <f t="shared" si="74"/>
        <v>0.22470000000000001</v>
      </c>
      <c r="K662" s="48">
        <f t="shared" si="75"/>
        <v>1497.75</v>
      </c>
      <c r="L662" s="48">
        <f t="shared" si="76"/>
        <v>51.79</v>
      </c>
      <c r="M662" s="48">
        <f t="shared" si="77"/>
        <v>7488.75</v>
      </c>
      <c r="N662" s="48">
        <f t="shared" si="78"/>
        <v>258.95</v>
      </c>
      <c r="O662" s="50">
        <f t="shared" si="79"/>
        <v>7747.7</v>
      </c>
      <c r="P662" s="50">
        <v>0</v>
      </c>
      <c r="Q662" s="76"/>
      <c r="R662" s="139">
        <f>1*(S9+S10)</f>
        <v>5</v>
      </c>
      <c r="S662" s="79">
        <v>1222.96</v>
      </c>
      <c r="T662" s="80">
        <v>42.29</v>
      </c>
    </row>
    <row r="663" spans="2:20" ht="56">
      <c r="B663" s="5" t="s">
        <v>1580</v>
      </c>
      <c r="C663" s="45" t="s">
        <v>97</v>
      </c>
      <c r="D663" s="45" t="s">
        <v>1581</v>
      </c>
      <c r="E663" s="6" t="s">
        <v>1582</v>
      </c>
      <c r="F663" s="45" t="s">
        <v>104</v>
      </c>
      <c r="G663" s="46">
        <f t="shared" si="73"/>
        <v>5</v>
      </c>
      <c r="H663" s="46">
        <f>TRUNC(S663*(1-LOTE_01!$K$10),2)</f>
        <v>3501.3</v>
      </c>
      <c r="I663" s="46">
        <f>TRUNC(T663*(1-LOTE_01!$K$10),2)</f>
        <v>21.14</v>
      </c>
      <c r="J663" s="100">
        <f t="shared" si="74"/>
        <v>0.22470000000000001</v>
      </c>
      <c r="K663" s="48">
        <f t="shared" si="75"/>
        <v>4288.04</v>
      </c>
      <c r="L663" s="48">
        <f t="shared" si="76"/>
        <v>25.89</v>
      </c>
      <c r="M663" s="48">
        <f t="shared" si="77"/>
        <v>21440.2</v>
      </c>
      <c r="N663" s="48">
        <f t="shared" si="78"/>
        <v>129.44999999999999</v>
      </c>
      <c r="O663" s="50">
        <f t="shared" si="79"/>
        <v>21569.65</v>
      </c>
      <c r="P663" s="50">
        <v>0</v>
      </c>
      <c r="Q663" s="76"/>
      <c r="R663" s="139">
        <f>S9+S10</f>
        <v>5</v>
      </c>
      <c r="S663" s="79">
        <v>3501.3</v>
      </c>
      <c r="T663" s="80">
        <v>21.14</v>
      </c>
    </row>
    <row r="664" spans="2:20">
      <c r="B664" s="101" t="s">
        <v>1583</v>
      </c>
      <c r="C664" s="102" t="s">
        <v>21</v>
      </c>
      <c r="D664" s="102" t="s">
        <v>21</v>
      </c>
      <c r="E664" s="103" t="s">
        <v>1584</v>
      </c>
      <c r="F664" s="102" t="s">
        <v>21</v>
      </c>
      <c r="G664" s="46">
        <f t="shared" si="73"/>
        <v>0</v>
      </c>
      <c r="H664" s="46"/>
      <c r="I664" s="46"/>
      <c r="J664" s="105"/>
      <c r="K664" s="48">
        <f t="shared" si="75"/>
        <v>0</v>
      </c>
      <c r="L664" s="48">
        <f t="shared" si="76"/>
        <v>0</v>
      </c>
      <c r="M664" s="48">
        <f t="shared" si="77"/>
        <v>0</v>
      </c>
      <c r="N664" s="48">
        <f t="shared" si="78"/>
        <v>0</v>
      </c>
      <c r="O664" s="50">
        <f t="shared" si="79"/>
        <v>0</v>
      </c>
      <c r="P664" s="50">
        <v>0</v>
      </c>
      <c r="Q664" s="76"/>
      <c r="R664" s="154"/>
      <c r="S664" s="79" t="s">
        <v>22</v>
      </c>
      <c r="T664" s="80" t="s">
        <v>22</v>
      </c>
    </row>
    <row r="665" spans="2:20" ht="42">
      <c r="B665" s="5" t="s">
        <v>1585</v>
      </c>
      <c r="C665" s="45" t="s">
        <v>135</v>
      </c>
      <c r="D665" s="45">
        <v>102181</v>
      </c>
      <c r="E665" s="6" t="s">
        <v>1773</v>
      </c>
      <c r="F665" s="45" t="s">
        <v>121</v>
      </c>
      <c r="G665" s="46">
        <f t="shared" si="73"/>
        <v>75</v>
      </c>
      <c r="H665" s="46">
        <f>TRUNC(S665*(1-LOTE_01!$K$10),2)</f>
        <v>543.25</v>
      </c>
      <c r="I665" s="46">
        <f>TRUNC(T665*(1-LOTE_01!$K$10),2)</f>
        <v>50.27</v>
      </c>
      <c r="J665" s="100">
        <f t="shared" si="74"/>
        <v>0.22470000000000001</v>
      </c>
      <c r="K665" s="48">
        <f t="shared" si="75"/>
        <v>665.31</v>
      </c>
      <c r="L665" s="48">
        <f t="shared" si="76"/>
        <v>61.56</v>
      </c>
      <c r="M665" s="48">
        <f t="shared" si="77"/>
        <v>49898.25</v>
      </c>
      <c r="N665" s="48">
        <f t="shared" si="78"/>
        <v>4617</v>
      </c>
      <c r="O665" s="50">
        <f t="shared" si="79"/>
        <v>54515.25</v>
      </c>
      <c r="P665" s="50">
        <v>0</v>
      </c>
      <c r="Q665" s="76"/>
      <c r="R665" s="139">
        <f>5*3*(S9+S10)</f>
        <v>75</v>
      </c>
      <c r="S665" s="79">
        <v>543.25</v>
      </c>
      <c r="T665" s="80">
        <v>50.27</v>
      </c>
    </row>
    <row r="666" spans="2:20" ht="56">
      <c r="B666" s="5" t="s">
        <v>1586</v>
      </c>
      <c r="C666" s="45" t="s">
        <v>135</v>
      </c>
      <c r="D666" s="45">
        <v>102184</v>
      </c>
      <c r="E666" s="6" t="s">
        <v>1787</v>
      </c>
      <c r="F666" s="45" t="s">
        <v>210</v>
      </c>
      <c r="G666" s="46">
        <f t="shared" si="73"/>
        <v>5</v>
      </c>
      <c r="H666" s="46">
        <f>TRUNC(S666*(1-LOTE_01!$K$10),2)</f>
        <v>1994.49</v>
      </c>
      <c r="I666" s="46">
        <f>TRUNC(T666*(1-LOTE_01!$K$10),2)</f>
        <v>118.98</v>
      </c>
      <c r="J666" s="100">
        <f t="shared" si="74"/>
        <v>0.22470000000000001</v>
      </c>
      <c r="K666" s="48">
        <f t="shared" si="75"/>
        <v>2442.65</v>
      </c>
      <c r="L666" s="48">
        <f t="shared" si="76"/>
        <v>145.71</v>
      </c>
      <c r="M666" s="48">
        <f t="shared" si="77"/>
        <v>12213.25</v>
      </c>
      <c r="N666" s="48">
        <f t="shared" si="78"/>
        <v>728.55</v>
      </c>
      <c r="O666" s="50">
        <f t="shared" si="79"/>
        <v>12941.8</v>
      </c>
      <c r="P666" s="50">
        <v>0</v>
      </c>
      <c r="Q666" s="76"/>
      <c r="R666" s="139">
        <f>1*(S9+S10)</f>
        <v>5</v>
      </c>
      <c r="S666" s="79">
        <v>1994.4899999999998</v>
      </c>
      <c r="T666" s="80">
        <v>118.98</v>
      </c>
    </row>
    <row r="667" spans="2:20" ht="70">
      <c r="B667" s="5" t="s">
        <v>1587</v>
      </c>
      <c r="C667" s="45" t="s">
        <v>135</v>
      </c>
      <c r="D667" s="45">
        <v>96366</v>
      </c>
      <c r="E667" s="6" t="s">
        <v>1588</v>
      </c>
      <c r="F667" s="45" t="s">
        <v>121</v>
      </c>
      <c r="G667" s="46">
        <f t="shared" si="73"/>
        <v>75</v>
      </c>
      <c r="H667" s="46">
        <f>TRUNC(S667*(1-LOTE_01!$K$10),2)</f>
        <v>141.30000000000001</v>
      </c>
      <c r="I667" s="46">
        <f>TRUNC(T667*(1-LOTE_01!$K$10),2)</f>
        <v>14.77</v>
      </c>
      <c r="J667" s="100">
        <f t="shared" si="74"/>
        <v>0.22470000000000001</v>
      </c>
      <c r="K667" s="48">
        <f t="shared" si="75"/>
        <v>173.05</v>
      </c>
      <c r="L667" s="48">
        <f t="shared" si="76"/>
        <v>18.079999999999998</v>
      </c>
      <c r="M667" s="48">
        <f t="shared" si="77"/>
        <v>12978.75</v>
      </c>
      <c r="N667" s="48">
        <f t="shared" si="78"/>
        <v>1356</v>
      </c>
      <c r="O667" s="50">
        <f t="shared" si="79"/>
        <v>14334.75</v>
      </c>
      <c r="P667" s="50">
        <v>0</v>
      </c>
      <c r="Q667" s="76"/>
      <c r="R667" s="139">
        <f>5*3*(S9+S10)</f>
        <v>75</v>
      </c>
      <c r="S667" s="79">
        <v>141.29999999999998</v>
      </c>
      <c r="T667" s="80">
        <v>14.77</v>
      </c>
    </row>
    <row r="668" spans="2:20" ht="84">
      <c r="B668" s="5" t="s">
        <v>1589</v>
      </c>
      <c r="C668" s="45" t="s">
        <v>97</v>
      </c>
      <c r="D668" s="45" t="s">
        <v>1477</v>
      </c>
      <c r="E668" s="6" t="s">
        <v>1478</v>
      </c>
      <c r="F668" s="45" t="s">
        <v>121</v>
      </c>
      <c r="G668" s="46">
        <f t="shared" si="73"/>
        <v>87.5</v>
      </c>
      <c r="H668" s="46">
        <f>TRUNC(S668*(1-LOTE_01!$K$10),2)</f>
        <v>341.98</v>
      </c>
      <c r="I668" s="46">
        <f>TRUNC(T668*(1-LOTE_01!$K$10),2)</f>
        <v>41.06</v>
      </c>
      <c r="J668" s="100">
        <f t="shared" si="74"/>
        <v>0.22470000000000001</v>
      </c>
      <c r="K668" s="48">
        <f t="shared" si="75"/>
        <v>418.82</v>
      </c>
      <c r="L668" s="48">
        <f t="shared" si="76"/>
        <v>50.28</v>
      </c>
      <c r="M668" s="48">
        <f t="shared" si="77"/>
        <v>36646.75</v>
      </c>
      <c r="N668" s="48">
        <f t="shared" si="78"/>
        <v>4399.5</v>
      </c>
      <c r="O668" s="50">
        <f t="shared" si="79"/>
        <v>41046.25</v>
      </c>
      <c r="P668" s="50">
        <v>0</v>
      </c>
      <c r="Q668" s="76"/>
      <c r="R668" s="139">
        <f>5*3.5*(S9+S10)</f>
        <v>87.5</v>
      </c>
      <c r="S668" s="79">
        <v>341.98</v>
      </c>
      <c r="T668" s="80">
        <v>41.06</v>
      </c>
    </row>
    <row r="669" spans="2:20" ht="84">
      <c r="B669" s="5" t="s">
        <v>1590</v>
      </c>
      <c r="C669" s="45" t="s">
        <v>97</v>
      </c>
      <c r="D669" s="45" t="s">
        <v>1591</v>
      </c>
      <c r="E669" s="6" t="s">
        <v>1592</v>
      </c>
      <c r="F669" s="45" t="s">
        <v>104</v>
      </c>
      <c r="G669" s="46">
        <f t="shared" si="73"/>
        <v>5</v>
      </c>
      <c r="H669" s="46">
        <f>TRUNC(S669*(1-LOTE_01!$K$10),2)</f>
        <v>462.44</v>
      </c>
      <c r="I669" s="46">
        <f>TRUNC(T669*(1-LOTE_01!$K$10),2)</f>
        <v>4.83</v>
      </c>
      <c r="J669" s="100">
        <f t="shared" si="74"/>
        <v>0.22470000000000001</v>
      </c>
      <c r="K669" s="48">
        <f t="shared" si="75"/>
        <v>566.35</v>
      </c>
      <c r="L669" s="48">
        <f t="shared" si="76"/>
        <v>5.91</v>
      </c>
      <c r="M669" s="48">
        <f t="shared" si="77"/>
        <v>2831.75</v>
      </c>
      <c r="N669" s="48">
        <f t="shared" si="78"/>
        <v>29.55</v>
      </c>
      <c r="O669" s="50">
        <f t="shared" si="79"/>
        <v>2861.3</v>
      </c>
      <c r="P669" s="50">
        <v>0</v>
      </c>
      <c r="Q669" s="76"/>
      <c r="R669" s="139">
        <f>1*(S9+S10)</f>
        <v>5</v>
      </c>
      <c r="S669" s="79">
        <v>462.44</v>
      </c>
      <c r="T669" s="80">
        <v>4.83</v>
      </c>
    </row>
    <row r="670" spans="2:20" ht="56">
      <c r="B670" s="5" t="s">
        <v>1593</v>
      </c>
      <c r="C670" s="45" t="s">
        <v>97</v>
      </c>
      <c r="D670" s="45" t="s">
        <v>1594</v>
      </c>
      <c r="E670" s="6" t="s">
        <v>1595</v>
      </c>
      <c r="F670" s="45" t="s">
        <v>104</v>
      </c>
      <c r="G670" s="46">
        <f t="shared" si="73"/>
        <v>5</v>
      </c>
      <c r="H670" s="46">
        <f>TRUNC(S670*(1-LOTE_01!$K$10),2)</f>
        <v>4500.38</v>
      </c>
      <c r="I670" s="46">
        <f>TRUNC(T670*(1-LOTE_01!$K$10),2)</f>
        <v>21.14</v>
      </c>
      <c r="J670" s="100">
        <f t="shared" si="74"/>
        <v>0.22470000000000001</v>
      </c>
      <c r="K670" s="48">
        <f t="shared" si="75"/>
        <v>5511.61</v>
      </c>
      <c r="L670" s="48">
        <f t="shared" si="76"/>
        <v>25.89</v>
      </c>
      <c r="M670" s="48">
        <f t="shared" si="77"/>
        <v>27558.05</v>
      </c>
      <c r="N670" s="48">
        <f t="shared" si="78"/>
        <v>129.44999999999999</v>
      </c>
      <c r="O670" s="50">
        <f t="shared" si="79"/>
        <v>27687.5</v>
      </c>
      <c r="P670" s="50">
        <v>0</v>
      </c>
      <c r="Q670" s="76"/>
      <c r="R670" s="139">
        <f>1*(S9+S10)</f>
        <v>5</v>
      </c>
      <c r="S670" s="79">
        <v>4500.38</v>
      </c>
      <c r="T670" s="80">
        <v>21.14</v>
      </c>
    </row>
    <row r="671" spans="2:20">
      <c r="B671" s="5" t="s">
        <v>1596</v>
      </c>
      <c r="C671" s="45" t="s">
        <v>97</v>
      </c>
      <c r="D671" s="45" t="s">
        <v>1597</v>
      </c>
      <c r="E671" s="6" t="s">
        <v>1598</v>
      </c>
      <c r="F671" s="45" t="s">
        <v>121</v>
      </c>
      <c r="G671" s="46">
        <f t="shared" si="73"/>
        <v>75</v>
      </c>
      <c r="H671" s="46">
        <f>TRUNC(S671*(1-LOTE_01!$K$10),2)</f>
        <v>2094.2800000000002</v>
      </c>
      <c r="I671" s="46">
        <f>TRUNC(T671*(1-LOTE_01!$K$10),2)</f>
        <v>8.4499999999999993</v>
      </c>
      <c r="J671" s="100">
        <f t="shared" si="74"/>
        <v>0.22470000000000001</v>
      </c>
      <c r="K671" s="48">
        <f t="shared" si="75"/>
        <v>2564.86</v>
      </c>
      <c r="L671" s="48">
        <f t="shared" si="76"/>
        <v>10.34</v>
      </c>
      <c r="M671" s="48">
        <f t="shared" si="77"/>
        <v>192364.5</v>
      </c>
      <c r="N671" s="48">
        <f t="shared" si="78"/>
        <v>775.5</v>
      </c>
      <c r="O671" s="50">
        <f t="shared" si="79"/>
        <v>193140</v>
      </c>
      <c r="P671" s="50">
        <v>0</v>
      </c>
      <c r="Q671" s="76"/>
      <c r="R671" s="139">
        <f>5*3*(S9+S10)</f>
        <v>75</v>
      </c>
      <c r="S671" s="79">
        <v>2094.2800000000002</v>
      </c>
      <c r="T671" s="80">
        <v>8.4499999999999993</v>
      </c>
    </row>
    <row r="672" spans="2:20" ht="42">
      <c r="B672" s="5" t="s">
        <v>1599</v>
      </c>
      <c r="C672" s="45" t="s">
        <v>97</v>
      </c>
      <c r="D672" s="45" t="s">
        <v>1600</v>
      </c>
      <c r="E672" s="6" t="s">
        <v>1601</v>
      </c>
      <c r="F672" s="45" t="s">
        <v>121</v>
      </c>
      <c r="G672" s="46">
        <f t="shared" si="73"/>
        <v>75</v>
      </c>
      <c r="H672" s="46">
        <f>TRUNC(S672*(1-LOTE_01!$K$10),2)</f>
        <v>289.89</v>
      </c>
      <c r="I672" s="46">
        <f>TRUNC(T672*(1-LOTE_01!$K$10),2)</f>
        <v>12.15</v>
      </c>
      <c r="J672" s="100">
        <f t="shared" si="74"/>
        <v>0.22470000000000001</v>
      </c>
      <c r="K672" s="48">
        <f t="shared" si="75"/>
        <v>355.02</v>
      </c>
      <c r="L672" s="48">
        <f t="shared" si="76"/>
        <v>14.88</v>
      </c>
      <c r="M672" s="48">
        <f t="shared" si="77"/>
        <v>26626.5</v>
      </c>
      <c r="N672" s="48">
        <f t="shared" si="78"/>
        <v>1116</v>
      </c>
      <c r="O672" s="50">
        <f t="shared" si="79"/>
        <v>27742.5</v>
      </c>
      <c r="P672" s="50">
        <v>0</v>
      </c>
      <c r="Q672" s="76"/>
      <c r="R672" s="139">
        <f>5*3*(S9+S10)</f>
        <v>75</v>
      </c>
      <c r="S672" s="79">
        <v>289.89</v>
      </c>
      <c r="T672" s="80">
        <v>12.15</v>
      </c>
    </row>
    <row r="673" spans="2:20" ht="28">
      <c r="B673" s="5" t="s">
        <v>1602</v>
      </c>
      <c r="C673" s="45" t="s">
        <v>97</v>
      </c>
      <c r="D673" s="45" t="s">
        <v>1484</v>
      </c>
      <c r="E673" s="6" t="s">
        <v>1485</v>
      </c>
      <c r="F673" s="45" t="s">
        <v>121</v>
      </c>
      <c r="G673" s="46">
        <f t="shared" si="73"/>
        <v>25</v>
      </c>
      <c r="H673" s="46">
        <f>TRUNC(S673*(1-LOTE_01!$K$10),2)</f>
        <v>444.55</v>
      </c>
      <c r="I673" s="46">
        <f>TRUNC(T673*(1-LOTE_01!$K$10),2)</f>
        <v>5.19</v>
      </c>
      <c r="J673" s="100">
        <f t="shared" si="74"/>
        <v>0.22470000000000001</v>
      </c>
      <c r="K673" s="48">
        <f t="shared" si="75"/>
        <v>544.44000000000005</v>
      </c>
      <c r="L673" s="48">
        <f t="shared" si="76"/>
        <v>6.35</v>
      </c>
      <c r="M673" s="48">
        <f t="shared" si="77"/>
        <v>13611</v>
      </c>
      <c r="N673" s="48">
        <f t="shared" si="78"/>
        <v>158.75</v>
      </c>
      <c r="O673" s="50">
        <f t="shared" si="79"/>
        <v>13769.75</v>
      </c>
      <c r="P673" s="50">
        <v>0</v>
      </c>
      <c r="Q673" s="76"/>
      <c r="R673" s="139">
        <f>1*5*(S9+S10)</f>
        <v>25</v>
      </c>
      <c r="S673" s="79">
        <v>444.55</v>
      </c>
      <c r="T673" s="80">
        <v>5.19</v>
      </c>
    </row>
    <row r="674" spans="2:20">
      <c r="B674" s="101" t="s">
        <v>1603</v>
      </c>
      <c r="C674" s="102" t="s">
        <v>21</v>
      </c>
      <c r="D674" s="102" t="s">
        <v>21</v>
      </c>
      <c r="E674" s="103" t="s">
        <v>1604</v>
      </c>
      <c r="F674" s="102" t="s">
        <v>21</v>
      </c>
      <c r="G674" s="46">
        <f t="shared" si="73"/>
        <v>0</v>
      </c>
      <c r="H674" s="46"/>
      <c r="I674" s="46"/>
      <c r="J674" s="105"/>
      <c r="K674" s="48">
        <f t="shared" si="75"/>
        <v>0</v>
      </c>
      <c r="L674" s="48">
        <f t="shared" si="76"/>
        <v>0</v>
      </c>
      <c r="M674" s="48">
        <f t="shared" si="77"/>
        <v>0</v>
      </c>
      <c r="N674" s="48">
        <f t="shared" si="78"/>
        <v>0</v>
      </c>
      <c r="O674" s="50">
        <f t="shared" si="79"/>
        <v>0</v>
      </c>
      <c r="P674" s="50">
        <v>0</v>
      </c>
      <c r="Q674" s="76"/>
      <c r="R674" s="154"/>
      <c r="S674" s="79" t="s">
        <v>22</v>
      </c>
      <c r="T674" s="80" t="s">
        <v>22</v>
      </c>
    </row>
    <row r="675" spans="2:20" ht="42">
      <c r="B675" s="5" t="s">
        <v>1605</v>
      </c>
      <c r="C675" s="45" t="s">
        <v>135</v>
      </c>
      <c r="D675" s="45">
        <v>102181</v>
      </c>
      <c r="E675" s="6" t="s">
        <v>1773</v>
      </c>
      <c r="F675" s="45" t="s">
        <v>121</v>
      </c>
      <c r="G675" s="46">
        <f t="shared" si="73"/>
        <v>90</v>
      </c>
      <c r="H675" s="46">
        <f>TRUNC(S675*(1-LOTE_01!$K$10),2)</f>
        <v>543.25</v>
      </c>
      <c r="I675" s="46">
        <f>TRUNC(T675*(1-LOTE_01!$K$10),2)</f>
        <v>50.27</v>
      </c>
      <c r="J675" s="100">
        <f t="shared" si="74"/>
        <v>0.22470000000000001</v>
      </c>
      <c r="K675" s="48">
        <f t="shared" si="75"/>
        <v>665.31</v>
      </c>
      <c r="L675" s="48">
        <f t="shared" si="76"/>
        <v>61.56</v>
      </c>
      <c r="M675" s="48">
        <f t="shared" si="77"/>
        <v>59877.9</v>
      </c>
      <c r="N675" s="48">
        <f t="shared" si="78"/>
        <v>5540.4</v>
      </c>
      <c r="O675" s="50">
        <f t="shared" si="79"/>
        <v>65418.3</v>
      </c>
      <c r="P675" s="50">
        <v>0</v>
      </c>
      <c r="Q675" s="76"/>
      <c r="R675" s="139">
        <f>6*3*(S9+S10)</f>
        <v>90</v>
      </c>
      <c r="S675" s="79">
        <v>543.25</v>
      </c>
      <c r="T675" s="80">
        <v>50.27</v>
      </c>
    </row>
    <row r="676" spans="2:20" ht="56">
      <c r="B676" s="5" t="s">
        <v>1606</v>
      </c>
      <c r="C676" s="45" t="s">
        <v>135</v>
      </c>
      <c r="D676" s="45">
        <v>102184</v>
      </c>
      <c r="E676" s="6" t="s">
        <v>1787</v>
      </c>
      <c r="F676" s="45" t="s">
        <v>210</v>
      </c>
      <c r="G676" s="46">
        <f t="shared" si="73"/>
        <v>5</v>
      </c>
      <c r="H676" s="46">
        <f>TRUNC(S676*(1-LOTE_01!$K$10),2)</f>
        <v>1994.49</v>
      </c>
      <c r="I676" s="46">
        <f>TRUNC(T676*(1-LOTE_01!$K$10),2)</f>
        <v>118.98</v>
      </c>
      <c r="J676" s="100">
        <f t="shared" si="74"/>
        <v>0.22470000000000001</v>
      </c>
      <c r="K676" s="48">
        <f t="shared" si="75"/>
        <v>2442.65</v>
      </c>
      <c r="L676" s="48">
        <f t="shared" si="76"/>
        <v>145.71</v>
      </c>
      <c r="M676" s="48">
        <f t="shared" si="77"/>
        <v>12213.25</v>
      </c>
      <c r="N676" s="48">
        <f t="shared" si="78"/>
        <v>728.55</v>
      </c>
      <c r="O676" s="50">
        <f t="shared" si="79"/>
        <v>12941.8</v>
      </c>
      <c r="P676" s="50">
        <v>0</v>
      </c>
      <c r="Q676" s="76"/>
      <c r="R676" s="139">
        <f>1*(S9+S10)</f>
        <v>5</v>
      </c>
      <c r="S676" s="79">
        <v>1994.4899999999998</v>
      </c>
      <c r="T676" s="80">
        <v>118.98</v>
      </c>
    </row>
    <row r="677" spans="2:20" ht="84">
      <c r="B677" s="5" t="s">
        <v>1607</v>
      </c>
      <c r="C677" s="45" t="s">
        <v>97</v>
      </c>
      <c r="D677" s="45" t="s">
        <v>1477</v>
      </c>
      <c r="E677" s="6" t="s">
        <v>1478</v>
      </c>
      <c r="F677" s="45" t="s">
        <v>121</v>
      </c>
      <c r="G677" s="46">
        <f t="shared" si="73"/>
        <v>90</v>
      </c>
      <c r="H677" s="46">
        <f>TRUNC(S677*(1-LOTE_01!$K$10),2)</f>
        <v>341.98</v>
      </c>
      <c r="I677" s="46">
        <f>TRUNC(T677*(1-LOTE_01!$K$10),2)</f>
        <v>41.06</v>
      </c>
      <c r="J677" s="100">
        <f t="shared" si="74"/>
        <v>0.22470000000000001</v>
      </c>
      <c r="K677" s="48">
        <f t="shared" si="75"/>
        <v>418.82</v>
      </c>
      <c r="L677" s="48">
        <f t="shared" si="76"/>
        <v>50.28</v>
      </c>
      <c r="M677" s="48">
        <f t="shared" si="77"/>
        <v>37693.800000000003</v>
      </c>
      <c r="N677" s="48">
        <f t="shared" si="78"/>
        <v>4525.2</v>
      </c>
      <c r="O677" s="50">
        <f t="shared" si="79"/>
        <v>42219</v>
      </c>
      <c r="P677" s="50">
        <v>0</v>
      </c>
      <c r="Q677" s="76"/>
      <c r="R677" s="139">
        <f>6*3*(S9+S10)</f>
        <v>90</v>
      </c>
      <c r="S677" s="79">
        <v>341.98</v>
      </c>
      <c r="T677" s="80">
        <v>41.06</v>
      </c>
    </row>
    <row r="678" spans="2:20" ht="84">
      <c r="B678" s="5" t="s">
        <v>1608</v>
      </c>
      <c r="C678" s="45" t="s">
        <v>97</v>
      </c>
      <c r="D678" s="45" t="s">
        <v>1591</v>
      </c>
      <c r="E678" s="6" t="s">
        <v>1592</v>
      </c>
      <c r="F678" s="45" t="s">
        <v>104</v>
      </c>
      <c r="G678" s="46">
        <f t="shared" si="73"/>
        <v>5</v>
      </c>
      <c r="H678" s="46">
        <f>TRUNC(S678*(1-LOTE_01!$K$10),2)</f>
        <v>462.44</v>
      </c>
      <c r="I678" s="46">
        <f>TRUNC(T678*(1-LOTE_01!$K$10),2)</f>
        <v>4.83</v>
      </c>
      <c r="J678" s="100">
        <f t="shared" si="74"/>
        <v>0.22470000000000001</v>
      </c>
      <c r="K678" s="48">
        <f t="shared" si="75"/>
        <v>566.35</v>
      </c>
      <c r="L678" s="48">
        <f t="shared" si="76"/>
        <v>5.91</v>
      </c>
      <c r="M678" s="48">
        <f t="shared" si="77"/>
        <v>2831.75</v>
      </c>
      <c r="N678" s="48">
        <f t="shared" si="78"/>
        <v>29.55</v>
      </c>
      <c r="O678" s="50">
        <f t="shared" si="79"/>
        <v>2861.3</v>
      </c>
      <c r="P678" s="50">
        <v>0</v>
      </c>
      <c r="Q678" s="76"/>
      <c r="R678" s="139">
        <f>1*(S9+S10)</f>
        <v>5</v>
      </c>
      <c r="S678" s="79">
        <v>462.44</v>
      </c>
      <c r="T678" s="80">
        <v>4.83</v>
      </c>
    </row>
    <row r="679" spans="2:20" ht="42">
      <c r="B679" s="5" t="s">
        <v>1609</v>
      </c>
      <c r="C679" s="45" t="s">
        <v>97</v>
      </c>
      <c r="D679" s="45" t="s">
        <v>1610</v>
      </c>
      <c r="E679" s="6" t="s">
        <v>1611</v>
      </c>
      <c r="F679" s="45" t="s">
        <v>104</v>
      </c>
      <c r="G679" s="46">
        <f t="shared" si="73"/>
        <v>5</v>
      </c>
      <c r="H679" s="46">
        <f>TRUNC(S679*(1-LOTE_01!$K$10),2)</f>
        <v>64.39</v>
      </c>
      <c r="I679" s="46">
        <f>TRUNC(T679*(1-LOTE_01!$K$10),2)</f>
        <v>0</v>
      </c>
      <c r="J679" s="100">
        <f t="shared" si="74"/>
        <v>0.22470000000000001</v>
      </c>
      <c r="K679" s="48">
        <f t="shared" si="75"/>
        <v>78.849999999999994</v>
      </c>
      <c r="L679" s="48">
        <f t="shared" si="76"/>
        <v>0</v>
      </c>
      <c r="M679" s="48">
        <f t="shared" si="77"/>
        <v>394.25</v>
      </c>
      <c r="N679" s="48">
        <f t="shared" si="78"/>
        <v>0</v>
      </c>
      <c r="O679" s="50">
        <f t="shared" si="79"/>
        <v>394.25</v>
      </c>
      <c r="P679" s="50">
        <v>0</v>
      </c>
      <c r="Q679" s="76"/>
      <c r="R679" s="140">
        <f>1*(S10+S9)</f>
        <v>5</v>
      </c>
      <c r="S679" s="79">
        <v>64.39</v>
      </c>
      <c r="T679" s="80">
        <v>0</v>
      </c>
    </row>
    <row r="680" spans="2:20">
      <c r="B680" s="5" t="s">
        <v>1612</v>
      </c>
      <c r="C680" s="45" t="s">
        <v>97</v>
      </c>
      <c r="D680" s="45" t="s">
        <v>1597</v>
      </c>
      <c r="E680" s="6" t="s">
        <v>1598</v>
      </c>
      <c r="F680" s="45" t="s">
        <v>121</v>
      </c>
      <c r="G680" s="46">
        <f t="shared" si="73"/>
        <v>90</v>
      </c>
      <c r="H680" s="46">
        <f>TRUNC(S680*(1-LOTE_01!$K$10),2)</f>
        <v>2094.2800000000002</v>
      </c>
      <c r="I680" s="46">
        <f>TRUNC(T680*(1-LOTE_01!$K$10),2)</f>
        <v>8.4499999999999993</v>
      </c>
      <c r="J680" s="100">
        <f t="shared" si="74"/>
        <v>0.22470000000000001</v>
      </c>
      <c r="K680" s="48">
        <f t="shared" si="75"/>
        <v>2564.86</v>
      </c>
      <c r="L680" s="48">
        <f t="shared" si="76"/>
        <v>10.34</v>
      </c>
      <c r="M680" s="48">
        <f t="shared" si="77"/>
        <v>230837.4</v>
      </c>
      <c r="N680" s="48">
        <f t="shared" si="78"/>
        <v>930.6</v>
      </c>
      <c r="O680" s="50">
        <f t="shared" si="79"/>
        <v>231768</v>
      </c>
      <c r="P680" s="50">
        <v>0</v>
      </c>
      <c r="Q680" s="76"/>
      <c r="R680" s="139">
        <f>6*3*(S9+S10)</f>
        <v>90</v>
      </c>
      <c r="S680" s="79">
        <v>2094.2800000000002</v>
      </c>
      <c r="T680" s="80">
        <v>8.4499999999999993</v>
      </c>
    </row>
    <row r="681" spans="2:20" ht="42">
      <c r="B681" s="5" t="s">
        <v>1613</v>
      </c>
      <c r="C681" s="45" t="s">
        <v>97</v>
      </c>
      <c r="D681" s="45" t="s">
        <v>1600</v>
      </c>
      <c r="E681" s="6" t="s">
        <v>1601</v>
      </c>
      <c r="F681" s="45" t="s">
        <v>121</v>
      </c>
      <c r="G681" s="46">
        <f t="shared" si="73"/>
        <v>75</v>
      </c>
      <c r="H681" s="46">
        <f>TRUNC(S681*(1-LOTE_01!$K$10),2)</f>
        <v>289.89</v>
      </c>
      <c r="I681" s="46">
        <f>TRUNC(T681*(1-LOTE_01!$K$10),2)</f>
        <v>12.15</v>
      </c>
      <c r="J681" s="100">
        <f t="shared" si="74"/>
        <v>0.22470000000000001</v>
      </c>
      <c r="K681" s="48">
        <f t="shared" si="75"/>
        <v>355.02</v>
      </c>
      <c r="L681" s="48">
        <f t="shared" si="76"/>
        <v>14.88</v>
      </c>
      <c r="M681" s="48">
        <f t="shared" si="77"/>
        <v>26626.5</v>
      </c>
      <c r="N681" s="48">
        <f t="shared" si="78"/>
        <v>1116</v>
      </c>
      <c r="O681" s="50">
        <f t="shared" si="79"/>
        <v>27742.5</v>
      </c>
      <c r="P681" s="50">
        <v>0</v>
      </c>
      <c r="Q681" s="76"/>
      <c r="R681" s="139">
        <f>5*3*(S9+S10)</f>
        <v>75</v>
      </c>
      <c r="S681" s="79">
        <v>289.89</v>
      </c>
      <c r="T681" s="80">
        <v>12.15</v>
      </c>
    </row>
    <row r="682" spans="2:20" ht="56">
      <c r="B682" s="5" t="s">
        <v>1614</v>
      </c>
      <c r="C682" s="45" t="s">
        <v>97</v>
      </c>
      <c r="D682" s="45" t="s">
        <v>1615</v>
      </c>
      <c r="E682" s="6" t="s">
        <v>1616</v>
      </c>
      <c r="F682" s="45" t="s">
        <v>104</v>
      </c>
      <c r="G682" s="46">
        <f t="shared" si="73"/>
        <v>5</v>
      </c>
      <c r="H682" s="46">
        <f>TRUNC(S682*(1-LOTE_01!$K$10),2)</f>
        <v>3319.31</v>
      </c>
      <c r="I682" s="46">
        <f>TRUNC(T682*(1-LOTE_01!$K$10),2)</f>
        <v>12.68</v>
      </c>
      <c r="J682" s="100">
        <f t="shared" si="74"/>
        <v>0.22470000000000001</v>
      </c>
      <c r="K682" s="48">
        <f t="shared" si="75"/>
        <v>4065.15</v>
      </c>
      <c r="L682" s="48">
        <f t="shared" si="76"/>
        <v>15.52</v>
      </c>
      <c r="M682" s="48">
        <f t="shared" si="77"/>
        <v>20325.75</v>
      </c>
      <c r="N682" s="48">
        <f t="shared" si="78"/>
        <v>77.599999999999994</v>
      </c>
      <c r="O682" s="50">
        <f t="shared" si="79"/>
        <v>20403.349999999999</v>
      </c>
      <c r="P682" s="50">
        <v>0</v>
      </c>
      <c r="Q682" s="76"/>
      <c r="R682" s="139">
        <f>1*(S9+S10)</f>
        <v>5</v>
      </c>
      <c r="S682" s="79">
        <v>3319.31</v>
      </c>
      <c r="T682" s="80">
        <v>12.68</v>
      </c>
    </row>
    <row r="683" spans="2:20" ht="28">
      <c r="B683" s="5" t="s">
        <v>1617</v>
      </c>
      <c r="C683" s="45" t="s">
        <v>97</v>
      </c>
      <c r="D683" s="45" t="s">
        <v>1484</v>
      </c>
      <c r="E683" s="6" t="s">
        <v>1485</v>
      </c>
      <c r="F683" s="45" t="s">
        <v>121</v>
      </c>
      <c r="G683" s="46">
        <f t="shared" si="73"/>
        <v>27.5</v>
      </c>
      <c r="H683" s="46">
        <f>TRUNC(S683*(1-LOTE_01!$K$10),2)</f>
        <v>444.55</v>
      </c>
      <c r="I683" s="46">
        <f>TRUNC(T683*(1-LOTE_01!$K$10),2)</f>
        <v>5.19</v>
      </c>
      <c r="J683" s="100">
        <f t="shared" si="74"/>
        <v>0.22470000000000001</v>
      </c>
      <c r="K683" s="48">
        <f t="shared" si="75"/>
        <v>544.44000000000005</v>
      </c>
      <c r="L683" s="48">
        <f t="shared" si="76"/>
        <v>6.35</v>
      </c>
      <c r="M683" s="48">
        <f t="shared" si="77"/>
        <v>14972.1</v>
      </c>
      <c r="N683" s="48">
        <f t="shared" si="78"/>
        <v>174.62</v>
      </c>
      <c r="O683" s="50">
        <f t="shared" si="79"/>
        <v>15146.72</v>
      </c>
      <c r="P683" s="50">
        <v>0</v>
      </c>
      <c r="Q683" s="76"/>
      <c r="R683" s="139">
        <f>1*5.5*(S9+S10)</f>
        <v>27.5</v>
      </c>
      <c r="S683" s="79">
        <v>444.55</v>
      </c>
      <c r="T683" s="80">
        <v>5.19</v>
      </c>
    </row>
    <row r="684" spans="2:20">
      <c r="B684" s="101" t="s">
        <v>57</v>
      </c>
      <c r="C684" s="102" t="s">
        <v>21</v>
      </c>
      <c r="D684" s="102" t="s">
        <v>21</v>
      </c>
      <c r="E684" s="103" t="s">
        <v>1618</v>
      </c>
      <c r="F684" s="102" t="s">
        <v>21</v>
      </c>
      <c r="G684" s="46">
        <f t="shared" si="73"/>
        <v>0</v>
      </c>
      <c r="H684" s="46"/>
      <c r="I684" s="46"/>
      <c r="J684" s="105"/>
      <c r="K684" s="48">
        <f t="shared" si="75"/>
        <v>0</v>
      </c>
      <c r="L684" s="48">
        <f t="shared" si="76"/>
        <v>0</v>
      </c>
      <c r="M684" s="48">
        <f t="shared" si="77"/>
        <v>0</v>
      </c>
      <c r="N684" s="48">
        <f t="shared" si="78"/>
        <v>0</v>
      </c>
      <c r="O684" s="50">
        <f t="shared" si="79"/>
        <v>0</v>
      </c>
      <c r="P684" s="50">
        <f>SUM(O685:O691)</f>
        <v>483353.17000000004</v>
      </c>
      <c r="Q684" s="76"/>
      <c r="R684" s="155"/>
      <c r="S684" s="79" t="s">
        <v>22</v>
      </c>
      <c r="T684" s="80" t="s">
        <v>22</v>
      </c>
    </row>
    <row r="685" spans="2:20" ht="56">
      <c r="B685" s="5" t="s">
        <v>1619</v>
      </c>
      <c r="C685" s="45" t="s">
        <v>135</v>
      </c>
      <c r="D685" s="45">
        <v>103247</v>
      </c>
      <c r="E685" s="6" t="s">
        <v>1620</v>
      </c>
      <c r="F685" s="45" t="s">
        <v>210</v>
      </c>
      <c r="G685" s="46">
        <f t="shared" si="73"/>
        <v>10</v>
      </c>
      <c r="H685" s="46">
        <f>TRUNC(S685*(1-LOTE_01!$K$10),2)</f>
        <v>2529.13</v>
      </c>
      <c r="I685" s="46">
        <f>TRUNC(T685*(1-LOTE_01!$K$10),2)</f>
        <v>86.57</v>
      </c>
      <c r="J685" s="100">
        <f>$J$5</f>
        <v>0.16500000000000001</v>
      </c>
      <c r="K685" s="48">
        <f t="shared" si="75"/>
        <v>2946.43</v>
      </c>
      <c r="L685" s="48">
        <f t="shared" si="76"/>
        <v>100.85</v>
      </c>
      <c r="M685" s="48">
        <f t="shared" si="77"/>
        <v>29464.3</v>
      </c>
      <c r="N685" s="48">
        <f t="shared" si="78"/>
        <v>1008.5</v>
      </c>
      <c r="O685" s="50">
        <f t="shared" si="79"/>
        <v>30472.799999999999</v>
      </c>
      <c r="P685" s="50">
        <v>0</v>
      </c>
      <c r="Q685" s="76"/>
      <c r="R685" s="139">
        <f>2*(S9+S10)</f>
        <v>10</v>
      </c>
      <c r="S685" s="79">
        <v>2529.1299999999997</v>
      </c>
      <c r="T685" s="80">
        <v>86.57</v>
      </c>
    </row>
    <row r="686" spans="2:20" ht="56">
      <c r="B686" s="5" t="s">
        <v>1621</v>
      </c>
      <c r="C686" s="45" t="s">
        <v>135</v>
      </c>
      <c r="D686" s="45">
        <v>103250</v>
      </c>
      <c r="E686" s="6" t="s">
        <v>1622</v>
      </c>
      <c r="F686" s="45" t="s">
        <v>210</v>
      </c>
      <c r="G686" s="46">
        <f t="shared" si="73"/>
        <v>10</v>
      </c>
      <c r="H686" s="46">
        <f>TRUNC(S686*(1-LOTE_01!$K$10),2)</f>
        <v>3707.6</v>
      </c>
      <c r="I686" s="46">
        <f>TRUNC(T686*(1-LOTE_01!$K$10),2)</f>
        <v>93.5</v>
      </c>
      <c r="J686" s="100">
        <f t="shared" ref="J686:J691" si="80">$J$5</f>
        <v>0.16500000000000001</v>
      </c>
      <c r="K686" s="48">
        <f t="shared" si="75"/>
        <v>4319.3500000000004</v>
      </c>
      <c r="L686" s="48">
        <f t="shared" si="76"/>
        <v>108.92</v>
      </c>
      <c r="M686" s="48">
        <f t="shared" si="77"/>
        <v>43193.5</v>
      </c>
      <c r="N686" s="48">
        <f t="shared" si="78"/>
        <v>1089.2</v>
      </c>
      <c r="O686" s="50">
        <f t="shared" si="79"/>
        <v>44282.7</v>
      </c>
      <c r="P686" s="50">
        <v>0</v>
      </c>
      <c r="Q686" s="76"/>
      <c r="R686" s="139">
        <f>2*(S10+S9)</f>
        <v>10</v>
      </c>
      <c r="S686" s="79">
        <v>3707.6</v>
      </c>
      <c r="T686" s="80">
        <v>93.5</v>
      </c>
    </row>
    <row r="687" spans="2:20" ht="56">
      <c r="B687" s="5" t="s">
        <v>1623</v>
      </c>
      <c r="C687" s="45" t="s">
        <v>135</v>
      </c>
      <c r="D687" s="45">
        <v>103253</v>
      </c>
      <c r="E687" s="6" t="s">
        <v>1624</v>
      </c>
      <c r="F687" s="45" t="s">
        <v>210</v>
      </c>
      <c r="G687" s="46">
        <f t="shared" si="73"/>
        <v>10</v>
      </c>
      <c r="H687" s="46">
        <f>TRUNC(S687*(1-LOTE_01!$K$10),2)</f>
        <v>5085.09</v>
      </c>
      <c r="I687" s="46">
        <f>TRUNC(T687*(1-LOTE_01!$K$10),2)</f>
        <v>97.43</v>
      </c>
      <c r="J687" s="100">
        <f t="shared" si="80"/>
        <v>0.16500000000000001</v>
      </c>
      <c r="K687" s="48">
        <f t="shared" si="75"/>
        <v>5924.12</v>
      </c>
      <c r="L687" s="48">
        <f t="shared" si="76"/>
        <v>113.5</v>
      </c>
      <c r="M687" s="48">
        <f t="shared" si="77"/>
        <v>59241.2</v>
      </c>
      <c r="N687" s="48">
        <f t="shared" si="78"/>
        <v>1135</v>
      </c>
      <c r="O687" s="50">
        <f t="shared" si="79"/>
        <v>60376.2</v>
      </c>
      <c r="P687" s="50">
        <v>0</v>
      </c>
      <c r="Q687" s="76"/>
      <c r="R687" s="139">
        <f>2*(S10+S9)</f>
        <v>10</v>
      </c>
      <c r="S687" s="79">
        <v>5085.09</v>
      </c>
      <c r="T687" s="80">
        <v>97.43</v>
      </c>
    </row>
    <row r="688" spans="2:20" ht="56">
      <c r="B688" s="5" t="s">
        <v>1625</v>
      </c>
      <c r="C688" s="45" t="s">
        <v>135</v>
      </c>
      <c r="D688" s="45">
        <v>103244</v>
      </c>
      <c r="E688" s="6" t="s">
        <v>1626</v>
      </c>
      <c r="F688" s="45" t="s">
        <v>210</v>
      </c>
      <c r="G688" s="46">
        <f t="shared" si="73"/>
        <v>10</v>
      </c>
      <c r="H688" s="46">
        <f>TRUNC(S688*(1-LOTE_01!$K$10),2)</f>
        <v>2269.8000000000002</v>
      </c>
      <c r="I688" s="46">
        <f>TRUNC(T688*(1-LOTE_01!$K$10),2)</f>
        <v>86.71</v>
      </c>
      <c r="J688" s="100">
        <f t="shared" si="80"/>
        <v>0.16500000000000001</v>
      </c>
      <c r="K688" s="48">
        <f t="shared" si="75"/>
        <v>2644.31</v>
      </c>
      <c r="L688" s="48">
        <f t="shared" si="76"/>
        <v>101.01</v>
      </c>
      <c r="M688" s="48">
        <f t="shared" si="77"/>
        <v>26443.1</v>
      </c>
      <c r="N688" s="48">
        <f t="shared" si="78"/>
        <v>1010.1</v>
      </c>
      <c r="O688" s="50">
        <f t="shared" si="79"/>
        <v>27453.200000000001</v>
      </c>
      <c r="P688" s="50">
        <v>0</v>
      </c>
      <c r="Q688" s="76"/>
      <c r="R688" s="139">
        <f>2*(S9+S10)</f>
        <v>10</v>
      </c>
      <c r="S688" s="79">
        <v>2269.8000000000002</v>
      </c>
      <c r="T688" s="80">
        <v>86.71</v>
      </c>
    </row>
    <row r="689" spans="2:20" ht="56">
      <c r="B689" s="5" t="s">
        <v>1627</v>
      </c>
      <c r="C689" s="45" t="s">
        <v>135</v>
      </c>
      <c r="D689" s="45">
        <v>103261</v>
      </c>
      <c r="E689" s="6" t="s">
        <v>1628</v>
      </c>
      <c r="F689" s="45" t="s">
        <v>210</v>
      </c>
      <c r="G689" s="46">
        <f t="shared" si="73"/>
        <v>5</v>
      </c>
      <c r="H689" s="46">
        <f>TRUNC(S689*(1-LOTE_01!$K$10),2)</f>
        <v>11981.73</v>
      </c>
      <c r="I689" s="46">
        <f>TRUNC(T689*(1-LOTE_01!$K$10),2)</f>
        <v>161.5</v>
      </c>
      <c r="J689" s="100">
        <f t="shared" si="80"/>
        <v>0.16500000000000001</v>
      </c>
      <c r="K689" s="48">
        <f t="shared" si="75"/>
        <v>13958.71</v>
      </c>
      <c r="L689" s="48">
        <f t="shared" si="76"/>
        <v>188.14</v>
      </c>
      <c r="M689" s="48">
        <f t="shared" si="77"/>
        <v>69793.55</v>
      </c>
      <c r="N689" s="48">
        <f t="shared" si="78"/>
        <v>940.7</v>
      </c>
      <c r="O689" s="50">
        <f t="shared" si="79"/>
        <v>70734.25</v>
      </c>
      <c r="P689" s="50">
        <v>0</v>
      </c>
      <c r="Q689" s="76"/>
      <c r="R689" s="139">
        <f>1*(S9+S10)</f>
        <v>5</v>
      </c>
      <c r="S689" s="79">
        <v>11981.73</v>
      </c>
      <c r="T689" s="80">
        <v>161.5</v>
      </c>
    </row>
    <row r="690" spans="2:20" ht="42">
      <c r="B690" s="5" t="s">
        <v>1629</v>
      </c>
      <c r="C690" s="45" t="s">
        <v>135</v>
      </c>
      <c r="D690" s="45">
        <v>103277</v>
      </c>
      <c r="E690" s="6" t="s">
        <v>1630</v>
      </c>
      <c r="F690" s="45" t="s">
        <v>210</v>
      </c>
      <c r="G690" s="46">
        <f>IF($S$11=0,0,TRUNC(R690,2))</f>
        <v>2</v>
      </c>
      <c r="H690" s="46">
        <f>TRUNC(S690*(1-LOTE_01!$K$10),2)</f>
        <v>25270.35</v>
      </c>
      <c r="I690" s="46">
        <f>TRUNC(T690*(1-LOTE_01!$K$10),2)</f>
        <v>288.81</v>
      </c>
      <c r="J690" s="100">
        <f t="shared" si="80"/>
        <v>0.16500000000000001</v>
      </c>
      <c r="K690" s="48">
        <f t="shared" si="75"/>
        <v>29439.95</v>
      </c>
      <c r="L690" s="48">
        <f t="shared" si="76"/>
        <v>336.46</v>
      </c>
      <c r="M690" s="48">
        <f t="shared" si="77"/>
        <v>58879.9</v>
      </c>
      <c r="N690" s="48">
        <f t="shared" si="78"/>
        <v>672.92</v>
      </c>
      <c r="O690" s="50">
        <f t="shared" si="79"/>
        <v>59552.82</v>
      </c>
      <c r="P690" s="50">
        <v>0</v>
      </c>
      <c r="Q690" s="76"/>
      <c r="R690" s="139">
        <f>IF(40%*R691&lt;1,1,ROUND(40%*R691,0))</f>
        <v>2</v>
      </c>
      <c r="S690" s="79">
        <v>25270.35</v>
      </c>
      <c r="T690" s="80">
        <v>288.81</v>
      </c>
    </row>
    <row r="691" spans="2:20" ht="42">
      <c r="B691" s="5" t="s">
        <v>1631</v>
      </c>
      <c r="C691" s="45" t="s">
        <v>135</v>
      </c>
      <c r="D691" s="45">
        <v>103278</v>
      </c>
      <c r="E691" s="6" t="s">
        <v>1632</v>
      </c>
      <c r="F691" s="45" t="s">
        <v>210</v>
      </c>
      <c r="G691" s="46">
        <f t="shared" si="73"/>
        <v>5</v>
      </c>
      <c r="H691" s="46">
        <f>TRUNC(S691*(1-LOTE_01!$K$10),2)</f>
        <v>32403.08</v>
      </c>
      <c r="I691" s="46">
        <f>TRUNC(T691*(1-LOTE_01!$K$10),2)</f>
        <v>297.57</v>
      </c>
      <c r="J691" s="100">
        <f t="shared" si="80"/>
        <v>0.16500000000000001</v>
      </c>
      <c r="K691" s="48">
        <f t="shared" si="75"/>
        <v>37749.58</v>
      </c>
      <c r="L691" s="48">
        <f t="shared" si="76"/>
        <v>346.66</v>
      </c>
      <c r="M691" s="48">
        <f t="shared" si="77"/>
        <v>188747.9</v>
      </c>
      <c r="N691" s="48">
        <f t="shared" si="78"/>
        <v>1733.3</v>
      </c>
      <c r="O691" s="50">
        <f t="shared" si="79"/>
        <v>190481.2</v>
      </c>
      <c r="P691" s="50">
        <v>0</v>
      </c>
      <c r="Q691" s="76"/>
      <c r="R691" s="139">
        <f>S10+S9</f>
        <v>5</v>
      </c>
      <c r="S691" s="79">
        <v>32403.08</v>
      </c>
      <c r="T691" s="80">
        <v>297.57</v>
      </c>
    </row>
    <row r="692" spans="2:20">
      <c r="B692" s="101" t="s">
        <v>58</v>
      </c>
      <c r="C692" s="102" t="s">
        <v>21</v>
      </c>
      <c r="D692" s="102" t="s">
        <v>21</v>
      </c>
      <c r="E692" s="103" t="s">
        <v>61</v>
      </c>
      <c r="F692" s="102" t="s">
        <v>21</v>
      </c>
      <c r="G692" s="46">
        <f t="shared" si="73"/>
        <v>0</v>
      </c>
      <c r="H692" s="46"/>
      <c r="I692" s="46"/>
      <c r="J692" s="105"/>
      <c r="K692" s="48">
        <f t="shared" si="75"/>
        <v>0</v>
      </c>
      <c r="L692" s="48">
        <f t="shared" si="76"/>
        <v>0</v>
      </c>
      <c r="M692" s="48">
        <f t="shared" si="77"/>
        <v>0</v>
      </c>
      <c r="N692" s="48">
        <f t="shared" si="78"/>
        <v>0</v>
      </c>
      <c r="O692" s="50">
        <f t="shared" si="79"/>
        <v>0</v>
      </c>
      <c r="P692" s="50">
        <f>SUM(O693:O714)</f>
        <v>189759.74999999994</v>
      </c>
      <c r="Q692" s="76"/>
      <c r="R692" s="154"/>
      <c r="S692" s="79" t="s">
        <v>22</v>
      </c>
      <c r="T692" s="80" t="s">
        <v>22</v>
      </c>
    </row>
    <row r="693" spans="2:20" ht="28">
      <c r="B693" s="5" t="s">
        <v>1633</v>
      </c>
      <c r="C693" s="45" t="s">
        <v>97</v>
      </c>
      <c r="D693" s="45" t="s">
        <v>1634</v>
      </c>
      <c r="E693" s="6" t="s">
        <v>1635</v>
      </c>
      <c r="F693" s="45" t="s">
        <v>104</v>
      </c>
      <c r="G693" s="46">
        <f t="shared" si="73"/>
        <v>5</v>
      </c>
      <c r="H693" s="46">
        <f>TRUNC(S693*(1-LOTE_01!$K$10),2)</f>
        <v>226.91</v>
      </c>
      <c r="I693" s="46">
        <f>TRUNC(T693*(1-LOTE_01!$K$10),2)</f>
        <v>156.29</v>
      </c>
      <c r="J693" s="100">
        <f t="shared" si="74"/>
        <v>0.22470000000000001</v>
      </c>
      <c r="K693" s="48">
        <f t="shared" si="75"/>
        <v>277.89</v>
      </c>
      <c r="L693" s="48">
        <f t="shared" si="76"/>
        <v>191.4</v>
      </c>
      <c r="M693" s="48">
        <f t="shared" si="77"/>
        <v>1389.45</v>
      </c>
      <c r="N693" s="48">
        <f t="shared" si="78"/>
        <v>957</v>
      </c>
      <c r="O693" s="50">
        <f t="shared" si="79"/>
        <v>2346.4499999999998</v>
      </c>
      <c r="P693" s="50">
        <v>0</v>
      </c>
      <c r="Q693" s="76"/>
      <c r="R693" s="140">
        <f>IF((1*S9+1*S10)&gt;10,10,(1*S9+1*S10))</f>
        <v>5</v>
      </c>
      <c r="S693" s="79">
        <v>226.91</v>
      </c>
      <c r="T693" s="80">
        <v>156.29</v>
      </c>
    </row>
    <row r="694" spans="2:20" ht="42">
      <c r="B694" s="5" t="s">
        <v>1636</v>
      </c>
      <c r="C694" s="45" t="s">
        <v>97</v>
      </c>
      <c r="D694" s="45" t="s">
        <v>1637</v>
      </c>
      <c r="E694" s="6" t="s">
        <v>1638</v>
      </c>
      <c r="F694" s="45" t="s">
        <v>121</v>
      </c>
      <c r="G694" s="46">
        <f t="shared" si="73"/>
        <v>150</v>
      </c>
      <c r="H694" s="46">
        <f>TRUNC(S694*(1-LOTE_01!$K$10),2)</f>
        <v>221.32</v>
      </c>
      <c r="I694" s="46">
        <f>TRUNC(T694*(1-LOTE_01!$K$10),2)</f>
        <v>68.73</v>
      </c>
      <c r="J694" s="100">
        <f t="shared" si="74"/>
        <v>0.22470000000000001</v>
      </c>
      <c r="K694" s="48">
        <f t="shared" si="75"/>
        <v>271.05</v>
      </c>
      <c r="L694" s="48">
        <f t="shared" si="76"/>
        <v>84.17</v>
      </c>
      <c r="M694" s="48">
        <f t="shared" si="77"/>
        <v>40657.5</v>
      </c>
      <c r="N694" s="48">
        <f t="shared" si="78"/>
        <v>12625.5</v>
      </c>
      <c r="O694" s="50">
        <f t="shared" si="79"/>
        <v>53283</v>
      </c>
      <c r="P694" s="50">
        <v>0</v>
      </c>
      <c r="Q694" s="76"/>
      <c r="R694" s="139">
        <f>30*(S9+S10)</f>
        <v>150</v>
      </c>
      <c r="S694" s="79">
        <v>221.32</v>
      </c>
      <c r="T694" s="80">
        <v>68.73</v>
      </c>
    </row>
    <row r="695" spans="2:20" ht="28">
      <c r="B695" s="5" t="s">
        <v>1639</v>
      </c>
      <c r="C695" s="45" t="s">
        <v>97</v>
      </c>
      <c r="D695" s="45" t="s">
        <v>1640</v>
      </c>
      <c r="E695" s="6" t="s">
        <v>1641</v>
      </c>
      <c r="F695" s="45" t="s">
        <v>104</v>
      </c>
      <c r="G695" s="46">
        <f t="shared" si="73"/>
        <v>250</v>
      </c>
      <c r="H695" s="46">
        <f>TRUNC(S695*(1-LOTE_01!$K$10),2)</f>
        <v>4.1399999999999997</v>
      </c>
      <c r="I695" s="46">
        <f>TRUNC(T695*(1-LOTE_01!$K$10),2)</f>
        <v>8.16</v>
      </c>
      <c r="J695" s="100">
        <f t="shared" si="74"/>
        <v>0.22470000000000001</v>
      </c>
      <c r="K695" s="48">
        <f t="shared" si="75"/>
        <v>5.07</v>
      </c>
      <c r="L695" s="48">
        <f t="shared" si="76"/>
        <v>9.99</v>
      </c>
      <c r="M695" s="48">
        <f t="shared" si="77"/>
        <v>1267.5</v>
      </c>
      <c r="N695" s="48">
        <f t="shared" si="78"/>
        <v>2497.5</v>
      </c>
      <c r="O695" s="50">
        <f t="shared" si="79"/>
        <v>3765</v>
      </c>
      <c r="P695" s="50">
        <v>0</v>
      </c>
      <c r="Q695" s="76"/>
      <c r="R695" s="139">
        <f>50*(S9+S10)</f>
        <v>250</v>
      </c>
      <c r="S695" s="79">
        <v>4.1399999999999997</v>
      </c>
      <c r="T695" s="80">
        <v>8.16</v>
      </c>
    </row>
    <row r="696" spans="2:20" ht="28">
      <c r="B696" s="5" t="s">
        <v>1642</v>
      </c>
      <c r="C696" s="45" t="s">
        <v>97</v>
      </c>
      <c r="D696" s="45" t="s">
        <v>1643</v>
      </c>
      <c r="E696" s="6" t="s">
        <v>1644</v>
      </c>
      <c r="F696" s="45" t="s">
        <v>104</v>
      </c>
      <c r="G696" s="46">
        <f t="shared" si="73"/>
        <v>15</v>
      </c>
      <c r="H696" s="46">
        <f>TRUNC(S696*(1-LOTE_01!$K$10),2)</f>
        <v>33.119999999999997</v>
      </c>
      <c r="I696" s="46">
        <f>TRUNC(T696*(1-LOTE_01!$K$10),2)</f>
        <v>65.28</v>
      </c>
      <c r="J696" s="100">
        <f t="shared" si="74"/>
        <v>0.22470000000000001</v>
      </c>
      <c r="K696" s="48">
        <f t="shared" si="75"/>
        <v>40.56</v>
      </c>
      <c r="L696" s="48">
        <f t="shared" si="76"/>
        <v>79.94</v>
      </c>
      <c r="M696" s="48">
        <f t="shared" si="77"/>
        <v>608.4</v>
      </c>
      <c r="N696" s="48">
        <f t="shared" si="78"/>
        <v>1199.0999999999999</v>
      </c>
      <c r="O696" s="50">
        <f t="shared" si="79"/>
        <v>1807.5</v>
      </c>
      <c r="P696" s="50">
        <v>0</v>
      </c>
      <c r="Q696" s="76"/>
      <c r="R696" s="139">
        <f>3*(S9+S10)</f>
        <v>15</v>
      </c>
      <c r="S696" s="79">
        <v>33.119999999999997</v>
      </c>
      <c r="T696" s="80">
        <v>65.28</v>
      </c>
    </row>
    <row r="697" spans="2:20" ht="28">
      <c r="B697" s="5" t="s">
        <v>1645</v>
      </c>
      <c r="C697" s="45" t="s">
        <v>97</v>
      </c>
      <c r="D697" s="45" t="s">
        <v>1646</v>
      </c>
      <c r="E697" s="6" t="s">
        <v>1647</v>
      </c>
      <c r="F697" s="45" t="s">
        <v>104</v>
      </c>
      <c r="G697" s="46">
        <f t="shared" si="73"/>
        <v>5</v>
      </c>
      <c r="H697" s="46">
        <f>TRUNC(S697*(1-LOTE_01!$K$10),2)</f>
        <v>6057.48</v>
      </c>
      <c r="I697" s="46">
        <f>TRUNC(T697*(1-LOTE_01!$K$10),2)</f>
        <v>1578.31</v>
      </c>
      <c r="J697" s="100">
        <f t="shared" si="74"/>
        <v>0.22470000000000001</v>
      </c>
      <c r="K697" s="48">
        <f t="shared" si="75"/>
        <v>7418.59</v>
      </c>
      <c r="L697" s="48">
        <f t="shared" si="76"/>
        <v>1932.95</v>
      </c>
      <c r="M697" s="48">
        <f t="shared" si="77"/>
        <v>37092.949999999997</v>
      </c>
      <c r="N697" s="48">
        <f t="shared" si="78"/>
        <v>9664.75</v>
      </c>
      <c r="O697" s="50">
        <f t="shared" si="79"/>
        <v>46757.7</v>
      </c>
      <c r="P697" s="50">
        <v>0</v>
      </c>
      <c r="Q697" s="76"/>
      <c r="R697" s="139">
        <f>1*(S9+S10)</f>
        <v>5</v>
      </c>
      <c r="S697" s="79">
        <v>6057.48</v>
      </c>
      <c r="T697" s="80">
        <v>1578.31</v>
      </c>
    </row>
    <row r="698" spans="2:20" ht="28">
      <c r="B698" s="5" t="s">
        <v>1648</v>
      </c>
      <c r="C698" s="45" t="s">
        <v>97</v>
      </c>
      <c r="D698" s="45" t="s">
        <v>331</v>
      </c>
      <c r="E698" s="6" t="s">
        <v>332</v>
      </c>
      <c r="F698" s="45" t="s">
        <v>104</v>
      </c>
      <c r="G698" s="46">
        <f t="shared" si="73"/>
        <v>5</v>
      </c>
      <c r="H698" s="46">
        <f>TRUNC(S698*(1-LOTE_01!$K$10),2)</f>
        <v>5748.54</v>
      </c>
      <c r="I698" s="46">
        <f>TRUNC(T698*(1-LOTE_01!$K$10),2)</f>
        <v>673.15</v>
      </c>
      <c r="J698" s="100">
        <f t="shared" si="74"/>
        <v>0.22470000000000001</v>
      </c>
      <c r="K698" s="48">
        <f t="shared" si="75"/>
        <v>7040.23</v>
      </c>
      <c r="L698" s="48">
        <f t="shared" si="76"/>
        <v>824.4</v>
      </c>
      <c r="M698" s="48">
        <f t="shared" si="77"/>
        <v>35201.15</v>
      </c>
      <c r="N698" s="48">
        <f t="shared" si="78"/>
        <v>4122</v>
      </c>
      <c r="O698" s="50">
        <f t="shared" si="79"/>
        <v>39323.15</v>
      </c>
      <c r="P698" s="50">
        <v>0</v>
      </c>
      <c r="Q698" s="76"/>
      <c r="R698" s="139">
        <f>1*(S9+S10)</f>
        <v>5</v>
      </c>
      <c r="S698" s="79">
        <v>5748.54</v>
      </c>
      <c r="T698" s="80">
        <v>673.15</v>
      </c>
    </row>
    <row r="699" spans="2:20" ht="42">
      <c r="B699" s="5" t="s">
        <v>1649</v>
      </c>
      <c r="C699" s="45" t="s">
        <v>97</v>
      </c>
      <c r="D699" s="45" t="s">
        <v>1650</v>
      </c>
      <c r="E699" s="6" t="s">
        <v>1651</v>
      </c>
      <c r="F699" s="45" t="s">
        <v>104</v>
      </c>
      <c r="G699" s="46">
        <f t="shared" si="73"/>
        <v>100</v>
      </c>
      <c r="H699" s="46">
        <f>TRUNC(S699*(1-LOTE_01!$K$10),2)</f>
        <v>20.079999999999998</v>
      </c>
      <c r="I699" s="46">
        <f>TRUNC(T699*(1-LOTE_01!$K$10),2)</f>
        <v>55.2</v>
      </c>
      <c r="J699" s="100">
        <f t="shared" si="74"/>
        <v>0.22470000000000001</v>
      </c>
      <c r="K699" s="48">
        <f t="shared" si="75"/>
        <v>24.59</v>
      </c>
      <c r="L699" s="48">
        <f t="shared" si="76"/>
        <v>67.599999999999994</v>
      </c>
      <c r="M699" s="48">
        <f t="shared" si="77"/>
        <v>2459</v>
      </c>
      <c r="N699" s="48">
        <f t="shared" si="78"/>
        <v>6760</v>
      </c>
      <c r="O699" s="50">
        <f t="shared" si="79"/>
        <v>9219</v>
      </c>
      <c r="P699" s="50">
        <v>0</v>
      </c>
      <c r="Q699" s="76"/>
      <c r="R699" s="139">
        <f>20*(S9+S10)</f>
        <v>100</v>
      </c>
      <c r="S699" s="79">
        <v>20.079999999999998</v>
      </c>
      <c r="T699" s="80">
        <v>55.2</v>
      </c>
    </row>
    <row r="700" spans="2:20" ht="28">
      <c r="B700" s="5" t="s">
        <v>1652</v>
      </c>
      <c r="C700" s="45" t="s">
        <v>97</v>
      </c>
      <c r="D700" s="45" t="s">
        <v>1653</v>
      </c>
      <c r="E700" s="6" t="s">
        <v>1654</v>
      </c>
      <c r="F700" s="45" t="s">
        <v>104</v>
      </c>
      <c r="G700" s="46">
        <f t="shared" si="73"/>
        <v>10</v>
      </c>
      <c r="H700" s="46">
        <f>TRUNC(S700*(1-LOTE_01!$K$10),2)</f>
        <v>5.79</v>
      </c>
      <c r="I700" s="46">
        <f>TRUNC(T700*(1-LOTE_01!$K$10),2)</f>
        <v>4.08</v>
      </c>
      <c r="J700" s="100">
        <f t="shared" si="74"/>
        <v>0.22470000000000001</v>
      </c>
      <c r="K700" s="48">
        <f t="shared" si="75"/>
        <v>7.09</v>
      </c>
      <c r="L700" s="48">
        <f t="shared" si="76"/>
        <v>4.99</v>
      </c>
      <c r="M700" s="48">
        <f t="shared" si="77"/>
        <v>70.900000000000006</v>
      </c>
      <c r="N700" s="48">
        <f t="shared" si="78"/>
        <v>49.9</v>
      </c>
      <c r="O700" s="50">
        <f t="shared" si="79"/>
        <v>120.8</v>
      </c>
      <c r="P700" s="50">
        <v>0</v>
      </c>
      <c r="Q700" s="76"/>
      <c r="R700" s="139">
        <f>2*(S9+S10)</f>
        <v>10</v>
      </c>
      <c r="S700" s="79">
        <v>5.79</v>
      </c>
      <c r="T700" s="80">
        <v>4.08</v>
      </c>
    </row>
    <row r="701" spans="2:20" ht="70">
      <c r="B701" s="5" t="s">
        <v>1655</v>
      </c>
      <c r="C701" s="45" t="s">
        <v>97</v>
      </c>
      <c r="D701" s="45" t="s">
        <v>1656</v>
      </c>
      <c r="E701" s="6" t="s">
        <v>1657</v>
      </c>
      <c r="F701" s="45" t="s">
        <v>104</v>
      </c>
      <c r="G701" s="46">
        <f t="shared" si="73"/>
        <v>5</v>
      </c>
      <c r="H701" s="46">
        <f>TRUNC(S701*(1-LOTE_01!$K$10),2)</f>
        <v>931.65</v>
      </c>
      <c r="I701" s="46">
        <f>TRUNC(T701*(1-LOTE_01!$K$10),2)</f>
        <v>3.26</v>
      </c>
      <c r="J701" s="100">
        <f t="shared" si="74"/>
        <v>0.22470000000000001</v>
      </c>
      <c r="K701" s="48">
        <f t="shared" si="75"/>
        <v>1140.99</v>
      </c>
      <c r="L701" s="48">
        <f t="shared" si="76"/>
        <v>3.99</v>
      </c>
      <c r="M701" s="48">
        <f t="shared" si="77"/>
        <v>5704.95</v>
      </c>
      <c r="N701" s="48">
        <f t="shared" si="78"/>
        <v>19.95</v>
      </c>
      <c r="O701" s="50">
        <f t="shared" si="79"/>
        <v>5724.9</v>
      </c>
      <c r="P701" s="50">
        <v>0</v>
      </c>
      <c r="Q701" s="76"/>
      <c r="R701" s="139">
        <f>1*(S9+S10)</f>
        <v>5</v>
      </c>
      <c r="S701" s="79">
        <v>931.65</v>
      </c>
      <c r="T701" s="80">
        <v>3.26</v>
      </c>
    </row>
    <row r="702" spans="2:20" ht="28">
      <c r="B702" s="5" t="s">
        <v>1658</v>
      </c>
      <c r="C702" s="45" t="s">
        <v>97</v>
      </c>
      <c r="D702" s="45" t="s">
        <v>1659</v>
      </c>
      <c r="E702" s="6" t="s">
        <v>1660</v>
      </c>
      <c r="F702" s="45" t="s">
        <v>104</v>
      </c>
      <c r="G702" s="46">
        <f t="shared" si="73"/>
        <v>50</v>
      </c>
      <c r="H702" s="46">
        <f>TRUNC(S702*(1-LOTE_01!$K$10),2)</f>
        <v>3.9</v>
      </c>
      <c r="I702" s="46">
        <f>TRUNC(T702*(1-LOTE_01!$K$10),2)</f>
        <v>9.93</v>
      </c>
      <c r="J702" s="100">
        <f t="shared" si="74"/>
        <v>0.22470000000000001</v>
      </c>
      <c r="K702" s="48">
        <f t="shared" si="75"/>
        <v>4.7699999999999996</v>
      </c>
      <c r="L702" s="48">
        <f t="shared" si="76"/>
        <v>12.16</v>
      </c>
      <c r="M702" s="48">
        <f t="shared" si="77"/>
        <v>238.5</v>
      </c>
      <c r="N702" s="48">
        <f t="shared" si="78"/>
        <v>608</v>
      </c>
      <c r="O702" s="50">
        <f t="shared" si="79"/>
        <v>846.5</v>
      </c>
      <c r="P702" s="50">
        <v>0</v>
      </c>
      <c r="Q702" s="76"/>
      <c r="R702" s="139">
        <f>10*(S9+S10)</f>
        <v>50</v>
      </c>
      <c r="S702" s="79">
        <v>3.9</v>
      </c>
      <c r="T702" s="80">
        <v>9.93</v>
      </c>
    </row>
    <row r="703" spans="2:20" ht="42">
      <c r="B703" s="5" t="s">
        <v>1661</v>
      </c>
      <c r="C703" s="45" t="s">
        <v>97</v>
      </c>
      <c r="D703" s="45" t="s">
        <v>1662</v>
      </c>
      <c r="E703" s="6" t="s">
        <v>1663</v>
      </c>
      <c r="F703" s="45" t="s">
        <v>104</v>
      </c>
      <c r="G703" s="46">
        <f t="shared" si="73"/>
        <v>5</v>
      </c>
      <c r="H703" s="46">
        <f>TRUNC(S703*(1-LOTE_01!$K$10),2)</f>
        <v>0</v>
      </c>
      <c r="I703" s="46">
        <f>TRUNC(T703*(1-LOTE_01!$K$10),2)</f>
        <v>260</v>
      </c>
      <c r="J703" s="100">
        <f t="shared" si="74"/>
        <v>0.22470000000000001</v>
      </c>
      <c r="K703" s="48">
        <f t="shared" si="75"/>
        <v>0</v>
      </c>
      <c r="L703" s="48">
        <f t="shared" si="76"/>
        <v>318.42</v>
      </c>
      <c r="M703" s="48">
        <f t="shared" si="77"/>
        <v>0</v>
      </c>
      <c r="N703" s="48">
        <f t="shared" si="78"/>
        <v>1592.1</v>
      </c>
      <c r="O703" s="50">
        <f t="shared" si="79"/>
        <v>1592.1</v>
      </c>
      <c r="P703" s="50">
        <v>0</v>
      </c>
      <c r="Q703" s="76"/>
      <c r="R703" s="139">
        <f>1*(S9+S10)</f>
        <v>5</v>
      </c>
      <c r="S703" s="79">
        <v>0</v>
      </c>
      <c r="T703" s="80">
        <v>260</v>
      </c>
    </row>
    <row r="704" spans="2:20" ht="42">
      <c r="B704" s="5" t="s">
        <v>1664</v>
      </c>
      <c r="C704" s="45" t="s">
        <v>97</v>
      </c>
      <c r="D704" s="45" t="s">
        <v>1665</v>
      </c>
      <c r="E704" s="6" t="s">
        <v>1666</v>
      </c>
      <c r="F704" s="45" t="s">
        <v>104</v>
      </c>
      <c r="G704" s="46">
        <f t="shared" si="73"/>
        <v>5</v>
      </c>
      <c r="H704" s="46">
        <f>TRUNC(S704*(1-LOTE_01!$K$10),2)</f>
        <v>0</v>
      </c>
      <c r="I704" s="46">
        <f>TRUNC(T704*(1-LOTE_01!$K$10),2)</f>
        <v>516.83000000000004</v>
      </c>
      <c r="J704" s="100">
        <f t="shared" si="74"/>
        <v>0.22470000000000001</v>
      </c>
      <c r="K704" s="48">
        <f t="shared" si="75"/>
        <v>0</v>
      </c>
      <c r="L704" s="48">
        <f t="shared" si="76"/>
        <v>632.96</v>
      </c>
      <c r="M704" s="48">
        <f t="shared" si="77"/>
        <v>0</v>
      </c>
      <c r="N704" s="48">
        <f t="shared" si="78"/>
        <v>3164.8</v>
      </c>
      <c r="O704" s="50">
        <f t="shared" si="79"/>
        <v>3164.8</v>
      </c>
      <c r="P704" s="50">
        <v>0</v>
      </c>
      <c r="Q704" s="76"/>
      <c r="R704" s="139">
        <f>1*(S9+S10)</f>
        <v>5</v>
      </c>
      <c r="S704" s="79">
        <v>0</v>
      </c>
      <c r="T704" s="80">
        <v>516.83000000000004</v>
      </c>
    </row>
    <row r="705" spans="2:20" ht="42">
      <c r="B705" s="5" t="s">
        <v>1667</v>
      </c>
      <c r="C705" s="45" t="s">
        <v>97</v>
      </c>
      <c r="D705" s="45" t="s">
        <v>1668</v>
      </c>
      <c r="E705" s="6" t="s">
        <v>1669</v>
      </c>
      <c r="F705" s="45" t="s">
        <v>104</v>
      </c>
      <c r="G705" s="46">
        <f t="shared" si="73"/>
        <v>5</v>
      </c>
      <c r="H705" s="46">
        <f>TRUNC(S705*(1-LOTE_01!$K$10),2)</f>
        <v>0</v>
      </c>
      <c r="I705" s="46">
        <f>TRUNC(T705*(1-LOTE_01!$K$10),2)</f>
        <v>779.3</v>
      </c>
      <c r="J705" s="100">
        <f t="shared" si="74"/>
        <v>0.22470000000000001</v>
      </c>
      <c r="K705" s="48">
        <f t="shared" si="75"/>
        <v>0</v>
      </c>
      <c r="L705" s="48">
        <f t="shared" si="76"/>
        <v>954.4</v>
      </c>
      <c r="M705" s="48">
        <f t="shared" si="77"/>
        <v>0</v>
      </c>
      <c r="N705" s="48">
        <f t="shared" si="78"/>
        <v>4772</v>
      </c>
      <c r="O705" s="50">
        <f t="shared" si="79"/>
        <v>4772</v>
      </c>
      <c r="P705" s="50">
        <v>0</v>
      </c>
      <c r="Q705" s="76"/>
      <c r="R705" s="139">
        <f>1*(S9+S10)</f>
        <v>5</v>
      </c>
      <c r="S705" s="79">
        <v>0</v>
      </c>
      <c r="T705" s="80">
        <v>779.3</v>
      </c>
    </row>
    <row r="706" spans="2:20" ht="42">
      <c r="B706" s="5" t="s">
        <v>1670</v>
      </c>
      <c r="C706" s="45" t="s">
        <v>97</v>
      </c>
      <c r="D706" s="45" t="s">
        <v>1671</v>
      </c>
      <c r="E706" s="6" t="s">
        <v>1672</v>
      </c>
      <c r="F706" s="45" t="s">
        <v>104</v>
      </c>
      <c r="G706" s="46">
        <f t="shared" si="73"/>
        <v>5</v>
      </c>
      <c r="H706" s="46">
        <f>TRUNC(S706*(1-LOTE_01!$K$10),2)</f>
        <v>339.54</v>
      </c>
      <c r="I706" s="46">
        <f>TRUNC(T706*(1-LOTE_01!$K$10),2)</f>
        <v>0</v>
      </c>
      <c r="J706" s="100">
        <f t="shared" si="74"/>
        <v>0.22470000000000001</v>
      </c>
      <c r="K706" s="48">
        <f t="shared" si="75"/>
        <v>415.83</v>
      </c>
      <c r="L706" s="48">
        <f t="shared" si="76"/>
        <v>0</v>
      </c>
      <c r="M706" s="48">
        <f t="shared" si="77"/>
        <v>2079.15</v>
      </c>
      <c r="N706" s="48">
        <f t="shared" si="78"/>
        <v>0</v>
      </c>
      <c r="O706" s="50">
        <f t="shared" si="79"/>
        <v>2079.15</v>
      </c>
      <c r="P706" s="50">
        <v>0</v>
      </c>
      <c r="Q706" s="76"/>
      <c r="R706" s="139">
        <f>1*(S9+S10)</f>
        <v>5</v>
      </c>
      <c r="S706" s="79">
        <v>339.54</v>
      </c>
      <c r="T706" s="80">
        <v>0</v>
      </c>
    </row>
    <row r="707" spans="2:20" ht="42">
      <c r="B707" s="5" t="s">
        <v>1673</v>
      </c>
      <c r="C707" s="45" t="s">
        <v>97</v>
      </c>
      <c r="D707" s="45" t="s">
        <v>1674</v>
      </c>
      <c r="E707" s="6" t="s">
        <v>1675</v>
      </c>
      <c r="F707" s="45" t="s">
        <v>104</v>
      </c>
      <c r="G707" s="46">
        <f t="shared" si="73"/>
        <v>5</v>
      </c>
      <c r="H707" s="46">
        <f>TRUNC(S707*(1-LOTE_01!$K$10),2)</f>
        <v>0</v>
      </c>
      <c r="I707" s="46">
        <f>TRUNC(T707*(1-LOTE_01!$K$10),2)</f>
        <v>667.87</v>
      </c>
      <c r="J707" s="100">
        <f t="shared" si="74"/>
        <v>0.22470000000000001</v>
      </c>
      <c r="K707" s="48">
        <f t="shared" si="75"/>
        <v>0</v>
      </c>
      <c r="L707" s="48">
        <f t="shared" si="76"/>
        <v>817.94</v>
      </c>
      <c r="M707" s="48">
        <f t="shared" si="77"/>
        <v>0</v>
      </c>
      <c r="N707" s="48">
        <f t="shared" si="78"/>
        <v>4089.7</v>
      </c>
      <c r="O707" s="50">
        <f t="shared" si="79"/>
        <v>4089.7</v>
      </c>
      <c r="P707" s="50">
        <v>0</v>
      </c>
      <c r="Q707" s="76"/>
      <c r="R707" s="139">
        <f>1*(S9+S10)</f>
        <v>5</v>
      </c>
      <c r="S707" s="79">
        <v>0</v>
      </c>
      <c r="T707" s="80">
        <v>667.87</v>
      </c>
    </row>
    <row r="708" spans="2:20" ht="42">
      <c r="B708" s="5" t="s">
        <v>1676</v>
      </c>
      <c r="C708" s="45" t="s">
        <v>97</v>
      </c>
      <c r="D708" s="45" t="s">
        <v>1677</v>
      </c>
      <c r="E708" s="6" t="s">
        <v>1678</v>
      </c>
      <c r="F708" s="45" t="s">
        <v>104</v>
      </c>
      <c r="G708" s="46">
        <f t="shared" si="73"/>
        <v>10</v>
      </c>
      <c r="H708" s="46">
        <f>TRUNC(S708*(1-LOTE_01!$K$10),2)</f>
        <v>238.49</v>
      </c>
      <c r="I708" s="46">
        <f>TRUNC(T708*(1-LOTE_01!$K$10),2)</f>
        <v>25.62</v>
      </c>
      <c r="J708" s="100">
        <f t="shared" si="74"/>
        <v>0.22470000000000001</v>
      </c>
      <c r="K708" s="48">
        <f t="shared" si="75"/>
        <v>292.07</v>
      </c>
      <c r="L708" s="48">
        <f t="shared" si="76"/>
        <v>31.37</v>
      </c>
      <c r="M708" s="48">
        <f t="shared" si="77"/>
        <v>2920.7</v>
      </c>
      <c r="N708" s="48">
        <f t="shared" si="78"/>
        <v>313.7</v>
      </c>
      <c r="O708" s="50">
        <f t="shared" si="79"/>
        <v>3234.4</v>
      </c>
      <c r="P708" s="50">
        <v>0</v>
      </c>
      <c r="Q708" s="76"/>
      <c r="R708" s="139">
        <f>2*(S9+S10)</f>
        <v>10</v>
      </c>
      <c r="S708" s="79">
        <v>238.49</v>
      </c>
      <c r="T708" s="80">
        <v>25.62</v>
      </c>
    </row>
    <row r="709" spans="2:20" ht="28">
      <c r="B709" s="5" t="s">
        <v>1679</v>
      </c>
      <c r="C709" s="45" t="s">
        <v>97</v>
      </c>
      <c r="D709" s="45" t="s">
        <v>1680</v>
      </c>
      <c r="E709" s="6" t="s">
        <v>1681</v>
      </c>
      <c r="F709" s="45" t="s">
        <v>104</v>
      </c>
      <c r="G709" s="46">
        <f t="shared" si="73"/>
        <v>10</v>
      </c>
      <c r="H709" s="46">
        <f>TRUNC(S709*(1-LOTE_01!$K$10),2)</f>
        <v>8.17</v>
      </c>
      <c r="I709" s="46">
        <f>TRUNC(T709*(1-LOTE_01!$K$10),2)</f>
        <v>20.97</v>
      </c>
      <c r="J709" s="100">
        <f t="shared" si="74"/>
        <v>0.22470000000000001</v>
      </c>
      <c r="K709" s="48">
        <f t="shared" si="75"/>
        <v>10</v>
      </c>
      <c r="L709" s="48">
        <f t="shared" si="76"/>
        <v>25.68</v>
      </c>
      <c r="M709" s="48">
        <f t="shared" si="77"/>
        <v>100</v>
      </c>
      <c r="N709" s="48">
        <f t="shared" si="78"/>
        <v>256.8</v>
      </c>
      <c r="O709" s="50">
        <f t="shared" si="79"/>
        <v>356.8</v>
      </c>
      <c r="P709" s="50">
        <v>0</v>
      </c>
      <c r="Q709" s="76"/>
      <c r="R709" s="139">
        <f>2*(S9+S10)</f>
        <v>10</v>
      </c>
      <c r="S709" s="79">
        <v>8.17</v>
      </c>
      <c r="T709" s="80">
        <v>20.97</v>
      </c>
    </row>
    <row r="710" spans="2:20" ht="28">
      <c r="B710" s="5" t="s">
        <v>1682</v>
      </c>
      <c r="C710" s="45" t="s">
        <v>165</v>
      </c>
      <c r="D710" s="45" t="s">
        <v>1683</v>
      </c>
      <c r="E710" s="6" t="s">
        <v>1684</v>
      </c>
      <c r="F710" s="45" t="s">
        <v>531</v>
      </c>
      <c r="G710" s="46">
        <f t="shared" si="73"/>
        <v>25</v>
      </c>
      <c r="H710" s="46">
        <f>TRUNC(S710*(1-LOTE_01!$K$10),2)</f>
        <v>24.35</v>
      </c>
      <c r="I710" s="46">
        <f>TRUNC(T710*(1-LOTE_01!$K$10),2)</f>
        <v>2.64</v>
      </c>
      <c r="J710" s="100">
        <f t="shared" si="74"/>
        <v>0.22470000000000001</v>
      </c>
      <c r="K710" s="48">
        <f t="shared" si="75"/>
        <v>29.82</v>
      </c>
      <c r="L710" s="48">
        <f t="shared" si="76"/>
        <v>3.23</v>
      </c>
      <c r="M710" s="48">
        <f t="shared" si="77"/>
        <v>745.5</v>
      </c>
      <c r="N710" s="48">
        <f t="shared" si="78"/>
        <v>80.75</v>
      </c>
      <c r="O710" s="50">
        <f t="shared" si="79"/>
        <v>826.25</v>
      </c>
      <c r="P710" s="50">
        <v>0</v>
      </c>
      <c r="Q710" s="76"/>
      <c r="R710" s="139">
        <f>5*(S9+S10)</f>
        <v>25</v>
      </c>
      <c r="S710" s="79">
        <v>24.35</v>
      </c>
      <c r="T710" s="80">
        <v>2.64</v>
      </c>
    </row>
    <row r="711" spans="2:20" ht="42">
      <c r="B711" s="5" t="s">
        <v>1685</v>
      </c>
      <c r="C711" s="45" t="s">
        <v>97</v>
      </c>
      <c r="D711" s="45" t="s">
        <v>1686</v>
      </c>
      <c r="E711" s="6" t="s">
        <v>1687</v>
      </c>
      <c r="F711" s="45" t="s">
        <v>187</v>
      </c>
      <c r="G711" s="46">
        <f t="shared" si="73"/>
        <v>25</v>
      </c>
      <c r="H711" s="46">
        <f>TRUNC(S711*(1-LOTE_01!$K$10),2)</f>
        <v>9.66</v>
      </c>
      <c r="I711" s="46">
        <f>TRUNC(T711*(1-LOTE_01!$K$10),2)</f>
        <v>1.3</v>
      </c>
      <c r="J711" s="100">
        <f t="shared" si="74"/>
        <v>0.22470000000000001</v>
      </c>
      <c r="K711" s="48">
        <f t="shared" si="75"/>
        <v>11.83</v>
      </c>
      <c r="L711" s="48">
        <f t="shared" si="76"/>
        <v>1.59</v>
      </c>
      <c r="M711" s="48">
        <f t="shared" si="77"/>
        <v>295.75</v>
      </c>
      <c r="N711" s="48">
        <f t="shared" si="78"/>
        <v>39.75</v>
      </c>
      <c r="O711" s="50">
        <f t="shared" si="79"/>
        <v>335.5</v>
      </c>
      <c r="P711" s="50">
        <v>0</v>
      </c>
      <c r="Q711" s="76"/>
      <c r="R711" s="139">
        <f>5*(S9+S10)</f>
        <v>25</v>
      </c>
      <c r="S711" s="79">
        <v>9.66</v>
      </c>
      <c r="T711" s="80">
        <v>1.3</v>
      </c>
    </row>
    <row r="712" spans="2:20" ht="28">
      <c r="B712" s="5" t="s">
        <v>1688</v>
      </c>
      <c r="C712" s="45" t="s">
        <v>97</v>
      </c>
      <c r="D712" s="45" t="s">
        <v>1689</v>
      </c>
      <c r="E712" s="6" t="s">
        <v>1690</v>
      </c>
      <c r="F712" s="45" t="s">
        <v>519</v>
      </c>
      <c r="G712" s="46">
        <f t="shared" si="73"/>
        <v>25</v>
      </c>
      <c r="H712" s="46">
        <f>TRUNC(S712*(1-LOTE_01!$K$10),2)</f>
        <v>29.34</v>
      </c>
      <c r="I712" s="46">
        <f>TRUNC(T712*(1-LOTE_01!$K$10),2)</f>
        <v>8.4499999999999993</v>
      </c>
      <c r="J712" s="100">
        <f t="shared" si="74"/>
        <v>0.22470000000000001</v>
      </c>
      <c r="K712" s="48">
        <f t="shared" si="75"/>
        <v>35.93</v>
      </c>
      <c r="L712" s="48">
        <f t="shared" si="76"/>
        <v>10.34</v>
      </c>
      <c r="M712" s="48">
        <f t="shared" si="77"/>
        <v>898.25</v>
      </c>
      <c r="N712" s="48">
        <f t="shared" si="78"/>
        <v>258.5</v>
      </c>
      <c r="O712" s="50">
        <f t="shared" si="79"/>
        <v>1156.75</v>
      </c>
      <c r="P712" s="50">
        <v>0</v>
      </c>
      <c r="Q712" s="76"/>
      <c r="R712" s="139">
        <f>5*(S9+S10)</f>
        <v>25</v>
      </c>
      <c r="S712" s="79">
        <v>29.34</v>
      </c>
      <c r="T712" s="80">
        <v>8.4499999999999993</v>
      </c>
    </row>
    <row r="713" spans="2:20" ht="28">
      <c r="B713" s="5" t="s">
        <v>1691</v>
      </c>
      <c r="C713" s="45" t="s">
        <v>165</v>
      </c>
      <c r="D713" s="45" t="s">
        <v>1692</v>
      </c>
      <c r="E713" s="6" t="s">
        <v>1693</v>
      </c>
      <c r="F713" s="45" t="s">
        <v>182</v>
      </c>
      <c r="G713" s="46">
        <f t="shared" si="73"/>
        <v>10</v>
      </c>
      <c r="H713" s="46">
        <f>TRUNC(S713*(1-LOTE_01!$K$10),2)</f>
        <v>305.44</v>
      </c>
      <c r="I713" s="46">
        <f>TRUNC(T713*(1-LOTE_01!$K$10),2)</f>
        <v>21.09</v>
      </c>
      <c r="J713" s="100">
        <f t="shared" si="74"/>
        <v>0.22470000000000001</v>
      </c>
      <c r="K713" s="48">
        <f t="shared" si="75"/>
        <v>374.07</v>
      </c>
      <c r="L713" s="48">
        <f t="shared" si="76"/>
        <v>25.82</v>
      </c>
      <c r="M713" s="48">
        <f t="shared" si="77"/>
        <v>3740.7</v>
      </c>
      <c r="N713" s="48">
        <f t="shared" si="78"/>
        <v>258.2</v>
      </c>
      <c r="O713" s="50">
        <f t="shared" si="79"/>
        <v>3998.9</v>
      </c>
      <c r="P713" s="50">
        <v>0</v>
      </c>
      <c r="Q713" s="76"/>
      <c r="R713" s="139">
        <f>2*(S9+S10)</f>
        <v>10</v>
      </c>
      <c r="S713" s="79">
        <v>305.44</v>
      </c>
      <c r="T713" s="80">
        <v>21.09</v>
      </c>
    </row>
    <row r="714" spans="2:20" ht="28">
      <c r="B714" s="5" t="s">
        <v>1694</v>
      </c>
      <c r="C714" s="45" t="s">
        <v>165</v>
      </c>
      <c r="D714" s="45" t="s">
        <v>1695</v>
      </c>
      <c r="E714" s="6" t="s">
        <v>1696</v>
      </c>
      <c r="F714" s="45" t="s">
        <v>559</v>
      </c>
      <c r="G714" s="46">
        <f t="shared" si="73"/>
        <v>15</v>
      </c>
      <c r="H714" s="46">
        <f>TRUNC(S714*(1-LOTE_01!$K$10),2)</f>
        <v>49.4</v>
      </c>
      <c r="I714" s="46">
        <f>TRUNC(T714*(1-LOTE_01!$K$10),2)</f>
        <v>2.83</v>
      </c>
      <c r="J714" s="100">
        <f t="shared" si="74"/>
        <v>0.22470000000000001</v>
      </c>
      <c r="K714" s="48">
        <f t="shared" si="75"/>
        <v>60.5</v>
      </c>
      <c r="L714" s="48">
        <f t="shared" si="76"/>
        <v>3.46</v>
      </c>
      <c r="M714" s="48">
        <f t="shared" si="77"/>
        <v>907.5</v>
      </c>
      <c r="N714" s="48">
        <f t="shared" si="78"/>
        <v>51.9</v>
      </c>
      <c r="O714" s="50">
        <f t="shared" si="79"/>
        <v>959.4</v>
      </c>
      <c r="P714" s="50">
        <v>0</v>
      </c>
      <c r="Q714" s="76"/>
      <c r="R714" s="139">
        <f>3*(S9+S10)</f>
        <v>15</v>
      </c>
      <c r="S714" s="79">
        <v>49.4</v>
      </c>
      <c r="T714" s="80">
        <v>2.83</v>
      </c>
    </row>
    <row r="715" spans="2:20">
      <c r="B715" s="101" t="s">
        <v>1697</v>
      </c>
      <c r="C715" s="102" t="s">
        <v>21</v>
      </c>
      <c r="D715" s="102" t="s">
        <v>21</v>
      </c>
      <c r="E715" s="103" t="s">
        <v>62</v>
      </c>
      <c r="F715" s="102" t="s">
        <v>21</v>
      </c>
      <c r="G715" s="46">
        <f t="shared" si="73"/>
        <v>0</v>
      </c>
      <c r="H715" s="46"/>
      <c r="I715" s="46"/>
      <c r="J715" s="105"/>
      <c r="K715" s="48">
        <f t="shared" si="75"/>
        <v>0</v>
      </c>
      <c r="L715" s="48">
        <f t="shared" si="76"/>
        <v>0</v>
      </c>
      <c r="M715" s="48">
        <f t="shared" si="77"/>
        <v>0</v>
      </c>
      <c r="N715" s="48">
        <f t="shared" si="78"/>
        <v>0</v>
      </c>
      <c r="O715" s="50">
        <f t="shared" si="79"/>
        <v>0</v>
      </c>
      <c r="P715" s="50">
        <f>SUM(O716:O737)</f>
        <v>207258.9</v>
      </c>
      <c r="Q715" s="76"/>
      <c r="R715" s="139"/>
      <c r="S715" s="79" t="s">
        <v>22</v>
      </c>
      <c r="T715" s="80" t="s">
        <v>22</v>
      </c>
    </row>
    <row r="716" spans="2:20" ht="28">
      <c r="B716" s="5" t="s">
        <v>1698</v>
      </c>
      <c r="C716" s="45" t="s">
        <v>165</v>
      </c>
      <c r="D716" s="45" t="s">
        <v>1699</v>
      </c>
      <c r="E716" s="6" t="s">
        <v>1700</v>
      </c>
      <c r="F716" s="45" t="s">
        <v>168</v>
      </c>
      <c r="G716" s="46">
        <f t="shared" si="73"/>
        <v>2000</v>
      </c>
      <c r="H716" s="46">
        <f>TRUNC(S716*(1-LOTE_01!$K$10),2)</f>
        <v>0</v>
      </c>
      <c r="I716" s="46">
        <f>TRUNC(T716*(1-LOTE_01!$K$10),2)</f>
        <v>9.2200000000000006</v>
      </c>
      <c r="J716" s="100">
        <f t="shared" si="74"/>
        <v>0.22470000000000001</v>
      </c>
      <c r="K716" s="48">
        <f t="shared" si="75"/>
        <v>0</v>
      </c>
      <c r="L716" s="48">
        <f t="shared" si="76"/>
        <v>11.29</v>
      </c>
      <c r="M716" s="48">
        <f t="shared" si="77"/>
        <v>0</v>
      </c>
      <c r="N716" s="48">
        <f t="shared" si="78"/>
        <v>22580</v>
      </c>
      <c r="O716" s="50">
        <f t="shared" si="79"/>
        <v>22580</v>
      </c>
      <c r="P716" s="50">
        <v>0</v>
      </c>
      <c r="Q716" s="76"/>
      <c r="R716" s="139">
        <f>400*(S9+S10)</f>
        <v>2000</v>
      </c>
      <c r="S716" s="79">
        <v>0</v>
      </c>
      <c r="T716" s="80">
        <v>9.2200000000000006</v>
      </c>
    </row>
    <row r="717" spans="2:20" ht="28">
      <c r="B717" s="5" t="s">
        <v>1701</v>
      </c>
      <c r="C717" s="45" t="s">
        <v>97</v>
      </c>
      <c r="D717" s="45" t="s">
        <v>1702</v>
      </c>
      <c r="E717" s="6" t="s">
        <v>1703</v>
      </c>
      <c r="F717" s="45" t="s">
        <v>104</v>
      </c>
      <c r="G717" s="46">
        <f t="shared" si="73"/>
        <v>5</v>
      </c>
      <c r="H717" s="46">
        <f>TRUNC(S717*(1-LOTE_01!$K$10),2)</f>
        <v>266</v>
      </c>
      <c r="I717" s="46">
        <f>TRUNC(T717*(1-LOTE_01!$K$10),2)</f>
        <v>0</v>
      </c>
      <c r="J717" s="100">
        <f t="shared" si="74"/>
        <v>0.22470000000000001</v>
      </c>
      <c r="K717" s="48">
        <f t="shared" si="75"/>
        <v>325.77</v>
      </c>
      <c r="L717" s="48">
        <f t="shared" si="76"/>
        <v>0</v>
      </c>
      <c r="M717" s="48">
        <f t="shared" si="77"/>
        <v>1628.85</v>
      </c>
      <c r="N717" s="48">
        <f t="shared" si="78"/>
        <v>0</v>
      </c>
      <c r="O717" s="50">
        <f t="shared" si="79"/>
        <v>1628.85</v>
      </c>
      <c r="P717" s="50">
        <v>0</v>
      </c>
      <c r="Q717" s="76"/>
      <c r="R717" s="139">
        <f>1*(S9+S10)</f>
        <v>5</v>
      </c>
      <c r="S717" s="79">
        <v>266</v>
      </c>
      <c r="T717" s="80">
        <v>0</v>
      </c>
    </row>
    <row r="718" spans="2:20" ht="42">
      <c r="B718" s="5" t="s">
        <v>1704</v>
      </c>
      <c r="C718" s="45" t="s">
        <v>135</v>
      </c>
      <c r="D718" s="45">
        <v>99814</v>
      </c>
      <c r="E718" s="6" t="s">
        <v>1839</v>
      </c>
      <c r="F718" s="45" t="s">
        <v>121</v>
      </c>
      <c r="G718" s="46">
        <f t="shared" si="73"/>
        <v>5</v>
      </c>
      <c r="H718" s="46">
        <f>TRUNC(S718*(1-LOTE_01!$K$10),2)</f>
        <v>0.63</v>
      </c>
      <c r="I718" s="46">
        <f>TRUNC(T718*(1-LOTE_01!$K$10),2)</f>
        <v>1.1000000000000001</v>
      </c>
      <c r="J718" s="100">
        <f t="shared" si="74"/>
        <v>0.22470000000000001</v>
      </c>
      <c r="K718" s="48">
        <f t="shared" si="75"/>
        <v>0.77</v>
      </c>
      <c r="L718" s="48">
        <f t="shared" si="76"/>
        <v>1.34</v>
      </c>
      <c r="M718" s="48">
        <f t="shared" si="77"/>
        <v>3.85</v>
      </c>
      <c r="N718" s="48">
        <f t="shared" si="78"/>
        <v>6.7</v>
      </c>
      <c r="O718" s="50">
        <f t="shared" si="79"/>
        <v>10.55</v>
      </c>
      <c r="P718" s="50">
        <v>0</v>
      </c>
      <c r="Q718" s="76"/>
      <c r="R718" s="139">
        <f>1*(S9+S10)</f>
        <v>5</v>
      </c>
      <c r="S718" s="79">
        <v>0.62999999999999989</v>
      </c>
      <c r="T718" s="80">
        <v>1.1000000000000001</v>
      </c>
    </row>
    <row r="719" spans="2:20" ht="28">
      <c r="B719" s="5" t="s">
        <v>1705</v>
      </c>
      <c r="C719" s="45" t="s">
        <v>135</v>
      </c>
      <c r="D719" s="45">
        <v>98524</v>
      </c>
      <c r="E719" s="6" t="s">
        <v>1706</v>
      </c>
      <c r="F719" s="45" t="s">
        <v>121</v>
      </c>
      <c r="G719" s="46">
        <f t="shared" si="73"/>
        <v>5</v>
      </c>
      <c r="H719" s="46">
        <f>TRUNC(S719*(1-LOTE_01!$K$10),2)</f>
        <v>1.77</v>
      </c>
      <c r="I719" s="46">
        <f>TRUNC(T719*(1-LOTE_01!$K$10),2)</f>
        <v>3.47</v>
      </c>
      <c r="J719" s="100">
        <f t="shared" si="74"/>
        <v>0.22470000000000001</v>
      </c>
      <c r="K719" s="48">
        <f t="shared" si="75"/>
        <v>2.16</v>
      </c>
      <c r="L719" s="48">
        <f t="shared" si="76"/>
        <v>4.24</v>
      </c>
      <c r="M719" s="48">
        <f t="shared" si="77"/>
        <v>10.8</v>
      </c>
      <c r="N719" s="48">
        <f t="shared" si="78"/>
        <v>21.2</v>
      </c>
      <c r="O719" s="50">
        <f t="shared" si="79"/>
        <v>32</v>
      </c>
      <c r="P719" s="50">
        <v>0</v>
      </c>
      <c r="Q719" s="76"/>
      <c r="R719" s="139">
        <f>1*(S9+S10)</f>
        <v>5</v>
      </c>
      <c r="S719" s="79">
        <v>1.77</v>
      </c>
      <c r="T719" s="80">
        <v>3.47</v>
      </c>
    </row>
    <row r="720" spans="2:20" ht="42">
      <c r="B720" s="5" t="s">
        <v>1707</v>
      </c>
      <c r="C720" s="45" t="s">
        <v>135</v>
      </c>
      <c r="D720" s="45">
        <v>98531</v>
      </c>
      <c r="E720" s="6" t="s">
        <v>1708</v>
      </c>
      <c r="F720" s="45" t="s">
        <v>210</v>
      </c>
      <c r="G720" s="46">
        <f t="shared" si="73"/>
        <v>5</v>
      </c>
      <c r="H720" s="46">
        <f>TRUNC(S720*(1-LOTE_01!$K$10),2)</f>
        <v>224.43</v>
      </c>
      <c r="I720" s="46">
        <f>TRUNC(T720*(1-LOTE_01!$K$10),2)</f>
        <v>190.09</v>
      </c>
      <c r="J720" s="100">
        <f t="shared" si="74"/>
        <v>0.22470000000000001</v>
      </c>
      <c r="K720" s="48">
        <f t="shared" si="75"/>
        <v>274.85000000000002</v>
      </c>
      <c r="L720" s="48">
        <f t="shared" si="76"/>
        <v>232.8</v>
      </c>
      <c r="M720" s="48">
        <f t="shared" si="77"/>
        <v>1374.25</v>
      </c>
      <c r="N720" s="48">
        <f t="shared" si="78"/>
        <v>1164</v>
      </c>
      <c r="O720" s="50">
        <f t="shared" si="79"/>
        <v>2538.25</v>
      </c>
      <c r="P720" s="50">
        <v>0</v>
      </c>
      <c r="Q720" s="76"/>
      <c r="R720" s="139">
        <f>1*(S9+S10)</f>
        <v>5</v>
      </c>
      <c r="S720" s="79">
        <v>224.42999999999998</v>
      </c>
      <c r="T720" s="80">
        <v>190.09</v>
      </c>
    </row>
    <row r="721" spans="2:20" ht="42">
      <c r="B721" s="5" t="s">
        <v>1709</v>
      </c>
      <c r="C721" s="45" t="s">
        <v>135</v>
      </c>
      <c r="D721" s="45">
        <v>99805</v>
      </c>
      <c r="E721" s="6" t="s">
        <v>1840</v>
      </c>
      <c r="F721" s="45" t="s">
        <v>121</v>
      </c>
      <c r="G721" s="46">
        <f t="shared" si="73"/>
        <v>2000</v>
      </c>
      <c r="H721" s="46">
        <f>TRUNC(S721*(1-LOTE_01!$K$10),2)</f>
        <v>4.53</v>
      </c>
      <c r="I721" s="46">
        <f>TRUNC(T721*(1-LOTE_01!$K$10),2)</f>
        <v>7.3</v>
      </c>
      <c r="J721" s="100">
        <f t="shared" si="74"/>
        <v>0.22470000000000001</v>
      </c>
      <c r="K721" s="48">
        <f t="shared" si="75"/>
        <v>5.54</v>
      </c>
      <c r="L721" s="48">
        <f t="shared" si="76"/>
        <v>8.94</v>
      </c>
      <c r="M721" s="48">
        <f t="shared" si="77"/>
        <v>11080</v>
      </c>
      <c r="N721" s="48">
        <f t="shared" si="78"/>
        <v>17880</v>
      </c>
      <c r="O721" s="50">
        <f t="shared" si="79"/>
        <v>28960</v>
      </c>
      <c r="P721" s="50">
        <v>0</v>
      </c>
      <c r="Q721" s="76"/>
      <c r="R721" s="139">
        <f>400*(S9+S10)</f>
        <v>2000</v>
      </c>
      <c r="S721" s="79">
        <v>4.53</v>
      </c>
      <c r="T721" s="80">
        <v>7.3</v>
      </c>
    </row>
    <row r="722" spans="2:20" ht="42">
      <c r="B722" s="5" t="s">
        <v>1710</v>
      </c>
      <c r="C722" s="45" t="s">
        <v>135</v>
      </c>
      <c r="D722" s="45">
        <v>99802</v>
      </c>
      <c r="E722" s="6" t="s">
        <v>1841</v>
      </c>
      <c r="F722" s="45" t="s">
        <v>121</v>
      </c>
      <c r="G722" s="46">
        <f t="shared" ref="G722:G737" si="81">TRUNC(R722,2)</f>
        <v>2000</v>
      </c>
      <c r="H722" s="46">
        <f>TRUNC(S722*(1-LOTE_01!$K$10),2)</f>
        <v>0.19</v>
      </c>
      <c r="I722" s="46">
        <f>TRUNC(T722*(1-LOTE_01!$K$10),2)</f>
        <v>0.38</v>
      </c>
      <c r="J722" s="100">
        <f t="shared" ref="J722:J737" si="82">$J$4</f>
        <v>0.22470000000000001</v>
      </c>
      <c r="K722" s="48">
        <f t="shared" ref="K722:K737" si="83">TRUNC(H722*(1+J722),2)</f>
        <v>0.23</v>
      </c>
      <c r="L722" s="48">
        <f t="shared" ref="L722:L737" si="84">TRUNC(I722*(1+J722),2)</f>
        <v>0.46</v>
      </c>
      <c r="M722" s="48">
        <f t="shared" ref="M722:M737" si="85">TRUNC(K722*G722,2)</f>
        <v>460</v>
      </c>
      <c r="N722" s="48">
        <f t="shared" ref="N722:N737" si="86">TRUNC(L722*G722,2)</f>
        <v>920</v>
      </c>
      <c r="O722" s="50">
        <f t="shared" ref="O722:O737" si="87">TRUNC(M722+N722,2)</f>
        <v>1380</v>
      </c>
      <c r="P722" s="50">
        <v>0</v>
      </c>
      <c r="Q722" s="76"/>
      <c r="R722" s="139">
        <f>400*(S9+S10)</f>
        <v>2000</v>
      </c>
      <c r="S722" s="79">
        <v>0.18999999999999995</v>
      </c>
      <c r="T722" s="80">
        <v>0.38</v>
      </c>
    </row>
    <row r="723" spans="2:20" ht="42">
      <c r="B723" s="5" t="s">
        <v>1711</v>
      </c>
      <c r="C723" s="45" t="s">
        <v>135</v>
      </c>
      <c r="D723" s="45">
        <v>99803</v>
      </c>
      <c r="E723" s="6" t="s">
        <v>1842</v>
      </c>
      <c r="F723" s="45" t="s">
        <v>121</v>
      </c>
      <c r="G723" s="46">
        <f t="shared" si="81"/>
        <v>250</v>
      </c>
      <c r="H723" s="46">
        <f>TRUNC(S723*(1-LOTE_01!$K$10),2)</f>
        <v>1.46</v>
      </c>
      <c r="I723" s="46">
        <f>TRUNC(T723*(1-LOTE_01!$K$10),2)</f>
        <v>2.82</v>
      </c>
      <c r="J723" s="100">
        <f t="shared" si="82"/>
        <v>0.22470000000000001</v>
      </c>
      <c r="K723" s="48">
        <f t="shared" si="83"/>
        <v>1.78</v>
      </c>
      <c r="L723" s="48">
        <f t="shared" si="84"/>
        <v>3.45</v>
      </c>
      <c r="M723" s="48">
        <f t="shared" si="85"/>
        <v>445</v>
      </c>
      <c r="N723" s="48">
        <f t="shared" si="86"/>
        <v>862.5</v>
      </c>
      <c r="O723" s="50">
        <f t="shared" si="87"/>
        <v>1307.5</v>
      </c>
      <c r="P723" s="50">
        <v>0</v>
      </c>
      <c r="Q723" s="76"/>
      <c r="R723" s="139">
        <f>50*(S9+S10)</f>
        <v>250</v>
      </c>
      <c r="S723" s="79">
        <v>1.4600000000000004</v>
      </c>
      <c r="T723" s="80">
        <v>2.82</v>
      </c>
    </row>
    <row r="724" spans="2:20" ht="56">
      <c r="B724" s="5" t="s">
        <v>1712</v>
      </c>
      <c r="C724" s="45" t="s">
        <v>135</v>
      </c>
      <c r="D724" s="45">
        <v>99810</v>
      </c>
      <c r="E724" s="6" t="s">
        <v>1843</v>
      </c>
      <c r="F724" s="45" t="s">
        <v>121</v>
      </c>
      <c r="G724" s="46">
        <f t="shared" si="81"/>
        <v>2000</v>
      </c>
      <c r="H724" s="46">
        <f>TRUNC(S724*(1-LOTE_01!$K$10),2)</f>
        <v>2.4</v>
      </c>
      <c r="I724" s="46">
        <f>TRUNC(T724*(1-LOTE_01!$K$10),2)</f>
        <v>4.5599999999999996</v>
      </c>
      <c r="J724" s="100">
        <f t="shared" si="82"/>
        <v>0.22470000000000001</v>
      </c>
      <c r="K724" s="48">
        <f t="shared" si="83"/>
        <v>2.93</v>
      </c>
      <c r="L724" s="48">
        <f t="shared" si="84"/>
        <v>5.58</v>
      </c>
      <c r="M724" s="48">
        <f t="shared" si="85"/>
        <v>5860</v>
      </c>
      <c r="N724" s="48">
        <f t="shared" si="86"/>
        <v>11160</v>
      </c>
      <c r="O724" s="50">
        <f t="shared" si="87"/>
        <v>17020</v>
      </c>
      <c r="P724" s="50">
        <v>0</v>
      </c>
      <c r="Q724" s="76"/>
      <c r="R724" s="139">
        <f>400*(S9+S10)</f>
        <v>2000</v>
      </c>
      <c r="S724" s="79">
        <v>2.4000000000000004</v>
      </c>
      <c r="T724" s="80">
        <v>4.5599999999999996</v>
      </c>
    </row>
    <row r="725" spans="2:20" ht="42">
      <c r="B725" s="5" t="s">
        <v>1713</v>
      </c>
      <c r="C725" s="45" t="s">
        <v>135</v>
      </c>
      <c r="D725" s="45">
        <v>99806</v>
      </c>
      <c r="E725" s="6" t="s">
        <v>1844</v>
      </c>
      <c r="F725" s="45" t="s">
        <v>121</v>
      </c>
      <c r="G725" s="46">
        <f t="shared" si="81"/>
        <v>2000</v>
      </c>
      <c r="H725" s="46">
        <f>TRUNC(S725*(1-LOTE_01!$K$10),2)</f>
        <v>1.05</v>
      </c>
      <c r="I725" s="46">
        <f>TRUNC(T725*(1-LOTE_01!$K$10),2)</f>
        <v>2.04</v>
      </c>
      <c r="J725" s="100">
        <f t="shared" si="82"/>
        <v>0.22470000000000001</v>
      </c>
      <c r="K725" s="48">
        <f t="shared" si="83"/>
        <v>1.28</v>
      </c>
      <c r="L725" s="48">
        <f t="shared" si="84"/>
        <v>2.4900000000000002</v>
      </c>
      <c r="M725" s="48">
        <f t="shared" si="85"/>
        <v>2560</v>
      </c>
      <c r="N725" s="48">
        <f t="shared" si="86"/>
        <v>4980</v>
      </c>
      <c r="O725" s="50">
        <f t="shared" si="87"/>
        <v>7540</v>
      </c>
      <c r="P725" s="50">
        <v>0</v>
      </c>
      <c r="Q725" s="76"/>
      <c r="R725" s="139">
        <f>400*(S9+S10)</f>
        <v>2000</v>
      </c>
      <c r="S725" s="79">
        <v>1.0499999999999998</v>
      </c>
      <c r="T725" s="80">
        <v>2.04</v>
      </c>
    </row>
    <row r="726" spans="2:20">
      <c r="B726" s="5" t="s">
        <v>1714</v>
      </c>
      <c r="C726" s="45" t="s">
        <v>97</v>
      </c>
      <c r="D726" s="45" t="s">
        <v>1717</v>
      </c>
      <c r="E726" s="6" t="s">
        <v>1718</v>
      </c>
      <c r="F726" s="45" t="s">
        <v>121</v>
      </c>
      <c r="G726" s="46">
        <f t="shared" si="81"/>
        <v>250</v>
      </c>
      <c r="H726" s="46">
        <f>TRUNC(S726*(1-LOTE_01!$K$10),2)</f>
        <v>5.66</v>
      </c>
      <c r="I726" s="46">
        <f>TRUNC(T726*(1-LOTE_01!$K$10),2)</f>
        <v>9.7899999999999991</v>
      </c>
      <c r="J726" s="100">
        <f t="shared" si="82"/>
        <v>0.22470000000000001</v>
      </c>
      <c r="K726" s="48">
        <f t="shared" si="83"/>
        <v>6.93</v>
      </c>
      <c r="L726" s="48">
        <f t="shared" si="84"/>
        <v>11.98</v>
      </c>
      <c r="M726" s="48">
        <f t="shared" si="85"/>
        <v>1732.5</v>
      </c>
      <c r="N726" s="48">
        <f t="shared" si="86"/>
        <v>2995</v>
      </c>
      <c r="O726" s="50">
        <f t="shared" si="87"/>
        <v>4727.5</v>
      </c>
      <c r="P726" s="50">
        <v>0</v>
      </c>
      <c r="Q726" s="76"/>
      <c r="R726" s="139">
        <f>50*(S9+S10)</f>
        <v>250</v>
      </c>
      <c r="S726" s="79">
        <v>5.66</v>
      </c>
      <c r="T726" s="80">
        <v>9.7899999999999991</v>
      </c>
    </row>
    <row r="727" spans="2:20" ht="28">
      <c r="B727" s="5" t="s">
        <v>1715</v>
      </c>
      <c r="C727" s="45" t="s">
        <v>135</v>
      </c>
      <c r="D727" s="45">
        <v>99823</v>
      </c>
      <c r="E727" s="6" t="s">
        <v>1845</v>
      </c>
      <c r="F727" s="45" t="s">
        <v>121</v>
      </c>
      <c r="G727" s="46">
        <f t="shared" si="81"/>
        <v>2000</v>
      </c>
      <c r="H727" s="46">
        <f>TRUNC(S727*(1-LOTE_01!$K$10),2)</f>
        <v>1.38</v>
      </c>
      <c r="I727" s="46">
        <f>TRUNC(T727*(1-LOTE_01!$K$10),2)</f>
        <v>1.2</v>
      </c>
      <c r="J727" s="100">
        <f t="shared" si="82"/>
        <v>0.22470000000000001</v>
      </c>
      <c r="K727" s="48">
        <f t="shared" si="83"/>
        <v>1.69</v>
      </c>
      <c r="L727" s="48">
        <f t="shared" si="84"/>
        <v>1.46</v>
      </c>
      <c r="M727" s="48">
        <f t="shared" si="85"/>
        <v>3380</v>
      </c>
      <c r="N727" s="48">
        <f t="shared" si="86"/>
        <v>2920</v>
      </c>
      <c r="O727" s="50">
        <f t="shared" si="87"/>
        <v>6300</v>
      </c>
      <c r="P727" s="50">
        <v>0</v>
      </c>
      <c r="Q727" s="76"/>
      <c r="R727" s="139">
        <f>400*(S9+S10)</f>
        <v>2000</v>
      </c>
      <c r="S727" s="79">
        <v>1.3800000000000001</v>
      </c>
      <c r="T727" s="80">
        <v>1.2</v>
      </c>
    </row>
    <row r="728" spans="2:20" ht="42">
      <c r="B728" s="5" t="s">
        <v>1716</v>
      </c>
      <c r="C728" s="45" t="s">
        <v>135</v>
      </c>
      <c r="D728" s="45">
        <v>99821</v>
      </c>
      <c r="E728" s="6" t="s">
        <v>1846</v>
      </c>
      <c r="F728" s="45" t="s">
        <v>121</v>
      </c>
      <c r="G728" s="46">
        <f t="shared" si="81"/>
        <v>250</v>
      </c>
      <c r="H728" s="46">
        <f>TRUNC(S728*(1-LOTE_01!$K$10),2)</f>
        <v>3.04</v>
      </c>
      <c r="I728" s="46">
        <f>TRUNC(T728*(1-LOTE_01!$K$10),2)</f>
        <v>2.09</v>
      </c>
      <c r="J728" s="100">
        <f t="shared" si="82"/>
        <v>0.22470000000000001</v>
      </c>
      <c r="K728" s="48">
        <f t="shared" si="83"/>
        <v>3.72</v>
      </c>
      <c r="L728" s="48">
        <f t="shared" si="84"/>
        <v>2.5499999999999998</v>
      </c>
      <c r="M728" s="48">
        <f t="shared" si="85"/>
        <v>930</v>
      </c>
      <c r="N728" s="48">
        <f t="shared" si="86"/>
        <v>637.5</v>
      </c>
      <c r="O728" s="50">
        <f t="shared" si="87"/>
        <v>1567.5</v>
      </c>
      <c r="P728" s="50">
        <v>0</v>
      </c>
      <c r="Q728" s="76"/>
      <c r="R728" s="139">
        <f>50*(S9+S10)</f>
        <v>250</v>
      </c>
      <c r="S728" s="79">
        <v>3.04</v>
      </c>
      <c r="T728" s="80">
        <v>2.09</v>
      </c>
    </row>
    <row r="729" spans="2:20" ht="28">
      <c r="B729" s="5" t="s">
        <v>1719</v>
      </c>
      <c r="C729" s="45" t="s">
        <v>135</v>
      </c>
      <c r="D729" s="45">
        <v>99826</v>
      </c>
      <c r="E729" s="6" t="s">
        <v>1847</v>
      </c>
      <c r="F729" s="45" t="s">
        <v>121</v>
      </c>
      <c r="G729" s="46">
        <f t="shared" si="81"/>
        <v>250</v>
      </c>
      <c r="H729" s="46">
        <f>TRUNC(S729*(1-LOTE_01!$K$10),2)</f>
        <v>0.59</v>
      </c>
      <c r="I729" s="46">
        <f>TRUNC(T729*(1-LOTE_01!$K$10),2)</f>
        <v>1.1299999999999999</v>
      </c>
      <c r="J729" s="100">
        <f t="shared" si="82"/>
        <v>0.22470000000000001</v>
      </c>
      <c r="K729" s="48">
        <f t="shared" si="83"/>
        <v>0.72</v>
      </c>
      <c r="L729" s="48">
        <f t="shared" si="84"/>
        <v>1.38</v>
      </c>
      <c r="M729" s="48">
        <f t="shared" si="85"/>
        <v>180</v>
      </c>
      <c r="N729" s="48">
        <f t="shared" si="86"/>
        <v>345</v>
      </c>
      <c r="O729" s="50">
        <f t="shared" si="87"/>
        <v>525</v>
      </c>
      <c r="P729" s="50">
        <v>0</v>
      </c>
      <c r="Q729" s="76"/>
      <c r="R729" s="139">
        <f>50*(S9+S10)</f>
        <v>250</v>
      </c>
      <c r="S729" s="79">
        <v>0.59000000000000008</v>
      </c>
      <c r="T729" s="80">
        <v>1.1299999999999999</v>
      </c>
    </row>
    <row r="730" spans="2:20" ht="28">
      <c r="B730" s="5" t="s">
        <v>1720</v>
      </c>
      <c r="C730" s="45" t="s">
        <v>135</v>
      </c>
      <c r="D730" s="45">
        <v>99822</v>
      </c>
      <c r="E730" s="6" t="s">
        <v>1848</v>
      </c>
      <c r="F730" s="45" t="s">
        <v>121</v>
      </c>
      <c r="G730" s="46">
        <f t="shared" si="81"/>
        <v>33</v>
      </c>
      <c r="H730" s="46">
        <f>TRUNC(S730*(1-LOTE_01!$K$10),2)</f>
        <v>0.37</v>
      </c>
      <c r="I730" s="46">
        <f>TRUNC(T730*(1-LOTE_01!$K$10),2)</f>
        <v>0.74</v>
      </c>
      <c r="J730" s="100">
        <f t="shared" si="82"/>
        <v>0.22470000000000001</v>
      </c>
      <c r="K730" s="48">
        <f t="shared" si="83"/>
        <v>0.45</v>
      </c>
      <c r="L730" s="48">
        <f t="shared" si="84"/>
        <v>0.9</v>
      </c>
      <c r="M730" s="48">
        <f t="shared" si="85"/>
        <v>14.85</v>
      </c>
      <c r="N730" s="48">
        <f t="shared" si="86"/>
        <v>29.7</v>
      </c>
      <c r="O730" s="50">
        <f t="shared" si="87"/>
        <v>44.55</v>
      </c>
      <c r="P730" s="50">
        <v>0</v>
      </c>
      <c r="Q730" s="76"/>
      <c r="R730" s="139">
        <f>2.2*1*3*(S9+S10)</f>
        <v>33</v>
      </c>
      <c r="S730" s="79">
        <v>0.37000000000000011</v>
      </c>
      <c r="T730" s="80">
        <v>0.74</v>
      </c>
    </row>
    <row r="731" spans="2:20" ht="42">
      <c r="B731" s="5" t="s">
        <v>1721</v>
      </c>
      <c r="C731" s="45" t="s">
        <v>135</v>
      </c>
      <c r="D731" s="45">
        <v>99825</v>
      </c>
      <c r="E731" s="6" t="s">
        <v>1849</v>
      </c>
      <c r="F731" s="45" t="s">
        <v>121</v>
      </c>
      <c r="G731" s="46">
        <f t="shared" si="81"/>
        <v>11</v>
      </c>
      <c r="H731" s="46">
        <f>TRUNC(S731*(1-LOTE_01!$K$10),2)</f>
        <v>2.75</v>
      </c>
      <c r="I731" s="46">
        <f>TRUNC(T731*(1-LOTE_01!$K$10),2)</f>
        <v>2.17</v>
      </c>
      <c r="J731" s="100">
        <f t="shared" si="82"/>
        <v>0.22470000000000001</v>
      </c>
      <c r="K731" s="48">
        <f t="shared" si="83"/>
        <v>3.36</v>
      </c>
      <c r="L731" s="48">
        <f t="shared" si="84"/>
        <v>2.65</v>
      </c>
      <c r="M731" s="48">
        <f t="shared" si="85"/>
        <v>36.96</v>
      </c>
      <c r="N731" s="48">
        <f t="shared" si="86"/>
        <v>29.15</v>
      </c>
      <c r="O731" s="50">
        <f t="shared" si="87"/>
        <v>66.11</v>
      </c>
      <c r="P731" s="50">
        <v>0</v>
      </c>
      <c r="Q731" s="76"/>
      <c r="R731" s="139">
        <f>2.2*1*(S9+S10)</f>
        <v>11</v>
      </c>
      <c r="S731" s="79">
        <v>2.75</v>
      </c>
      <c r="T731" s="80">
        <v>2.17</v>
      </c>
    </row>
    <row r="732" spans="2:20" ht="28">
      <c r="B732" s="5" t="s">
        <v>1722</v>
      </c>
      <c r="C732" s="45" t="s">
        <v>135</v>
      </c>
      <c r="D732" s="45">
        <v>99824</v>
      </c>
      <c r="E732" s="6" t="s">
        <v>1850</v>
      </c>
      <c r="F732" s="45" t="s">
        <v>121</v>
      </c>
      <c r="G732" s="46">
        <f t="shared" si="81"/>
        <v>33</v>
      </c>
      <c r="H732" s="46">
        <f>TRUNC(S732*(1-LOTE_01!$K$10),2)</f>
        <v>1.45</v>
      </c>
      <c r="I732" s="46">
        <f>TRUNC(T732*(1-LOTE_01!$K$10),2)</f>
        <v>1.48</v>
      </c>
      <c r="J732" s="100">
        <f t="shared" si="82"/>
        <v>0.22470000000000001</v>
      </c>
      <c r="K732" s="48">
        <f t="shared" si="83"/>
        <v>1.77</v>
      </c>
      <c r="L732" s="48">
        <f t="shared" si="84"/>
        <v>1.81</v>
      </c>
      <c r="M732" s="48">
        <f t="shared" si="85"/>
        <v>58.41</v>
      </c>
      <c r="N732" s="48">
        <f t="shared" si="86"/>
        <v>59.73</v>
      </c>
      <c r="O732" s="50">
        <f t="shared" si="87"/>
        <v>118.14</v>
      </c>
      <c r="P732" s="50">
        <v>0</v>
      </c>
      <c r="Q732" s="76"/>
      <c r="R732" s="139">
        <f>2.2*1*3*(S9+S10)</f>
        <v>33</v>
      </c>
      <c r="S732" s="79">
        <v>1.4500000000000002</v>
      </c>
      <c r="T732" s="80">
        <v>1.48</v>
      </c>
    </row>
    <row r="733" spans="2:20" ht="28">
      <c r="B733" s="5" t="s">
        <v>1723</v>
      </c>
      <c r="C733" s="45" t="s">
        <v>135</v>
      </c>
      <c r="D733" s="45">
        <v>99811</v>
      </c>
      <c r="E733" s="6" t="s">
        <v>1851</v>
      </c>
      <c r="F733" s="45" t="s">
        <v>121</v>
      </c>
      <c r="G733" s="46">
        <f t="shared" si="81"/>
        <v>250</v>
      </c>
      <c r="H733" s="46">
        <f>TRUNC(S733*(1-LOTE_01!$K$10),2)</f>
        <v>0.24</v>
      </c>
      <c r="I733" s="46">
        <f>TRUNC(T733*(1-LOTE_01!$K$10),2)</f>
        <v>0.46</v>
      </c>
      <c r="J733" s="100">
        <f t="shared" si="82"/>
        <v>0.22470000000000001</v>
      </c>
      <c r="K733" s="48">
        <f t="shared" si="83"/>
        <v>0.28999999999999998</v>
      </c>
      <c r="L733" s="48">
        <f t="shared" si="84"/>
        <v>0.56000000000000005</v>
      </c>
      <c r="M733" s="48">
        <f t="shared" si="85"/>
        <v>72.5</v>
      </c>
      <c r="N733" s="48">
        <f t="shared" si="86"/>
        <v>140</v>
      </c>
      <c r="O733" s="50">
        <f t="shared" si="87"/>
        <v>212.5</v>
      </c>
      <c r="P733" s="50">
        <v>0</v>
      </c>
      <c r="Q733" s="76"/>
      <c r="R733" s="139">
        <f>50*(S9+S10)</f>
        <v>250</v>
      </c>
      <c r="S733" s="79">
        <v>0.23999999999999994</v>
      </c>
      <c r="T733" s="80">
        <v>0.46</v>
      </c>
    </row>
    <row r="734" spans="2:20" ht="42">
      <c r="B734" s="5" t="s">
        <v>1724</v>
      </c>
      <c r="C734" s="45" t="s">
        <v>135</v>
      </c>
      <c r="D734" s="45">
        <v>99805</v>
      </c>
      <c r="E734" s="6" t="s">
        <v>1840</v>
      </c>
      <c r="F734" s="45" t="s">
        <v>121</v>
      </c>
      <c r="G734" s="46">
        <f t="shared" si="81"/>
        <v>2000</v>
      </c>
      <c r="H734" s="46">
        <f>TRUNC(S734*(1-LOTE_01!$K$10),2)</f>
        <v>4.53</v>
      </c>
      <c r="I734" s="46">
        <f>TRUNC(T734*(1-LOTE_01!$K$10),2)</f>
        <v>7.3</v>
      </c>
      <c r="J734" s="100">
        <f t="shared" si="82"/>
        <v>0.22470000000000001</v>
      </c>
      <c r="K734" s="48">
        <f t="shared" si="83"/>
        <v>5.54</v>
      </c>
      <c r="L734" s="48">
        <f t="shared" si="84"/>
        <v>8.94</v>
      </c>
      <c r="M734" s="48">
        <f t="shared" si="85"/>
        <v>11080</v>
      </c>
      <c r="N734" s="48">
        <f t="shared" si="86"/>
        <v>17880</v>
      </c>
      <c r="O734" s="50">
        <f t="shared" si="87"/>
        <v>28960</v>
      </c>
      <c r="P734" s="50">
        <v>0</v>
      </c>
      <c r="Q734" s="76"/>
      <c r="R734" s="139">
        <f>400*(S9+S10)</f>
        <v>2000</v>
      </c>
      <c r="S734" s="79">
        <v>4.53</v>
      </c>
      <c r="T734" s="80">
        <v>7.3</v>
      </c>
    </row>
    <row r="735" spans="2:20">
      <c r="B735" s="5" t="s">
        <v>1725</v>
      </c>
      <c r="C735" s="45" t="s">
        <v>97</v>
      </c>
      <c r="D735" s="45" t="s">
        <v>1728</v>
      </c>
      <c r="E735" s="6" t="s">
        <v>1729</v>
      </c>
      <c r="F735" s="45" t="s">
        <v>104</v>
      </c>
      <c r="G735" s="46">
        <f t="shared" si="81"/>
        <v>5</v>
      </c>
      <c r="H735" s="46">
        <f>TRUNC(S735*(1-LOTE_01!$K$10),2)</f>
        <v>913.63</v>
      </c>
      <c r="I735" s="46">
        <f>TRUNC(T735*(1-LOTE_01!$K$10),2)</f>
        <v>246.45</v>
      </c>
      <c r="J735" s="100">
        <f t="shared" si="82"/>
        <v>0.22470000000000001</v>
      </c>
      <c r="K735" s="48">
        <f t="shared" si="83"/>
        <v>1118.92</v>
      </c>
      <c r="L735" s="48">
        <f t="shared" si="84"/>
        <v>301.82</v>
      </c>
      <c r="M735" s="48">
        <f t="shared" si="85"/>
        <v>5594.6</v>
      </c>
      <c r="N735" s="48">
        <f t="shared" si="86"/>
        <v>1509.1</v>
      </c>
      <c r="O735" s="50">
        <f t="shared" si="87"/>
        <v>7103.7</v>
      </c>
      <c r="P735" s="50">
        <v>0</v>
      </c>
      <c r="Q735" s="76"/>
      <c r="R735" s="139">
        <f>1*(S9+S10)</f>
        <v>5</v>
      </c>
      <c r="S735" s="79">
        <v>913.63</v>
      </c>
      <c r="T735" s="80">
        <v>246.45</v>
      </c>
    </row>
    <row r="736" spans="2:20">
      <c r="B736" s="5" t="s">
        <v>1726</v>
      </c>
      <c r="C736" s="45" t="s">
        <v>97</v>
      </c>
      <c r="D736" s="45" t="s">
        <v>1730</v>
      </c>
      <c r="E736" s="6" t="s">
        <v>1731</v>
      </c>
      <c r="F736" s="45" t="s">
        <v>104</v>
      </c>
      <c r="G736" s="46">
        <f t="shared" si="81"/>
        <v>5</v>
      </c>
      <c r="H736" s="46">
        <f>TRUNC(S736*(1-LOTE_01!$K$10),2)</f>
        <v>2279.12</v>
      </c>
      <c r="I736" s="46">
        <f>TRUNC(T736*(1-LOTE_01!$K$10),2)</f>
        <v>389.85</v>
      </c>
      <c r="J736" s="100">
        <f t="shared" si="82"/>
        <v>0.22470000000000001</v>
      </c>
      <c r="K736" s="48">
        <f t="shared" si="83"/>
        <v>2791.23</v>
      </c>
      <c r="L736" s="48">
        <f t="shared" si="84"/>
        <v>477.44</v>
      </c>
      <c r="M736" s="48">
        <f t="shared" si="85"/>
        <v>13956.15</v>
      </c>
      <c r="N736" s="48">
        <f t="shared" si="86"/>
        <v>2387.1999999999998</v>
      </c>
      <c r="O736" s="50">
        <f t="shared" si="87"/>
        <v>16343.35</v>
      </c>
      <c r="P736" s="50">
        <v>0</v>
      </c>
      <c r="Q736" s="76"/>
      <c r="R736" s="139">
        <f>1*(S9+S10)</f>
        <v>5</v>
      </c>
      <c r="S736" s="79">
        <v>2279.12</v>
      </c>
      <c r="T736" s="80">
        <v>389.85</v>
      </c>
    </row>
    <row r="737" spans="2:20">
      <c r="B737" s="5" t="s">
        <v>1727</v>
      </c>
      <c r="C737" s="45" t="s">
        <v>97</v>
      </c>
      <c r="D737" s="45" t="s">
        <v>1732</v>
      </c>
      <c r="E737" s="6" t="s">
        <v>1733</v>
      </c>
      <c r="F737" s="45" t="s">
        <v>104</v>
      </c>
      <c r="G737" s="46">
        <f t="shared" si="81"/>
        <v>5</v>
      </c>
      <c r="H737" s="46">
        <f>TRUNC(S737*(1-LOTE_01!$K$10),2)</f>
        <v>8311.9500000000007</v>
      </c>
      <c r="I737" s="46">
        <f>TRUNC(T737*(1-LOTE_01!$K$10),2)</f>
        <v>1207.68</v>
      </c>
      <c r="J737" s="100">
        <f t="shared" si="82"/>
        <v>0.22470000000000001</v>
      </c>
      <c r="K737" s="48">
        <f t="shared" si="83"/>
        <v>10179.64</v>
      </c>
      <c r="L737" s="48">
        <f t="shared" si="84"/>
        <v>1479.04</v>
      </c>
      <c r="M737" s="48">
        <f t="shared" si="85"/>
        <v>50898.2</v>
      </c>
      <c r="N737" s="48">
        <f t="shared" si="86"/>
        <v>7395.2</v>
      </c>
      <c r="O737" s="50">
        <f t="shared" si="87"/>
        <v>58293.4</v>
      </c>
      <c r="P737" s="50">
        <v>0</v>
      </c>
      <c r="Q737" s="76"/>
      <c r="R737" s="139">
        <f>1*(S9+S10)</f>
        <v>5</v>
      </c>
      <c r="S737" s="79">
        <v>8311.9500000000007</v>
      </c>
      <c r="T737" s="80">
        <v>1207.68</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9824582.4500000011</v>
      </c>
      <c r="N741" s="58">
        <f>SUM(N15:N740)</f>
        <v>3017483.5000000047</v>
      </c>
      <c r="O741" s="58">
        <f t="shared" ref="O741:P741" si="91">SUM(O15:O740)</f>
        <v>12842065.949999997</v>
      </c>
      <c r="P741" s="58">
        <f t="shared" si="91"/>
        <v>12842065.949999999</v>
      </c>
      <c r="Q741" s="78"/>
      <c r="R741" s="78"/>
      <c r="S741" s="78"/>
    </row>
  </sheetData>
  <sheetProtection selectLockedCells="1"/>
  <protectedRanges>
    <protectedRange sqref="E15:F33 G739:O739 S15 E179:F471 G179:G429 G124 G132 G134 G150:G159 G431:G689 J179:J737 M738:O738 M15:Q15 G15:J15 G16:G114 E35:F176 J16:J176 P16:Q176 G161:G176 B15:B176 S16:T176 G691:G737 P179:Q740 B179:B739 S179:T738 E473:F739" name="Intervalo1_7_1"/>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R15" name="Intervalo1_3_1_2_1_1"/>
    <protectedRange sqref="B177 S177:T177 E177:G177 P177:Q177 J177" name="Intervalo1_3_1_2"/>
    <protectedRange sqref="G115:G123 G125:G131 G133 G135:G149 G160 G430 G690" name="Intervalo1_7_1_2"/>
    <protectedRange sqref="B178 S178:T178 E178:G178 P178:Q178 J178" name="Intervalo1_5_1_1_1"/>
    <protectedRange sqref="K15:L737" name="Intervalo1"/>
    <protectedRange sqref="M16:O737" name="Intervalo1_3"/>
    <protectedRange sqref="H16:I737" name="Intervalo1_2_1"/>
    <protectedRange sqref="R663 R684 R192:R194 R306 R310" name="Intervalo1_3_1"/>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9000000}"/>
  <mergeCells count="4">
    <mergeCell ref="H13:I13"/>
    <mergeCell ref="J13:J14"/>
    <mergeCell ref="M13:P13"/>
    <mergeCell ref="K13:L13"/>
  </mergeCells>
  <conditionalFormatting sqref="R15:R176 R179:R683">
    <cfRule type="expression" dxfId="41" priority="3" stopIfTrue="1">
      <formula>P15="-"</formula>
    </cfRule>
  </conditionalFormatting>
  <conditionalFormatting sqref="R15:R683">
    <cfRule type="cellIs" dxfId="40" priority="1" stopIfTrue="1" operator="equal">
      <formula>""</formula>
    </cfRule>
  </conditionalFormatting>
  <conditionalFormatting sqref="R177:R178">
    <cfRule type="expression" dxfId="39" priority="2" stopIfTrue="1">
      <formula>Q177="-"</formula>
    </cfRule>
  </conditionalFormatting>
  <conditionalFormatting sqref="R684">
    <cfRule type="cellIs" dxfId="38" priority="6" stopIfTrue="1" operator="equal">
      <formula>0</formula>
    </cfRule>
    <cfRule type="expression" dxfId="37" priority="7" stopIfTrue="1">
      <formula>I684="-"</formula>
    </cfRule>
  </conditionalFormatting>
  <conditionalFormatting sqref="R685:R737">
    <cfRule type="cellIs" dxfId="36" priority="4" stopIfTrue="1" operator="equal">
      <formula>""</formula>
    </cfRule>
    <cfRule type="expression" dxfId="35"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T741"/>
  <sheetViews>
    <sheetView topLeftCell="H1" zoomScale="55" zoomScaleNormal="55" workbookViewId="0">
      <selection activeCell="N10" sqref="N10"/>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1.90625" style="66" customWidth="1"/>
    <col min="12" max="12" width="12.81640625" style="66" customWidth="1"/>
    <col min="13" max="13" width="14.08984375" style="51" customWidth="1"/>
    <col min="14" max="14" width="14.90625" style="51" customWidth="1"/>
    <col min="15" max="15" width="16.1796875" style="51" customWidth="1"/>
    <col min="16" max="16" width="15.1796875" style="51" customWidth="1"/>
    <col min="17" max="17" width="5.2695312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73</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1.1941999999999999</v>
      </c>
    </row>
    <row r="6" spans="2:20" s="8" customFormat="1">
      <c r="D6" s="4"/>
      <c r="E6" s="16" t="s">
        <v>2</v>
      </c>
      <c r="F6" s="23" t="s">
        <v>1764</v>
      </c>
      <c r="G6" s="121"/>
      <c r="H6" s="18"/>
      <c r="N6" s="27" t="s">
        <v>4</v>
      </c>
      <c r="O6" s="28">
        <f>O741</f>
        <v>94874389.860000014</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81</v>
      </c>
      <c r="F9" s="33"/>
      <c r="G9" s="34"/>
      <c r="H9" s="34"/>
      <c r="I9" s="35"/>
      <c r="J9" s="35"/>
      <c r="K9" s="35"/>
      <c r="L9" s="35"/>
      <c r="M9" s="31"/>
      <c r="N9" s="67"/>
      <c r="O9" s="68"/>
      <c r="R9" s="143" t="s">
        <v>1744</v>
      </c>
      <c r="S9" s="144">
        <v>20</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25</v>
      </c>
    </row>
    <row r="11" spans="2:20" s="8" customFormat="1">
      <c r="C11" s="135"/>
      <c r="E11" s="136" t="s">
        <v>165</v>
      </c>
      <c r="F11" s="137" t="s">
        <v>1853</v>
      </c>
      <c r="G11" s="134" t="s">
        <v>1749</v>
      </c>
      <c r="H11" s="134"/>
      <c r="I11" s="133">
        <v>46082</v>
      </c>
      <c r="J11" s="35"/>
      <c r="K11" s="35"/>
      <c r="L11" s="35"/>
      <c r="M11" s="31"/>
      <c r="N11" s="67"/>
      <c r="O11" s="68"/>
      <c r="R11" s="145" t="s">
        <v>77</v>
      </c>
      <c r="S11" s="146">
        <f>S9+S10</f>
        <v>45</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5690419.1999999993</v>
      </c>
      <c r="Q15" s="107"/>
      <c r="R15" s="139"/>
      <c r="S15" s="76" t="s">
        <v>22</v>
      </c>
      <c r="T15" s="51" t="s">
        <v>22</v>
      </c>
    </row>
    <row r="16" spans="2:20" ht="28">
      <c r="B16" s="5" t="s">
        <v>96</v>
      </c>
      <c r="C16" s="45" t="s">
        <v>97</v>
      </c>
      <c r="D16" s="45" t="s">
        <v>98</v>
      </c>
      <c r="E16" s="6" t="s">
        <v>99</v>
      </c>
      <c r="F16" s="45" t="s">
        <v>100</v>
      </c>
      <c r="G16" s="46">
        <f>TRUNC(R16,2)</f>
        <v>45</v>
      </c>
      <c r="H16" s="46">
        <f>TRUNC(S16*(1-LOTE_02!$K$10),2)</f>
        <v>1083.29</v>
      </c>
      <c r="I16" s="46">
        <f>TRUNC(T16*(1-LOTE_02!$K$10),2)</f>
        <v>0</v>
      </c>
      <c r="J16" s="100">
        <f>$J$4</f>
        <v>0.22470000000000001</v>
      </c>
      <c r="K16" s="48">
        <f>TRUNC(H16*(1+J16),2)</f>
        <v>1326.7</v>
      </c>
      <c r="L16" s="48">
        <f>TRUNC(I16*(1+J16),2)</f>
        <v>0</v>
      </c>
      <c r="M16" s="48">
        <f>TRUNC(K16*G16,2)</f>
        <v>59701.5</v>
      </c>
      <c r="N16" s="48">
        <f>TRUNC(L16*G16,2)</f>
        <v>0</v>
      </c>
      <c r="O16" s="50">
        <f>TRUNC(M16+N16,2)</f>
        <v>59701.5</v>
      </c>
      <c r="P16" s="50">
        <v>0</v>
      </c>
      <c r="Q16" s="76"/>
      <c r="R16" s="140">
        <f>S9+S10</f>
        <v>45</v>
      </c>
      <c r="S16" s="79">
        <v>1083.29</v>
      </c>
      <c r="T16" s="80">
        <v>0</v>
      </c>
    </row>
    <row r="17" spans="2:20" ht="28">
      <c r="B17" s="5" t="s">
        <v>101</v>
      </c>
      <c r="C17" s="45" t="s">
        <v>97</v>
      </c>
      <c r="D17" s="45" t="s">
        <v>102</v>
      </c>
      <c r="E17" s="6" t="s">
        <v>103</v>
      </c>
      <c r="F17" s="45" t="s">
        <v>104</v>
      </c>
      <c r="G17" s="46">
        <f t="shared" ref="G17:G80" si="0">TRUNC(R17,2)</f>
        <v>45</v>
      </c>
      <c r="H17" s="46">
        <f>TRUNC(S17*(1-LOTE_02!$K$10),2)</f>
        <v>881.17</v>
      </c>
      <c r="I17" s="46">
        <f>TRUNC(T17*(1-LOTE_02!$K$10),2)</f>
        <v>0</v>
      </c>
      <c r="J17" s="100">
        <f t="shared" ref="J17:J80" si="1">$J$4</f>
        <v>0.22470000000000001</v>
      </c>
      <c r="K17" s="48">
        <f t="shared" ref="K17:K80" si="2">TRUNC(H17*(1+J17),2)</f>
        <v>1079.1600000000001</v>
      </c>
      <c r="L17" s="48">
        <f t="shared" ref="L17:L80" si="3">TRUNC(I17*(1+J17),2)</f>
        <v>0</v>
      </c>
      <c r="M17" s="48">
        <f t="shared" ref="M17:M80" si="4">TRUNC(K17*G17,2)</f>
        <v>48562.2</v>
      </c>
      <c r="N17" s="48">
        <f t="shared" ref="N17:N80" si="5">TRUNC(L17*G17,2)</f>
        <v>0</v>
      </c>
      <c r="O17" s="50">
        <f t="shared" ref="O17:O80" si="6">TRUNC(M17+N17,2)</f>
        <v>48562.2</v>
      </c>
      <c r="P17" s="50">
        <v>0</v>
      </c>
      <c r="Q17" s="76"/>
      <c r="R17" s="140">
        <f>IF((S9+S10)&gt;50,50,(S9+S10))</f>
        <v>45</v>
      </c>
      <c r="S17" s="79">
        <v>881.17</v>
      </c>
      <c r="T17" s="80">
        <v>0</v>
      </c>
    </row>
    <row r="18" spans="2:20" ht="70">
      <c r="B18" s="5" t="s">
        <v>105</v>
      </c>
      <c r="C18" s="45" t="s">
        <v>97</v>
      </c>
      <c r="D18" s="45" t="s">
        <v>106</v>
      </c>
      <c r="E18" s="6" t="s">
        <v>107</v>
      </c>
      <c r="F18" s="45" t="s">
        <v>104</v>
      </c>
      <c r="G18" s="46">
        <f t="shared" si="0"/>
        <v>45</v>
      </c>
      <c r="H18" s="46">
        <f>TRUNC(S18*(1-LOTE_02!$K$10),2)</f>
        <v>325.76</v>
      </c>
      <c r="I18" s="46">
        <f>TRUNC(T18*(1-LOTE_02!$K$10),2)</f>
        <v>0</v>
      </c>
      <c r="J18" s="100">
        <f t="shared" si="1"/>
        <v>0.22470000000000001</v>
      </c>
      <c r="K18" s="48">
        <f t="shared" si="2"/>
        <v>398.95</v>
      </c>
      <c r="L18" s="48">
        <f t="shared" si="3"/>
        <v>0</v>
      </c>
      <c r="M18" s="48">
        <f t="shared" si="4"/>
        <v>17952.75</v>
      </c>
      <c r="N18" s="48">
        <f t="shared" si="5"/>
        <v>0</v>
      </c>
      <c r="O18" s="50">
        <f t="shared" si="6"/>
        <v>17952.75</v>
      </c>
      <c r="P18" s="50">
        <v>0</v>
      </c>
      <c r="Q18" s="76"/>
      <c r="R18" s="140">
        <f>1*(S9+S10)</f>
        <v>45</v>
      </c>
      <c r="S18" s="79">
        <v>325.76</v>
      </c>
      <c r="T18" s="80">
        <v>0</v>
      </c>
    </row>
    <row r="19" spans="2:20" ht="84">
      <c r="B19" s="5" t="s">
        <v>108</v>
      </c>
      <c r="C19" s="45" t="s">
        <v>97</v>
      </c>
      <c r="D19" s="45" t="s">
        <v>109</v>
      </c>
      <c r="E19" s="6" t="s">
        <v>110</v>
      </c>
      <c r="F19" s="45" t="s">
        <v>111</v>
      </c>
      <c r="G19" s="46">
        <f t="shared" si="0"/>
        <v>45</v>
      </c>
      <c r="H19" s="46">
        <f>TRUNC(S19*(1-LOTE_02!$K$10),2)</f>
        <v>448.8</v>
      </c>
      <c r="I19" s="46">
        <f>TRUNC(T19*(1-LOTE_02!$K$10),2)</f>
        <v>25481.279999999999</v>
      </c>
      <c r="J19" s="100">
        <f t="shared" si="1"/>
        <v>0.22470000000000001</v>
      </c>
      <c r="K19" s="48">
        <f>TRUNC(H19*(1+J19),2)</f>
        <v>549.64</v>
      </c>
      <c r="L19" s="48">
        <f>TRUNC(I19*(1+J19),2)</f>
        <v>31206.92</v>
      </c>
      <c r="M19" s="48">
        <f>TRUNC(K19*G19,2)</f>
        <v>24733.8</v>
      </c>
      <c r="N19" s="48">
        <f>TRUNC(L19*G19,2)</f>
        <v>1404311.4</v>
      </c>
      <c r="O19" s="50">
        <f>TRUNC(M19+N19,2)</f>
        <v>1429045.2</v>
      </c>
      <c r="P19" s="50">
        <v>0</v>
      </c>
      <c r="Q19" s="76"/>
      <c r="R19" s="140">
        <f>S9+S10</f>
        <v>45</v>
      </c>
      <c r="S19" s="79">
        <v>448.8</v>
      </c>
      <c r="T19" s="80">
        <v>25481.279999999999</v>
      </c>
    </row>
    <row r="20" spans="2:20" ht="70">
      <c r="B20" s="5" t="s">
        <v>112</v>
      </c>
      <c r="C20" s="45" t="s">
        <v>97</v>
      </c>
      <c r="D20" s="45" t="s">
        <v>113</v>
      </c>
      <c r="E20" s="6" t="s">
        <v>114</v>
      </c>
      <c r="F20" s="45" t="s">
        <v>111</v>
      </c>
      <c r="G20" s="46">
        <f t="shared" si="0"/>
        <v>90</v>
      </c>
      <c r="H20" s="46">
        <f>TRUNC(S20*(1-LOTE_02!$K$10),2)</f>
        <v>626.54999999999995</v>
      </c>
      <c r="I20" s="46">
        <f>TRUNC(T20*(1-LOTE_02!$K$10),2)</f>
        <v>7935.84</v>
      </c>
      <c r="J20" s="100">
        <f t="shared" si="1"/>
        <v>0.22470000000000001</v>
      </c>
      <c r="K20" s="48">
        <f t="shared" si="2"/>
        <v>767.33</v>
      </c>
      <c r="L20" s="48">
        <f t="shared" si="3"/>
        <v>9719.02</v>
      </c>
      <c r="M20" s="48">
        <f t="shared" si="4"/>
        <v>69059.7</v>
      </c>
      <c r="N20" s="48">
        <f t="shared" si="5"/>
        <v>874711.8</v>
      </c>
      <c r="O20" s="50">
        <f t="shared" si="6"/>
        <v>943771.5</v>
      </c>
      <c r="P20" s="50">
        <v>0</v>
      </c>
      <c r="Q20" s="76"/>
      <c r="R20" s="140">
        <f>2*S9+2*S10</f>
        <v>90</v>
      </c>
      <c r="S20" s="79">
        <v>626.54999999999995</v>
      </c>
      <c r="T20" s="80">
        <v>7935.84</v>
      </c>
    </row>
    <row r="21" spans="2:20" ht="70">
      <c r="B21" s="5" t="s">
        <v>115</v>
      </c>
      <c r="C21" s="45" t="s">
        <v>97</v>
      </c>
      <c r="D21" s="45" t="s">
        <v>116</v>
      </c>
      <c r="E21" s="6" t="s">
        <v>117</v>
      </c>
      <c r="F21" s="45" t="s">
        <v>111</v>
      </c>
      <c r="G21" s="46">
        <f t="shared" si="0"/>
        <v>90</v>
      </c>
      <c r="H21" s="46">
        <f>TRUNC(S21*(1-LOTE_02!$K$10),2)</f>
        <v>713.55</v>
      </c>
      <c r="I21" s="46">
        <f>TRUNC(T21*(1-LOTE_02!$K$10),2)</f>
        <v>6246.13</v>
      </c>
      <c r="J21" s="100">
        <f t="shared" si="1"/>
        <v>0.22470000000000001</v>
      </c>
      <c r="K21" s="48">
        <f>TRUNC(H21*(1+J21),2)</f>
        <v>873.88</v>
      </c>
      <c r="L21" s="48">
        <f>TRUNC(I21*(1+J21),2)</f>
        <v>7649.63</v>
      </c>
      <c r="M21" s="48">
        <f>TRUNC(K21*G21,2)</f>
        <v>78649.2</v>
      </c>
      <c r="N21" s="48">
        <f>TRUNC(L21*G21,2)</f>
        <v>688466.7</v>
      </c>
      <c r="O21" s="50">
        <f>TRUNC(M21+N21,2)</f>
        <v>767115.9</v>
      </c>
      <c r="P21" s="50">
        <v>0</v>
      </c>
      <c r="Q21" s="76"/>
      <c r="R21" s="140">
        <f>2*S9+2*S10</f>
        <v>90</v>
      </c>
      <c r="S21" s="79">
        <v>713.55</v>
      </c>
      <c r="T21" s="80">
        <v>6246.13</v>
      </c>
    </row>
    <row r="22" spans="2:20">
      <c r="B22" s="5" t="s">
        <v>118</v>
      </c>
      <c r="C22" s="45" t="s">
        <v>97</v>
      </c>
      <c r="D22" s="45" t="s">
        <v>119</v>
      </c>
      <c r="E22" s="6" t="s">
        <v>120</v>
      </c>
      <c r="F22" s="45" t="s">
        <v>121</v>
      </c>
      <c r="G22" s="46">
        <f t="shared" si="0"/>
        <v>18000</v>
      </c>
      <c r="H22" s="46">
        <f>TRUNC(S22*(1-LOTE_02!$K$10),2)</f>
        <v>0</v>
      </c>
      <c r="I22" s="46">
        <f>TRUNC(T22*(1-LOTE_02!$K$10),2)</f>
        <v>27.5</v>
      </c>
      <c r="J22" s="100">
        <f t="shared" si="1"/>
        <v>0.22470000000000001</v>
      </c>
      <c r="K22" s="48">
        <f t="shared" si="2"/>
        <v>0</v>
      </c>
      <c r="L22" s="48">
        <f t="shared" si="3"/>
        <v>33.67</v>
      </c>
      <c r="M22" s="48">
        <f t="shared" si="4"/>
        <v>0</v>
      </c>
      <c r="N22" s="48">
        <f t="shared" si="5"/>
        <v>606060</v>
      </c>
      <c r="O22" s="50">
        <f t="shared" si="6"/>
        <v>606060</v>
      </c>
      <c r="P22" s="50">
        <v>0</v>
      </c>
      <c r="Q22" s="76"/>
      <c r="R22" s="140">
        <f>400*(S9+S10)</f>
        <v>18000</v>
      </c>
      <c r="S22" s="79">
        <v>0</v>
      </c>
      <c r="T22" s="80">
        <v>27.5</v>
      </c>
    </row>
    <row r="23" spans="2:20" ht="28">
      <c r="B23" s="5" t="s">
        <v>122</v>
      </c>
      <c r="C23" s="45" t="s">
        <v>97</v>
      </c>
      <c r="D23" s="45" t="s">
        <v>123</v>
      </c>
      <c r="E23" s="6" t="s">
        <v>124</v>
      </c>
      <c r="F23" s="45" t="s">
        <v>121</v>
      </c>
      <c r="G23" s="46">
        <f t="shared" si="0"/>
        <v>18000</v>
      </c>
      <c r="H23" s="46">
        <f>TRUNC(S23*(1-LOTE_02!$K$10),2)</f>
        <v>0</v>
      </c>
      <c r="I23" s="46">
        <f>TRUNC(T23*(1-LOTE_02!$K$10),2)</f>
        <v>3.6</v>
      </c>
      <c r="J23" s="100">
        <f t="shared" si="1"/>
        <v>0.22470000000000001</v>
      </c>
      <c r="K23" s="48">
        <f t="shared" si="2"/>
        <v>0</v>
      </c>
      <c r="L23" s="48">
        <f t="shared" si="3"/>
        <v>4.4000000000000004</v>
      </c>
      <c r="M23" s="48">
        <f t="shared" si="4"/>
        <v>0</v>
      </c>
      <c r="N23" s="48">
        <f t="shared" si="5"/>
        <v>79200</v>
      </c>
      <c r="O23" s="50">
        <f t="shared" si="6"/>
        <v>79200</v>
      </c>
      <c r="P23" s="50">
        <v>0</v>
      </c>
      <c r="Q23" s="76"/>
      <c r="R23" s="140">
        <f>400*(S9+S10)</f>
        <v>18000</v>
      </c>
      <c r="S23" s="79">
        <v>0</v>
      </c>
      <c r="T23" s="80">
        <v>3.6</v>
      </c>
    </row>
    <row r="24" spans="2:20" ht="28">
      <c r="B24" s="5" t="s">
        <v>125</v>
      </c>
      <c r="C24" s="45" t="s">
        <v>97</v>
      </c>
      <c r="D24" s="45" t="s">
        <v>126</v>
      </c>
      <c r="E24" s="6" t="s">
        <v>127</v>
      </c>
      <c r="F24" s="45" t="s">
        <v>121</v>
      </c>
      <c r="G24" s="46">
        <f t="shared" si="0"/>
        <v>18000</v>
      </c>
      <c r="H24" s="46">
        <f>TRUNC(S24*(1-LOTE_02!$K$10),2)</f>
        <v>0</v>
      </c>
      <c r="I24" s="46">
        <f>TRUNC(T24*(1-LOTE_02!$K$10),2)</f>
        <v>8.5</v>
      </c>
      <c r="J24" s="100">
        <f t="shared" si="1"/>
        <v>0.22470000000000001</v>
      </c>
      <c r="K24" s="48">
        <f t="shared" si="2"/>
        <v>0</v>
      </c>
      <c r="L24" s="48">
        <f t="shared" si="3"/>
        <v>10.4</v>
      </c>
      <c r="M24" s="48">
        <f t="shared" si="4"/>
        <v>0</v>
      </c>
      <c r="N24" s="48">
        <f t="shared" si="5"/>
        <v>187200</v>
      </c>
      <c r="O24" s="50">
        <f t="shared" si="6"/>
        <v>187200</v>
      </c>
      <c r="P24" s="50">
        <v>0</v>
      </c>
      <c r="Q24" s="76"/>
      <c r="R24" s="140">
        <f>400*(S9+S10)</f>
        <v>18000</v>
      </c>
      <c r="S24" s="79">
        <v>0</v>
      </c>
      <c r="T24" s="80">
        <v>8.5</v>
      </c>
    </row>
    <row r="25" spans="2:20" ht="28">
      <c r="B25" s="5" t="s">
        <v>128</v>
      </c>
      <c r="C25" s="45" t="s">
        <v>97</v>
      </c>
      <c r="D25" s="45" t="s">
        <v>129</v>
      </c>
      <c r="E25" s="6" t="s">
        <v>130</v>
      </c>
      <c r="F25" s="45" t="s">
        <v>121</v>
      </c>
      <c r="G25" s="46">
        <f t="shared" si="0"/>
        <v>18000</v>
      </c>
      <c r="H25" s="46">
        <f>TRUNC(S25*(1-LOTE_02!$K$10),2)</f>
        <v>0</v>
      </c>
      <c r="I25" s="46">
        <f>TRUNC(T25*(1-LOTE_02!$K$10),2)</f>
        <v>5</v>
      </c>
      <c r="J25" s="100">
        <f t="shared" si="1"/>
        <v>0.22470000000000001</v>
      </c>
      <c r="K25" s="48">
        <f t="shared" si="2"/>
        <v>0</v>
      </c>
      <c r="L25" s="48">
        <f t="shared" si="3"/>
        <v>6.12</v>
      </c>
      <c r="M25" s="48">
        <f t="shared" si="4"/>
        <v>0</v>
      </c>
      <c r="N25" s="48">
        <f t="shared" si="5"/>
        <v>110160</v>
      </c>
      <c r="O25" s="50">
        <f t="shared" si="6"/>
        <v>110160</v>
      </c>
      <c r="P25" s="50">
        <v>0</v>
      </c>
      <c r="Q25" s="76"/>
      <c r="R25" s="140">
        <f>400*(S9+S10)</f>
        <v>18000</v>
      </c>
      <c r="S25" s="79">
        <v>0</v>
      </c>
      <c r="T25" s="80">
        <v>5</v>
      </c>
    </row>
    <row r="26" spans="2:20" ht="28">
      <c r="B26" s="5" t="s">
        <v>131</v>
      </c>
      <c r="C26" s="45" t="s">
        <v>97</v>
      </c>
      <c r="D26" s="45" t="s">
        <v>132</v>
      </c>
      <c r="E26" s="6" t="s">
        <v>133</v>
      </c>
      <c r="F26" s="45" t="s">
        <v>121</v>
      </c>
      <c r="G26" s="46">
        <f t="shared" si="0"/>
        <v>18000</v>
      </c>
      <c r="H26" s="46">
        <f>TRUNC(S26*(1-LOTE_02!$K$10),2)</f>
        <v>0</v>
      </c>
      <c r="I26" s="46">
        <f>TRUNC(T26*(1-LOTE_02!$K$10),2)</f>
        <v>5.5</v>
      </c>
      <c r="J26" s="100">
        <f t="shared" si="1"/>
        <v>0.22470000000000001</v>
      </c>
      <c r="K26" s="48">
        <f t="shared" si="2"/>
        <v>0</v>
      </c>
      <c r="L26" s="48">
        <f t="shared" si="3"/>
        <v>6.73</v>
      </c>
      <c r="M26" s="48">
        <f t="shared" si="4"/>
        <v>0</v>
      </c>
      <c r="N26" s="48">
        <f t="shared" si="5"/>
        <v>121140</v>
      </c>
      <c r="O26" s="50">
        <f t="shared" si="6"/>
        <v>121140</v>
      </c>
      <c r="P26" s="50">
        <v>0</v>
      </c>
      <c r="Q26" s="76"/>
      <c r="R26" s="140">
        <f>400*(S9+S10)</f>
        <v>18000</v>
      </c>
      <c r="S26" s="79">
        <v>0</v>
      </c>
      <c r="T26" s="80">
        <v>5.5</v>
      </c>
    </row>
    <row r="27" spans="2:20" ht="28">
      <c r="B27" s="5" t="s">
        <v>134</v>
      </c>
      <c r="C27" s="45" t="s">
        <v>135</v>
      </c>
      <c r="D27" s="45">
        <v>90769</v>
      </c>
      <c r="E27" s="6" t="s">
        <v>136</v>
      </c>
      <c r="F27" s="45" t="s">
        <v>137</v>
      </c>
      <c r="G27" s="46">
        <f t="shared" si="0"/>
        <v>2250</v>
      </c>
      <c r="H27" s="46">
        <f>TRUNC(S27*(1-LOTE_02!$K$10),2)</f>
        <v>2.56</v>
      </c>
      <c r="I27" s="46">
        <f>TRUNC(T27*(1-LOTE_02!$K$10),2)</f>
        <v>149.38999999999999</v>
      </c>
      <c r="J27" s="100">
        <f t="shared" si="1"/>
        <v>0.22470000000000001</v>
      </c>
      <c r="K27" s="48">
        <f t="shared" si="2"/>
        <v>3.13</v>
      </c>
      <c r="L27" s="48">
        <f t="shared" si="3"/>
        <v>182.95</v>
      </c>
      <c r="M27" s="48">
        <f t="shared" si="4"/>
        <v>7042.5</v>
      </c>
      <c r="N27" s="48">
        <f t="shared" si="5"/>
        <v>411637.5</v>
      </c>
      <c r="O27" s="50">
        <f t="shared" si="6"/>
        <v>418680</v>
      </c>
      <c r="P27" s="50">
        <v>0</v>
      </c>
      <c r="Q27" s="76"/>
      <c r="R27" s="140">
        <f>IF((50*S10+50*S9),(50*S10+50*S9))</f>
        <v>2250</v>
      </c>
      <c r="S27" s="79">
        <v>2.5600000000000023</v>
      </c>
      <c r="T27" s="80">
        <v>149.38999999999999</v>
      </c>
    </row>
    <row r="28" spans="2:20" ht="28">
      <c r="B28" s="5" t="s">
        <v>138</v>
      </c>
      <c r="C28" s="45" t="s">
        <v>135</v>
      </c>
      <c r="D28" s="45">
        <v>90778</v>
      </c>
      <c r="E28" s="6" t="s">
        <v>139</v>
      </c>
      <c r="F28" s="45" t="s">
        <v>137</v>
      </c>
      <c r="G28" s="46">
        <f t="shared" si="0"/>
        <v>1000</v>
      </c>
      <c r="H28" s="46">
        <f>TRUNC(S28*(1-LOTE_02!$K$10),2)</f>
        <v>2.5499999999999998</v>
      </c>
      <c r="I28" s="46">
        <f>TRUNC(T28*(1-LOTE_02!$K$10),2)</f>
        <v>151.69999999999999</v>
      </c>
      <c r="J28" s="100">
        <f t="shared" si="1"/>
        <v>0.22470000000000001</v>
      </c>
      <c r="K28" s="48">
        <f t="shared" si="2"/>
        <v>3.12</v>
      </c>
      <c r="L28" s="48">
        <f t="shared" si="3"/>
        <v>185.78</v>
      </c>
      <c r="M28" s="48">
        <f t="shared" si="4"/>
        <v>3120</v>
      </c>
      <c r="N28" s="48">
        <f t="shared" si="5"/>
        <v>185780</v>
      </c>
      <c r="O28" s="50">
        <f t="shared" si="6"/>
        <v>188900</v>
      </c>
      <c r="P28" s="50">
        <v>0</v>
      </c>
      <c r="Q28" s="76"/>
      <c r="R28" s="140">
        <f>IF((50*S10+50*S9)&gt;1000,1000,(50*S10+50*S9))</f>
        <v>1000</v>
      </c>
      <c r="S28" s="79">
        <v>2.5500000000000114</v>
      </c>
      <c r="T28" s="80">
        <v>151.69999999999999</v>
      </c>
    </row>
    <row r="29" spans="2:20" ht="42">
      <c r="B29" s="5" t="s">
        <v>140</v>
      </c>
      <c r="C29" s="45" t="s">
        <v>97</v>
      </c>
      <c r="D29" s="45" t="s">
        <v>141</v>
      </c>
      <c r="E29" s="6" t="s">
        <v>142</v>
      </c>
      <c r="F29" s="45" t="s">
        <v>111</v>
      </c>
      <c r="G29" s="46">
        <f t="shared" si="0"/>
        <v>10</v>
      </c>
      <c r="H29" s="46">
        <f>TRUNC(S29*(1-LOTE_02!$K$10),2)</f>
        <v>71.28</v>
      </c>
      <c r="I29" s="46">
        <f>TRUNC(T29*(1-LOTE_02!$K$10),2)</f>
        <v>1006.8</v>
      </c>
      <c r="J29" s="100">
        <f t="shared" si="1"/>
        <v>0.22470000000000001</v>
      </c>
      <c r="K29" s="48">
        <f t="shared" si="2"/>
        <v>87.29</v>
      </c>
      <c r="L29" s="48">
        <f t="shared" si="3"/>
        <v>1233.02</v>
      </c>
      <c r="M29" s="48">
        <f t="shared" si="4"/>
        <v>872.9</v>
      </c>
      <c r="N29" s="48">
        <f t="shared" si="5"/>
        <v>12330.2</v>
      </c>
      <c r="O29" s="50">
        <f t="shared" si="6"/>
        <v>13203.1</v>
      </c>
      <c r="P29" s="50">
        <v>0</v>
      </c>
      <c r="Q29" s="76"/>
      <c r="R29" s="140">
        <f>IF((2*S9+2*S10)&gt;10,10,(2*S9+2*S10))</f>
        <v>10</v>
      </c>
      <c r="S29" s="79">
        <v>71.28</v>
      </c>
      <c r="T29" s="80">
        <v>1006.8</v>
      </c>
    </row>
    <row r="30" spans="2:20">
      <c r="B30" s="5" t="s">
        <v>143</v>
      </c>
      <c r="C30" s="45" t="s">
        <v>97</v>
      </c>
      <c r="D30" s="45" t="s">
        <v>144</v>
      </c>
      <c r="E30" s="6" t="s">
        <v>145</v>
      </c>
      <c r="F30" s="45" t="s">
        <v>104</v>
      </c>
      <c r="G30" s="46">
        <f t="shared" si="0"/>
        <v>45</v>
      </c>
      <c r="H30" s="46">
        <f>TRUNC(S30*(1-LOTE_02!$K$10),2)</f>
        <v>931.99</v>
      </c>
      <c r="I30" s="46">
        <f>TRUNC(T30*(1-LOTE_02!$K$10),2)</f>
        <v>234.18</v>
      </c>
      <c r="J30" s="100">
        <f t="shared" si="1"/>
        <v>0.22470000000000001</v>
      </c>
      <c r="K30" s="48">
        <f t="shared" si="2"/>
        <v>1141.4000000000001</v>
      </c>
      <c r="L30" s="48">
        <f t="shared" si="3"/>
        <v>286.8</v>
      </c>
      <c r="M30" s="48">
        <f t="shared" si="4"/>
        <v>51363</v>
      </c>
      <c r="N30" s="48">
        <f t="shared" si="5"/>
        <v>12906</v>
      </c>
      <c r="O30" s="50">
        <f t="shared" si="6"/>
        <v>64269</v>
      </c>
      <c r="P30" s="50">
        <v>0</v>
      </c>
      <c r="Q30" s="76"/>
      <c r="R30" s="140">
        <f>S9+S10</f>
        <v>45</v>
      </c>
      <c r="S30" s="79">
        <v>931.99</v>
      </c>
      <c r="T30" s="80">
        <v>234.18</v>
      </c>
    </row>
    <row r="31" spans="2:20" ht="28">
      <c r="B31" s="5" t="s">
        <v>146</v>
      </c>
      <c r="C31" s="45" t="s">
        <v>97</v>
      </c>
      <c r="D31" s="45" t="s">
        <v>147</v>
      </c>
      <c r="E31" s="6" t="s">
        <v>148</v>
      </c>
      <c r="F31" s="45" t="s">
        <v>104</v>
      </c>
      <c r="G31" s="46">
        <f t="shared" si="0"/>
        <v>45</v>
      </c>
      <c r="H31" s="46">
        <f>TRUNC(S31*(1-LOTE_02!$K$10),2)</f>
        <v>1754.6</v>
      </c>
      <c r="I31" s="46">
        <f>TRUNC(T31*(1-LOTE_02!$K$10),2)</f>
        <v>359.91</v>
      </c>
      <c r="J31" s="100">
        <f t="shared" si="1"/>
        <v>0.22470000000000001</v>
      </c>
      <c r="K31" s="48">
        <f t="shared" si="2"/>
        <v>2148.85</v>
      </c>
      <c r="L31" s="48">
        <f t="shared" si="3"/>
        <v>440.78</v>
      </c>
      <c r="M31" s="48">
        <f t="shared" si="4"/>
        <v>96698.25</v>
      </c>
      <c r="N31" s="48">
        <f t="shared" si="5"/>
        <v>19835.099999999999</v>
      </c>
      <c r="O31" s="50">
        <f t="shared" si="6"/>
        <v>116533.35</v>
      </c>
      <c r="P31" s="50">
        <v>0</v>
      </c>
      <c r="Q31" s="76"/>
      <c r="R31" s="140">
        <f>S9+S10</f>
        <v>45</v>
      </c>
      <c r="S31" s="79">
        <v>1754.6</v>
      </c>
      <c r="T31" s="80">
        <v>359.91</v>
      </c>
    </row>
    <row r="32" spans="2:20" ht="28">
      <c r="B32" s="5" t="s">
        <v>149</v>
      </c>
      <c r="C32" s="45" t="s">
        <v>97</v>
      </c>
      <c r="D32" s="45" t="s">
        <v>150</v>
      </c>
      <c r="E32" s="6" t="s">
        <v>151</v>
      </c>
      <c r="F32" s="45" t="s">
        <v>104</v>
      </c>
      <c r="G32" s="46">
        <f t="shared" si="0"/>
        <v>45</v>
      </c>
      <c r="H32" s="46">
        <f>TRUNC(S32*(1-LOTE_02!$K$10),2)</f>
        <v>8381</v>
      </c>
      <c r="I32" s="46">
        <f>TRUNC(T32*(1-LOTE_02!$K$10),2)</f>
        <v>1034.9100000000001</v>
      </c>
      <c r="J32" s="100">
        <f t="shared" si="1"/>
        <v>0.22470000000000001</v>
      </c>
      <c r="K32" s="48">
        <f t="shared" si="2"/>
        <v>10264.209999999999</v>
      </c>
      <c r="L32" s="48">
        <f t="shared" si="3"/>
        <v>1267.45</v>
      </c>
      <c r="M32" s="48">
        <f t="shared" si="4"/>
        <v>461889.45</v>
      </c>
      <c r="N32" s="48">
        <f t="shared" si="5"/>
        <v>57035.25</v>
      </c>
      <c r="O32" s="50">
        <f t="shared" si="6"/>
        <v>518924.7</v>
      </c>
      <c r="P32" s="50">
        <v>0</v>
      </c>
      <c r="Q32" s="76"/>
      <c r="R32" s="140">
        <f>S9+S10</f>
        <v>45</v>
      </c>
      <c r="S32" s="79">
        <v>8381</v>
      </c>
      <c r="T32" s="80">
        <v>1034.9100000000001</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653427.87</v>
      </c>
      <c r="Q33" s="107"/>
      <c r="R33" s="154"/>
      <c r="S33" s="43" t="s">
        <v>22</v>
      </c>
      <c r="T33" s="44" t="s">
        <v>22</v>
      </c>
    </row>
    <row r="34" spans="2:20" ht="56">
      <c r="B34" s="5" t="s">
        <v>152</v>
      </c>
      <c r="C34" s="45" t="s">
        <v>135</v>
      </c>
      <c r="D34" s="45">
        <v>103689</v>
      </c>
      <c r="E34" s="6" t="s">
        <v>153</v>
      </c>
      <c r="F34" s="45" t="s">
        <v>121</v>
      </c>
      <c r="G34" s="46">
        <f t="shared" si="0"/>
        <v>67.5</v>
      </c>
      <c r="H34" s="46">
        <f>TRUNC(S34*(1-LOTE_02!$K$10),2)</f>
        <v>476.01</v>
      </c>
      <c r="I34" s="46">
        <f>TRUNC(T34*(1-LOTE_02!$K$10),2)</f>
        <v>31.89</v>
      </c>
      <c r="J34" s="100">
        <f t="shared" si="1"/>
        <v>0.22470000000000001</v>
      </c>
      <c r="K34" s="48">
        <f t="shared" si="2"/>
        <v>582.96</v>
      </c>
      <c r="L34" s="48">
        <f t="shared" si="3"/>
        <v>39.049999999999997</v>
      </c>
      <c r="M34" s="48">
        <f t="shared" si="4"/>
        <v>39349.800000000003</v>
      </c>
      <c r="N34" s="48">
        <f t="shared" si="5"/>
        <v>2635.87</v>
      </c>
      <c r="O34" s="50">
        <f t="shared" si="6"/>
        <v>41985.67</v>
      </c>
      <c r="P34" s="50">
        <v>0</v>
      </c>
      <c r="Q34" s="76"/>
      <c r="R34" s="140">
        <f>1.5*1*(S9+S10)</f>
        <v>67.5</v>
      </c>
      <c r="S34" s="79">
        <v>476.01</v>
      </c>
      <c r="T34" s="80">
        <v>31.89</v>
      </c>
    </row>
    <row r="35" spans="2:20" ht="112">
      <c r="B35" s="5" t="s">
        <v>154</v>
      </c>
      <c r="C35" s="45" t="s">
        <v>97</v>
      </c>
      <c r="D35" s="45" t="s">
        <v>155</v>
      </c>
      <c r="E35" s="6" t="s">
        <v>156</v>
      </c>
      <c r="F35" s="45" t="s">
        <v>157</v>
      </c>
      <c r="G35" s="46">
        <f t="shared" si="0"/>
        <v>1350</v>
      </c>
      <c r="H35" s="46">
        <f>TRUNC(S35*(1-LOTE_02!$K$10),2)</f>
        <v>24</v>
      </c>
      <c r="I35" s="46">
        <f>TRUNC(T35*(1-LOTE_02!$K$10),2)</f>
        <v>0</v>
      </c>
      <c r="J35" s="100">
        <f t="shared" si="1"/>
        <v>0.22470000000000001</v>
      </c>
      <c r="K35" s="48">
        <f t="shared" si="2"/>
        <v>29.39</v>
      </c>
      <c r="L35" s="48">
        <f t="shared" si="3"/>
        <v>0</v>
      </c>
      <c r="M35" s="48">
        <f t="shared" si="4"/>
        <v>39676.5</v>
      </c>
      <c r="N35" s="48">
        <f t="shared" si="5"/>
        <v>0</v>
      </c>
      <c r="O35" s="50">
        <f t="shared" si="6"/>
        <v>39676.5</v>
      </c>
      <c r="P35" s="50">
        <v>0</v>
      </c>
      <c r="Q35" s="76"/>
      <c r="R35" s="140">
        <f>10*3*(S9+S10)</f>
        <v>1350</v>
      </c>
      <c r="S35" s="79">
        <v>24</v>
      </c>
      <c r="T35" s="80">
        <v>0</v>
      </c>
    </row>
    <row r="36" spans="2:20" ht="70">
      <c r="B36" s="5" t="s">
        <v>158</v>
      </c>
      <c r="C36" s="45" t="s">
        <v>135</v>
      </c>
      <c r="D36" s="45">
        <v>97063</v>
      </c>
      <c r="E36" s="6" t="s">
        <v>159</v>
      </c>
      <c r="F36" s="45" t="s">
        <v>121</v>
      </c>
      <c r="G36" s="46">
        <f t="shared" si="0"/>
        <v>3240</v>
      </c>
      <c r="H36" s="46">
        <f>TRUNC(S36*(1-LOTE_02!$K$10),2)</f>
        <v>7.69</v>
      </c>
      <c r="I36" s="46">
        <f>TRUNC(T36*(1-LOTE_02!$K$10),2)</f>
        <v>14.51</v>
      </c>
      <c r="J36" s="100">
        <f t="shared" si="1"/>
        <v>0.22470000000000001</v>
      </c>
      <c r="K36" s="48">
        <f t="shared" si="2"/>
        <v>9.41</v>
      </c>
      <c r="L36" s="48">
        <f t="shared" si="3"/>
        <v>17.77</v>
      </c>
      <c r="M36" s="48">
        <f t="shared" si="4"/>
        <v>30488.400000000001</v>
      </c>
      <c r="N36" s="48">
        <f t="shared" si="5"/>
        <v>57574.8</v>
      </c>
      <c r="O36" s="50">
        <f t="shared" si="6"/>
        <v>88063.2</v>
      </c>
      <c r="P36" s="50">
        <v>0</v>
      </c>
      <c r="Q36" s="76"/>
      <c r="R36" s="140">
        <f>6*12*(S9+S10)</f>
        <v>3240</v>
      </c>
      <c r="S36" s="79">
        <v>7.6899999999999995</v>
      </c>
      <c r="T36" s="80">
        <v>14.51</v>
      </c>
    </row>
    <row r="37" spans="2:20" ht="84">
      <c r="B37" s="5" t="s">
        <v>160</v>
      </c>
      <c r="C37" s="45" t="s">
        <v>135</v>
      </c>
      <c r="D37" s="45">
        <v>100981</v>
      </c>
      <c r="E37" s="6" t="s">
        <v>1768</v>
      </c>
      <c r="F37" s="45" t="s">
        <v>161</v>
      </c>
      <c r="G37" s="46">
        <f t="shared" si="0"/>
        <v>1620</v>
      </c>
      <c r="H37" s="46">
        <f>TRUNC(S37*(1-LOTE_02!$K$10),2)</f>
        <v>8.7100000000000009</v>
      </c>
      <c r="I37" s="46">
        <f>TRUNC(T37*(1-LOTE_02!$K$10),2)</f>
        <v>1.67</v>
      </c>
      <c r="J37" s="100">
        <f t="shared" si="1"/>
        <v>0.22470000000000001</v>
      </c>
      <c r="K37" s="48">
        <f t="shared" si="2"/>
        <v>10.66</v>
      </c>
      <c r="L37" s="48">
        <f t="shared" si="3"/>
        <v>2.04</v>
      </c>
      <c r="M37" s="48">
        <f t="shared" si="4"/>
        <v>17269.2</v>
      </c>
      <c r="N37" s="48">
        <f t="shared" si="5"/>
        <v>3304.8</v>
      </c>
      <c r="O37" s="50">
        <f t="shared" si="6"/>
        <v>20574</v>
      </c>
      <c r="P37" s="50">
        <v>0</v>
      </c>
      <c r="Q37" s="76"/>
      <c r="R37" s="140">
        <f>6*6*(S9+S10)</f>
        <v>1620</v>
      </c>
      <c r="S37" s="79">
        <v>8.7100000000000009</v>
      </c>
      <c r="T37" s="80">
        <v>1.67</v>
      </c>
    </row>
    <row r="38" spans="2:20" ht="56">
      <c r="B38" s="5" t="s">
        <v>162</v>
      </c>
      <c r="C38" s="45" t="s">
        <v>135</v>
      </c>
      <c r="D38" s="45">
        <v>97914</v>
      </c>
      <c r="E38" s="6" t="s">
        <v>1769</v>
      </c>
      <c r="F38" s="45" t="s">
        <v>163</v>
      </c>
      <c r="G38" s="46">
        <f t="shared" si="0"/>
        <v>97200</v>
      </c>
      <c r="H38" s="46">
        <f>TRUNC(S38*(1-LOTE_02!$K$10),2)</f>
        <v>3.05</v>
      </c>
      <c r="I38" s="46">
        <f>TRUNC(T38*(1-LOTE_02!$K$10),2)</f>
        <v>0.48</v>
      </c>
      <c r="J38" s="100">
        <f t="shared" si="1"/>
        <v>0.22470000000000001</v>
      </c>
      <c r="K38" s="48">
        <f t="shared" si="2"/>
        <v>3.73</v>
      </c>
      <c r="L38" s="48">
        <f t="shared" si="3"/>
        <v>0.57999999999999996</v>
      </c>
      <c r="M38" s="48">
        <f t="shared" si="4"/>
        <v>362556</v>
      </c>
      <c r="N38" s="48">
        <f t="shared" si="5"/>
        <v>56376</v>
      </c>
      <c r="O38" s="50">
        <f t="shared" si="6"/>
        <v>418932</v>
      </c>
      <c r="P38" s="50">
        <v>0</v>
      </c>
      <c r="Q38" s="76"/>
      <c r="R38" s="140">
        <f>R37*60</f>
        <v>97200</v>
      </c>
      <c r="S38" s="79">
        <v>3.05</v>
      </c>
      <c r="T38" s="80">
        <v>0.48</v>
      </c>
    </row>
    <row r="39" spans="2:20" ht="28">
      <c r="B39" s="5" t="s">
        <v>164</v>
      </c>
      <c r="C39" s="45" t="s">
        <v>165</v>
      </c>
      <c r="D39" s="45" t="s">
        <v>166</v>
      </c>
      <c r="E39" s="6" t="s">
        <v>167</v>
      </c>
      <c r="F39" s="45" t="s">
        <v>168</v>
      </c>
      <c r="G39" s="46">
        <f t="shared" si="0"/>
        <v>50</v>
      </c>
      <c r="H39" s="46">
        <f>TRUNC(S39*(1-LOTE_02!$K$10),2)</f>
        <v>487.75</v>
      </c>
      <c r="I39" s="46">
        <f>TRUNC(T39*(1-LOTE_02!$K$10),2)</f>
        <v>234.01</v>
      </c>
      <c r="J39" s="100">
        <f t="shared" si="1"/>
        <v>0.22470000000000001</v>
      </c>
      <c r="K39" s="48">
        <f t="shared" si="2"/>
        <v>597.34</v>
      </c>
      <c r="L39" s="48">
        <f t="shared" si="3"/>
        <v>286.58999999999997</v>
      </c>
      <c r="M39" s="48">
        <f t="shared" si="4"/>
        <v>29867</v>
      </c>
      <c r="N39" s="48">
        <f t="shared" si="5"/>
        <v>14329.5</v>
      </c>
      <c r="O39" s="50">
        <f t="shared" si="6"/>
        <v>44196.5</v>
      </c>
      <c r="P39" s="50">
        <v>0</v>
      </c>
      <c r="Q39" s="76"/>
      <c r="R39" s="140">
        <f>IF((3*S9+3*S10)&gt;50,50,(3*S9+3*S10))</f>
        <v>50</v>
      </c>
      <c r="S39" s="79">
        <v>487.75</v>
      </c>
      <c r="T39" s="80">
        <v>234.01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1640763.8499999989</v>
      </c>
      <c r="Q40" s="107"/>
      <c r="R40" s="154"/>
      <c r="S40" s="43" t="s">
        <v>22</v>
      </c>
      <c r="T40" s="44" t="s">
        <v>22</v>
      </c>
    </row>
    <row r="41" spans="2:20" ht="42">
      <c r="B41" s="5" t="s">
        <v>169</v>
      </c>
      <c r="C41" s="45" t="s">
        <v>135</v>
      </c>
      <c r="D41" s="45">
        <v>97622</v>
      </c>
      <c r="E41" s="6" t="s">
        <v>170</v>
      </c>
      <c r="F41" s="45" t="s">
        <v>161</v>
      </c>
      <c r="G41" s="46">
        <f t="shared" si="0"/>
        <v>900</v>
      </c>
      <c r="H41" s="46">
        <f>TRUNC(S41*(1-LOTE_02!$K$10),2)</f>
        <v>26.64</v>
      </c>
      <c r="I41" s="46">
        <f>TRUNC(T41*(1-LOTE_02!$K$10),2)</f>
        <v>43.97</v>
      </c>
      <c r="J41" s="100">
        <f t="shared" si="1"/>
        <v>0.22470000000000001</v>
      </c>
      <c r="K41" s="48">
        <f t="shared" si="2"/>
        <v>32.619999999999997</v>
      </c>
      <c r="L41" s="48">
        <f t="shared" si="3"/>
        <v>53.85</v>
      </c>
      <c r="M41" s="48">
        <f t="shared" si="4"/>
        <v>29358</v>
      </c>
      <c r="N41" s="48">
        <f t="shared" si="5"/>
        <v>48465</v>
      </c>
      <c r="O41" s="50">
        <f t="shared" si="6"/>
        <v>77823</v>
      </c>
      <c r="P41" s="50">
        <v>0</v>
      </c>
      <c r="Q41" s="76"/>
      <c r="R41" s="140">
        <f>20*S9+20*S10</f>
        <v>900</v>
      </c>
      <c r="S41" s="79">
        <v>26.64</v>
      </c>
      <c r="T41" s="80">
        <v>43.97</v>
      </c>
    </row>
    <row r="42" spans="2:20" ht="42">
      <c r="B42" s="5" t="s">
        <v>171</v>
      </c>
      <c r="C42" s="45" t="s">
        <v>135</v>
      </c>
      <c r="D42" s="45">
        <v>97624</v>
      </c>
      <c r="E42" s="6" t="s">
        <v>172</v>
      </c>
      <c r="F42" s="45" t="s">
        <v>161</v>
      </c>
      <c r="G42" s="46">
        <f t="shared" si="0"/>
        <v>10</v>
      </c>
      <c r="H42" s="46">
        <f>TRUNC(S42*(1-LOTE_02!$K$10),2)</f>
        <v>50.07</v>
      </c>
      <c r="I42" s="46">
        <f>TRUNC(T42*(1-LOTE_02!$K$10),2)</f>
        <v>82.68</v>
      </c>
      <c r="J42" s="100">
        <f t="shared" si="1"/>
        <v>0.22470000000000001</v>
      </c>
      <c r="K42" s="48">
        <f t="shared" si="2"/>
        <v>61.32</v>
      </c>
      <c r="L42" s="48">
        <f t="shared" si="3"/>
        <v>101.25</v>
      </c>
      <c r="M42" s="48">
        <f t="shared" si="4"/>
        <v>613.20000000000005</v>
      </c>
      <c r="N42" s="48">
        <f t="shared" si="5"/>
        <v>1012.5</v>
      </c>
      <c r="O42" s="50">
        <f t="shared" si="6"/>
        <v>1625.7</v>
      </c>
      <c r="P42" s="50">
        <v>0</v>
      </c>
      <c r="Q42" s="76"/>
      <c r="R42" s="140">
        <f>IF((5*S9+5*S10)&gt;10,10,(5*S9+5*S10))</f>
        <v>10</v>
      </c>
      <c r="S42" s="79">
        <v>50.069999999999993</v>
      </c>
      <c r="T42" s="80">
        <v>82.68</v>
      </c>
    </row>
    <row r="43" spans="2:20" ht="56">
      <c r="B43" s="5" t="s">
        <v>173</v>
      </c>
      <c r="C43" s="45" t="s">
        <v>135</v>
      </c>
      <c r="D43" s="45">
        <v>97625</v>
      </c>
      <c r="E43" s="6" t="s">
        <v>174</v>
      </c>
      <c r="F43" s="45" t="s">
        <v>161</v>
      </c>
      <c r="G43" s="46">
        <f t="shared" si="0"/>
        <v>200</v>
      </c>
      <c r="H43" s="46">
        <f>TRUNC(S43*(1-LOTE_02!$K$10),2)</f>
        <v>52.35</v>
      </c>
      <c r="I43" s="46">
        <f>TRUNC(T43*(1-LOTE_02!$K$10),2)</f>
        <v>8.02</v>
      </c>
      <c r="J43" s="100">
        <f t="shared" si="1"/>
        <v>0.22470000000000001</v>
      </c>
      <c r="K43" s="48">
        <f t="shared" si="2"/>
        <v>64.11</v>
      </c>
      <c r="L43" s="48">
        <f t="shared" si="3"/>
        <v>9.82</v>
      </c>
      <c r="M43" s="48">
        <f t="shared" si="4"/>
        <v>12822</v>
      </c>
      <c r="N43" s="48">
        <f t="shared" si="5"/>
        <v>1964</v>
      </c>
      <c r="O43" s="50">
        <f t="shared" si="6"/>
        <v>14786</v>
      </c>
      <c r="P43" s="50">
        <v>0</v>
      </c>
      <c r="Q43" s="76"/>
      <c r="R43" s="140">
        <f>IF((5*S9+10*S10)&gt;200,200,(5*S9+10*S10))</f>
        <v>200</v>
      </c>
      <c r="S43" s="79">
        <v>52.349999999999994</v>
      </c>
      <c r="T43" s="80">
        <v>8.02</v>
      </c>
    </row>
    <row r="44" spans="2:20" ht="56">
      <c r="B44" s="5" t="s">
        <v>175</v>
      </c>
      <c r="C44" s="45" t="s">
        <v>135</v>
      </c>
      <c r="D44" s="45">
        <v>97626</v>
      </c>
      <c r="E44" s="6" t="s">
        <v>176</v>
      </c>
      <c r="F44" s="45" t="s">
        <v>161</v>
      </c>
      <c r="G44" s="46">
        <f t="shared" si="0"/>
        <v>10</v>
      </c>
      <c r="H44" s="46">
        <f>TRUNC(S44*(1-LOTE_02!$K$10),2)</f>
        <v>267.60000000000002</v>
      </c>
      <c r="I44" s="46">
        <f>TRUNC(T44*(1-LOTE_02!$K$10),2)</f>
        <v>442</v>
      </c>
      <c r="J44" s="100">
        <f t="shared" si="1"/>
        <v>0.22470000000000001</v>
      </c>
      <c r="K44" s="48">
        <f t="shared" si="2"/>
        <v>327.72</v>
      </c>
      <c r="L44" s="48">
        <f t="shared" si="3"/>
        <v>541.30999999999995</v>
      </c>
      <c r="M44" s="48">
        <f t="shared" si="4"/>
        <v>3277.2</v>
      </c>
      <c r="N44" s="48">
        <f t="shared" si="5"/>
        <v>5413.1</v>
      </c>
      <c r="O44" s="50">
        <f t="shared" si="6"/>
        <v>8690.2999999999993</v>
      </c>
      <c r="P44" s="50">
        <v>0</v>
      </c>
      <c r="Q44" s="76"/>
      <c r="R44" s="140">
        <f>IF((S9+S10)&gt;10,10,(S9+S10))</f>
        <v>10</v>
      </c>
      <c r="S44" s="79">
        <v>267.60000000000002</v>
      </c>
      <c r="T44" s="80">
        <v>442</v>
      </c>
    </row>
    <row r="45" spans="2:20" ht="42">
      <c r="B45" s="5" t="s">
        <v>177</v>
      </c>
      <c r="C45" s="45" t="s">
        <v>135</v>
      </c>
      <c r="D45" s="45">
        <v>97628</v>
      </c>
      <c r="E45" s="6" t="s">
        <v>178</v>
      </c>
      <c r="F45" s="45" t="s">
        <v>161</v>
      </c>
      <c r="G45" s="46">
        <f t="shared" si="0"/>
        <v>5</v>
      </c>
      <c r="H45" s="46">
        <f>TRUNC(S45*(1-LOTE_02!$K$10),2)</f>
        <v>124.63</v>
      </c>
      <c r="I45" s="46">
        <f>TRUNC(T45*(1-LOTE_02!$K$10),2)</f>
        <v>205.85</v>
      </c>
      <c r="J45" s="100">
        <f t="shared" si="1"/>
        <v>0.22470000000000001</v>
      </c>
      <c r="K45" s="48">
        <f t="shared" si="2"/>
        <v>152.63</v>
      </c>
      <c r="L45" s="48">
        <f t="shared" si="3"/>
        <v>252.1</v>
      </c>
      <c r="M45" s="48">
        <f t="shared" si="4"/>
        <v>763.15</v>
      </c>
      <c r="N45" s="48">
        <f t="shared" si="5"/>
        <v>1260.5</v>
      </c>
      <c r="O45" s="50">
        <f t="shared" si="6"/>
        <v>2023.65</v>
      </c>
      <c r="P45" s="50">
        <v>0</v>
      </c>
      <c r="Q45" s="76"/>
      <c r="R45" s="140">
        <f>IF((S10+S9)&gt;5,5,(S10+S9))</f>
        <v>5</v>
      </c>
      <c r="S45" s="79">
        <v>124.63000000000002</v>
      </c>
      <c r="T45" s="80">
        <v>205.85</v>
      </c>
    </row>
    <row r="46" spans="2:20" ht="28">
      <c r="B46" s="5" t="s">
        <v>179</v>
      </c>
      <c r="C46" s="45" t="s">
        <v>165</v>
      </c>
      <c r="D46" s="45" t="s">
        <v>180</v>
      </c>
      <c r="E46" s="6" t="s">
        <v>181</v>
      </c>
      <c r="F46" s="45" t="s">
        <v>182</v>
      </c>
      <c r="G46" s="46">
        <f t="shared" si="0"/>
        <v>5</v>
      </c>
      <c r="H46" s="46">
        <f>TRUNC(S46*(1-LOTE_02!$K$10),2)</f>
        <v>0</v>
      </c>
      <c r="I46" s="46">
        <f>TRUNC(T46*(1-LOTE_02!$K$10),2)</f>
        <v>195</v>
      </c>
      <c r="J46" s="100">
        <f t="shared" si="1"/>
        <v>0.22470000000000001</v>
      </c>
      <c r="K46" s="48">
        <f t="shared" si="2"/>
        <v>0</v>
      </c>
      <c r="L46" s="48">
        <f t="shared" si="3"/>
        <v>238.81</v>
      </c>
      <c r="M46" s="48">
        <f t="shared" si="4"/>
        <v>0</v>
      </c>
      <c r="N46" s="48">
        <f t="shared" si="5"/>
        <v>1194.05</v>
      </c>
      <c r="O46" s="50">
        <f t="shared" si="6"/>
        <v>1194.05</v>
      </c>
      <c r="P46" s="50">
        <v>0</v>
      </c>
      <c r="Q46" s="76"/>
      <c r="R46" s="140">
        <f>IF((S10+S9)&gt;5,5,(S10+S9))</f>
        <v>5</v>
      </c>
      <c r="S46" s="79">
        <v>0</v>
      </c>
      <c r="T46" s="80">
        <v>195</v>
      </c>
    </row>
    <row r="47" spans="2:20" ht="42">
      <c r="B47" s="5" t="s">
        <v>183</v>
      </c>
      <c r="C47" s="45" t="s">
        <v>135</v>
      </c>
      <c r="D47" s="45">
        <v>97631</v>
      </c>
      <c r="E47" s="6" t="s">
        <v>184</v>
      </c>
      <c r="F47" s="45" t="s">
        <v>121</v>
      </c>
      <c r="G47" s="46">
        <f t="shared" si="0"/>
        <v>1000</v>
      </c>
      <c r="H47" s="46">
        <f>TRUNC(S47*(1-LOTE_02!$K$10),2)</f>
        <v>5.25</v>
      </c>
      <c r="I47" s="46">
        <f>TRUNC(T47*(1-LOTE_02!$K$10),2)</f>
        <v>8.91</v>
      </c>
      <c r="J47" s="100">
        <f t="shared" si="1"/>
        <v>0.22470000000000001</v>
      </c>
      <c r="K47" s="48">
        <f t="shared" si="2"/>
        <v>6.42</v>
      </c>
      <c r="L47" s="48">
        <f t="shared" si="3"/>
        <v>10.91</v>
      </c>
      <c r="M47" s="48">
        <f t="shared" si="4"/>
        <v>6420</v>
      </c>
      <c r="N47" s="48">
        <f t="shared" si="5"/>
        <v>10910</v>
      </c>
      <c r="O47" s="50">
        <f t="shared" si="6"/>
        <v>17330</v>
      </c>
      <c r="P47" s="50">
        <v>0</v>
      </c>
      <c r="Q47" s="76"/>
      <c r="R47" s="140">
        <f>IF((50*S9+100*S10)&gt;1000,1000,(50*S9+100*S10))</f>
        <v>1000</v>
      </c>
      <c r="S47" s="79">
        <v>5.25</v>
      </c>
      <c r="T47" s="80">
        <v>8.91</v>
      </c>
    </row>
    <row r="48" spans="2:20" ht="42">
      <c r="B48" s="5" t="s">
        <v>185</v>
      </c>
      <c r="C48" s="45" t="s">
        <v>135</v>
      </c>
      <c r="D48" s="45">
        <v>97632</v>
      </c>
      <c r="E48" s="6" t="s">
        <v>186</v>
      </c>
      <c r="F48" s="45" t="s">
        <v>187</v>
      </c>
      <c r="G48" s="46">
        <f t="shared" si="0"/>
        <v>4500</v>
      </c>
      <c r="H48" s="46">
        <f>TRUNC(S48*(1-LOTE_02!$K$10),2)</f>
        <v>1.21</v>
      </c>
      <c r="I48" s="46">
        <f>TRUNC(T48*(1-LOTE_02!$K$10),2)</f>
        <v>2.0299999999999998</v>
      </c>
      <c r="J48" s="100">
        <f t="shared" si="1"/>
        <v>0.22470000000000001</v>
      </c>
      <c r="K48" s="48">
        <f t="shared" si="2"/>
        <v>1.48</v>
      </c>
      <c r="L48" s="48">
        <f t="shared" si="3"/>
        <v>2.48</v>
      </c>
      <c r="M48" s="48">
        <f t="shared" si="4"/>
        <v>6660</v>
      </c>
      <c r="N48" s="48">
        <f t="shared" si="5"/>
        <v>11160</v>
      </c>
      <c r="O48" s="50">
        <f t="shared" si="6"/>
        <v>17820</v>
      </c>
      <c r="P48" s="50">
        <v>0</v>
      </c>
      <c r="Q48" s="76"/>
      <c r="R48" s="140">
        <f>100*S9+100*S10</f>
        <v>4500</v>
      </c>
      <c r="S48" s="79">
        <v>1.2100000000000004</v>
      </c>
      <c r="T48" s="80">
        <v>2.0299999999999998</v>
      </c>
    </row>
    <row r="49" spans="2:20" ht="42">
      <c r="B49" s="5" t="s">
        <v>188</v>
      </c>
      <c r="C49" s="45" t="s">
        <v>135</v>
      </c>
      <c r="D49" s="45">
        <v>97633</v>
      </c>
      <c r="E49" s="6" t="s">
        <v>189</v>
      </c>
      <c r="F49" s="45" t="s">
        <v>121</v>
      </c>
      <c r="G49" s="46">
        <f t="shared" si="0"/>
        <v>11000</v>
      </c>
      <c r="H49" s="46">
        <f>TRUNC(S49*(1-LOTE_02!$K$10),2)</f>
        <v>10.5</v>
      </c>
      <c r="I49" s="46">
        <f>TRUNC(T49*(1-LOTE_02!$K$10),2)</f>
        <v>17.8</v>
      </c>
      <c r="J49" s="100">
        <f t="shared" si="1"/>
        <v>0.22470000000000001</v>
      </c>
      <c r="K49" s="48">
        <f t="shared" si="2"/>
        <v>12.85</v>
      </c>
      <c r="L49" s="48">
        <f t="shared" si="3"/>
        <v>21.79</v>
      </c>
      <c r="M49" s="48">
        <f t="shared" si="4"/>
        <v>141350</v>
      </c>
      <c r="N49" s="48">
        <f t="shared" si="5"/>
        <v>239690</v>
      </c>
      <c r="O49" s="50">
        <f t="shared" si="6"/>
        <v>381040</v>
      </c>
      <c r="P49" s="50">
        <v>0</v>
      </c>
      <c r="Q49" s="76"/>
      <c r="R49" s="140">
        <f>400*S10+50*S9</f>
        <v>11000</v>
      </c>
      <c r="S49" s="79">
        <v>10.5</v>
      </c>
      <c r="T49" s="80">
        <v>17.8</v>
      </c>
    </row>
    <row r="50" spans="2:20" ht="28">
      <c r="B50" s="5" t="s">
        <v>190</v>
      </c>
      <c r="C50" s="45" t="s">
        <v>165</v>
      </c>
      <c r="D50" s="45" t="s">
        <v>191</v>
      </c>
      <c r="E50" s="6" t="s">
        <v>192</v>
      </c>
      <c r="F50" s="45" t="s">
        <v>168</v>
      </c>
      <c r="G50" s="46">
        <f t="shared" si="0"/>
        <v>10400</v>
      </c>
      <c r="H50" s="46">
        <f>TRUNC(S50*(1-LOTE_02!$K$10),2)</f>
        <v>0</v>
      </c>
      <c r="I50" s="46">
        <f>TRUNC(T50*(1-LOTE_02!$K$10),2)</f>
        <v>3.75</v>
      </c>
      <c r="J50" s="100">
        <f t="shared" si="1"/>
        <v>0.22470000000000001</v>
      </c>
      <c r="K50" s="48">
        <f t="shared" si="2"/>
        <v>0</v>
      </c>
      <c r="L50" s="48">
        <f t="shared" si="3"/>
        <v>4.59</v>
      </c>
      <c r="M50" s="48">
        <f t="shared" si="4"/>
        <v>0</v>
      </c>
      <c r="N50" s="48">
        <f t="shared" si="5"/>
        <v>47736</v>
      </c>
      <c r="O50" s="50">
        <f t="shared" si="6"/>
        <v>47736</v>
      </c>
      <c r="P50" s="50">
        <v>0</v>
      </c>
      <c r="Q50" s="76"/>
      <c r="R50" s="140">
        <f>400*S10+20*S9</f>
        <v>10400</v>
      </c>
      <c r="S50" s="79">
        <v>0</v>
      </c>
      <c r="T50" s="80">
        <v>3.75</v>
      </c>
    </row>
    <row r="51" spans="2:20" ht="56">
      <c r="B51" s="5" t="s">
        <v>193</v>
      </c>
      <c r="C51" s="45" t="s">
        <v>135</v>
      </c>
      <c r="D51" s="45">
        <v>97627</v>
      </c>
      <c r="E51" s="6" t="s">
        <v>194</v>
      </c>
      <c r="F51" s="45" t="s">
        <v>161</v>
      </c>
      <c r="G51" s="46">
        <f t="shared" si="0"/>
        <v>10</v>
      </c>
      <c r="H51" s="46">
        <f>TRUNC(S51*(1-LOTE_02!$K$10),2)</f>
        <v>86.81</v>
      </c>
      <c r="I51" s="46">
        <f>TRUNC(T51*(1-LOTE_02!$K$10),2)</f>
        <v>109.5</v>
      </c>
      <c r="J51" s="100">
        <f t="shared" si="1"/>
        <v>0.22470000000000001</v>
      </c>
      <c r="K51" s="48">
        <f t="shared" si="2"/>
        <v>106.31</v>
      </c>
      <c r="L51" s="48">
        <f t="shared" si="3"/>
        <v>134.1</v>
      </c>
      <c r="M51" s="48">
        <f t="shared" si="4"/>
        <v>1063.0999999999999</v>
      </c>
      <c r="N51" s="48">
        <f t="shared" si="5"/>
        <v>1341</v>
      </c>
      <c r="O51" s="50">
        <f t="shared" si="6"/>
        <v>2404.1</v>
      </c>
      <c r="P51" s="50">
        <v>0</v>
      </c>
      <c r="Q51" s="76"/>
      <c r="R51" s="140">
        <f>IF((S9+S10)&gt;10,10,(S9+S10))</f>
        <v>10</v>
      </c>
      <c r="S51" s="79">
        <v>86.81</v>
      </c>
      <c r="T51" s="80">
        <v>109.5</v>
      </c>
    </row>
    <row r="52" spans="2:20" ht="28">
      <c r="B52" s="5" t="s">
        <v>195</v>
      </c>
      <c r="C52" s="45" t="s">
        <v>165</v>
      </c>
      <c r="D52" s="45" t="s">
        <v>196</v>
      </c>
      <c r="E52" s="6" t="s">
        <v>197</v>
      </c>
      <c r="F52" s="45" t="s">
        <v>168</v>
      </c>
      <c r="G52" s="46">
        <f t="shared" si="0"/>
        <v>1000</v>
      </c>
      <c r="H52" s="46">
        <f>TRUNC(S52*(1-LOTE_02!$K$10),2)</f>
        <v>0</v>
      </c>
      <c r="I52" s="46">
        <f>TRUNC(T52*(1-LOTE_02!$K$10),2)</f>
        <v>19.5</v>
      </c>
      <c r="J52" s="100">
        <f t="shared" si="1"/>
        <v>0.22470000000000001</v>
      </c>
      <c r="K52" s="48">
        <f t="shared" si="2"/>
        <v>0</v>
      </c>
      <c r="L52" s="48">
        <f t="shared" si="3"/>
        <v>23.88</v>
      </c>
      <c r="M52" s="48">
        <f t="shared" si="4"/>
        <v>0</v>
      </c>
      <c r="N52" s="48">
        <f t="shared" si="5"/>
        <v>23880</v>
      </c>
      <c r="O52" s="50">
        <f t="shared" si="6"/>
        <v>23880</v>
      </c>
      <c r="P52" s="50">
        <v>0</v>
      </c>
      <c r="Q52" s="76"/>
      <c r="R52" s="140">
        <f>IF((50*S9+100*S10)&gt;1000,1000,(50*S9+100*S10))</f>
        <v>1000</v>
      </c>
      <c r="S52" s="79">
        <v>0</v>
      </c>
      <c r="T52" s="80">
        <v>19.5</v>
      </c>
    </row>
    <row r="53" spans="2:20" ht="28">
      <c r="B53" s="5" t="s">
        <v>198</v>
      </c>
      <c r="C53" s="45" t="s">
        <v>165</v>
      </c>
      <c r="D53" s="45" t="s">
        <v>199</v>
      </c>
      <c r="E53" s="6" t="s">
        <v>200</v>
      </c>
      <c r="F53" s="45" t="s">
        <v>168</v>
      </c>
      <c r="G53" s="46">
        <f t="shared" si="0"/>
        <v>200</v>
      </c>
      <c r="H53" s="46">
        <f>TRUNC(S53*(1-LOTE_02!$K$10),2)</f>
        <v>0</v>
      </c>
      <c r="I53" s="46">
        <f>TRUNC(T53*(1-LOTE_02!$K$10),2)</f>
        <v>10.5</v>
      </c>
      <c r="J53" s="100">
        <f t="shared" si="1"/>
        <v>0.22470000000000001</v>
      </c>
      <c r="K53" s="48">
        <f t="shared" si="2"/>
        <v>0</v>
      </c>
      <c r="L53" s="48">
        <f t="shared" si="3"/>
        <v>12.85</v>
      </c>
      <c r="M53" s="48">
        <f t="shared" si="4"/>
        <v>0</v>
      </c>
      <c r="N53" s="48">
        <f t="shared" si="5"/>
        <v>2570</v>
      </c>
      <c r="O53" s="50">
        <f t="shared" si="6"/>
        <v>2570</v>
      </c>
      <c r="P53" s="50">
        <v>0</v>
      </c>
      <c r="Q53" s="76"/>
      <c r="R53" s="140">
        <f>IF(50*(S10+S9)&gt;200,200,50*(S10+S9))</f>
        <v>200</v>
      </c>
      <c r="S53" s="79">
        <v>0</v>
      </c>
      <c r="T53" s="80">
        <v>10.5</v>
      </c>
    </row>
    <row r="54" spans="2:20" ht="28">
      <c r="B54" s="5" t="s">
        <v>201</v>
      </c>
      <c r="C54" s="45" t="s">
        <v>165</v>
      </c>
      <c r="D54" s="45" t="s">
        <v>202</v>
      </c>
      <c r="E54" s="6" t="s">
        <v>203</v>
      </c>
      <c r="F54" s="45" t="s">
        <v>168</v>
      </c>
      <c r="G54" s="46">
        <f t="shared" si="0"/>
        <v>200</v>
      </c>
      <c r="H54" s="46">
        <f>TRUNC(S54*(1-LOTE_02!$K$10),2)</f>
        <v>0</v>
      </c>
      <c r="I54" s="46">
        <f>TRUNC(T54*(1-LOTE_02!$K$10),2)</f>
        <v>18.59</v>
      </c>
      <c r="J54" s="100">
        <f t="shared" si="1"/>
        <v>0.22470000000000001</v>
      </c>
      <c r="K54" s="48">
        <f t="shared" si="2"/>
        <v>0</v>
      </c>
      <c r="L54" s="48">
        <f t="shared" si="3"/>
        <v>22.76</v>
      </c>
      <c r="M54" s="48">
        <f t="shared" si="4"/>
        <v>0</v>
      </c>
      <c r="N54" s="48">
        <f t="shared" si="5"/>
        <v>4552</v>
      </c>
      <c r="O54" s="50">
        <f t="shared" si="6"/>
        <v>4552</v>
      </c>
      <c r="P54" s="50">
        <v>0</v>
      </c>
      <c r="Q54" s="76"/>
      <c r="R54" s="140">
        <f>IF(20*(S10+S9)&gt;200,200,20*(S10+S9))</f>
        <v>200</v>
      </c>
      <c r="S54" s="79">
        <v>0</v>
      </c>
      <c r="T54" s="80">
        <v>18.59</v>
      </c>
    </row>
    <row r="55" spans="2:20" ht="42">
      <c r="B55" s="5" t="s">
        <v>204</v>
      </c>
      <c r="C55" s="45" t="s">
        <v>165</v>
      </c>
      <c r="D55" s="45" t="s">
        <v>205</v>
      </c>
      <c r="E55" s="6" t="s">
        <v>206</v>
      </c>
      <c r="F55" s="45" t="s">
        <v>168</v>
      </c>
      <c r="G55" s="46">
        <f t="shared" si="0"/>
        <v>18000</v>
      </c>
      <c r="H55" s="46">
        <f>TRUNC(S55*(1-LOTE_02!$K$10),2)</f>
        <v>0</v>
      </c>
      <c r="I55" s="46">
        <f>TRUNC(T55*(1-LOTE_02!$K$10),2)</f>
        <v>21</v>
      </c>
      <c r="J55" s="100">
        <f t="shared" si="1"/>
        <v>0.22470000000000001</v>
      </c>
      <c r="K55" s="48">
        <f t="shared" si="2"/>
        <v>0</v>
      </c>
      <c r="L55" s="48">
        <f t="shared" si="3"/>
        <v>25.71</v>
      </c>
      <c r="M55" s="48">
        <f t="shared" si="4"/>
        <v>0</v>
      </c>
      <c r="N55" s="48">
        <f t="shared" si="5"/>
        <v>462780</v>
      </c>
      <c r="O55" s="50">
        <f t="shared" si="6"/>
        <v>462780</v>
      </c>
      <c r="P55" s="50">
        <v>0</v>
      </c>
      <c r="Q55" s="76"/>
      <c r="R55" s="140">
        <f>400*(S10+S9)</f>
        <v>18000</v>
      </c>
      <c r="S55" s="79">
        <v>0</v>
      </c>
      <c r="T55" s="80">
        <v>21</v>
      </c>
    </row>
    <row r="56" spans="2:20" ht="28">
      <c r="B56" s="5" t="s">
        <v>207</v>
      </c>
      <c r="C56" s="45" t="s">
        <v>165</v>
      </c>
      <c r="D56" s="45" t="s">
        <v>196</v>
      </c>
      <c r="E56" s="6" t="s">
        <v>197</v>
      </c>
      <c r="F56" s="45" t="s">
        <v>168</v>
      </c>
      <c r="G56" s="46">
        <f t="shared" si="0"/>
        <v>1000</v>
      </c>
      <c r="H56" s="46">
        <f>TRUNC(S56*(1-LOTE_02!$K$10),2)</f>
        <v>0</v>
      </c>
      <c r="I56" s="46">
        <f>TRUNC(T56*(1-LOTE_02!$K$10),2)</f>
        <v>19.5</v>
      </c>
      <c r="J56" s="100">
        <f t="shared" si="1"/>
        <v>0.22470000000000001</v>
      </c>
      <c r="K56" s="48">
        <f t="shared" si="2"/>
        <v>0</v>
      </c>
      <c r="L56" s="48">
        <f t="shared" si="3"/>
        <v>23.88</v>
      </c>
      <c r="M56" s="48">
        <f t="shared" si="4"/>
        <v>0</v>
      </c>
      <c r="N56" s="48">
        <f t="shared" si="5"/>
        <v>23880</v>
      </c>
      <c r="O56" s="50">
        <f t="shared" si="6"/>
        <v>23880</v>
      </c>
      <c r="P56" s="50">
        <v>0</v>
      </c>
      <c r="Q56" s="76"/>
      <c r="R56" s="140">
        <f>IF((50*S9+100*S10)&gt;1000,1000,(50*S9+100*S10))</f>
        <v>1000</v>
      </c>
      <c r="S56" s="79">
        <v>0</v>
      </c>
      <c r="T56" s="80">
        <v>19.5</v>
      </c>
    </row>
    <row r="57" spans="2:20" ht="42">
      <c r="B57" s="5" t="s">
        <v>208</v>
      </c>
      <c r="C57" s="45" t="s">
        <v>135</v>
      </c>
      <c r="D57" s="45">
        <v>97666</v>
      </c>
      <c r="E57" s="6" t="s">
        <v>209</v>
      </c>
      <c r="F57" s="45" t="s">
        <v>210</v>
      </c>
      <c r="G57" s="46">
        <f t="shared" si="0"/>
        <v>30</v>
      </c>
      <c r="H57" s="46">
        <f>TRUNC(S57*(1-LOTE_02!$K$10),2)</f>
        <v>4.16</v>
      </c>
      <c r="I57" s="46">
        <f>TRUNC(T57*(1-LOTE_02!$K$10),2)</f>
        <v>7.25</v>
      </c>
      <c r="J57" s="100">
        <f t="shared" si="1"/>
        <v>0.22470000000000001</v>
      </c>
      <c r="K57" s="48">
        <f t="shared" si="2"/>
        <v>5.09</v>
      </c>
      <c r="L57" s="48">
        <f t="shared" si="3"/>
        <v>8.8699999999999992</v>
      </c>
      <c r="M57" s="48">
        <f t="shared" si="4"/>
        <v>152.69999999999999</v>
      </c>
      <c r="N57" s="48">
        <f t="shared" si="5"/>
        <v>266.10000000000002</v>
      </c>
      <c r="O57" s="50">
        <f t="shared" si="6"/>
        <v>418.8</v>
      </c>
      <c r="P57" s="50">
        <v>0</v>
      </c>
      <c r="Q57" s="76"/>
      <c r="R57" s="140">
        <f>IF((2*S9+8*S10)&gt;30,30,(2*S9+8*S10))</f>
        <v>30</v>
      </c>
      <c r="S57" s="79">
        <v>4.16</v>
      </c>
      <c r="T57" s="80">
        <v>7.25</v>
      </c>
    </row>
    <row r="58" spans="2:20" ht="56">
      <c r="B58" s="5" t="s">
        <v>211</v>
      </c>
      <c r="C58" s="45" t="s">
        <v>135</v>
      </c>
      <c r="D58" s="45">
        <v>97635</v>
      </c>
      <c r="E58" s="6" t="s">
        <v>212</v>
      </c>
      <c r="F58" s="45" t="s">
        <v>121</v>
      </c>
      <c r="G58" s="46">
        <f t="shared" si="0"/>
        <v>300</v>
      </c>
      <c r="H58" s="46">
        <f>TRUNC(S58*(1-LOTE_02!$K$10),2)</f>
        <v>7.26</v>
      </c>
      <c r="I58" s="46">
        <f>TRUNC(T58*(1-LOTE_02!$K$10),2)</f>
        <v>13.05</v>
      </c>
      <c r="J58" s="100">
        <f t="shared" si="1"/>
        <v>0.22470000000000001</v>
      </c>
      <c r="K58" s="48">
        <f t="shared" si="2"/>
        <v>8.89</v>
      </c>
      <c r="L58" s="48">
        <f t="shared" si="3"/>
        <v>15.98</v>
      </c>
      <c r="M58" s="48">
        <f t="shared" si="4"/>
        <v>2667</v>
      </c>
      <c r="N58" s="48">
        <f t="shared" si="5"/>
        <v>4794</v>
      </c>
      <c r="O58" s="50">
        <f t="shared" si="6"/>
        <v>7461</v>
      </c>
      <c r="P58" s="50">
        <v>0</v>
      </c>
      <c r="Q58" s="76"/>
      <c r="R58" s="140">
        <f>IF((50*S9+100*S10)&gt;300,300,(50*S9+100*S10))</f>
        <v>300</v>
      </c>
      <c r="S58" s="79">
        <v>7.259999999999998</v>
      </c>
      <c r="T58" s="80">
        <v>13.05</v>
      </c>
    </row>
    <row r="59" spans="2:20" ht="56">
      <c r="B59" s="5" t="s">
        <v>213</v>
      </c>
      <c r="C59" s="45" t="s">
        <v>135</v>
      </c>
      <c r="D59" s="45">
        <v>97643</v>
      </c>
      <c r="E59" s="6" t="s">
        <v>214</v>
      </c>
      <c r="F59" s="45" t="s">
        <v>121</v>
      </c>
      <c r="G59" s="46">
        <f t="shared" si="0"/>
        <v>200</v>
      </c>
      <c r="H59" s="46">
        <f>TRUNC(S59*(1-LOTE_02!$K$10),2)</f>
        <v>11.47</v>
      </c>
      <c r="I59" s="46">
        <f>TRUNC(T59*(1-LOTE_02!$K$10),2)</f>
        <v>19.77</v>
      </c>
      <c r="J59" s="100">
        <f t="shared" si="1"/>
        <v>0.22470000000000001</v>
      </c>
      <c r="K59" s="48">
        <f t="shared" si="2"/>
        <v>14.04</v>
      </c>
      <c r="L59" s="48">
        <f t="shared" si="3"/>
        <v>24.21</v>
      </c>
      <c r="M59" s="48">
        <f t="shared" si="4"/>
        <v>2808</v>
      </c>
      <c r="N59" s="48">
        <f t="shared" si="5"/>
        <v>4842</v>
      </c>
      <c r="O59" s="50">
        <f t="shared" si="6"/>
        <v>7650</v>
      </c>
      <c r="P59" s="50">
        <v>0</v>
      </c>
      <c r="Q59" s="76"/>
      <c r="R59" s="140">
        <f>IF((50*S9+50*S10)&gt;200,200,(50*S9+50*S10))</f>
        <v>200</v>
      </c>
      <c r="S59" s="79">
        <v>11.469999999999999</v>
      </c>
      <c r="T59" s="80">
        <v>19.77</v>
      </c>
    </row>
    <row r="60" spans="2:20" ht="28">
      <c r="B60" s="5" t="s">
        <v>215</v>
      </c>
      <c r="C60" s="45" t="s">
        <v>165</v>
      </c>
      <c r="D60" s="45" t="s">
        <v>216</v>
      </c>
      <c r="E60" s="6" t="s">
        <v>217</v>
      </c>
      <c r="F60" s="45" t="s">
        <v>168</v>
      </c>
      <c r="G60" s="46">
        <f t="shared" si="0"/>
        <v>50</v>
      </c>
      <c r="H60" s="46">
        <f>TRUNC(S60*(1-LOTE_02!$K$10),2)</f>
        <v>0</v>
      </c>
      <c r="I60" s="46">
        <f>TRUNC(T60*(1-LOTE_02!$K$10),2)</f>
        <v>1.5</v>
      </c>
      <c r="J60" s="100">
        <f t="shared" si="1"/>
        <v>0.22470000000000001</v>
      </c>
      <c r="K60" s="48">
        <f t="shared" si="2"/>
        <v>0</v>
      </c>
      <c r="L60" s="48">
        <f t="shared" si="3"/>
        <v>1.83</v>
      </c>
      <c r="M60" s="48">
        <f t="shared" si="4"/>
        <v>0</v>
      </c>
      <c r="N60" s="48">
        <f t="shared" si="5"/>
        <v>91.5</v>
      </c>
      <c r="O60" s="50">
        <f t="shared" si="6"/>
        <v>91.5</v>
      </c>
      <c r="P60" s="50">
        <v>0</v>
      </c>
      <c r="Q60" s="76"/>
      <c r="R60" s="140">
        <f>IF((50*S9+50*S10)&gt;50,50,(50*S9+50*S10))</f>
        <v>50</v>
      </c>
      <c r="S60" s="79">
        <v>0</v>
      </c>
      <c r="T60" s="80">
        <v>1.5</v>
      </c>
    </row>
    <row r="61" spans="2:20" ht="28">
      <c r="B61" s="5" t="s">
        <v>218</v>
      </c>
      <c r="C61" s="45" t="s">
        <v>165</v>
      </c>
      <c r="D61" s="45" t="s">
        <v>219</v>
      </c>
      <c r="E61" s="6" t="s">
        <v>220</v>
      </c>
      <c r="F61" s="45" t="s">
        <v>168</v>
      </c>
      <c r="G61" s="46">
        <f t="shared" si="0"/>
        <v>500</v>
      </c>
      <c r="H61" s="46">
        <f>TRUNC(S61*(1-LOTE_02!$K$10),2)</f>
        <v>0</v>
      </c>
      <c r="I61" s="46">
        <f>TRUNC(T61*(1-LOTE_02!$K$10),2)</f>
        <v>13.5</v>
      </c>
      <c r="J61" s="100">
        <f t="shared" si="1"/>
        <v>0.22470000000000001</v>
      </c>
      <c r="K61" s="48">
        <f t="shared" si="2"/>
        <v>0</v>
      </c>
      <c r="L61" s="48">
        <f t="shared" si="3"/>
        <v>16.53</v>
      </c>
      <c r="M61" s="48">
        <f t="shared" si="4"/>
        <v>0</v>
      </c>
      <c r="N61" s="48">
        <f t="shared" si="5"/>
        <v>8265</v>
      </c>
      <c r="O61" s="50">
        <f t="shared" si="6"/>
        <v>8265</v>
      </c>
      <c r="P61" s="50">
        <v>0</v>
      </c>
      <c r="Q61" s="76"/>
      <c r="R61" s="140">
        <f>IF((20*S9+200*S10)&gt;500,500,((20*S9+200*S10)))</f>
        <v>500</v>
      </c>
      <c r="S61" s="79">
        <v>0</v>
      </c>
      <c r="T61" s="80">
        <v>13.5</v>
      </c>
    </row>
    <row r="62" spans="2:20" ht="42">
      <c r="B62" s="5" t="s">
        <v>221</v>
      </c>
      <c r="C62" s="45" t="s">
        <v>135</v>
      </c>
      <c r="D62" s="45">
        <v>97641</v>
      </c>
      <c r="E62" s="6" t="s">
        <v>222</v>
      </c>
      <c r="F62" s="45" t="s">
        <v>121</v>
      </c>
      <c r="G62" s="46">
        <f t="shared" si="0"/>
        <v>500</v>
      </c>
      <c r="H62" s="46">
        <f>TRUNC(S62*(1-LOTE_02!$K$10),2)</f>
        <v>1.34</v>
      </c>
      <c r="I62" s="46">
        <f>TRUNC(T62*(1-LOTE_02!$K$10),2)</f>
        <v>2.2999999999999998</v>
      </c>
      <c r="J62" s="100">
        <f t="shared" si="1"/>
        <v>0.22470000000000001</v>
      </c>
      <c r="K62" s="48">
        <f t="shared" si="2"/>
        <v>1.64</v>
      </c>
      <c r="L62" s="48">
        <f t="shared" si="3"/>
        <v>2.81</v>
      </c>
      <c r="M62" s="48">
        <f t="shared" si="4"/>
        <v>820</v>
      </c>
      <c r="N62" s="48">
        <f t="shared" si="5"/>
        <v>1405</v>
      </c>
      <c r="O62" s="50">
        <f t="shared" si="6"/>
        <v>2225</v>
      </c>
      <c r="P62" s="50">
        <v>0</v>
      </c>
      <c r="Q62" s="76"/>
      <c r="R62" s="140">
        <f>IF((5*S9+20*S10)&gt;500,500,(5*S9+20*S10))</f>
        <v>500</v>
      </c>
      <c r="S62" s="79">
        <v>1.3400000000000003</v>
      </c>
      <c r="T62" s="80">
        <v>2.2999999999999998</v>
      </c>
    </row>
    <row r="63" spans="2:20" ht="56">
      <c r="B63" s="5" t="s">
        <v>223</v>
      </c>
      <c r="C63" s="45" t="s">
        <v>135</v>
      </c>
      <c r="D63" s="45">
        <v>97640</v>
      </c>
      <c r="E63" s="6" t="s">
        <v>224</v>
      </c>
      <c r="F63" s="45" t="s">
        <v>121</v>
      </c>
      <c r="G63" s="46">
        <f t="shared" si="0"/>
        <v>2000</v>
      </c>
      <c r="H63" s="46">
        <f>TRUNC(S63*(1-LOTE_02!$K$10),2)</f>
        <v>0.9</v>
      </c>
      <c r="I63" s="46">
        <f>TRUNC(T63*(1-LOTE_02!$K$10),2)</f>
        <v>1.51</v>
      </c>
      <c r="J63" s="100">
        <f t="shared" si="1"/>
        <v>0.22470000000000001</v>
      </c>
      <c r="K63" s="48">
        <f t="shared" si="2"/>
        <v>1.1000000000000001</v>
      </c>
      <c r="L63" s="48">
        <f t="shared" si="3"/>
        <v>1.84</v>
      </c>
      <c r="M63" s="48">
        <f t="shared" si="4"/>
        <v>2200</v>
      </c>
      <c r="N63" s="48">
        <f t="shared" si="5"/>
        <v>3680</v>
      </c>
      <c r="O63" s="50">
        <f t="shared" si="6"/>
        <v>5880</v>
      </c>
      <c r="P63" s="50">
        <v>0</v>
      </c>
      <c r="Q63" s="76"/>
      <c r="R63" s="140">
        <f>IF((200*S9+200*S10)&gt;2000,2000,((20*S9+200*S10)))</f>
        <v>2000</v>
      </c>
      <c r="S63" s="79">
        <v>0.90000000000000013</v>
      </c>
      <c r="T63" s="80">
        <v>1.51</v>
      </c>
    </row>
    <row r="64" spans="2:20" ht="42">
      <c r="B64" s="5" t="s">
        <v>225</v>
      </c>
      <c r="C64" s="45" t="s">
        <v>135</v>
      </c>
      <c r="D64" s="45">
        <v>97663</v>
      </c>
      <c r="E64" s="6" t="s">
        <v>226</v>
      </c>
      <c r="F64" s="45" t="s">
        <v>210</v>
      </c>
      <c r="G64" s="46">
        <f t="shared" si="0"/>
        <v>2250</v>
      </c>
      <c r="H64" s="46">
        <f>TRUNC(S64*(1-LOTE_02!$K$10),2)</f>
        <v>5.71</v>
      </c>
      <c r="I64" s="46">
        <f>TRUNC(T64*(1-LOTE_02!$K$10),2)</f>
        <v>9.9600000000000009</v>
      </c>
      <c r="J64" s="100">
        <f t="shared" si="1"/>
        <v>0.22470000000000001</v>
      </c>
      <c r="K64" s="48">
        <f t="shared" si="2"/>
        <v>6.99</v>
      </c>
      <c r="L64" s="48">
        <f t="shared" si="3"/>
        <v>12.19</v>
      </c>
      <c r="M64" s="48">
        <f t="shared" si="4"/>
        <v>15727.5</v>
      </c>
      <c r="N64" s="48">
        <f t="shared" si="5"/>
        <v>27427.5</v>
      </c>
      <c r="O64" s="50">
        <f t="shared" si="6"/>
        <v>43155</v>
      </c>
      <c r="P64" s="50">
        <v>0</v>
      </c>
      <c r="Q64" s="76"/>
      <c r="R64" s="140">
        <f>50*(S9+S10)</f>
        <v>2250</v>
      </c>
      <c r="S64" s="79">
        <v>5.7099999999999991</v>
      </c>
      <c r="T64" s="80">
        <v>9.9600000000000009</v>
      </c>
    </row>
    <row r="65" spans="2:20" ht="42">
      <c r="B65" s="5" t="s">
        <v>227</v>
      </c>
      <c r="C65" s="45" t="s">
        <v>135</v>
      </c>
      <c r="D65" s="45">
        <v>97638</v>
      </c>
      <c r="E65" s="6" t="s">
        <v>228</v>
      </c>
      <c r="F65" s="45" t="s">
        <v>121</v>
      </c>
      <c r="G65" s="46">
        <f t="shared" si="0"/>
        <v>500</v>
      </c>
      <c r="H65" s="46">
        <f>TRUNC(S65*(1-LOTE_02!$K$10),2)</f>
        <v>3.86</v>
      </c>
      <c r="I65" s="46">
        <f>TRUNC(T65*(1-LOTE_02!$K$10),2)</f>
        <v>6.49</v>
      </c>
      <c r="J65" s="100">
        <f t="shared" si="1"/>
        <v>0.22470000000000001</v>
      </c>
      <c r="K65" s="48">
        <f t="shared" si="2"/>
        <v>4.72</v>
      </c>
      <c r="L65" s="48">
        <f t="shared" si="3"/>
        <v>7.94</v>
      </c>
      <c r="M65" s="48">
        <f t="shared" si="4"/>
        <v>2360</v>
      </c>
      <c r="N65" s="48">
        <f t="shared" si="5"/>
        <v>3970</v>
      </c>
      <c r="O65" s="50">
        <f t="shared" si="6"/>
        <v>6330</v>
      </c>
      <c r="P65" s="50">
        <v>0</v>
      </c>
      <c r="Q65" s="76"/>
      <c r="R65" s="140">
        <f>IF((20*S9+100*S10)&gt;500,500,(20*S9+100*S10))</f>
        <v>500</v>
      </c>
      <c r="S65" s="79">
        <v>3.8599999999999994</v>
      </c>
      <c r="T65" s="80">
        <v>6.49</v>
      </c>
    </row>
    <row r="66" spans="2:20" ht="56">
      <c r="B66" s="5" t="s">
        <v>229</v>
      </c>
      <c r="C66" s="45" t="s">
        <v>135</v>
      </c>
      <c r="D66" s="45">
        <v>97642</v>
      </c>
      <c r="E66" s="6" t="s">
        <v>230</v>
      </c>
      <c r="F66" s="45" t="s">
        <v>121</v>
      </c>
      <c r="G66" s="46">
        <f t="shared" si="0"/>
        <v>2000</v>
      </c>
      <c r="H66" s="46">
        <f>TRUNC(S66*(1-LOTE_02!$K$10),2)</f>
        <v>1.3</v>
      </c>
      <c r="I66" s="46">
        <f>TRUNC(T66*(1-LOTE_02!$K$10),2)</f>
        <v>2.17</v>
      </c>
      <c r="J66" s="100">
        <f t="shared" si="1"/>
        <v>0.22470000000000001</v>
      </c>
      <c r="K66" s="48">
        <f t="shared" si="2"/>
        <v>1.59</v>
      </c>
      <c r="L66" s="48">
        <f t="shared" si="3"/>
        <v>2.65</v>
      </c>
      <c r="M66" s="48">
        <f t="shared" si="4"/>
        <v>3180</v>
      </c>
      <c r="N66" s="48">
        <f t="shared" si="5"/>
        <v>5300</v>
      </c>
      <c r="O66" s="50">
        <f t="shared" si="6"/>
        <v>8480</v>
      </c>
      <c r="P66" s="50">
        <v>0</v>
      </c>
      <c r="Q66" s="76"/>
      <c r="R66" s="140">
        <f>IF((10*S9+200*S10)&gt;2000,2000,((10*S9+200*S10)))</f>
        <v>2000</v>
      </c>
      <c r="S66" s="79">
        <v>1.3000000000000003</v>
      </c>
      <c r="T66" s="80">
        <v>2.17</v>
      </c>
    </row>
    <row r="67" spans="2:20" ht="42">
      <c r="B67" s="5" t="s">
        <v>231</v>
      </c>
      <c r="C67" s="45" t="s">
        <v>135</v>
      </c>
      <c r="D67" s="45">
        <v>97650</v>
      </c>
      <c r="E67" s="6" t="s">
        <v>232</v>
      </c>
      <c r="F67" s="45" t="s">
        <v>121</v>
      </c>
      <c r="G67" s="46">
        <f t="shared" si="0"/>
        <v>1000</v>
      </c>
      <c r="H67" s="46">
        <f>TRUNC(S67*(1-LOTE_02!$K$10),2)</f>
        <v>3.5</v>
      </c>
      <c r="I67" s="46">
        <f>TRUNC(T67*(1-LOTE_02!$K$10),2)</f>
        <v>5.98</v>
      </c>
      <c r="J67" s="100">
        <f t="shared" si="1"/>
        <v>0.22470000000000001</v>
      </c>
      <c r="K67" s="48">
        <f t="shared" si="2"/>
        <v>4.28</v>
      </c>
      <c r="L67" s="48">
        <f t="shared" si="3"/>
        <v>7.32</v>
      </c>
      <c r="M67" s="48">
        <f t="shared" si="4"/>
        <v>4280</v>
      </c>
      <c r="N67" s="48">
        <f t="shared" si="5"/>
        <v>7320</v>
      </c>
      <c r="O67" s="50">
        <f t="shared" si="6"/>
        <v>11600</v>
      </c>
      <c r="P67" s="50">
        <v>0</v>
      </c>
      <c r="Q67" s="76"/>
      <c r="R67" s="140">
        <f>IF((20*S9+300*S10)&gt;1000,1000,(20*S9+100*S10))</f>
        <v>1000</v>
      </c>
      <c r="S67" s="79">
        <v>3.5</v>
      </c>
      <c r="T67" s="80">
        <v>5.98</v>
      </c>
    </row>
    <row r="68" spans="2:20" ht="56">
      <c r="B68" s="5" t="s">
        <v>233</v>
      </c>
      <c r="C68" s="45" t="s">
        <v>135</v>
      </c>
      <c r="D68" s="45">
        <v>97637</v>
      </c>
      <c r="E68" s="6" t="s">
        <v>234</v>
      </c>
      <c r="F68" s="45" t="s">
        <v>121</v>
      </c>
      <c r="G68" s="46">
        <f t="shared" si="0"/>
        <v>100</v>
      </c>
      <c r="H68" s="46">
        <f>TRUNC(S68*(1-LOTE_02!$K$10),2)</f>
        <v>1.34</v>
      </c>
      <c r="I68" s="46">
        <f>TRUNC(T68*(1-LOTE_02!$K$10),2)</f>
        <v>2.21</v>
      </c>
      <c r="J68" s="100">
        <f t="shared" si="1"/>
        <v>0.22470000000000001</v>
      </c>
      <c r="K68" s="48">
        <f t="shared" si="2"/>
        <v>1.64</v>
      </c>
      <c r="L68" s="48">
        <f t="shared" si="3"/>
        <v>2.7</v>
      </c>
      <c r="M68" s="48">
        <f t="shared" si="4"/>
        <v>164</v>
      </c>
      <c r="N68" s="48">
        <f t="shared" si="5"/>
        <v>270</v>
      </c>
      <c r="O68" s="50">
        <f t="shared" si="6"/>
        <v>434</v>
      </c>
      <c r="P68" s="50">
        <v>0</v>
      </c>
      <c r="Q68" s="76"/>
      <c r="R68" s="140">
        <f>IF((10*S9+30*3*S10)&gt;100,100,(10*S9+15*3*S10))</f>
        <v>100</v>
      </c>
      <c r="S68" s="79">
        <v>1.3399999999999999</v>
      </c>
      <c r="T68" s="80">
        <v>2.21</v>
      </c>
    </row>
    <row r="69" spans="2:20" ht="42">
      <c r="B69" s="5" t="s">
        <v>235</v>
      </c>
      <c r="C69" s="45" t="s">
        <v>135</v>
      </c>
      <c r="D69" s="45">
        <v>97644</v>
      </c>
      <c r="E69" s="6" t="s">
        <v>236</v>
      </c>
      <c r="F69" s="45" t="s">
        <v>121</v>
      </c>
      <c r="G69" s="46">
        <f t="shared" si="0"/>
        <v>100</v>
      </c>
      <c r="H69" s="46">
        <f>TRUNC(S69*(1-LOTE_02!$K$10),2)</f>
        <v>4.3499999999999996</v>
      </c>
      <c r="I69" s="46">
        <f>TRUNC(T69*(1-LOTE_02!$K$10),2)</f>
        <v>7.46</v>
      </c>
      <c r="J69" s="100">
        <f t="shared" si="1"/>
        <v>0.22470000000000001</v>
      </c>
      <c r="K69" s="48">
        <f t="shared" si="2"/>
        <v>5.32</v>
      </c>
      <c r="L69" s="48">
        <f t="shared" si="3"/>
        <v>9.1300000000000008</v>
      </c>
      <c r="M69" s="48">
        <f t="shared" si="4"/>
        <v>532</v>
      </c>
      <c r="N69" s="48">
        <f t="shared" si="5"/>
        <v>913</v>
      </c>
      <c r="O69" s="50">
        <f t="shared" si="6"/>
        <v>1445</v>
      </c>
      <c r="P69" s="50">
        <v>0</v>
      </c>
      <c r="Q69" s="76"/>
      <c r="R69" s="140">
        <f>IF((0.9*2.1*3*S9+0.9*2.1*3*S10)&gt;100,100,(0.9*2.1*3*S9+0.9*2.1*3*S10))</f>
        <v>100</v>
      </c>
      <c r="S69" s="79">
        <v>4.3500000000000005</v>
      </c>
      <c r="T69" s="80">
        <v>7.46</v>
      </c>
    </row>
    <row r="70" spans="2:20" ht="42">
      <c r="B70" s="5" t="s">
        <v>237</v>
      </c>
      <c r="C70" s="45" t="s">
        <v>135</v>
      </c>
      <c r="D70" s="45">
        <v>97645</v>
      </c>
      <c r="E70" s="6" t="s">
        <v>238</v>
      </c>
      <c r="F70" s="45" t="s">
        <v>121</v>
      </c>
      <c r="G70" s="46">
        <f t="shared" si="0"/>
        <v>100</v>
      </c>
      <c r="H70" s="46">
        <f>TRUNC(S70*(1-LOTE_02!$K$10),2)</f>
        <v>11.23</v>
      </c>
      <c r="I70" s="46">
        <f>TRUNC(T70*(1-LOTE_02!$K$10),2)</f>
        <v>19.29</v>
      </c>
      <c r="J70" s="100">
        <f t="shared" si="1"/>
        <v>0.22470000000000001</v>
      </c>
      <c r="K70" s="48">
        <f t="shared" si="2"/>
        <v>13.75</v>
      </c>
      <c r="L70" s="48">
        <f t="shared" si="3"/>
        <v>23.62</v>
      </c>
      <c r="M70" s="48">
        <f t="shared" si="4"/>
        <v>1375</v>
      </c>
      <c r="N70" s="48">
        <f t="shared" si="5"/>
        <v>2362</v>
      </c>
      <c r="O70" s="50">
        <f t="shared" si="6"/>
        <v>3737</v>
      </c>
      <c r="P70" s="50">
        <v>0</v>
      </c>
      <c r="Q70" s="76"/>
      <c r="R70" s="140">
        <f>IF((1.5*1*5*2*S9+1.5*1.5*3*(S10))&gt;100,100,(1.5*1*5*2*S9+1.5*1.5*3*(S10)))</f>
        <v>100</v>
      </c>
      <c r="S70" s="79">
        <v>11.23</v>
      </c>
      <c r="T70" s="80">
        <v>19.29</v>
      </c>
    </row>
    <row r="71" spans="2:20" ht="56">
      <c r="B71" s="5" t="s">
        <v>239</v>
      </c>
      <c r="C71" s="45" t="s">
        <v>135</v>
      </c>
      <c r="D71" s="45">
        <v>97647</v>
      </c>
      <c r="E71" s="6" t="s">
        <v>240</v>
      </c>
      <c r="F71" s="45" t="s">
        <v>121</v>
      </c>
      <c r="G71" s="46">
        <f t="shared" si="0"/>
        <v>3000</v>
      </c>
      <c r="H71" s="46">
        <f>TRUNC(S71*(1-LOTE_02!$K$10),2)</f>
        <v>1.61</v>
      </c>
      <c r="I71" s="46">
        <f>TRUNC(T71*(1-LOTE_02!$K$10),2)</f>
        <v>2.77</v>
      </c>
      <c r="J71" s="100">
        <f t="shared" si="1"/>
        <v>0.22470000000000001</v>
      </c>
      <c r="K71" s="48">
        <f t="shared" si="2"/>
        <v>1.97</v>
      </c>
      <c r="L71" s="48">
        <f t="shared" si="3"/>
        <v>3.39</v>
      </c>
      <c r="M71" s="48">
        <f t="shared" si="4"/>
        <v>5910</v>
      </c>
      <c r="N71" s="48">
        <f t="shared" si="5"/>
        <v>10170</v>
      </c>
      <c r="O71" s="50">
        <f t="shared" si="6"/>
        <v>16080</v>
      </c>
      <c r="P71" s="50">
        <v>0</v>
      </c>
      <c r="Q71" s="76"/>
      <c r="R71" s="140">
        <f>IF((200*S9+300*S10)&gt;3000,3000,(20*S9+200*S10))</f>
        <v>3000</v>
      </c>
      <c r="S71" s="79">
        <v>1.6099999999999999</v>
      </c>
      <c r="T71" s="80">
        <v>2.77</v>
      </c>
    </row>
    <row r="72" spans="2:20" ht="42">
      <c r="B72" s="5" t="s">
        <v>241</v>
      </c>
      <c r="C72" s="45" t="s">
        <v>97</v>
      </c>
      <c r="D72" s="45" t="s">
        <v>242</v>
      </c>
      <c r="E72" s="6" t="s">
        <v>243</v>
      </c>
      <c r="F72" s="45" t="s">
        <v>121</v>
      </c>
      <c r="G72" s="46">
        <f t="shared" si="0"/>
        <v>5200</v>
      </c>
      <c r="H72" s="46">
        <f>TRUNC(S72*(1-LOTE_02!$K$10),2)</f>
        <v>7.31</v>
      </c>
      <c r="I72" s="46">
        <f>TRUNC(T72*(1-LOTE_02!$K$10),2)</f>
        <v>12.67</v>
      </c>
      <c r="J72" s="100">
        <f t="shared" si="1"/>
        <v>0.22470000000000001</v>
      </c>
      <c r="K72" s="48">
        <f t="shared" si="2"/>
        <v>8.9499999999999993</v>
      </c>
      <c r="L72" s="48">
        <f t="shared" si="3"/>
        <v>15.51</v>
      </c>
      <c r="M72" s="48">
        <f t="shared" si="4"/>
        <v>46540</v>
      </c>
      <c r="N72" s="48">
        <f t="shared" si="5"/>
        <v>80652</v>
      </c>
      <c r="O72" s="50">
        <f t="shared" si="6"/>
        <v>127192</v>
      </c>
      <c r="P72" s="50">
        <v>0</v>
      </c>
      <c r="Q72" s="76"/>
      <c r="R72" s="140">
        <f>10*S9+200*S10</f>
        <v>5200</v>
      </c>
      <c r="S72" s="79">
        <v>7.31</v>
      </c>
      <c r="T72" s="80">
        <v>12.67</v>
      </c>
    </row>
    <row r="73" spans="2:20" ht="42">
      <c r="B73" s="5" t="s">
        <v>244</v>
      </c>
      <c r="C73" s="45" t="s">
        <v>135</v>
      </c>
      <c r="D73" s="45">
        <v>97655</v>
      </c>
      <c r="E73" s="6" t="s">
        <v>245</v>
      </c>
      <c r="F73" s="45" t="s">
        <v>121</v>
      </c>
      <c r="G73" s="46">
        <f t="shared" si="0"/>
        <v>500</v>
      </c>
      <c r="H73" s="46">
        <f>TRUNC(S73*(1-LOTE_02!$K$10),2)</f>
        <v>32.25</v>
      </c>
      <c r="I73" s="46">
        <f>TRUNC(T73*(1-LOTE_02!$K$10),2)</f>
        <v>14.85</v>
      </c>
      <c r="J73" s="100">
        <f t="shared" si="1"/>
        <v>0.22470000000000001</v>
      </c>
      <c r="K73" s="48">
        <f t="shared" si="2"/>
        <v>39.49</v>
      </c>
      <c r="L73" s="48">
        <f t="shared" si="3"/>
        <v>18.18</v>
      </c>
      <c r="M73" s="48">
        <f t="shared" si="4"/>
        <v>19745</v>
      </c>
      <c r="N73" s="48">
        <f t="shared" si="5"/>
        <v>9090</v>
      </c>
      <c r="O73" s="50">
        <f t="shared" si="6"/>
        <v>28835</v>
      </c>
      <c r="P73" s="50">
        <v>0</v>
      </c>
      <c r="Q73" s="76"/>
      <c r="R73" s="140">
        <f>IF((20*S9+100*S10)&gt;500,500,(20*S9+100*S10))</f>
        <v>500</v>
      </c>
      <c r="S73" s="79">
        <v>32.25</v>
      </c>
      <c r="T73" s="80">
        <v>14.85</v>
      </c>
    </row>
    <row r="74" spans="2:20" ht="42">
      <c r="B74" s="5" t="s">
        <v>246</v>
      </c>
      <c r="C74" s="45" t="s">
        <v>97</v>
      </c>
      <c r="D74" s="45" t="s">
        <v>247</v>
      </c>
      <c r="E74" s="6" t="s">
        <v>248</v>
      </c>
      <c r="F74" s="45" t="s">
        <v>104</v>
      </c>
      <c r="G74" s="46">
        <f t="shared" si="0"/>
        <v>20</v>
      </c>
      <c r="H74" s="46">
        <f>TRUNC(S74*(1-LOTE_02!$K$10),2)</f>
        <v>0</v>
      </c>
      <c r="I74" s="46">
        <f>TRUNC(T74*(1-LOTE_02!$K$10),2)</f>
        <v>63.65</v>
      </c>
      <c r="J74" s="100">
        <f t="shared" si="1"/>
        <v>0.22470000000000001</v>
      </c>
      <c r="K74" s="48">
        <f t="shared" si="2"/>
        <v>0</v>
      </c>
      <c r="L74" s="48">
        <f t="shared" si="3"/>
        <v>77.95</v>
      </c>
      <c r="M74" s="48">
        <f t="shared" si="4"/>
        <v>0</v>
      </c>
      <c r="N74" s="48">
        <f t="shared" si="5"/>
        <v>1559</v>
      </c>
      <c r="O74" s="50">
        <f t="shared" si="6"/>
        <v>1559</v>
      </c>
      <c r="P74" s="50">
        <v>0</v>
      </c>
      <c r="Q74" s="76"/>
      <c r="R74" s="140">
        <f>IF((1*S9+2*S10)&gt;20,20,(1*S9+1*S10))</f>
        <v>20</v>
      </c>
      <c r="S74" s="79">
        <v>0</v>
      </c>
      <c r="T74" s="80">
        <v>63.65</v>
      </c>
    </row>
    <row r="75" spans="2:20" ht="42">
      <c r="B75" s="5" t="s">
        <v>249</v>
      </c>
      <c r="C75" s="45" t="s">
        <v>135</v>
      </c>
      <c r="D75" s="45">
        <v>102190</v>
      </c>
      <c r="E75" s="6" t="s">
        <v>1770</v>
      </c>
      <c r="F75" s="45" t="s">
        <v>121</v>
      </c>
      <c r="G75" s="46">
        <f t="shared" si="0"/>
        <v>100</v>
      </c>
      <c r="H75" s="46">
        <f>TRUNC(S75*(1-LOTE_02!$K$10),2)</f>
        <v>7.68</v>
      </c>
      <c r="I75" s="46">
        <f>TRUNC(T75*(1-LOTE_02!$K$10),2)</f>
        <v>14.06</v>
      </c>
      <c r="J75" s="100">
        <f t="shared" si="1"/>
        <v>0.22470000000000001</v>
      </c>
      <c r="K75" s="48">
        <f t="shared" si="2"/>
        <v>9.4</v>
      </c>
      <c r="L75" s="48">
        <f t="shared" si="3"/>
        <v>17.21</v>
      </c>
      <c r="M75" s="48">
        <f t="shared" si="4"/>
        <v>940</v>
      </c>
      <c r="N75" s="48">
        <f t="shared" si="5"/>
        <v>1721</v>
      </c>
      <c r="O75" s="50">
        <f t="shared" si="6"/>
        <v>2661</v>
      </c>
      <c r="P75" s="50">
        <v>0</v>
      </c>
      <c r="Q75" s="76"/>
      <c r="R75" s="140">
        <f>IF((5*S9+5*S10)&gt;100,100,(5*S9+5*S10))</f>
        <v>100</v>
      </c>
      <c r="S75" s="79">
        <v>7.6799999999999979</v>
      </c>
      <c r="T75" s="80">
        <v>14.06</v>
      </c>
    </row>
    <row r="76" spans="2:20" ht="56">
      <c r="B76" s="5" t="s">
        <v>250</v>
      </c>
      <c r="C76" s="45" t="s">
        <v>135</v>
      </c>
      <c r="D76" s="45">
        <v>97662</v>
      </c>
      <c r="E76" s="6" t="s">
        <v>251</v>
      </c>
      <c r="F76" s="45" t="s">
        <v>187</v>
      </c>
      <c r="G76" s="46">
        <f t="shared" si="0"/>
        <v>500</v>
      </c>
      <c r="H76" s="46">
        <f>TRUNC(S76*(1-LOTE_02!$K$10),2)</f>
        <v>0.23</v>
      </c>
      <c r="I76" s="46">
        <f>TRUNC(T76*(1-LOTE_02!$K$10),2)</f>
        <v>0.39</v>
      </c>
      <c r="J76" s="100">
        <f t="shared" si="1"/>
        <v>0.22470000000000001</v>
      </c>
      <c r="K76" s="48">
        <f t="shared" si="2"/>
        <v>0.28000000000000003</v>
      </c>
      <c r="L76" s="48">
        <f t="shared" si="3"/>
        <v>0.47</v>
      </c>
      <c r="M76" s="48">
        <f t="shared" si="4"/>
        <v>140</v>
      </c>
      <c r="N76" s="48">
        <f t="shared" si="5"/>
        <v>235</v>
      </c>
      <c r="O76" s="50">
        <f t="shared" si="6"/>
        <v>375</v>
      </c>
      <c r="P76" s="50">
        <v>0</v>
      </c>
      <c r="Q76" s="76"/>
      <c r="R76" s="140">
        <f>IF((5*S9+100*S10)&gt;500,500,(5*S9+100*S10))</f>
        <v>500</v>
      </c>
      <c r="S76" s="79">
        <v>0.22999999999999998</v>
      </c>
      <c r="T76" s="80">
        <v>0.39</v>
      </c>
    </row>
    <row r="77" spans="2:20" ht="42">
      <c r="B77" s="5" t="s">
        <v>252</v>
      </c>
      <c r="C77" s="45" t="s">
        <v>135</v>
      </c>
      <c r="D77" s="45">
        <v>97664</v>
      </c>
      <c r="E77" s="6" t="s">
        <v>253</v>
      </c>
      <c r="F77" s="45" t="s">
        <v>210</v>
      </c>
      <c r="G77" s="46">
        <f t="shared" si="0"/>
        <v>30</v>
      </c>
      <c r="H77" s="46">
        <f>TRUNC(S77*(1-LOTE_02!$K$10),2)</f>
        <v>0.72</v>
      </c>
      <c r="I77" s="46">
        <f>TRUNC(T77*(1-LOTE_02!$K$10),2)</f>
        <v>1.23</v>
      </c>
      <c r="J77" s="100">
        <f t="shared" si="1"/>
        <v>0.22470000000000001</v>
      </c>
      <c r="K77" s="48">
        <f t="shared" si="2"/>
        <v>0.88</v>
      </c>
      <c r="L77" s="48">
        <f t="shared" si="3"/>
        <v>1.5</v>
      </c>
      <c r="M77" s="48">
        <f t="shared" si="4"/>
        <v>26.4</v>
      </c>
      <c r="N77" s="48">
        <f t="shared" si="5"/>
        <v>45</v>
      </c>
      <c r="O77" s="50">
        <f t="shared" si="6"/>
        <v>71.400000000000006</v>
      </c>
      <c r="P77" s="50">
        <v>0</v>
      </c>
      <c r="Q77" s="76"/>
      <c r="R77" s="140">
        <f>IF((2*S9+8*S10)&gt;30,30,(2*S9+8*S10))</f>
        <v>30</v>
      </c>
      <c r="S77" s="79">
        <v>0.72</v>
      </c>
      <c r="T77" s="80">
        <v>1.23</v>
      </c>
    </row>
    <row r="78" spans="2:20" ht="28">
      <c r="B78" s="5" t="s">
        <v>254</v>
      </c>
      <c r="C78" s="45" t="s">
        <v>97</v>
      </c>
      <c r="D78" s="45" t="s">
        <v>255</v>
      </c>
      <c r="E78" s="6" t="s">
        <v>256</v>
      </c>
      <c r="F78" s="45" t="s">
        <v>121</v>
      </c>
      <c r="G78" s="46">
        <f t="shared" si="0"/>
        <v>500</v>
      </c>
      <c r="H78" s="46">
        <f>TRUNC(S78*(1-LOTE_02!$K$10),2)</f>
        <v>3.13</v>
      </c>
      <c r="I78" s="46">
        <f>TRUNC(T78*(1-LOTE_02!$K$10),2)</f>
        <v>4.93</v>
      </c>
      <c r="J78" s="100">
        <f t="shared" si="1"/>
        <v>0.22470000000000001</v>
      </c>
      <c r="K78" s="48">
        <f t="shared" si="2"/>
        <v>3.83</v>
      </c>
      <c r="L78" s="48">
        <f t="shared" si="3"/>
        <v>6.03</v>
      </c>
      <c r="M78" s="48">
        <f t="shared" si="4"/>
        <v>1915</v>
      </c>
      <c r="N78" s="48">
        <f t="shared" si="5"/>
        <v>3015</v>
      </c>
      <c r="O78" s="50">
        <f t="shared" si="6"/>
        <v>4930</v>
      </c>
      <c r="P78" s="50">
        <v>0</v>
      </c>
      <c r="Q78" s="76"/>
      <c r="R78" s="140">
        <f>IF((30*S9+3*20*S10)&gt;500,500,(30*S9+3*20*S10))</f>
        <v>500</v>
      </c>
      <c r="S78" s="79">
        <v>3.13</v>
      </c>
      <c r="T78" s="80">
        <v>4.93</v>
      </c>
    </row>
    <row r="79" spans="2:20" ht="28">
      <c r="B79" s="5" t="s">
        <v>257</v>
      </c>
      <c r="C79" s="45" t="s">
        <v>97</v>
      </c>
      <c r="D79" s="45" t="s">
        <v>258</v>
      </c>
      <c r="E79" s="6" t="s">
        <v>259</v>
      </c>
      <c r="F79" s="45" t="s">
        <v>121</v>
      </c>
      <c r="G79" s="46">
        <f t="shared" si="0"/>
        <v>20</v>
      </c>
      <c r="H79" s="46">
        <f>TRUNC(S79*(1-LOTE_02!$K$10),2)</f>
        <v>12.01</v>
      </c>
      <c r="I79" s="46">
        <f>TRUNC(T79*(1-LOTE_02!$K$10),2)</f>
        <v>19.77</v>
      </c>
      <c r="J79" s="100">
        <f t="shared" si="1"/>
        <v>0.22470000000000001</v>
      </c>
      <c r="K79" s="48">
        <f t="shared" si="2"/>
        <v>14.7</v>
      </c>
      <c r="L79" s="48">
        <f t="shared" si="3"/>
        <v>24.21</v>
      </c>
      <c r="M79" s="48">
        <f t="shared" si="4"/>
        <v>294</v>
      </c>
      <c r="N79" s="48">
        <f t="shared" si="5"/>
        <v>484.2</v>
      </c>
      <c r="O79" s="50">
        <f t="shared" si="6"/>
        <v>778.2</v>
      </c>
      <c r="P79" s="50">
        <v>0</v>
      </c>
      <c r="Q79" s="76"/>
      <c r="R79" s="140">
        <f>IF((S9+S10)&gt;20,20,(S9+S10))</f>
        <v>20</v>
      </c>
      <c r="S79" s="79">
        <v>12.01</v>
      </c>
      <c r="T79" s="80">
        <v>19.77</v>
      </c>
    </row>
    <row r="80" spans="2:20" ht="28">
      <c r="B80" s="5" t="s">
        <v>260</v>
      </c>
      <c r="C80" s="45" t="s">
        <v>97</v>
      </c>
      <c r="D80" s="45" t="s">
        <v>261</v>
      </c>
      <c r="E80" s="6" t="s">
        <v>262</v>
      </c>
      <c r="F80" s="45" t="s">
        <v>121</v>
      </c>
      <c r="G80" s="46">
        <f t="shared" si="0"/>
        <v>50</v>
      </c>
      <c r="H80" s="46">
        <f>TRUNC(S80*(1-LOTE_02!$K$10),2)</f>
        <v>9.6199999999999992</v>
      </c>
      <c r="I80" s="46">
        <f>TRUNC(T80*(1-LOTE_02!$K$10),2)</f>
        <v>16.98</v>
      </c>
      <c r="J80" s="100">
        <f t="shared" si="1"/>
        <v>0.22470000000000001</v>
      </c>
      <c r="K80" s="48">
        <f t="shared" si="2"/>
        <v>11.78</v>
      </c>
      <c r="L80" s="48">
        <f t="shared" si="3"/>
        <v>20.79</v>
      </c>
      <c r="M80" s="48">
        <f t="shared" si="4"/>
        <v>589</v>
      </c>
      <c r="N80" s="48">
        <f t="shared" si="5"/>
        <v>1039.5</v>
      </c>
      <c r="O80" s="50">
        <f t="shared" si="6"/>
        <v>1628.5</v>
      </c>
      <c r="P80" s="50">
        <v>0</v>
      </c>
      <c r="Q80" s="76"/>
      <c r="R80" s="140">
        <f>IF((5*S10)&gt;50,50,(2*S9+5*S10))</f>
        <v>50</v>
      </c>
      <c r="S80" s="79">
        <v>9.6199999999999992</v>
      </c>
      <c r="T80" s="80">
        <v>16.98</v>
      </c>
    </row>
    <row r="81" spans="2:20" ht="28">
      <c r="B81" s="5" t="s">
        <v>263</v>
      </c>
      <c r="C81" s="45" t="s">
        <v>97</v>
      </c>
      <c r="D81" s="45" t="s">
        <v>264</v>
      </c>
      <c r="E81" s="6" t="s">
        <v>265</v>
      </c>
      <c r="F81" s="45" t="s">
        <v>104</v>
      </c>
      <c r="G81" s="46">
        <f t="shared" ref="G81:G134" si="7">TRUNC(R81,2)</f>
        <v>45</v>
      </c>
      <c r="H81" s="46">
        <f>TRUNC(S81*(1-LOTE_02!$K$10),2)</f>
        <v>10.44</v>
      </c>
      <c r="I81" s="46">
        <f>TRUNC(T81*(1-LOTE_02!$K$10),2)</f>
        <v>16.440000000000001</v>
      </c>
      <c r="J81" s="100">
        <f t="shared" ref="J81:J144" si="8">$J$4</f>
        <v>0.22470000000000001</v>
      </c>
      <c r="K81" s="48">
        <f t="shared" ref="K81:K144" si="9">TRUNC(H81*(1+J81),2)</f>
        <v>12.78</v>
      </c>
      <c r="L81" s="48">
        <f t="shared" ref="L81:L144" si="10">TRUNC(I81*(1+J81),2)</f>
        <v>20.13</v>
      </c>
      <c r="M81" s="48">
        <f t="shared" ref="M81:M144" si="11">TRUNC(K81*G81,2)</f>
        <v>575.1</v>
      </c>
      <c r="N81" s="48">
        <f t="shared" ref="N81:N144" si="12">TRUNC(L81*G81,2)</f>
        <v>905.85</v>
      </c>
      <c r="O81" s="50">
        <f t="shared" ref="O81:O144" si="13">TRUNC(M81+N81,2)</f>
        <v>1480.95</v>
      </c>
      <c r="P81" s="50">
        <v>0</v>
      </c>
      <c r="Q81" s="76"/>
      <c r="R81" s="140">
        <f>1*S9+1*S10</f>
        <v>45</v>
      </c>
      <c r="S81" s="79">
        <v>10.44</v>
      </c>
      <c r="T81" s="80">
        <v>16.440000000000001</v>
      </c>
    </row>
    <row r="82" spans="2:20" ht="28">
      <c r="B82" s="5" t="s">
        <v>266</v>
      </c>
      <c r="C82" s="45" t="s">
        <v>97</v>
      </c>
      <c r="D82" s="45" t="s">
        <v>267</v>
      </c>
      <c r="E82" s="6" t="s">
        <v>268</v>
      </c>
      <c r="F82" s="45" t="s">
        <v>104</v>
      </c>
      <c r="G82" s="46">
        <f t="shared" si="7"/>
        <v>90</v>
      </c>
      <c r="H82" s="46">
        <f>TRUNC(S82*(1-LOTE_02!$K$10),2)</f>
        <v>4.17</v>
      </c>
      <c r="I82" s="46">
        <f>TRUNC(T82*(1-LOTE_02!$K$10),2)</f>
        <v>6.57</v>
      </c>
      <c r="J82" s="100">
        <f t="shared" si="8"/>
        <v>0.22470000000000001</v>
      </c>
      <c r="K82" s="48">
        <f t="shared" si="9"/>
        <v>5.0999999999999996</v>
      </c>
      <c r="L82" s="48">
        <f t="shared" si="10"/>
        <v>8.0399999999999991</v>
      </c>
      <c r="M82" s="48">
        <f t="shared" si="11"/>
        <v>459</v>
      </c>
      <c r="N82" s="48">
        <f t="shared" si="12"/>
        <v>723.6</v>
      </c>
      <c r="O82" s="50">
        <f t="shared" si="13"/>
        <v>1182.5999999999999</v>
      </c>
      <c r="P82" s="50">
        <v>0</v>
      </c>
      <c r="Q82" s="76"/>
      <c r="R82" s="140">
        <f>2*S9+2*(S10)</f>
        <v>90</v>
      </c>
      <c r="S82" s="79">
        <v>4.17</v>
      </c>
      <c r="T82" s="80">
        <v>6.57</v>
      </c>
    </row>
    <row r="83" spans="2:20" ht="28">
      <c r="B83" s="5" t="s">
        <v>269</v>
      </c>
      <c r="C83" s="45" t="s">
        <v>97</v>
      </c>
      <c r="D83" s="45" t="s">
        <v>270</v>
      </c>
      <c r="E83" s="6" t="s">
        <v>271</v>
      </c>
      <c r="F83" s="45" t="s">
        <v>104</v>
      </c>
      <c r="G83" s="46">
        <f t="shared" si="7"/>
        <v>90</v>
      </c>
      <c r="H83" s="46">
        <f>TRUNC(S83*(1-LOTE_02!$K$10),2)</f>
        <v>5.22</v>
      </c>
      <c r="I83" s="46">
        <f>TRUNC(T83*(1-LOTE_02!$K$10),2)</f>
        <v>8.2200000000000006</v>
      </c>
      <c r="J83" s="100">
        <f t="shared" si="8"/>
        <v>0.22470000000000001</v>
      </c>
      <c r="K83" s="48">
        <f t="shared" si="9"/>
        <v>6.39</v>
      </c>
      <c r="L83" s="48">
        <f t="shared" si="10"/>
        <v>10.06</v>
      </c>
      <c r="M83" s="48">
        <f t="shared" si="11"/>
        <v>575.1</v>
      </c>
      <c r="N83" s="48">
        <f t="shared" si="12"/>
        <v>905.4</v>
      </c>
      <c r="O83" s="50">
        <f t="shared" si="13"/>
        <v>1480.5</v>
      </c>
      <c r="P83" s="50">
        <v>0</v>
      </c>
      <c r="Q83" s="76"/>
      <c r="R83" s="140">
        <f>2*S9+2*(S10)</f>
        <v>90</v>
      </c>
      <c r="S83" s="79">
        <v>5.22</v>
      </c>
      <c r="T83" s="80">
        <v>8.2200000000000006</v>
      </c>
    </row>
    <row r="84" spans="2:20">
      <c r="B84" s="5" t="s">
        <v>272</v>
      </c>
      <c r="C84" s="45" t="s">
        <v>97</v>
      </c>
      <c r="D84" s="45" t="s">
        <v>273</v>
      </c>
      <c r="E84" s="6" t="s">
        <v>274</v>
      </c>
      <c r="F84" s="45" t="s">
        <v>104</v>
      </c>
      <c r="G84" s="46">
        <f t="shared" si="7"/>
        <v>450</v>
      </c>
      <c r="H84" s="46">
        <f>TRUNC(S84*(1-LOTE_02!$K$10),2)</f>
        <v>2.08</v>
      </c>
      <c r="I84" s="46">
        <f>TRUNC(T84*(1-LOTE_02!$K$10),2)</f>
        <v>3.28</v>
      </c>
      <c r="J84" s="100">
        <f t="shared" si="8"/>
        <v>0.22470000000000001</v>
      </c>
      <c r="K84" s="48">
        <f t="shared" si="9"/>
        <v>2.54</v>
      </c>
      <c r="L84" s="48">
        <f t="shared" si="10"/>
        <v>4.01</v>
      </c>
      <c r="M84" s="48">
        <f t="shared" si="11"/>
        <v>1143</v>
      </c>
      <c r="N84" s="48">
        <f t="shared" si="12"/>
        <v>1804.5</v>
      </c>
      <c r="O84" s="50">
        <f t="shared" si="13"/>
        <v>2947.5</v>
      </c>
      <c r="P84" s="50">
        <v>0</v>
      </c>
      <c r="Q84" s="76"/>
      <c r="R84" s="140">
        <f>10*S9+10*S10</f>
        <v>450</v>
      </c>
      <c r="S84" s="79">
        <v>2.08</v>
      </c>
      <c r="T84" s="80">
        <v>3.28</v>
      </c>
    </row>
    <row r="85" spans="2:20" ht="28">
      <c r="B85" s="5" t="s">
        <v>275</v>
      </c>
      <c r="C85" s="45" t="s">
        <v>97</v>
      </c>
      <c r="D85" s="45" t="s">
        <v>276</v>
      </c>
      <c r="E85" s="6" t="s">
        <v>277</v>
      </c>
      <c r="F85" s="45" t="s">
        <v>104</v>
      </c>
      <c r="G85" s="46">
        <f t="shared" si="7"/>
        <v>225</v>
      </c>
      <c r="H85" s="46">
        <f>TRUNC(S85*(1-LOTE_02!$K$10),2)</f>
        <v>4.17</v>
      </c>
      <c r="I85" s="46">
        <f>TRUNC(T85*(1-LOTE_02!$K$10),2)</f>
        <v>6.57</v>
      </c>
      <c r="J85" s="100">
        <f t="shared" si="8"/>
        <v>0.22470000000000001</v>
      </c>
      <c r="K85" s="48">
        <f t="shared" si="9"/>
        <v>5.0999999999999996</v>
      </c>
      <c r="L85" s="48">
        <f t="shared" si="10"/>
        <v>8.0399999999999991</v>
      </c>
      <c r="M85" s="48">
        <f t="shared" si="11"/>
        <v>1147.5</v>
      </c>
      <c r="N85" s="48">
        <f t="shared" si="12"/>
        <v>1809</v>
      </c>
      <c r="O85" s="50">
        <f t="shared" si="13"/>
        <v>2956.5</v>
      </c>
      <c r="P85" s="50">
        <v>0</v>
      </c>
      <c r="Q85" s="76"/>
      <c r="R85" s="140">
        <f>5*S9+5*(S10)</f>
        <v>225</v>
      </c>
      <c r="S85" s="79">
        <v>4.17</v>
      </c>
      <c r="T85" s="80">
        <v>6.57</v>
      </c>
    </row>
    <row r="86" spans="2:20" ht="28">
      <c r="B86" s="5" t="s">
        <v>278</v>
      </c>
      <c r="C86" s="45" t="s">
        <v>97</v>
      </c>
      <c r="D86" s="45" t="s">
        <v>279</v>
      </c>
      <c r="E86" s="6" t="s">
        <v>280</v>
      </c>
      <c r="F86" s="45" t="s">
        <v>104</v>
      </c>
      <c r="G86" s="46">
        <f t="shared" si="7"/>
        <v>10</v>
      </c>
      <c r="H86" s="46">
        <f>TRUNC(S86*(1-LOTE_02!$K$10),2)</f>
        <v>680.08</v>
      </c>
      <c r="I86" s="46">
        <f>TRUNC(T86*(1-LOTE_02!$K$10),2)</f>
        <v>148.82</v>
      </c>
      <c r="J86" s="100">
        <f t="shared" si="8"/>
        <v>0.22470000000000001</v>
      </c>
      <c r="K86" s="48">
        <f t="shared" si="9"/>
        <v>832.89</v>
      </c>
      <c r="L86" s="48">
        <f t="shared" si="10"/>
        <v>182.25</v>
      </c>
      <c r="M86" s="48">
        <f t="shared" si="11"/>
        <v>8328.9</v>
      </c>
      <c r="N86" s="48">
        <f t="shared" si="12"/>
        <v>1822.5</v>
      </c>
      <c r="O86" s="50">
        <f t="shared" si="13"/>
        <v>10151.4</v>
      </c>
      <c r="P86" s="50">
        <v>0</v>
      </c>
      <c r="Q86" s="76"/>
      <c r="R86" s="140">
        <f>IF((1*S9+1*S10)&gt;10,10,(1*S9+1*S10))</f>
        <v>10</v>
      </c>
      <c r="S86" s="79">
        <v>680.08</v>
      </c>
      <c r="T86" s="80">
        <v>148.82</v>
      </c>
    </row>
    <row r="87" spans="2:20" ht="42">
      <c r="B87" s="5" t="s">
        <v>281</v>
      </c>
      <c r="C87" s="45" t="s">
        <v>97</v>
      </c>
      <c r="D87" s="45" t="s">
        <v>282</v>
      </c>
      <c r="E87" s="6" t="s">
        <v>283</v>
      </c>
      <c r="F87" s="45" t="s">
        <v>104</v>
      </c>
      <c r="G87" s="46">
        <f t="shared" si="7"/>
        <v>45</v>
      </c>
      <c r="H87" s="46">
        <f>TRUNC(S87*(1-LOTE_02!$K$10),2)</f>
        <v>346.74</v>
      </c>
      <c r="I87" s="46">
        <f>TRUNC(T87*(1-LOTE_02!$K$10),2)</f>
        <v>67.06</v>
      </c>
      <c r="J87" s="100">
        <f t="shared" si="8"/>
        <v>0.22470000000000001</v>
      </c>
      <c r="K87" s="48">
        <f t="shared" si="9"/>
        <v>424.65</v>
      </c>
      <c r="L87" s="48">
        <f t="shared" si="10"/>
        <v>82.12</v>
      </c>
      <c r="M87" s="48">
        <f t="shared" si="11"/>
        <v>19109.25</v>
      </c>
      <c r="N87" s="48">
        <f t="shared" si="12"/>
        <v>3695.4</v>
      </c>
      <c r="O87" s="50">
        <f t="shared" si="13"/>
        <v>22804.65</v>
      </c>
      <c r="P87" s="50">
        <v>0</v>
      </c>
      <c r="Q87" s="76"/>
      <c r="R87" s="140">
        <f>1*S9+1*S10</f>
        <v>45</v>
      </c>
      <c r="S87" s="79">
        <v>346.74</v>
      </c>
      <c r="T87" s="80">
        <v>67.06</v>
      </c>
    </row>
    <row r="88" spans="2:20" ht="42">
      <c r="B88" s="5" t="s">
        <v>284</v>
      </c>
      <c r="C88" s="45" t="s">
        <v>97</v>
      </c>
      <c r="D88" s="45" t="s">
        <v>285</v>
      </c>
      <c r="E88" s="6" t="s">
        <v>286</v>
      </c>
      <c r="F88" s="45" t="s">
        <v>104</v>
      </c>
      <c r="G88" s="46">
        <f t="shared" si="7"/>
        <v>30</v>
      </c>
      <c r="H88" s="46">
        <f>TRUNC(S88*(1-LOTE_02!$K$10),2)</f>
        <v>20.65</v>
      </c>
      <c r="I88" s="46">
        <f>TRUNC(T88*(1-LOTE_02!$K$10),2)</f>
        <v>38.369999999999997</v>
      </c>
      <c r="J88" s="100">
        <f t="shared" si="8"/>
        <v>0.22470000000000001</v>
      </c>
      <c r="K88" s="48">
        <f t="shared" si="9"/>
        <v>25.29</v>
      </c>
      <c r="L88" s="48">
        <f t="shared" si="10"/>
        <v>46.99</v>
      </c>
      <c r="M88" s="48">
        <f t="shared" si="11"/>
        <v>758.7</v>
      </c>
      <c r="N88" s="48">
        <f t="shared" si="12"/>
        <v>1409.7</v>
      </c>
      <c r="O88" s="50">
        <f t="shared" si="13"/>
        <v>2168.4</v>
      </c>
      <c r="P88" s="50">
        <v>0</v>
      </c>
      <c r="Q88" s="76"/>
      <c r="R88" s="140">
        <f>IF((1*S9+5*S10)&gt;30,30,(1*S9+5*S10))</f>
        <v>30</v>
      </c>
      <c r="S88" s="79">
        <v>20.65</v>
      </c>
      <c r="T88" s="80">
        <v>38.369999999999997</v>
      </c>
    </row>
    <row r="89" spans="2:20" ht="28">
      <c r="B89" s="5" t="s">
        <v>287</v>
      </c>
      <c r="C89" s="45" t="s">
        <v>97</v>
      </c>
      <c r="D89" s="45" t="s">
        <v>288</v>
      </c>
      <c r="E89" s="6" t="s">
        <v>289</v>
      </c>
      <c r="F89" s="45" t="s">
        <v>104</v>
      </c>
      <c r="G89" s="46">
        <f t="shared" si="7"/>
        <v>30</v>
      </c>
      <c r="H89" s="46">
        <f>TRUNC(S89*(1-LOTE_02!$K$10),2)</f>
        <v>10.46</v>
      </c>
      <c r="I89" s="46">
        <f>TRUNC(T89*(1-LOTE_02!$K$10),2)</f>
        <v>19.350000000000001</v>
      </c>
      <c r="J89" s="100">
        <f t="shared" si="8"/>
        <v>0.22470000000000001</v>
      </c>
      <c r="K89" s="48">
        <f t="shared" si="9"/>
        <v>12.81</v>
      </c>
      <c r="L89" s="48">
        <f t="shared" si="10"/>
        <v>23.69</v>
      </c>
      <c r="M89" s="48">
        <f t="shared" si="11"/>
        <v>384.3</v>
      </c>
      <c r="N89" s="48">
        <f t="shared" si="12"/>
        <v>710.7</v>
      </c>
      <c r="O89" s="50">
        <f t="shared" si="13"/>
        <v>1095</v>
      </c>
      <c r="P89" s="50">
        <v>0</v>
      </c>
      <c r="Q89" s="76"/>
      <c r="R89" s="140">
        <f>IF((1*S9+5*S10)&gt;30,30,(1*S9+5*S10))</f>
        <v>30</v>
      </c>
      <c r="S89" s="79">
        <v>10.46</v>
      </c>
      <c r="T89" s="80">
        <v>19.350000000000001</v>
      </c>
    </row>
    <row r="90" spans="2:20" ht="28">
      <c r="B90" s="5" t="s">
        <v>290</v>
      </c>
      <c r="C90" s="45" t="s">
        <v>135</v>
      </c>
      <c r="D90" s="45">
        <v>102192</v>
      </c>
      <c r="E90" s="6" t="s">
        <v>1771</v>
      </c>
      <c r="F90" s="45" t="s">
        <v>121</v>
      </c>
      <c r="G90" s="46">
        <f t="shared" si="7"/>
        <v>500</v>
      </c>
      <c r="H90" s="46">
        <f>TRUNC(S90*(1-LOTE_02!$K$10),2)</f>
        <v>7.34</v>
      </c>
      <c r="I90" s="46">
        <f>TRUNC(T90*(1-LOTE_02!$K$10),2)</f>
        <v>13.45</v>
      </c>
      <c r="J90" s="100">
        <f t="shared" si="8"/>
        <v>0.22470000000000001</v>
      </c>
      <c r="K90" s="48">
        <f t="shared" si="9"/>
        <v>8.98</v>
      </c>
      <c r="L90" s="48">
        <f t="shared" si="10"/>
        <v>16.47</v>
      </c>
      <c r="M90" s="48">
        <f t="shared" si="11"/>
        <v>4490</v>
      </c>
      <c r="N90" s="48">
        <f t="shared" si="12"/>
        <v>8235</v>
      </c>
      <c r="O90" s="50">
        <f t="shared" si="13"/>
        <v>12725</v>
      </c>
      <c r="P90" s="50">
        <v>0</v>
      </c>
      <c r="Q90" s="76"/>
      <c r="R90" s="140">
        <f>IF((20*S9+50*S10)&gt;500,500,50*S10+20*S9)</f>
        <v>500</v>
      </c>
      <c r="S90" s="79">
        <v>7.34</v>
      </c>
      <c r="T90" s="80">
        <v>13.45</v>
      </c>
    </row>
    <row r="91" spans="2:20" ht="42">
      <c r="B91" s="5" t="s">
        <v>291</v>
      </c>
      <c r="C91" s="45" t="s">
        <v>97</v>
      </c>
      <c r="D91" s="45" t="s">
        <v>292</v>
      </c>
      <c r="E91" s="6" t="s">
        <v>293</v>
      </c>
      <c r="F91" s="45" t="s">
        <v>104</v>
      </c>
      <c r="G91" s="46">
        <f t="shared" si="7"/>
        <v>45</v>
      </c>
      <c r="H91" s="46">
        <f>TRUNC(S91*(1-LOTE_02!$K$10),2)</f>
        <v>346.73</v>
      </c>
      <c r="I91" s="46">
        <f>TRUNC(T91*(1-LOTE_02!$K$10),2)</f>
        <v>66.08</v>
      </c>
      <c r="J91" s="100">
        <f t="shared" si="8"/>
        <v>0.22470000000000001</v>
      </c>
      <c r="K91" s="48">
        <f t="shared" si="9"/>
        <v>424.64</v>
      </c>
      <c r="L91" s="48">
        <f t="shared" si="10"/>
        <v>80.92</v>
      </c>
      <c r="M91" s="48">
        <f t="shared" si="11"/>
        <v>19108.8</v>
      </c>
      <c r="N91" s="48">
        <f t="shared" si="12"/>
        <v>3641.4</v>
      </c>
      <c r="O91" s="50">
        <f t="shared" si="13"/>
        <v>22750.2</v>
      </c>
      <c r="P91" s="50">
        <v>0</v>
      </c>
      <c r="Q91" s="76"/>
      <c r="R91" s="140">
        <f>1*S9+1*S10</f>
        <v>45</v>
      </c>
      <c r="S91" s="79">
        <v>346.73</v>
      </c>
      <c r="T91" s="80">
        <v>66.08</v>
      </c>
    </row>
    <row r="92" spans="2:20" ht="28">
      <c r="B92" s="5" t="s">
        <v>294</v>
      </c>
      <c r="C92" s="45" t="s">
        <v>97</v>
      </c>
      <c r="D92" s="45" t="s">
        <v>295</v>
      </c>
      <c r="E92" s="6" t="s">
        <v>296</v>
      </c>
      <c r="F92" s="45" t="s">
        <v>121</v>
      </c>
      <c r="G92" s="46">
        <f t="shared" si="7"/>
        <v>10</v>
      </c>
      <c r="H92" s="46">
        <f>TRUNC(S92*(1-LOTE_02!$K$10),2)</f>
        <v>10.49</v>
      </c>
      <c r="I92" s="46">
        <f>TRUNC(T92*(1-LOTE_02!$K$10),2)</f>
        <v>22.05</v>
      </c>
      <c r="J92" s="100">
        <f t="shared" si="8"/>
        <v>0.22470000000000001</v>
      </c>
      <c r="K92" s="48">
        <f t="shared" si="9"/>
        <v>12.84</v>
      </c>
      <c r="L92" s="48">
        <f t="shared" si="10"/>
        <v>27</v>
      </c>
      <c r="M92" s="48">
        <f t="shared" si="11"/>
        <v>128.4</v>
      </c>
      <c r="N92" s="48">
        <f t="shared" si="12"/>
        <v>270</v>
      </c>
      <c r="O92" s="50">
        <f t="shared" si="13"/>
        <v>398.4</v>
      </c>
      <c r="P92" s="50">
        <v>0</v>
      </c>
      <c r="Q92" s="76"/>
      <c r="R92" s="140">
        <f>IF((1*S9+1*S10)&gt;10,10,(1*S9+1*S10))</f>
        <v>10</v>
      </c>
      <c r="S92" s="79">
        <v>10.49</v>
      </c>
      <c r="T92" s="80">
        <v>22.05</v>
      </c>
    </row>
    <row r="93" spans="2:20" ht="70">
      <c r="B93" s="5" t="s">
        <v>297</v>
      </c>
      <c r="C93" s="45" t="s">
        <v>97</v>
      </c>
      <c r="D93" s="45" t="s">
        <v>298</v>
      </c>
      <c r="E93" s="6" t="s">
        <v>299</v>
      </c>
      <c r="F93" s="45" t="s">
        <v>121</v>
      </c>
      <c r="G93" s="46">
        <f t="shared" si="7"/>
        <v>900</v>
      </c>
      <c r="H93" s="46">
        <f>TRUNC(S93*(1-LOTE_02!$K$10),2)</f>
        <v>0</v>
      </c>
      <c r="I93" s="46">
        <f>TRUNC(T93*(1-LOTE_02!$K$10),2)</f>
        <v>48.25</v>
      </c>
      <c r="J93" s="100">
        <f t="shared" si="8"/>
        <v>0.22470000000000001</v>
      </c>
      <c r="K93" s="48">
        <f t="shared" si="9"/>
        <v>0</v>
      </c>
      <c r="L93" s="48">
        <f t="shared" si="10"/>
        <v>59.09</v>
      </c>
      <c r="M93" s="48">
        <f t="shared" si="11"/>
        <v>0</v>
      </c>
      <c r="N93" s="48">
        <f t="shared" si="12"/>
        <v>53181</v>
      </c>
      <c r="O93" s="50">
        <f t="shared" si="13"/>
        <v>53181</v>
      </c>
      <c r="P93" s="50">
        <v>0</v>
      </c>
      <c r="Q93" s="76"/>
      <c r="R93" s="140">
        <f>20*S9+20*S10</f>
        <v>900</v>
      </c>
      <c r="S93" s="79">
        <v>0</v>
      </c>
      <c r="T93" s="80">
        <v>48.25</v>
      </c>
    </row>
    <row r="94" spans="2:20" ht="28">
      <c r="B94" s="5" t="s">
        <v>300</v>
      </c>
      <c r="C94" s="45" t="s">
        <v>97</v>
      </c>
      <c r="D94" s="45" t="s">
        <v>301</v>
      </c>
      <c r="E94" s="6" t="s">
        <v>302</v>
      </c>
      <c r="F94" s="45" t="s">
        <v>104</v>
      </c>
      <c r="G94" s="46">
        <f t="shared" si="7"/>
        <v>135</v>
      </c>
      <c r="H94" s="46">
        <f>TRUNC(S94*(1-LOTE_02!$K$10),2)</f>
        <v>2.08</v>
      </c>
      <c r="I94" s="46">
        <f>TRUNC(T94*(1-LOTE_02!$K$10),2)</f>
        <v>3.28</v>
      </c>
      <c r="J94" s="100">
        <f t="shared" si="8"/>
        <v>0.22470000000000001</v>
      </c>
      <c r="K94" s="48">
        <f t="shared" si="9"/>
        <v>2.54</v>
      </c>
      <c r="L94" s="48">
        <f t="shared" si="10"/>
        <v>4.01</v>
      </c>
      <c r="M94" s="48">
        <f t="shared" si="11"/>
        <v>342.9</v>
      </c>
      <c r="N94" s="48">
        <f t="shared" si="12"/>
        <v>541.35</v>
      </c>
      <c r="O94" s="50">
        <f t="shared" si="13"/>
        <v>884.25</v>
      </c>
      <c r="P94" s="50">
        <v>0</v>
      </c>
      <c r="Q94" s="76"/>
      <c r="R94" s="140">
        <f>3*S9+3*S10</f>
        <v>135</v>
      </c>
      <c r="S94" s="79">
        <v>2.08</v>
      </c>
      <c r="T94" s="80">
        <v>3.28</v>
      </c>
    </row>
    <row r="95" spans="2:20" ht="28">
      <c r="B95" s="5" t="s">
        <v>303</v>
      </c>
      <c r="C95" s="45" t="s">
        <v>97</v>
      </c>
      <c r="D95" s="45" t="s">
        <v>304</v>
      </c>
      <c r="E95" s="6" t="s">
        <v>305</v>
      </c>
      <c r="F95" s="45" t="s">
        <v>121</v>
      </c>
      <c r="G95" s="46">
        <f t="shared" si="7"/>
        <v>50</v>
      </c>
      <c r="H95" s="46">
        <f>TRUNC(S95*(1-LOTE_02!$K$10),2)</f>
        <v>8.0399999999999991</v>
      </c>
      <c r="I95" s="46">
        <f>TRUNC(T95*(1-LOTE_02!$K$10),2)</f>
        <v>13.06</v>
      </c>
      <c r="J95" s="100">
        <f t="shared" si="8"/>
        <v>0.22470000000000001</v>
      </c>
      <c r="K95" s="48">
        <f t="shared" si="9"/>
        <v>9.84</v>
      </c>
      <c r="L95" s="48">
        <f t="shared" si="10"/>
        <v>15.99</v>
      </c>
      <c r="M95" s="48">
        <f t="shared" si="11"/>
        <v>492</v>
      </c>
      <c r="N95" s="48">
        <f t="shared" si="12"/>
        <v>799.5</v>
      </c>
      <c r="O95" s="50">
        <f t="shared" si="13"/>
        <v>1291.5</v>
      </c>
      <c r="P95" s="50">
        <v>0</v>
      </c>
      <c r="Q95" s="76"/>
      <c r="R95" s="140">
        <f>IF((10*S10+1*S9)&gt;50,50,(10*S10+1*S9))</f>
        <v>50</v>
      </c>
      <c r="S95" s="79">
        <v>8.0399999999999991</v>
      </c>
      <c r="T95" s="80">
        <v>13.06</v>
      </c>
    </row>
    <row r="96" spans="2:20" ht="28">
      <c r="B96" s="5" t="s">
        <v>306</v>
      </c>
      <c r="C96" s="45" t="s">
        <v>97</v>
      </c>
      <c r="D96" s="45" t="s">
        <v>307</v>
      </c>
      <c r="E96" s="6" t="s">
        <v>308</v>
      </c>
      <c r="F96" s="45" t="s">
        <v>104</v>
      </c>
      <c r="G96" s="46">
        <f t="shared" si="7"/>
        <v>10</v>
      </c>
      <c r="H96" s="46">
        <f>TRUNC(S96*(1-LOTE_02!$K$10),2)</f>
        <v>13.69</v>
      </c>
      <c r="I96" s="46">
        <f>TRUNC(T96*(1-LOTE_02!$K$10),2)</f>
        <v>23.28</v>
      </c>
      <c r="J96" s="100">
        <f t="shared" si="8"/>
        <v>0.22470000000000001</v>
      </c>
      <c r="K96" s="48">
        <f t="shared" si="9"/>
        <v>16.760000000000002</v>
      </c>
      <c r="L96" s="48">
        <f t="shared" si="10"/>
        <v>28.51</v>
      </c>
      <c r="M96" s="48">
        <f t="shared" si="11"/>
        <v>167.6</v>
      </c>
      <c r="N96" s="48">
        <f t="shared" si="12"/>
        <v>285.10000000000002</v>
      </c>
      <c r="O96" s="50">
        <f t="shared" si="13"/>
        <v>452.7</v>
      </c>
      <c r="P96" s="50">
        <v>0</v>
      </c>
      <c r="Q96" s="76"/>
      <c r="R96" s="140">
        <f>IF((1*S9+2*S10)&gt;10,10,(1*S9+2*S10))</f>
        <v>10</v>
      </c>
      <c r="S96" s="79">
        <v>13.69</v>
      </c>
      <c r="T96" s="80">
        <v>23.28</v>
      </c>
    </row>
    <row r="97" spans="2:20">
      <c r="B97" s="5" t="s">
        <v>309</v>
      </c>
      <c r="C97" s="45" t="s">
        <v>97</v>
      </c>
      <c r="D97" s="45" t="s">
        <v>310</v>
      </c>
      <c r="E97" s="6" t="s">
        <v>311</v>
      </c>
      <c r="F97" s="45" t="s">
        <v>104</v>
      </c>
      <c r="G97" s="46">
        <f t="shared" si="7"/>
        <v>900</v>
      </c>
      <c r="H97" s="46">
        <f>TRUNC(S97*(1-LOTE_02!$K$10),2)</f>
        <v>1.04</v>
      </c>
      <c r="I97" s="46">
        <f>TRUNC(T97*(1-LOTE_02!$K$10),2)</f>
        <v>1.64</v>
      </c>
      <c r="J97" s="100">
        <f t="shared" si="8"/>
        <v>0.22470000000000001</v>
      </c>
      <c r="K97" s="48">
        <f t="shared" si="9"/>
        <v>1.27</v>
      </c>
      <c r="L97" s="48">
        <f t="shared" si="10"/>
        <v>2</v>
      </c>
      <c r="M97" s="48">
        <f t="shared" si="11"/>
        <v>1143</v>
      </c>
      <c r="N97" s="48">
        <f t="shared" si="12"/>
        <v>1800</v>
      </c>
      <c r="O97" s="50">
        <f t="shared" si="13"/>
        <v>2943</v>
      </c>
      <c r="P97" s="50">
        <v>0</v>
      </c>
      <c r="Q97" s="76"/>
      <c r="R97" s="140">
        <f>20*S9+20*S10</f>
        <v>900</v>
      </c>
      <c r="S97" s="79">
        <v>1.04</v>
      </c>
      <c r="T97" s="80">
        <v>1.64</v>
      </c>
    </row>
    <row r="98" spans="2:20" ht="42">
      <c r="B98" s="5" t="s">
        <v>312</v>
      </c>
      <c r="C98" s="45" t="s">
        <v>97</v>
      </c>
      <c r="D98" s="45" t="s">
        <v>313</v>
      </c>
      <c r="E98" s="6" t="s">
        <v>314</v>
      </c>
      <c r="F98" s="45" t="s">
        <v>104</v>
      </c>
      <c r="G98" s="46">
        <f t="shared" si="7"/>
        <v>5</v>
      </c>
      <c r="H98" s="46">
        <f>TRUNC(S98*(1-LOTE_02!$K$10),2)</f>
        <v>20.93</v>
      </c>
      <c r="I98" s="46">
        <f>TRUNC(T98*(1-LOTE_02!$K$10),2)</f>
        <v>38.700000000000003</v>
      </c>
      <c r="J98" s="100">
        <f t="shared" si="8"/>
        <v>0.22470000000000001</v>
      </c>
      <c r="K98" s="48">
        <f t="shared" si="9"/>
        <v>25.63</v>
      </c>
      <c r="L98" s="48">
        <f t="shared" si="10"/>
        <v>47.39</v>
      </c>
      <c r="M98" s="48">
        <f t="shared" si="11"/>
        <v>128.15</v>
      </c>
      <c r="N98" s="48">
        <f t="shared" si="12"/>
        <v>236.95</v>
      </c>
      <c r="O98" s="50">
        <f t="shared" si="13"/>
        <v>365.1</v>
      </c>
      <c r="P98" s="50">
        <v>0</v>
      </c>
      <c r="Q98" s="76"/>
      <c r="R98" s="140">
        <f>IF((1*S9+1*S10)&gt;5,5,(1*S9+1*S10))</f>
        <v>5</v>
      </c>
      <c r="S98" s="79">
        <v>20.93</v>
      </c>
      <c r="T98" s="80">
        <v>38.700000000000003</v>
      </c>
    </row>
    <row r="99" spans="2:20" ht="28">
      <c r="B99" s="5" t="s">
        <v>315</v>
      </c>
      <c r="C99" s="45" t="s">
        <v>97</v>
      </c>
      <c r="D99" s="45" t="s">
        <v>316</v>
      </c>
      <c r="E99" s="6" t="s">
        <v>317</v>
      </c>
      <c r="F99" s="45" t="s">
        <v>104</v>
      </c>
      <c r="G99" s="46">
        <f t="shared" si="7"/>
        <v>50</v>
      </c>
      <c r="H99" s="46">
        <f>TRUNC(S99*(1-LOTE_02!$K$10),2)</f>
        <v>2.5499999999999998</v>
      </c>
      <c r="I99" s="46">
        <f>TRUNC(T99*(1-LOTE_02!$K$10),2)</f>
        <v>5.17</v>
      </c>
      <c r="J99" s="100">
        <f t="shared" si="8"/>
        <v>0.22470000000000001</v>
      </c>
      <c r="K99" s="48">
        <f t="shared" si="9"/>
        <v>3.12</v>
      </c>
      <c r="L99" s="48">
        <f t="shared" si="10"/>
        <v>6.33</v>
      </c>
      <c r="M99" s="48">
        <f t="shared" si="11"/>
        <v>156</v>
      </c>
      <c r="N99" s="48">
        <f t="shared" si="12"/>
        <v>316.5</v>
      </c>
      <c r="O99" s="50">
        <f t="shared" si="13"/>
        <v>472.5</v>
      </c>
      <c r="P99" s="50">
        <v>0</v>
      </c>
      <c r="Q99" s="76"/>
      <c r="R99" s="140">
        <f>IF((2*S9+2*S10)&gt;50,50,(2*S9+2*S10))</f>
        <v>50</v>
      </c>
      <c r="S99" s="79">
        <v>2.5499999999999998</v>
      </c>
      <c r="T99" s="80">
        <v>5.17</v>
      </c>
    </row>
    <row r="100" spans="2:20" ht="28">
      <c r="B100" s="5" t="s">
        <v>318</v>
      </c>
      <c r="C100" s="45" t="s">
        <v>97</v>
      </c>
      <c r="D100" s="45" t="s">
        <v>319</v>
      </c>
      <c r="E100" s="6" t="s">
        <v>320</v>
      </c>
      <c r="F100" s="45" t="s">
        <v>187</v>
      </c>
      <c r="G100" s="46">
        <f t="shared" si="7"/>
        <v>100</v>
      </c>
      <c r="H100" s="46">
        <f>TRUNC(S100*(1-LOTE_02!$K$10),2)</f>
        <v>2.9</v>
      </c>
      <c r="I100" s="46">
        <f>TRUNC(T100*(1-LOTE_02!$K$10),2)</f>
        <v>4.5599999999999996</v>
      </c>
      <c r="J100" s="100">
        <f t="shared" si="8"/>
        <v>0.22470000000000001</v>
      </c>
      <c r="K100" s="48">
        <f t="shared" si="9"/>
        <v>3.55</v>
      </c>
      <c r="L100" s="48">
        <f t="shared" si="10"/>
        <v>5.58</v>
      </c>
      <c r="M100" s="48">
        <f t="shared" si="11"/>
        <v>355</v>
      </c>
      <c r="N100" s="48">
        <f t="shared" si="12"/>
        <v>558</v>
      </c>
      <c r="O100" s="50">
        <f t="shared" si="13"/>
        <v>913</v>
      </c>
      <c r="P100" s="50">
        <v>0</v>
      </c>
      <c r="Q100" s="76"/>
      <c r="R100" s="140">
        <f>IF((10*S9+30*S10)&gt;100,100,(10*S9+30*S10))</f>
        <v>100</v>
      </c>
      <c r="S100" s="79">
        <v>2.9</v>
      </c>
      <c r="T100" s="80">
        <v>4.5599999999999996</v>
      </c>
    </row>
    <row r="101" spans="2:20" ht="28">
      <c r="B101" s="5" t="s">
        <v>321</v>
      </c>
      <c r="C101" s="45" t="s">
        <v>97</v>
      </c>
      <c r="D101" s="45" t="s">
        <v>322</v>
      </c>
      <c r="E101" s="6" t="s">
        <v>323</v>
      </c>
      <c r="F101" s="45" t="s">
        <v>121</v>
      </c>
      <c r="G101" s="46">
        <f t="shared" si="7"/>
        <v>450</v>
      </c>
      <c r="H101" s="46">
        <f>TRUNC(S101*(1-LOTE_02!$K$10),2)</f>
        <v>12.54</v>
      </c>
      <c r="I101" s="46">
        <f>TRUNC(T101*(1-LOTE_02!$K$10),2)</f>
        <v>22.05</v>
      </c>
      <c r="J101" s="100">
        <f t="shared" si="8"/>
        <v>0.22470000000000001</v>
      </c>
      <c r="K101" s="48">
        <f t="shared" si="9"/>
        <v>15.35</v>
      </c>
      <c r="L101" s="48">
        <f t="shared" si="10"/>
        <v>27</v>
      </c>
      <c r="M101" s="48">
        <f t="shared" si="11"/>
        <v>6907.5</v>
      </c>
      <c r="N101" s="48">
        <f t="shared" si="12"/>
        <v>12150</v>
      </c>
      <c r="O101" s="50">
        <f t="shared" si="13"/>
        <v>19057.5</v>
      </c>
      <c r="P101" s="50">
        <v>0</v>
      </c>
      <c r="Q101" s="76"/>
      <c r="R101" s="140">
        <f>10*S9+10*S10</f>
        <v>450</v>
      </c>
      <c r="S101" s="79">
        <v>12.54</v>
      </c>
      <c r="T101" s="80">
        <v>22.05</v>
      </c>
    </row>
    <row r="102" spans="2:20" ht="28">
      <c r="B102" s="5" t="s">
        <v>324</v>
      </c>
      <c r="C102" s="45" t="s">
        <v>97</v>
      </c>
      <c r="D102" s="45" t="s">
        <v>325</v>
      </c>
      <c r="E102" s="6" t="s">
        <v>326</v>
      </c>
      <c r="F102" s="45" t="s">
        <v>104</v>
      </c>
      <c r="G102" s="46">
        <f t="shared" si="7"/>
        <v>115</v>
      </c>
      <c r="H102" s="46">
        <f>TRUNC(S102*(1-LOTE_02!$K$10),2)</f>
        <v>5.0999999999999996</v>
      </c>
      <c r="I102" s="46">
        <f>TRUNC(T102*(1-LOTE_02!$K$10),2)</f>
        <v>10.34</v>
      </c>
      <c r="J102" s="100">
        <f t="shared" si="8"/>
        <v>0.22470000000000001</v>
      </c>
      <c r="K102" s="48">
        <f t="shared" si="9"/>
        <v>6.24</v>
      </c>
      <c r="L102" s="48">
        <f t="shared" si="10"/>
        <v>12.66</v>
      </c>
      <c r="M102" s="48">
        <f t="shared" si="11"/>
        <v>717.6</v>
      </c>
      <c r="N102" s="48">
        <f t="shared" si="12"/>
        <v>1455.9</v>
      </c>
      <c r="O102" s="50">
        <f t="shared" si="13"/>
        <v>2173.5</v>
      </c>
      <c r="P102" s="50">
        <v>0</v>
      </c>
      <c r="Q102" s="76"/>
      <c r="R102" s="140">
        <f>2*S9+3*S10</f>
        <v>115</v>
      </c>
      <c r="S102" s="79">
        <v>5.0999999999999996</v>
      </c>
      <c r="T102" s="80">
        <v>10.34</v>
      </c>
    </row>
    <row r="103" spans="2:20" ht="28">
      <c r="B103" s="5" t="s">
        <v>327</v>
      </c>
      <c r="C103" s="45" t="s">
        <v>97</v>
      </c>
      <c r="D103" s="45" t="s">
        <v>328</v>
      </c>
      <c r="E103" s="6" t="s">
        <v>329</v>
      </c>
      <c r="F103" s="45" t="s">
        <v>104</v>
      </c>
      <c r="G103" s="46">
        <f t="shared" si="7"/>
        <v>10</v>
      </c>
      <c r="H103" s="46">
        <f>TRUNC(S103*(1-LOTE_02!$K$10),2)</f>
        <v>37.51</v>
      </c>
      <c r="I103" s="46">
        <f>TRUNC(T103*(1-LOTE_02!$K$10),2)</f>
        <v>68.680000000000007</v>
      </c>
      <c r="J103" s="100">
        <f t="shared" si="8"/>
        <v>0.22470000000000001</v>
      </c>
      <c r="K103" s="48">
        <f t="shared" si="9"/>
        <v>45.93</v>
      </c>
      <c r="L103" s="48">
        <f t="shared" si="10"/>
        <v>84.11</v>
      </c>
      <c r="M103" s="48">
        <f t="shared" si="11"/>
        <v>459.3</v>
      </c>
      <c r="N103" s="48">
        <f t="shared" si="12"/>
        <v>841.1</v>
      </c>
      <c r="O103" s="50">
        <f t="shared" si="13"/>
        <v>1300.4000000000001</v>
      </c>
      <c r="P103" s="50">
        <v>0</v>
      </c>
      <c r="Q103" s="76"/>
      <c r="R103" s="140">
        <f>IF((1*S9+1*S10)&gt;10,10,(1*S9+1*S10))</f>
        <v>10</v>
      </c>
      <c r="S103" s="79">
        <v>37.51</v>
      </c>
      <c r="T103" s="80">
        <v>68.680000000000007</v>
      </c>
    </row>
    <row r="104" spans="2:20" ht="28">
      <c r="B104" s="5" t="s">
        <v>330</v>
      </c>
      <c r="C104" s="45" t="s">
        <v>97</v>
      </c>
      <c r="D104" s="45" t="s">
        <v>331</v>
      </c>
      <c r="E104" s="6" t="s">
        <v>332</v>
      </c>
      <c r="F104" s="45" t="s">
        <v>104</v>
      </c>
      <c r="G104" s="46">
        <f t="shared" si="7"/>
        <v>10</v>
      </c>
      <c r="H104" s="46">
        <f>TRUNC(S104*(1-LOTE_02!$K$10),2)</f>
        <v>6273.07</v>
      </c>
      <c r="I104" s="46">
        <f>TRUNC(T104*(1-LOTE_02!$K$10),2)</f>
        <v>610.70000000000005</v>
      </c>
      <c r="J104" s="100">
        <f t="shared" si="8"/>
        <v>0.22470000000000001</v>
      </c>
      <c r="K104" s="48">
        <f t="shared" si="9"/>
        <v>7682.62</v>
      </c>
      <c r="L104" s="48">
        <f t="shared" si="10"/>
        <v>747.92</v>
      </c>
      <c r="M104" s="48">
        <f t="shared" si="11"/>
        <v>76826.2</v>
      </c>
      <c r="N104" s="48">
        <f t="shared" si="12"/>
        <v>7479.2</v>
      </c>
      <c r="O104" s="50">
        <f t="shared" si="13"/>
        <v>84305.4</v>
      </c>
      <c r="P104" s="50">
        <v>0</v>
      </c>
      <c r="Q104" s="76"/>
      <c r="R104" s="140">
        <f>IF((1*S9+1*S10)&gt;10,10,(1*S9+1*S10))</f>
        <v>10</v>
      </c>
      <c r="S104" s="79">
        <v>6273.07</v>
      </c>
      <c r="T104" s="80">
        <v>610.70000000000005</v>
      </c>
    </row>
    <row r="105" spans="2:20" ht="28">
      <c r="B105" s="5" t="s">
        <v>333</v>
      </c>
      <c r="C105" s="45" t="s">
        <v>97</v>
      </c>
      <c r="D105" s="45" t="s">
        <v>334</v>
      </c>
      <c r="E105" s="6" t="s">
        <v>335</v>
      </c>
      <c r="F105" s="45" t="s">
        <v>104</v>
      </c>
      <c r="G105" s="46">
        <f t="shared" si="7"/>
        <v>140</v>
      </c>
      <c r="H105" s="46">
        <f>TRUNC(S105*(1-LOTE_02!$K$10),2)</f>
        <v>3.13</v>
      </c>
      <c r="I105" s="46">
        <f>TRUNC(T105*(1-LOTE_02!$K$10),2)</f>
        <v>4.93</v>
      </c>
      <c r="J105" s="100">
        <f t="shared" si="8"/>
        <v>0.22470000000000001</v>
      </c>
      <c r="K105" s="48">
        <f t="shared" si="9"/>
        <v>3.83</v>
      </c>
      <c r="L105" s="48">
        <f t="shared" si="10"/>
        <v>6.03</v>
      </c>
      <c r="M105" s="48">
        <f t="shared" si="11"/>
        <v>536.20000000000005</v>
      </c>
      <c r="N105" s="48">
        <f t="shared" si="12"/>
        <v>844.2</v>
      </c>
      <c r="O105" s="50">
        <f t="shared" si="13"/>
        <v>1380.4</v>
      </c>
      <c r="P105" s="50">
        <v>0</v>
      </c>
      <c r="Q105" s="76"/>
      <c r="R105" s="140">
        <f>2*S9+4*S10</f>
        <v>140</v>
      </c>
      <c r="S105" s="79">
        <v>3.13</v>
      </c>
      <c r="T105" s="80">
        <v>4.93</v>
      </c>
    </row>
    <row r="106" spans="2:20">
      <c r="B106" s="5" t="s">
        <v>336</v>
      </c>
      <c r="C106" s="45" t="s">
        <v>97</v>
      </c>
      <c r="D106" s="45" t="s">
        <v>337</v>
      </c>
      <c r="E106" s="6" t="s">
        <v>338</v>
      </c>
      <c r="F106" s="45" t="s">
        <v>104</v>
      </c>
      <c r="G106" s="46">
        <f t="shared" si="7"/>
        <v>1150</v>
      </c>
      <c r="H106" s="46">
        <f>TRUNC(S106*(1-LOTE_02!$K$10),2)</f>
        <v>1.04</v>
      </c>
      <c r="I106" s="46">
        <f>TRUNC(T106*(1-LOTE_02!$K$10),2)</f>
        <v>1.64</v>
      </c>
      <c r="J106" s="100">
        <f t="shared" si="8"/>
        <v>0.22470000000000001</v>
      </c>
      <c r="K106" s="48">
        <f t="shared" si="9"/>
        <v>1.27</v>
      </c>
      <c r="L106" s="48">
        <f t="shared" si="10"/>
        <v>2</v>
      </c>
      <c r="M106" s="48">
        <f t="shared" si="11"/>
        <v>1460.5</v>
      </c>
      <c r="N106" s="48">
        <f t="shared" si="12"/>
        <v>2300</v>
      </c>
      <c r="O106" s="50">
        <f t="shared" si="13"/>
        <v>3760.5</v>
      </c>
      <c r="P106" s="50">
        <v>0</v>
      </c>
      <c r="Q106" s="76"/>
      <c r="R106" s="140">
        <f>20*S9+30*S10</f>
        <v>1150</v>
      </c>
      <c r="S106" s="79">
        <v>1.04</v>
      </c>
      <c r="T106" s="80">
        <v>1.64</v>
      </c>
    </row>
    <row r="107" spans="2:20" ht="28">
      <c r="B107" s="5" t="s">
        <v>339</v>
      </c>
      <c r="C107" s="45" t="s">
        <v>97</v>
      </c>
      <c r="D107" s="45" t="s">
        <v>301</v>
      </c>
      <c r="E107" s="6" t="s">
        <v>302</v>
      </c>
      <c r="F107" s="45" t="s">
        <v>104</v>
      </c>
      <c r="G107" s="46">
        <f t="shared" si="7"/>
        <v>90</v>
      </c>
      <c r="H107" s="46">
        <f>TRUNC(S107*(1-LOTE_02!$K$10),2)</f>
        <v>2.08</v>
      </c>
      <c r="I107" s="46">
        <f>TRUNC(T107*(1-LOTE_02!$K$10),2)</f>
        <v>3.28</v>
      </c>
      <c r="J107" s="100">
        <f t="shared" si="8"/>
        <v>0.22470000000000001</v>
      </c>
      <c r="K107" s="48">
        <f t="shared" si="9"/>
        <v>2.54</v>
      </c>
      <c r="L107" s="48">
        <f t="shared" si="10"/>
        <v>4.01</v>
      </c>
      <c r="M107" s="48">
        <f t="shared" si="11"/>
        <v>228.6</v>
      </c>
      <c r="N107" s="48">
        <f t="shared" si="12"/>
        <v>360.9</v>
      </c>
      <c r="O107" s="50">
        <f t="shared" si="13"/>
        <v>589.5</v>
      </c>
      <c r="P107" s="50">
        <v>0</v>
      </c>
      <c r="Q107" s="76"/>
      <c r="R107" s="140">
        <f>2*S9+2*S10</f>
        <v>90</v>
      </c>
      <c r="S107" s="79">
        <v>2.08</v>
      </c>
      <c r="T107" s="80">
        <v>3.28</v>
      </c>
    </row>
    <row r="108" spans="2:20" ht="42">
      <c r="B108" s="5" t="s">
        <v>340</v>
      </c>
      <c r="C108" s="45" t="s">
        <v>135</v>
      </c>
      <c r="D108" s="45">
        <v>90436</v>
      </c>
      <c r="E108" s="6" t="s">
        <v>341</v>
      </c>
      <c r="F108" s="45" t="s">
        <v>210</v>
      </c>
      <c r="G108" s="46">
        <f t="shared" si="7"/>
        <v>20</v>
      </c>
      <c r="H108" s="46">
        <f>TRUNC(S108*(1-LOTE_02!$K$10),2)</f>
        <v>5.53</v>
      </c>
      <c r="I108" s="46">
        <f>TRUNC(T108*(1-LOTE_02!$K$10),2)</f>
        <v>11.84</v>
      </c>
      <c r="J108" s="100">
        <f t="shared" si="8"/>
        <v>0.22470000000000001</v>
      </c>
      <c r="K108" s="48">
        <f t="shared" si="9"/>
        <v>6.77</v>
      </c>
      <c r="L108" s="48">
        <f t="shared" si="10"/>
        <v>14.5</v>
      </c>
      <c r="M108" s="48">
        <f t="shared" si="11"/>
        <v>135.4</v>
      </c>
      <c r="N108" s="48">
        <f t="shared" si="12"/>
        <v>290</v>
      </c>
      <c r="O108" s="50">
        <f t="shared" si="13"/>
        <v>425.4</v>
      </c>
      <c r="P108" s="50">
        <v>0</v>
      </c>
      <c r="Q108" s="76"/>
      <c r="R108" s="140">
        <f>IF((2*S9+2*S10)&gt;20,20,(2*S9+2*S10))</f>
        <v>20</v>
      </c>
      <c r="S108" s="79">
        <v>5.5300000000000011</v>
      </c>
      <c r="T108" s="80">
        <v>11.84</v>
      </c>
    </row>
    <row r="109" spans="2:20" ht="56">
      <c r="B109" s="5" t="s">
        <v>342</v>
      </c>
      <c r="C109" s="45" t="s">
        <v>135</v>
      </c>
      <c r="D109" s="45">
        <v>90437</v>
      </c>
      <c r="E109" s="6" t="s">
        <v>343</v>
      </c>
      <c r="F109" s="45" t="s">
        <v>210</v>
      </c>
      <c r="G109" s="46">
        <f t="shared" si="7"/>
        <v>20</v>
      </c>
      <c r="H109" s="46">
        <f>TRUNC(S109*(1-LOTE_02!$K$10),2)</f>
        <v>14.71</v>
      </c>
      <c r="I109" s="46">
        <f>TRUNC(T109*(1-LOTE_02!$K$10),2)</f>
        <v>31.59</v>
      </c>
      <c r="J109" s="100">
        <f t="shared" si="8"/>
        <v>0.22470000000000001</v>
      </c>
      <c r="K109" s="48">
        <f t="shared" si="9"/>
        <v>18.010000000000002</v>
      </c>
      <c r="L109" s="48">
        <f t="shared" si="10"/>
        <v>38.68</v>
      </c>
      <c r="M109" s="48">
        <f t="shared" si="11"/>
        <v>360.2</v>
      </c>
      <c r="N109" s="48">
        <f t="shared" si="12"/>
        <v>773.6</v>
      </c>
      <c r="O109" s="50">
        <f t="shared" si="13"/>
        <v>1133.8</v>
      </c>
      <c r="P109" s="50">
        <v>0</v>
      </c>
      <c r="Q109" s="76"/>
      <c r="R109" s="140">
        <f>IF((2*S9+2*S10)&gt;20,20,(2*S9+2*S10))</f>
        <v>20</v>
      </c>
      <c r="S109" s="79">
        <v>14.709999999999997</v>
      </c>
      <c r="T109" s="80">
        <v>31.59</v>
      </c>
    </row>
    <row r="110" spans="2:20" ht="56">
      <c r="B110" s="5" t="s">
        <v>344</v>
      </c>
      <c r="C110" s="45" t="s">
        <v>135</v>
      </c>
      <c r="D110" s="45">
        <v>90438</v>
      </c>
      <c r="E110" s="6" t="s">
        <v>345</v>
      </c>
      <c r="F110" s="45" t="s">
        <v>210</v>
      </c>
      <c r="G110" s="46">
        <f t="shared" si="7"/>
        <v>20</v>
      </c>
      <c r="H110" s="46">
        <f>TRUNC(S110*(1-LOTE_02!$K$10),2)</f>
        <v>21.49</v>
      </c>
      <c r="I110" s="46">
        <f>TRUNC(T110*(1-LOTE_02!$K$10),2)</f>
        <v>46.13</v>
      </c>
      <c r="J110" s="100">
        <f t="shared" si="8"/>
        <v>0.22470000000000001</v>
      </c>
      <c r="K110" s="48">
        <f t="shared" si="9"/>
        <v>26.31</v>
      </c>
      <c r="L110" s="48">
        <f t="shared" si="10"/>
        <v>56.49</v>
      </c>
      <c r="M110" s="48">
        <f t="shared" si="11"/>
        <v>526.20000000000005</v>
      </c>
      <c r="N110" s="48">
        <f t="shared" si="12"/>
        <v>1129.8</v>
      </c>
      <c r="O110" s="50">
        <f t="shared" si="13"/>
        <v>1656</v>
      </c>
      <c r="P110" s="50">
        <v>0</v>
      </c>
      <c r="Q110" s="76"/>
      <c r="R110" s="140">
        <f>IF((2*S9+2*S10)&gt;20,20,(2*S9+2*S10))</f>
        <v>20</v>
      </c>
      <c r="S110" s="79">
        <v>21.490000000000002</v>
      </c>
      <c r="T110" s="80">
        <v>46.13</v>
      </c>
    </row>
    <row r="111" spans="2:20" ht="56">
      <c r="B111" s="5" t="s">
        <v>346</v>
      </c>
      <c r="C111" s="45" t="s">
        <v>135</v>
      </c>
      <c r="D111" s="45">
        <v>90439</v>
      </c>
      <c r="E111" s="6" t="s">
        <v>347</v>
      </c>
      <c r="F111" s="45" t="s">
        <v>210</v>
      </c>
      <c r="G111" s="46">
        <f t="shared" si="7"/>
        <v>10</v>
      </c>
      <c r="H111" s="46">
        <f>TRUNC(S111*(1-LOTE_02!$K$10),2)</f>
        <v>4.24</v>
      </c>
      <c r="I111" s="46">
        <f>TRUNC(T111*(1-LOTE_02!$K$10),2)</f>
        <v>5.7</v>
      </c>
      <c r="J111" s="100">
        <f t="shared" si="8"/>
        <v>0.22470000000000001</v>
      </c>
      <c r="K111" s="48">
        <f t="shared" si="9"/>
        <v>5.19</v>
      </c>
      <c r="L111" s="48">
        <f t="shared" si="10"/>
        <v>6.98</v>
      </c>
      <c r="M111" s="48">
        <f t="shared" si="11"/>
        <v>51.9</v>
      </c>
      <c r="N111" s="48">
        <f t="shared" si="12"/>
        <v>69.8</v>
      </c>
      <c r="O111" s="50">
        <f t="shared" si="13"/>
        <v>121.7</v>
      </c>
      <c r="P111" s="50">
        <v>0</v>
      </c>
      <c r="Q111" s="76"/>
      <c r="R111" s="140">
        <f>IF((2*S9+2*S10)&gt;10,10,(2*S9+2*S10))</f>
        <v>10</v>
      </c>
      <c r="S111" s="79">
        <v>4.2399999999999993</v>
      </c>
      <c r="T111" s="80">
        <v>5.7</v>
      </c>
    </row>
    <row r="112" spans="2:20" ht="70">
      <c r="B112" s="5" t="s">
        <v>348</v>
      </c>
      <c r="C112" s="45" t="s">
        <v>135</v>
      </c>
      <c r="D112" s="45">
        <v>90440</v>
      </c>
      <c r="E112" s="6" t="s">
        <v>349</v>
      </c>
      <c r="F112" s="45" t="s">
        <v>210</v>
      </c>
      <c r="G112" s="46">
        <f t="shared" si="7"/>
        <v>10</v>
      </c>
      <c r="H112" s="46">
        <f>TRUNC(S112*(1-LOTE_02!$K$10),2)</f>
        <v>11.25</v>
      </c>
      <c r="I112" s="46">
        <f>TRUNC(T112*(1-LOTE_02!$K$10),2)</f>
        <v>15.25</v>
      </c>
      <c r="J112" s="100">
        <f t="shared" si="8"/>
        <v>0.22470000000000001</v>
      </c>
      <c r="K112" s="48">
        <f t="shared" si="9"/>
        <v>13.77</v>
      </c>
      <c r="L112" s="48">
        <f t="shared" si="10"/>
        <v>18.670000000000002</v>
      </c>
      <c r="M112" s="48">
        <f t="shared" si="11"/>
        <v>137.69999999999999</v>
      </c>
      <c r="N112" s="48">
        <f t="shared" si="12"/>
        <v>186.7</v>
      </c>
      <c r="O112" s="50">
        <f t="shared" si="13"/>
        <v>324.39999999999998</v>
      </c>
      <c r="P112" s="50">
        <v>0</v>
      </c>
      <c r="Q112" s="76"/>
      <c r="R112" s="140">
        <f>IF((2*S9+2*S10)&gt;10,10,(2*S9+2*S10))</f>
        <v>10</v>
      </c>
      <c r="S112" s="79">
        <v>11.25</v>
      </c>
      <c r="T112" s="80">
        <v>15.25</v>
      </c>
    </row>
    <row r="113" spans="2:20" ht="70">
      <c r="B113" s="5" t="s">
        <v>350</v>
      </c>
      <c r="C113" s="45" t="s">
        <v>135</v>
      </c>
      <c r="D113" s="45">
        <v>90441</v>
      </c>
      <c r="E113" s="6" t="s">
        <v>351</v>
      </c>
      <c r="F113" s="45" t="s">
        <v>210</v>
      </c>
      <c r="G113" s="46">
        <f t="shared" si="7"/>
        <v>10</v>
      </c>
      <c r="H113" s="46">
        <f>TRUNC(S113*(1-LOTE_02!$K$10),2)</f>
        <v>16.440000000000001</v>
      </c>
      <c r="I113" s="46">
        <f>TRUNC(T113*(1-LOTE_02!$K$10),2)</f>
        <v>22.27</v>
      </c>
      <c r="J113" s="100">
        <f t="shared" si="8"/>
        <v>0.22470000000000001</v>
      </c>
      <c r="K113" s="48">
        <f t="shared" si="9"/>
        <v>20.13</v>
      </c>
      <c r="L113" s="48">
        <f t="shared" si="10"/>
        <v>27.27</v>
      </c>
      <c r="M113" s="48">
        <f t="shared" si="11"/>
        <v>201.3</v>
      </c>
      <c r="N113" s="48">
        <f t="shared" si="12"/>
        <v>272.7</v>
      </c>
      <c r="O113" s="50">
        <f t="shared" si="13"/>
        <v>474</v>
      </c>
      <c r="P113" s="50">
        <v>0</v>
      </c>
      <c r="Q113" s="76"/>
      <c r="R113" s="140">
        <f>IF((2*S9+2*S10)&gt;10,10,(2*S9+2*S10))</f>
        <v>10</v>
      </c>
      <c r="S113" s="79">
        <v>16.440000000000001</v>
      </c>
      <c r="T113" s="80">
        <v>22.27</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3099.55</v>
      </c>
      <c r="Q114" s="76"/>
      <c r="R114" s="154"/>
      <c r="S114" s="79" t="s">
        <v>22</v>
      </c>
      <c r="T114" s="80" t="s">
        <v>22</v>
      </c>
    </row>
    <row r="115" spans="2:20" ht="28">
      <c r="B115" s="5" t="s">
        <v>352</v>
      </c>
      <c r="C115" s="45" t="s">
        <v>135</v>
      </c>
      <c r="D115" s="45">
        <v>94319</v>
      </c>
      <c r="E115" s="6" t="s">
        <v>353</v>
      </c>
      <c r="F115" s="45" t="s">
        <v>161</v>
      </c>
      <c r="G115" s="46">
        <f>IF($S$11=0,0,TRUNC(R115,2))</f>
        <v>5</v>
      </c>
      <c r="H115" s="46">
        <f>TRUNC(S115*(1-LOTE_02!$K$10),2)</f>
        <v>68.69</v>
      </c>
      <c r="I115" s="46">
        <f>TRUNC(T115*(1-LOTE_02!$K$10),2)</f>
        <v>16.829999999999998</v>
      </c>
      <c r="J115" s="100">
        <f t="shared" si="8"/>
        <v>0.22470000000000001</v>
      </c>
      <c r="K115" s="48">
        <f t="shared" si="9"/>
        <v>84.12</v>
      </c>
      <c r="L115" s="48">
        <f t="shared" si="10"/>
        <v>20.61</v>
      </c>
      <c r="M115" s="48">
        <f t="shared" si="11"/>
        <v>420.6</v>
      </c>
      <c r="N115" s="48">
        <f t="shared" si="12"/>
        <v>103.05</v>
      </c>
      <c r="O115" s="50">
        <f t="shared" si="13"/>
        <v>523.65</v>
      </c>
      <c r="P115" s="50">
        <v>0</v>
      </c>
      <c r="Q115" s="76"/>
      <c r="R115" s="140">
        <f>IF((1*S10)&gt;5,5,1)</f>
        <v>5</v>
      </c>
      <c r="S115" s="79">
        <v>68.69</v>
      </c>
      <c r="T115" s="80">
        <v>16.829999999999998</v>
      </c>
    </row>
    <row r="116" spans="2:20" ht="28">
      <c r="B116" s="5" t="s">
        <v>354</v>
      </c>
      <c r="C116" s="45" t="s">
        <v>135</v>
      </c>
      <c r="D116" s="45">
        <v>94342</v>
      </c>
      <c r="E116" s="6" t="s">
        <v>355</v>
      </c>
      <c r="F116" s="45" t="s">
        <v>161</v>
      </c>
      <c r="G116" s="46">
        <f t="shared" ref="G116:G123" si="14">IF($S$11=0,0,TRUNC(R116,2))</f>
        <v>5</v>
      </c>
      <c r="H116" s="46">
        <f>TRUNC(S116*(1-LOTE_02!$K$10),2)</f>
        <v>98.31</v>
      </c>
      <c r="I116" s="46">
        <f>TRUNC(T116*(1-LOTE_02!$K$10),2)</f>
        <v>16.71</v>
      </c>
      <c r="J116" s="100">
        <f t="shared" si="8"/>
        <v>0.22470000000000001</v>
      </c>
      <c r="K116" s="48">
        <f t="shared" si="9"/>
        <v>120.4</v>
      </c>
      <c r="L116" s="48">
        <f t="shared" si="10"/>
        <v>20.46</v>
      </c>
      <c r="M116" s="48">
        <f t="shared" si="11"/>
        <v>602</v>
      </c>
      <c r="N116" s="48">
        <f t="shared" si="12"/>
        <v>102.3</v>
      </c>
      <c r="O116" s="50">
        <f t="shared" si="13"/>
        <v>704.3</v>
      </c>
      <c r="P116" s="50">
        <v>0</v>
      </c>
      <c r="Q116" s="76"/>
      <c r="R116" s="140">
        <f>IF((1*S10)&gt;5,5,1)</f>
        <v>5</v>
      </c>
      <c r="S116" s="79">
        <v>98.31</v>
      </c>
      <c r="T116" s="80">
        <v>16.71</v>
      </c>
    </row>
    <row r="117" spans="2:20" ht="28">
      <c r="B117" s="5" t="s">
        <v>356</v>
      </c>
      <c r="C117" s="45" t="s">
        <v>165</v>
      </c>
      <c r="D117" s="45" t="s">
        <v>357</v>
      </c>
      <c r="E117" s="6" t="s">
        <v>358</v>
      </c>
      <c r="F117" s="45" t="s">
        <v>182</v>
      </c>
      <c r="G117" s="46">
        <f t="shared" si="14"/>
        <v>5</v>
      </c>
      <c r="H117" s="46">
        <f>TRUNC(S117*(1-LOTE_02!$K$10),2)</f>
        <v>14.6</v>
      </c>
      <c r="I117" s="46">
        <f>TRUNC(T117*(1-LOTE_02!$K$10),2)</f>
        <v>0.7</v>
      </c>
      <c r="J117" s="100">
        <f t="shared" si="8"/>
        <v>0.22470000000000001</v>
      </c>
      <c r="K117" s="48">
        <f t="shared" si="9"/>
        <v>17.88</v>
      </c>
      <c r="L117" s="48">
        <f t="shared" si="10"/>
        <v>0.85</v>
      </c>
      <c r="M117" s="48">
        <f t="shared" si="11"/>
        <v>89.4</v>
      </c>
      <c r="N117" s="48">
        <f t="shared" si="12"/>
        <v>4.25</v>
      </c>
      <c r="O117" s="50">
        <f t="shared" si="13"/>
        <v>93.65</v>
      </c>
      <c r="P117" s="50">
        <v>0</v>
      </c>
      <c r="Q117" s="76"/>
      <c r="R117" s="140">
        <f>IF((1*S10)&gt;5,5,1)</f>
        <v>5</v>
      </c>
      <c r="S117" s="79">
        <v>14.6</v>
      </c>
      <c r="T117" s="80">
        <v>0.7</v>
      </c>
    </row>
    <row r="118" spans="2:20" ht="28">
      <c r="B118" s="5" t="s">
        <v>359</v>
      </c>
      <c r="C118" s="45" t="s">
        <v>165</v>
      </c>
      <c r="D118" s="45" t="s">
        <v>360</v>
      </c>
      <c r="E118" s="6" t="s">
        <v>361</v>
      </c>
      <c r="F118" s="45" t="s">
        <v>182</v>
      </c>
      <c r="G118" s="46">
        <f t="shared" si="14"/>
        <v>5</v>
      </c>
      <c r="H118" s="46">
        <f>TRUNC(S118*(1-LOTE_02!$K$10),2)</f>
        <v>24.77</v>
      </c>
      <c r="I118" s="46">
        <f>TRUNC(T118*(1-LOTE_02!$K$10),2)</f>
        <v>28.37</v>
      </c>
      <c r="J118" s="100">
        <f t="shared" si="8"/>
        <v>0.22470000000000001</v>
      </c>
      <c r="K118" s="48">
        <f t="shared" si="9"/>
        <v>30.33</v>
      </c>
      <c r="L118" s="48">
        <f t="shared" si="10"/>
        <v>34.74</v>
      </c>
      <c r="M118" s="48">
        <f t="shared" si="11"/>
        <v>151.65</v>
      </c>
      <c r="N118" s="48">
        <f t="shared" si="12"/>
        <v>173.7</v>
      </c>
      <c r="O118" s="50">
        <f t="shared" si="13"/>
        <v>325.35000000000002</v>
      </c>
      <c r="P118" s="50">
        <v>0</v>
      </c>
      <c r="Q118" s="76"/>
      <c r="R118" s="140">
        <f>IF((1*S10)&gt;5,5,1)</f>
        <v>5</v>
      </c>
      <c r="S118" s="79">
        <v>24.77</v>
      </c>
      <c r="T118" s="80">
        <v>28.37</v>
      </c>
    </row>
    <row r="119" spans="2:20" ht="28">
      <c r="B119" s="5" t="s">
        <v>362</v>
      </c>
      <c r="C119" s="45" t="s">
        <v>135</v>
      </c>
      <c r="D119" s="45">
        <v>93358</v>
      </c>
      <c r="E119" s="6" t="s">
        <v>363</v>
      </c>
      <c r="F119" s="45" t="s">
        <v>161</v>
      </c>
      <c r="G119" s="46">
        <f t="shared" si="14"/>
        <v>5</v>
      </c>
      <c r="H119" s="46">
        <f>TRUNC(S119*(1-LOTE_02!$K$10),2)</f>
        <v>41.28</v>
      </c>
      <c r="I119" s="46">
        <f>TRUNC(T119*(1-LOTE_02!$K$10),2)</f>
        <v>65.05</v>
      </c>
      <c r="J119" s="100">
        <f t="shared" si="8"/>
        <v>0.22470000000000001</v>
      </c>
      <c r="K119" s="48">
        <f t="shared" si="9"/>
        <v>50.55</v>
      </c>
      <c r="L119" s="48">
        <f t="shared" si="10"/>
        <v>79.66</v>
      </c>
      <c r="M119" s="48">
        <f t="shared" si="11"/>
        <v>252.75</v>
      </c>
      <c r="N119" s="48">
        <f t="shared" si="12"/>
        <v>398.3</v>
      </c>
      <c r="O119" s="50">
        <f t="shared" si="13"/>
        <v>651.04999999999995</v>
      </c>
      <c r="P119" s="50">
        <v>0</v>
      </c>
      <c r="Q119" s="76"/>
      <c r="R119" s="140">
        <f>IF((1*S10)&gt;5,5,1)</f>
        <v>5</v>
      </c>
      <c r="S119" s="79">
        <v>41.28</v>
      </c>
      <c r="T119" s="80">
        <v>65.05</v>
      </c>
    </row>
    <row r="120" spans="2:20" ht="28">
      <c r="B120" s="5" t="s">
        <v>364</v>
      </c>
      <c r="C120" s="45" t="s">
        <v>165</v>
      </c>
      <c r="D120" s="45" t="s">
        <v>365</v>
      </c>
      <c r="E120" s="6" t="s">
        <v>366</v>
      </c>
      <c r="F120" s="45" t="s">
        <v>182</v>
      </c>
      <c r="G120" s="46">
        <f t="shared" si="14"/>
        <v>5</v>
      </c>
      <c r="H120" s="46">
        <f>TRUNC(S120*(1-LOTE_02!$K$10),2)</f>
        <v>0</v>
      </c>
      <c r="I120" s="46">
        <f>TRUNC(T120*(1-LOTE_02!$K$10),2)</f>
        <v>52.71</v>
      </c>
      <c r="J120" s="100">
        <f t="shared" si="8"/>
        <v>0.22470000000000001</v>
      </c>
      <c r="K120" s="48">
        <f t="shared" si="9"/>
        <v>0</v>
      </c>
      <c r="L120" s="48">
        <f t="shared" si="10"/>
        <v>64.55</v>
      </c>
      <c r="M120" s="48">
        <f t="shared" si="11"/>
        <v>0</v>
      </c>
      <c r="N120" s="48">
        <f t="shared" si="12"/>
        <v>322.75</v>
      </c>
      <c r="O120" s="50">
        <f t="shared" si="13"/>
        <v>322.75</v>
      </c>
      <c r="P120" s="50">
        <v>0</v>
      </c>
      <c r="Q120" s="76"/>
      <c r="R120" s="140">
        <f>IF((1*S10)&gt;5,5,1)</f>
        <v>5</v>
      </c>
      <c r="S120" s="79">
        <v>0</v>
      </c>
      <c r="T120" s="80">
        <v>52.71</v>
      </c>
    </row>
    <row r="121" spans="2:20" ht="28">
      <c r="B121" s="5" t="s">
        <v>367</v>
      </c>
      <c r="C121" s="45" t="s">
        <v>165</v>
      </c>
      <c r="D121" s="45" t="s">
        <v>368</v>
      </c>
      <c r="E121" s="6" t="s">
        <v>369</v>
      </c>
      <c r="F121" s="45" t="s">
        <v>182</v>
      </c>
      <c r="G121" s="46">
        <f t="shared" si="14"/>
        <v>5</v>
      </c>
      <c r="H121" s="46">
        <f>TRUNC(S121*(1-LOTE_02!$K$10),2)</f>
        <v>0</v>
      </c>
      <c r="I121" s="46">
        <f>TRUNC(T121*(1-LOTE_02!$K$10),2)</f>
        <v>5.93</v>
      </c>
      <c r="J121" s="100">
        <f t="shared" si="8"/>
        <v>0.22470000000000001</v>
      </c>
      <c r="K121" s="48">
        <f t="shared" si="9"/>
        <v>0</v>
      </c>
      <c r="L121" s="48">
        <f t="shared" si="10"/>
        <v>7.26</v>
      </c>
      <c r="M121" s="48">
        <f t="shared" si="11"/>
        <v>0</v>
      </c>
      <c r="N121" s="48">
        <f t="shared" si="12"/>
        <v>36.299999999999997</v>
      </c>
      <c r="O121" s="50">
        <f t="shared" si="13"/>
        <v>36.299999999999997</v>
      </c>
      <c r="P121" s="50">
        <v>0</v>
      </c>
      <c r="Q121" s="76"/>
      <c r="R121" s="140">
        <f>IF((1*S10)&gt;5,5,1)</f>
        <v>5</v>
      </c>
      <c r="S121" s="79">
        <v>0</v>
      </c>
      <c r="T121" s="80">
        <v>5.93</v>
      </c>
    </row>
    <row r="122" spans="2:20" ht="28">
      <c r="B122" s="5" t="s">
        <v>370</v>
      </c>
      <c r="C122" s="45" t="s">
        <v>165</v>
      </c>
      <c r="D122" s="45" t="s">
        <v>371</v>
      </c>
      <c r="E122" s="6" t="s">
        <v>372</v>
      </c>
      <c r="F122" s="45" t="s">
        <v>182</v>
      </c>
      <c r="G122" s="46">
        <f t="shared" si="14"/>
        <v>5</v>
      </c>
      <c r="H122" s="46">
        <f>TRUNC(S122*(1-LOTE_02!$K$10),2)</f>
        <v>0</v>
      </c>
      <c r="I122" s="46">
        <f>TRUNC(T122*(1-LOTE_02!$K$10),2)</f>
        <v>52.5</v>
      </c>
      <c r="J122" s="100">
        <f t="shared" si="8"/>
        <v>0.22470000000000001</v>
      </c>
      <c r="K122" s="48">
        <f t="shared" si="9"/>
        <v>0</v>
      </c>
      <c r="L122" s="48">
        <f t="shared" si="10"/>
        <v>64.290000000000006</v>
      </c>
      <c r="M122" s="48">
        <f t="shared" si="11"/>
        <v>0</v>
      </c>
      <c r="N122" s="48">
        <f t="shared" si="12"/>
        <v>321.45</v>
      </c>
      <c r="O122" s="50">
        <f t="shared" si="13"/>
        <v>321.45</v>
      </c>
      <c r="P122" s="50">
        <v>0</v>
      </c>
      <c r="Q122" s="76"/>
      <c r="R122" s="140">
        <f>IF((1*S10)&gt;5,5,1)</f>
        <v>5</v>
      </c>
      <c r="S122" s="79">
        <v>0</v>
      </c>
      <c r="T122" s="80">
        <v>52.5</v>
      </c>
    </row>
    <row r="123" spans="2:20" ht="28">
      <c r="B123" s="5" t="s">
        <v>373</v>
      </c>
      <c r="C123" s="45" t="s">
        <v>165</v>
      </c>
      <c r="D123" s="45" t="s">
        <v>374</v>
      </c>
      <c r="E123" s="6" t="s">
        <v>375</v>
      </c>
      <c r="F123" s="45" t="s">
        <v>168</v>
      </c>
      <c r="G123" s="46">
        <f t="shared" si="14"/>
        <v>5</v>
      </c>
      <c r="H123" s="46">
        <f>TRUNC(S123*(1-LOTE_02!$K$10),2)</f>
        <v>0</v>
      </c>
      <c r="I123" s="46">
        <f>TRUNC(T123*(1-LOTE_02!$K$10),2)</f>
        <v>19.77</v>
      </c>
      <c r="J123" s="100">
        <f t="shared" si="8"/>
        <v>0.22470000000000001</v>
      </c>
      <c r="K123" s="48">
        <f t="shared" si="9"/>
        <v>0</v>
      </c>
      <c r="L123" s="48">
        <f t="shared" si="10"/>
        <v>24.21</v>
      </c>
      <c r="M123" s="48">
        <f t="shared" si="11"/>
        <v>0</v>
      </c>
      <c r="N123" s="48">
        <f t="shared" si="12"/>
        <v>121.05</v>
      </c>
      <c r="O123" s="50">
        <f t="shared" si="13"/>
        <v>121.05</v>
      </c>
      <c r="P123" s="50">
        <v>0</v>
      </c>
      <c r="Q123" s="76"/>
      <c r="R123" s="140">
        <f>IF((1*S10)&gt;5,5,1)</f>
        <v>5</v>
      </c>
      <c r="S123" s="79">
        <v>0</v>
      </c>
      <c r="T123" s="80">
        <v>19.77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35746.75</v>
      </c>
      <c r="Q124" s="76"/>
      <c r="R124" s="154"/>
      <c r="S124" s="79" t="s">
        <v>22</v>
      </c>
      <c r="T124" s="80" t="s">
        <v>22</v>
      </c>
    </row>
    <row r="125" spans="2:20" ht="70">
      <c r="B125" s="5" t="s">
        <v>376</v>
      </c>
      <c r="C125" s="45" t="s">
        <v>135</v>
      </c>
      <c r="D125" s="45">
        <v>94962</v>
      </c>
      <c r="E125" s="6" t="s">
        <v>377</v>
      </c>
      <c r="F125" s="45" t="s">
        <v>161</v>
      </c>
      <c r="G125" s="46">
        <f t="shared" ref="G125:G131" si="15">IF($S$11=0,0,TRUNC(R125,2))</f>
        <v>5</v>
      </c>
      <c r="H125" s="46">
        <f>TRUNC(S125*(1-LOTE_02!$K$10),2)</f>
        <v>524.67999999999995</v>
      </c>
      <c r="I125" s="46">
        <f>TRUNC(T125*(1-LOTE_02!$K$10),2)</f>
        <v>62.86</v>
      </c>
      <c r="J125" s="100">
        <f t="shared" si="8"/>
        <v>0.22470000000000001</v>
      </c>
      <c r="K125" s="48">
        <f t="shared" si="9"/>
        <v>642.57000000000005</v>
      </c>
      <c r="L125" s="48">
        <f t="shared" si="10"/>
        <v>76.98</v>
      </c>
      <c r="M125" s="48">
        <f t="shared" si="11"/>
        <v>3212.85</v>
      </c>
      <c r="N125" s="48">
        <f t="shared" si="12"/>
        <v>384.9</v>
      </c>
      <c r="O125" s="50">
        <f t="shared" si="13"/>
        <v>3597.75</v>
      </c>
      <c r="P125" s="50">
        <v>0</v>
      </c>
      <c r="Q125" s="76"/>
      <c r="R125" s="140">
        <f>IF((1*S10)&gt;5,5,1)</f>
        <v>5</v>
      </c>
      <c r="S125" s="79">
        <v>524.67999999999995</v>
      </c>
      <c r="T125" s="80">
        <v>62.86</v>
      </c>
    </row>
    <row r="126" spans="2:20" ht="56">
      <c r="B126" s="5" t="s">
        <v>378</v>
      </c>
      <c r="C126" s="45" t="s">
        <v>135</v>
      </c>
      <c r="D126" s="45">
        <v>94963</v>
      </c>
      <c r="E126" s="6" t="s">
        <v>379</v>
      </c>
      <c r="F126" s="45" t="s">
        <v>161</v>
      </c>
      <c r="G126" s="46">
        <f t="shared" si="15"/>
        <v>5</v>
      </c>
      <c r="H126" s="46">
        <f>TRUNC(S126*(1-LOTE_02!$K$10),2)</f>
        <v>589.19000000000005</v>
      </c>
      <c r="I126" s="46">
        <f>TRUNC(T126*(1-LOTE_02!$K$10),2)</f>
        <v>62.28</v>
      </c>
      <c r="J126" s="100">
        <f t="shared" si="8"/>
        <v>0.22470000000000001</v>
      </c>
      <c r="K126" s="48">
        <f t="shared" si="9"/>
        <v>721.58</v>
      </c>
      <c r="L126" s="48">
        <f t="shared" si="10"/>
        <v>76.27</v>
      </c>
      <c r="M126" s="48">
        <f t="shared" si="11"/>
        <v>3607.9</v>
      </c>
      <c r="N126" s="48">
        <f t="shared" si="12"/>
        <v>381.35</v>
      </c>
      <c r="O126" s="50">
        <f t="shared" si="13"/>
        <v>3989.25</v>
      </c>
      <c r="P126" s="50">
        <v>0</v>
      </c>
      <c r="Q126" s="76"/>
      <c r="R126" s="140">
        <f>IF((1*S10)&gt;5,5,1)</f>
        <v>5</v>
      </c>
      <c r="S126" s="79">
        <v>589.19000000000005</v>
      </c>
      <c r="T126" s="80">
        <v>62.28</v>
      </c>
    </row>
    <row r="127" spans="2:20" ht="56">
      <c r="B127" s="5" t="s">
        <v>380</v>
      </c>
      <c r="C127" s="45" t="s">
        <v>135</v>
      </c>
      <c r="D127" s="45">
        <v>94964</v>
      </c>
      <c r="E127" s="6" t="s">
        <v>381</v>
      </c>
      <c r="F127" s="45" t="s">
        <v>161</v>
      </c>
      <c r="G127" s="46">
        <f t="shared" si="15"/>
        <v>5</v>
      </c>
      <c r="H127" s="46">
        <f>TRUNC(S127*(1-LOTE_02!$K$10),2)</f>
        <v>644.41999999999996</v>
      </c>
      <c r="I127" s="46">
        <f>TRUNC(T127*(1-LOTE_02!$K$10),2)</f>
        <v>67.88</v>
      </c>
      <c r="J127" s="100">
        <f t="shared" si="8"/>
        <v>0.22470000000000001</v>
      </c>
      <c r="K127" s="48">
        <f t="shared" si="9"/>
        <v>789.22</v>
      </c>
      <c r="L127" s="48">
        <f t="shared" si="10"/>
        <v>83.13</v>
      </c>
      <c r="M127" s="48">
        <f t="shared" si="11"/>
        <v>3946.1</v>
      </c>
      <c r="N127" s="48">
        <f t="shared" si="12"/>
        <v>415.65</v>
      </c>
      <c r="O127" s="50">
        <f t="shared" si="13"/>
        <v>4361.75</v>
      </c>
      <c r="P127" s="50">
        <v>0</v>
      </c>
      <c r="Q127" s="76"/>
      <c r="R127" s="140">
        <f>IF((1*S10)&gt;5,5,1)</f>
        <v>5</v>
      </c>
      <c r="S127" s="79">
        <v>644.41999999999996</v>
      </c>
      <c r="T127" s="80">
        <v>67.88</v>
      </c>
    </row>
    <row r="128" spans="2:20" ht="56">
      <c r="B128" s="5" t="s">
        <v>382</v>
      </c>
      <c r="C128" s="45" t="s">
        <v>135</v>
      </c>
      <c r="D128" s="45">
        <v>94965</v>
      </c>
      <c r="E128" s="6" t="s">
        <v>383</v>
      </c>
      <c r="F128" s="45" t="s">
        <v>161</v>
      </c>
      <c r="G128" s="46">
        <f t="shared" si="15"/>
        <v>5</v>
      </c>
      <c r="H128" s="46">
        <f>TRUNC(S128*(1-LOTE_02!$K$10),2)</f>
        <v>681.36</v>
      </c>
      <c r="I128" s="46">
        <f>TRUNC(T128*(1-LOTE_02!$K$10),2)</f>
        <v>61.83</v>
      </c>
      <c r="J128" s="100">
        <f t="shared" si="8"/>
        <v>0.22470000000000001</v>
      </c>
      <c r="K128" s="48">
        <f t="shared" si="9"/>
        <v>834.46</v>
      </c>
      <c r="L128" s="48">
        <f t="shared" si="10"/>
        <v>75.72</v>
      </c>
      <c r="M128" s="48">
        <f t="shared" si="11"/>
        <v>4172.3</v>
      </c>
      <c r="N128" s="48">
        <f t="shared" si="12"/>
        <v>378.6</v>
      </c>
      <c r="O128" s="50">
        <f t="shared" si="13"/>
        <v>4550.8999999999996</v>
      </c>
      <c r="P128" s="50">
        <v>0</v>
      </c>
      <c r="Q128" s="76"/>
      <c r="R128" s="140">
        <f>IF((1*S10)&gt;5,5,1)</f>
        <v>5</v>
      </c>
      <c r="S128" s="79">
        <v>681.36</v>
      </c>
      <c r="T128" s="80">
        <v>61.83</v>
      </c>
    </row>
    <row r="129" spans="2:20" ht="42">
      <c r="B129" s="5" t="s">
        <v>384</v>
      </c>
      <c r="C129" s="45" t="s">
        <v>135</v>
      </c>
      <c r="D129" s="45">
        <v>102487</v>
      </c>
      <c r="E129" s="6" t="s">
        <v>385</v>
      </c>
      <c r="F129" s="45" t="s">
        <v>161</v>
      </c>
      <c r="G129" s="46">
        <f t="shared" si="15"/>
        <v>5</v>
      </c>
      <c r="H129" s="46">
        <f>TRUNC(S129*(1-LOTE_02!$K$10),2)</f>
        <v>672.73</v>
      </c>
      <c r="I129" s="46">
        <f>TRUNC(T129*(1-LOTE_02!$K$10),2)</f>
        <v>188.63</v>
      </c>
      <c r="J129" s="100">
        <f t="shared" si="8"/>
        <v>0.22470000000000001</v>
      </c>
      <c r="K129" s="48">
        <f t="shared" si="9"/>
        <v>823.89</v>
      </c>
      <c r="L129" s="48">
        <f t="shared" si="10"/>
        <v>231.01</v>
      </c>
      <c r="M129" s="48">
        <f t="shared" si="11"/>
        <v>4119.45</v>
      </c>
      <c r="N129" s="48">
        <f t="shared" si="12"/>
        <v>1155.05</v>
      </c>
      <c r="O129" s="50">
        <f t="shared" si="13"/>
        <v>5274.5</v>
      </c>
      <c r="P129" s="50">
        <v>0</v>
      </c>
      <c r="Q129" s="76"/>
      <c r="R129" s="140">
        <f>IF((1*S10)&gt;5,5,1)</f>
        <v>5</v>
      </c>
      <c r="S129" s="79">
        <v>672.73</v>
      </c>
      <c r="T129" s="80">
        <v>188.63</v>
      </c>
    </row>
    <row r="130" spans="2:20" ht="28">
      <c r="B130" s="5" t="s">
        <v>386</v>
      </c>
      <c r="C130" s="45" t="s">
        <v>165</v>
      </c>
      <c r="D130" s="45" t="s">
        <v>387</v>
      </c>
      <c r="E130" s="6" t="s">
        <v>388</v>
      </c>
      <c r="F130" s="45" t="s">
        <v>168</v>
      </c>
      <c r="G130" s="46">
        <f t="shared" si="15"/>
        <v>20</v>
      </c>
      <c r="H130" s="46">
        <f>TRUNC(S130*(1-LOTE_02!$K$10),2)</f>
        <v>112.26</v>
      </c>
      <c r="I130" s="46">
        <f>TRUNC(T130*(1-LOTE_02!$K$10),2)</f>
        <v>69.27</v>
      </c>
      <c r="J130" s="100">
        <f t="shared" si="8"/>
        <v>0.22470000000000001</v>
      </c>
      <c r="K130" s="48">
        <f t="shared" si="9"/>
        <v>137.47999999999999</v>
      </c>
      <c r="L130" s="48">
        <f t="shared" si="10"/>
        <v>84.83</v>
      </c>
      <c r="M130" s="48">
        <f t="shared" si="11"/>
        <v>2749.6</v>
      </c>
      <c r="N130" s="48">
        <f t="shared" si="12"/>
        <v>1696.6</v>
      </c>
      <c r="O130" s="50">
        <f t="shared" si="13"/>
        <v>4446.2</v>
      </c>
      <c r="P130" s="50">
        <v>0</v>
      </c>
      <c r="Q130" s="76"/>
      <c r="R130" s="140">
        <f>IF((5*S10)&gt;20,20,5)</f>
        <v>20</v>
      </c>
      <c r="S130" s="79">
        <v>112.26</v>
      </c>
      <c r="T130" s="80">
        <v>69.27</v>
      </c>
    </row>
    <row r="131" spans="2:20" ht="42">
      <c r="B131" s="5" t="s">
        <v>389</v>
      </c>
      <c r="C131" s="45" t="s">
        <v>135</v>
      </c>
      <c r="D131" s="45">
        <v>103670</v>
      </c>
      <c r="E131" s="6" t="s">
        <v>390</v>
      </c>
      <c r="F131" s="45" t="s">
        <v>161</v>
      </c>
      <c r="G131" s="46">
        <f t="shared" si="15"/>
        <v>5</v>
      </c>
      <c r="H131" s="46">
        <f>TRUNC(S131*(1-LOTE_02!$K$10),2)</f>
        <v>130.29</v>
      </c>
      <c r="I131" s="46">
        <f>TRUNC(T131*(1-LOTE_02!$K$10),2)</f>
        <v>230</v>
      </c>
      <c r="J131" s="100">
        <f t="shared" si="8"/>
        <v>0.22470000000000001</v>
      </c>
      <c r="K131" s="48">
        <f t="shared" si="9"/>
        <v>159.56</v>
      </c>
      <c r="L131" s="48">
        <f t="shared" si="10"/>
        <v>281.68</v>
      </c>
      <c r="M131" s="48">
        <f t="shared" si="11"/>
        <v>797.8</v>
      </c>
      <c r="N131" s="48">
        <f t="shared" si="12"/>
        <v>1408.4</v>
      </c>
      <c r="O131" s="50">
        <f t="shared" si="13"/>
        <v>2206.1999999999998</v>
      </c>
      <c r="P131" s="50">
        <v>0</v>
      </c>
      <c r="Q131" s="76"/>
      <c r="R131" s="140">
        <f>IF((1*S10)&gt;5,5,1)</f>
        <v>5</v>
      </c>
      <c r="S131" s="79">
        <v>130.29000000000002</v>
      </c>
      <c r="T131" s="80">
        <v>230</v>
      </c>
    </row>
    <row r="132" spans="2:20" ht="56">
      <c r="B132" s="5" t="s">
        <v>391</v>
      </c>
      <c r="C132" s="45" t="s">
        <v>135</v>
      </c>
      <c r="D132" s="45">
        <v>95240</v>
      </c>
      <c r="E132" s="6" t="s">
        <v>392</v>
      </c>
      <c r="F132" s="45" t="s">
        <v>121</v>
      </c>
      <c r="G132" s="46">
        <f t="shared" si="7"/>
        <v>20</v>
      </c>
      <c r="H132" s="46">
        <f>TRUNC(S132*(1-LOTE_02!$K$10),2)</f>
        <v>20.18</v>
      </c>
      <c r="I132" s="46">
        <f>TRUNC(T132*(1-LOTE_02!$K$10),2)</f>
        <v>6.12</v>
      </c>
      <c r="J132" s="100">
        <f t="shared" si="8"/>
        <v>0.22470000000000001</v>
      </c>
      <c r="K132" s="48">
        <f t="shared" si="9"/>
        <v>24.71</v>
      </c>
      <c r="L132" s="48">
        <f t="shared" si="10"/>
        <v>7.49</v>
      </c>
      <c r="M132" s="48">
        <f t="shared" si="11"/>
        <v>494.2</v>
      </c>
      <c r="N132" s="48">
        <f t="shared" si="12"/>
        <v>149.80000000000001</v>
      </c>
      <c r="O132" s="50">
        <f t="shared" si="13"/>
        <v>644</v>
      </c>
      <c r="P132" s="50">
        <v>0</v>
      </c>
      <c r="Q132" s="76"/>
      <c r="R132" s="140">
        <f>IF((S9+2*S10)&gt;20,20,(S9+2*S10))</f>
        <v>20</v>
      </c>
      <c r="S132" s="79">
        <v>20.18</v>
      </c>
      <c r="T132" s="80">
        <v>6.12</v>
      </c>
    </row>
    <row r="133" spans="2:20" ht="28">
      <c r="B133" s="5" t="s">
        <v>393</v>
      </c>
      <c r="C133" s="45" t="s">
        <v>97</v>
      </c>
      <c r="D133" s="45" t="s">
        <v>394</v>
      </c>
      <c r="E133" s="6" t="s">
        <v>395</v>
      </c>
      <c r="F133" s="45" t="s">
        <v>161</v>
      </c>
      <c r="G133" s="46">
        <f>IF($S$11=0,0,TRUNC(R133,2))</f>
        <v>5</v>
      </c>
      <c r="H133" s="46">
        <f>TRUNC(S133*(1-LOTE_02!$K$10),2)</f>
        <v>782.71</v>
      </c>
      <c r="I133" s="46">
        <f>TRUNC(T133*(1-LOTE_02!$K$10),2)</f>
        <v>307.56</v>
      </c>
      <c r="J133" s="100">
        <f t="shared" si="8"/>
        <v>0.22470000000000001</v>
      </c>
      <c r="K133" s="48">
        <f t="shared" si="9"/>
        <v>958.58</v>
      </c>
      <c r="L133" s="48">
        <f t="shared" si="10"/>
        <v>376.66</v>
      </c>
      <c r="M133" s="48">
        <f t="shared" si="11"/>
        <v>4792.8999999999996</v>
      </c>
      <c r="N133" s="48">
        <f t="shared" si="12"/>
        <v>1883.3</v>
      </c>
      <c r="O133" s="50">
        <f t="shared" si="13"/>
        <v>6676.2</v>
      </c>
      <c r="P133" s="50">
        <v>0</v>
      </c>
      <c r="Q133" s="76"/>
      <c r="R133" s="140">
        <f>IF((1*S10)&gt;5,5,1)</f>
        <v>5</v>
      </c>
      <c r="S133" s="79">
        <v>782.71</v>
      </c>
      <c r="T133" s="80">
        <v>307.56</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192257.90000000002</v>
      </c>
      <c r="Q134" s="76"/>
      <c r="R134" s="154"/>
      <c r="S134" s="79" t="s">
        <v>22</v>
      </c>
      <c r="T134" s="80" t="s">
        <v>22</v>
      </c>
    </row>
    <row r="135" spans="2:20" ht="28">
      <c r="B135" s="5" t="s">
        <v>396</v>
      </c>
      <c r="C135" s="45" t="s">
        <v>135</v>
      </c>
      <c r="D135" s="45">
        <v>96543</v>
      </c>
      <c r="E135" s="6" t="s">
        <v>397</v>
      </c>
      <c r="F135" s="45" t="s">
        <v>398</v>
      </c>
      <c r="G135" s="46">
        <f t="shared" ref="G135:G149" si="16">IF($S$11=0,0,TRUNC(R135,2))</f>
        <v>200</v>
      </c>
      <c r="H135" s="46">
        <f>TRUNC(S135*(1-LOTE_02!$K$10),2)</f>
        <v>13.16</v>
      </c>
      <c r="I135" s="46">
        <f>TRUNC(T135*(1-LOTE_02!$K$10),2)</f>
        <v>8.18</v>
      </c>
      <c r="J135" s="100">
        <f t="shared" si="8"/>
        <v>0.22470000000000001</v>
      </c>
      <c r="K135" s="48">
        <f t="shared" si="9"/>
        <v>16.11</v>
      </c>
      <c r="L135" s="48">
        <f t="shared" si="10"/>
        <v>10.01</v>
      </c>
      <c r="M135" s="48">
        <f t="shared" si="11"/>
        <v>3222</v>
      </c>
      <c r="N135" s="48">
        <f t="shared" si="12"/>
        <v>2002</v>
      </c>
      <c r="O135" s="50">
        <f t="shared" si="13"/>
        <v>5224</v>
      </c>
      <c r="P135" s="50">
        <v>0</v>
      </c>
      <c r="Q135" s="76"/>
      <c r="R135" s="140">
        <f>IF(20*S10&gt;=80,200,50)</f>
        <v>200</v>
      </c>
      <c r="S135" s="79">
        <v>13.16</v>
      </c>
      <c r="T135" s="80">
        <v>8.18</v>
      </c>
    </row>
    <row r="136" spans="2:20" ht="42">
      <c r="B136" s="5" t="s">
        <v>399</v>
      </c>
      <c r="C136" s="45" t="s">
        <v>165</v>
      </c>
      <c r="D136" s="45" t="s">
        <v>400</v>
      </c>
      <c r="E136" s="6" t="s">
        <v>401</v>
      </c>
      <c r="F136" s="45" t="s">
        <v>402</v>
      </c>
      <c r="G136" s="46">
        <f t="shared" si="16"/>
        <v>200</v>
      </c>
      <c r="H136" s="46">
        <f>TRUNC(S136*(1-LOTE_02!$K$10),2)</f>
        <v>9.11</v>
      </c>
      <c r="I136" s="46">
        <f>TRUNC(T136*(1-LOTE_02!$K$10),2)</f>
        <v>4.1900000000000004</v>
      </c>
      <c r="J136" s="100">
        <f t="shared" si="8"/>
        <v>0.22470000000000001</v>
      </c>
      <c r="K136" s="48">
        <f t="shared" si="9"/>
        <v>11.15</v>
      </c>
      <c r="L136" s="48">
        <f t="shared" si="10"/>
        <v>5.13</v>
      </c>
      <c r="M136" s="48">
        <f t="shared" si="11"/>
        <v>2230</v>
      </c>
      <c r="N136" s="48">
        <f t="shared" si="12"/>
        <v>1026</v>
      </c>
      <c r="O136" s="50">
        <f t="shared" si="13"/>
        <v>3256</v>
      </c>
      <c r="P136" s="50">
        <v>0</v>
      </c>
      <c r="Q136" s="76"/>
      <c r="R136" s="140">
        <f>IF(20*S10&gt;=80,200,50)</f>
        <v>200</v>
      </c>
      <c r="S136" s="79">
        <v>9.11</v>
      </c>
      <c r="T136" s="80">
        <v>4.1900000000000004</v>
      </c>
    </row>
    <row r="137" spans="2:20" ht="42">
      <c r="B137" s="5" t="s">
        <v>403</v>
      </c>
      <c r="C137" s="45" t="s">
        <v>165</v>
      </c>
      <c r="D137" s="45" t="s">
        <v>404</v>
      </c>
      <c r="E137" s="6" t="s">
        <v>405</v>
      </c>
      <c r="F137" s="45" t="s">
        <v>402</v>
      </c>
      <c r="G137" s="46">
        <f t="shared" si="16"/>
        <v>200</v>
      </c>
      <c r="H137" s="46">
        <f>TRUNC(S137*(1-LOTE_02!$K$10),2)</f>
        <v>18.34</v>
      </c>
      <c r="I137" s="46">
        <f>TRUNC(T137*(1-LOTE_02!$K$10),2)</f>
        <v>4.1900000000000004</v>
      </c>
      <c r="J137" s="100">
        <f t="shared" si="8"/>
        <v>0.22470000000000001</v>
      </c>
      <c r="K137" s="48">
        <f t="shared" si="9"/>
        <v>22.46</v>
      </c>
      <c r="L137" s="48">
        <f t="shared" si="10"/>
        <v>5.13</v>
      </c>
      <c r="M137" s="48">
        <f t="shared" si="11"/>
        <v>4492</v>
      </c>
      <c r="N137" s="48">
        <f t="shared" si="12"/>
        <v>1026</v>
      </c>
      <c r="O137" s="50">
        <f t="shared" si="13"/>
        <v>5518</v>
      </c>
      <c r="P137" s="50">
        <v>0</v>
      </c>
      <c r="Q137" s="76"/>
      <c r="R137" s="140">
        <f>IF(20*S10&gt;=80,200,50)</f>
        <v>200</v>
      </c>
      <c r="S137" s="79">
        <v>18.34</v>
      </c>
      <c r="T137" s="80">
        <v>4.1900000000000004</v>
      </c>
    </row>
    <row r="138" spans="2:20" ht="42">
      <c r="B138" s="5" t="s">
        <v>406</v>
      </c>
      <c r="C138" s="45" t="s">
        <v>165</v>
      </c>
      <c r="D138" s="45" t="s">
        <v>407</v>
      </c>
      <c r="E138" s="6" t="s">
        <v>408</v>
      </c>
      <c r="F138" s="45" t="s">
        <v>402</v>
      </c>
      <c r="G138" s="46">
        <f t="shared" si="16"/>
        <v>200</v>
      </c>
      <c r="H138" s="46">
        <f>TRUNC(S138*(1-LOTE_02!$K$10),2)</f>
        <v>24.48</v>
      </c>
      <c r="I138" s="46">
        <f>TRUNC(T138*(1-LOTE_02!$K$10),2)</f>
        <v>2.62</v>
      </c>
      <c r="J138" s="100">
        <f t="shared" si="8"/>
        <v>0.22470000000000001</v>
      </c>
      <c r="K138" s="48">
        <f t="shared" si="9"/>
        <v>29.98</v>
      </c>
      <c r="L138" s="48">
        <f t="shared" si="10"/>
        <v>3.2</v>
      </c>
      <c r="M138" s="48">
        <f t="shared" si="11"/>
        <v>5996</v>
      </c>
      <c r="N138" s="48">
        <f t="shared" si="12"/>
        <v>640</v>
      </c>
      <c r="O138" s="50">
        <f t="shared" si="13"/>
        <v>6636</v>
      </c>
      <c r="P138" s="50">
        <v>0</v>
      </c>
      <c r="Q138" s="76"/>
      <c r="R138" s="140">
        <f>IF(20*S10&gt;=80,200,50)</f>
        <v>200</v>
      </c>
      <c r="S138" s="79">
        <v>24.48</v>
      </c>
      <c r="T138" s="80">
        <v>2.62</v>
      </c>
    </row>
    <row r="139" spans="2:20" ht="28">
      <c r="B139" s="5" t="s">
        <v>409</v>
      </c>
      <c r="C139" s="45" t="s">
        <v>165</v>
      </c>
      <c r="D139" s="45" t="s">
        <v>410</v>
      </c>
      <c r="E139" s="6" t="s">
        <v>411</v>
      </c>
      <c r="F139" s="45" t="s">
        <v>168</v>
      </c>
      <c r="G139" s="46">
        <f t="shared" si="16"/>
        <v>100</v>
      </c>
      <c r="H139" s="46">
        <f>TRUNC(S139*(1-LOTE_02!$K$10),2)</f>
        <v>53.04</v>
      </c>
      <c r="I139" s="46">
        <f>TRUNC(T139*(1-LOTE_02!$K$10),2)</f>
        <v>2</v>
      </c>
      <c r="J139" s="100">
        <f t="shared" si="8"/>
        <v>0.22470000000000001</v>
      </c>
      <c r="K139" s="48">
        <f t="shared" si="9"/>
        <v>64.95</v>
      </c>
      <c r="L139" s="48">
        <f t="shared" si="10"/>
        <v>2.44</v>
      </c>
      <c r="M139" s="48">
        <f t="shared" si="11"/>
        <v>6495</v>
      </c>
      <c r="N139" s="48">
        <f t="shared" si="12"/>
        <v>244</v>
      </c>
      <c r="O139" s="50">
        <f t="shared" si="13"/>
        <v>6739</v>
      </c>
      <c r="P139" s="50">
        <v>0</v>
      </c>
      <c r="Q139" s="76"/>
      <c r="R139" s="140">
        <f>IF(20*S10&gt;=50,100,50)</f>
        <v>100</v>
      </c>
      <c r="S139" s="79">
        <v>53.04</v>
      </c>
      <c r="T139" s="80">
        <v>2</v>
      </c>
    </row>
    <row r="140" spans="2:20" ht="70">
      <c r="B140" s="5" t="s">
        <v>412</v>
      </c>
      <c r="C140" s="45" t="s">
        <v>135</v>
      </c>
      <c r="D140" s="45">
        <v>102475</v>
      </c>
      <c r="E140" s="6" t="s">
        <v>413</v>
      </c>
      <c r="F140" s="45" t="s">
        <v>161</v>
      </c>
      <c r="G140" s="46">
        <f t="shared" si="16"/>
        <v>5</v>
      </c>
      <c r="H140" s="46">
        <f>TRUNC(S140*(1-LOTE_02!$K$10),2)</f>
        <v>620.1</v>
      </c>
      <c r="I140" s="46">
        <f>TRUNC(T140*(1-LOTE_02!$K$10),2)</f>
        <v>70.05</v>
      </c>
      <c r="J140" s="100">
        <f t="shared" si="8"/>
        <v>0.22470000000000001</v>
      </c>
      <c r="K140" s="48">
        <f t="shared" si="9"/>
        <v>759.43</v>
      </c>
      <c r="L140" s="48">
        <f t="shared" si="10"/>
        <v>85.79</v>
      </c>
      <c r="M140" s="48">
        <f t="shared" si="11"/>
        <v>3797.15</v>
      </c>
      <c r="N140" s="48">
        <f t="shared" si="12"/>
        <v>428.95</v>
      </c>
      <c r="O140" s="50">
        <f t="shared" si="13"/>
        <v>4226.1000000000004</v>
      </c>
      <c r="P140" s="50">
        <v>0</v>
      </c>
      <c r="Q140" s="76"/>
      <c r="R140" s="140">
        <f>IF(S10&gt;5,5,1)</f>
        <v>5</v>
      </c>
      <c r="S140" s="79">
        <v>620.1</v>
      </c>
      <c r="T140" s="80">
        <v>70.05</v>
      </c>
    </row>
    <row r="141" spans="2:20" ht="42">
      <c r="B141" s="5" t="s">
        <v>414</v>
      </c>
      <c r="C141" s="45" t="s">
        <v>165</v>
      </c>
      <c r="D141" s="45" t="s">
        <v>415</v>
      </c>
      <c r="E141" s="6" t="s">
        <v>416</v>
      </c>
      <c r="F141" s="45" t="s">
        <v>168</v>
      </c>
      <c r="G141" s="46">
        <f t="shared" si="16"/>
        <v>100</v>
      </c>
      <c r="H141" s="46">
        <f>TRUNC(S141*(1-LOTE_02!$K$10),2)</f>
        <v>107.75</v>
      </c>
      <c r="I141" s="46">
        <f>TRUNC(T141*(1-LOTE_02!$K$10),2)</f>
        <v>6.92</v>
      </c>
      <c r="J141" s="100">
        <f t="shared" si="8"/>
        <v>0.22470000000000001</v>
      </c>
      <c r="K141" s="48">
        <f t="shared" si="9"/>
        <v>131.96</v>
      </c>
      <c r="L141" s="48">
        <f t="shared" si="10"/>
        <v>8.4700000000000006</v>
      </c>
      <c r="M141" s="48">
        <f t="shared" si="11"/>
        <v>13196</v>
      </c>
      <c r="N141" s="48">
        <f t="shared" si="12"/>
        <v>847</v>
      </c>
      <c r="O141" s="50">
        <f t="shared" si="13"/>
        <v>14043</v>
      </c>
      <c r="P141" s="50">
        <v>0</v>
      </c>
      <c r="Q141" s="76"/>
      <c r="R141" s="140">
        <f>IF(S10*10&gt;100,100,10)</f>
        <v>100</v>
      </c>
      <c r="S141" s="79">
        <v>107.75</v>
      </c>
      <c r="T141" s="80">
        <v>6.92</v>
      </c>
    </row>
    <row r="142" spans="2:20" ht="56">
      <c r="B142" s="5" t="s">
        <v>417</v>
      </c>
      <c r="C142" s="45" t="s">
        <v>135</v>
      </c>
      <c r="D142" s="45">
        <v>94969</v>
      </c>
      <c r="E142" s="6" t="s">
        <v>418</v>
      </c>
      <c r="F142" s="45" t="s">
        <v>161</v>
      </c>
      <c r="G142" s="46">
        <f t="shared" si="16"/>
        <v>10</v>
      </c>
      <c r="H142" s="46">
        <f>TRUNC(S142*(1-LOTE_02!$K$10),2)</f>
        <v>588.86</v>
      </c>
      <c r="I142" s="46">
        <f>TRUNC(T142*(1-LOTE_02!$K$10),2)</f>
        <v>54.21</v>
      </c>
      <c r="J142" s="100">
        <f t="shared" si="8"/>
        <v>0.22470000000000001</v>
      </c>
      <c r="K142" s="48">
        <f t="shared" si="9"/>
        <v>721.17</v>
      </c>
      <c r="L142" s="48">
        <f t="shared" si="10"/>
        <v>66.39</v>
      </c>
      <c r="M142" s="48">
        <f t="shared" si="11"/>
        <v>7211.7</v>
      </c>
      <c r="N142" s="48">
        <f t="shared" si="12"/>
        <v>663.9</v>
      </c>
      <c r="O142" s="50">
        <f t="shared" si="13"/>
        <v>7875.6</v>
      </c>
      <c r="P142" s="50">
        <v>0</v>
      </c>
      <c r="Q142" s="76"/>
      <c r="R142" s="140">
        <f>IF(S10&gt;5,10,1)</f>
        <v>10</v>
      </c>
      <c r="S142" s="79">
        <v>588.86</v>
      </c>
      <c r="T142" s="80">
        <v>54.21</v>
      </c>
    </row>
    <row r="143" spans="2:20" ht="56">
      <c r="B143" s="5" t="s">
        <v>419</v>
      </c>
      <c r="C143" s="45" t="s">
        <v>135</v>
      </c>
      <c r="D143" s="45">
        <v>92263</v>
      </c>
      <c r="E143" s="6" t="s">
        <v>420</v>
      </c>
      <c r="F143" s="45" t="s">
        <v>121</v>
      </c>
      <c r="G143" s="46">
        <f t="shared" si="16"/>
        <v>100</v>
      </c>
      <c r="H143" s="46">
        <f>TRUNC(S143*(1-LOTE_02!$K$10),2)</f>
        <v>162.88999999999999</v>
      </c>
      <c r="I143" s="46">
        <f>TRUNC(T143*(1-LOTE_02!$K$10),2)</f>
        <v>37.83</v>
      </c>
      <c r="J143" s="100">
        <f t="shared" si="8"/>
        <v>0.22470000000000001</v>
      </c>
      <c r="K143" s="48">
        <f t="shared" si="9"/>
        <v>199.49</v>
      </c>
      <c r="L143" s="48">
        <f t="shared" si="10"/>
        <v>46.33</v>
      </c>
      <c r="M143" s="48">
        <f t="shared" si="11"/>
        <v>19949</v>
      </c>
      <c r="N143" s="48">
        <f t="shared" si="12"/>
        <v>4633</v>
      </c>
      <c r="O143" s="50">
        <f t="shared" si="13"/>
        <v>24582</v>
      </c>
      <c r="P143" s="50">
        <v>0</v>
      </c>
      <c r="Q143" s="76"/>
      <c r="R143" s="140">
        <f>IF(S10&gt;5,100,20)</f>
        <v>100</v>
      </c>
      <c r="S143" s="79">
        <v>162.88999999999999</v>
      </c>
      <c r="T143" s="80">
        <v>37.83</v>
      </c>
    </row>
    <row r="144" spans="2:20" ht="70">
      <c r="B144" s="5" t="s">
        <v>421</v>
      </c>
      <c r="C144" s="45" t="s">
        <v>135</v>
      </c>
      <c r="D144" s="45">
        <v>92409</v>
      </c>
      <c r="E144" s="6" t="s">
        <v>422</v>
      </c>
      <c r="F144" s="45" t="s">
        <v>121</v>
      </c>
      <c r="G144" s="46">
        <f t="shared" si="16"/>
        <v>100</v>
      </c>
      <c r="H144" s="46">
        <f>TRUNC(S144*(1-LOTE_02!$K$10),2)</f>
        <v>198.79</v>
      </c>
      <c r="I144" s="46">
        <f>TRUNC(T144*(1-LOTE_02!$K$10),2)</f>
        <v>98.66</v>
      </c>
      <c r="J144" s="100">
        <f t="shared" si="8"/>
        <v>0.22470000000000001</v>
      </c>
      <c r="K144" s="48">
        <f t="shared" si="9"/>
        <v>243.45</v>
      </c>
      <c r="L144" s="48">
        <f t="shared" si="10"/>
        <v>120.82</v>
      </c>
      <c r="M144" s="48">
        <f t="shared" si="11"/>
        <v>24345</v>
      </c>
      <c r="N144" s="48">
        <f t="shared" si="12"/>
        <v>12082</v>
      </c>
      <c r="O144" s="50">
        <f t="shared" si="13"/>
        <v>36427</v>
      </c>
      <c r="P144" s="50">
        <v>0</v>
      </c>
      <c r="Q144" s="76"/>
      <c r="R144" s="140">
        <f>IF(S10&gt;5,100,20)</f>
        <v>100</v>
      </c>
      <c r="S144" s="79">
        <v>198.79</v>
      </c>
      <c r="T144" s="80">
        <v>98.66</v>
      </c>
    </row>
    <row r="145" spans="2:20" ht="56">
      <c r="B145" s="5" t="s">
        <v>423</v>
      </c>
      <c r="C145" s="45" t="s">
        <v>135</v>
      </c>
      <c r="D145" s="45">
        <v>92482</v>
      </c>
      <c r="E145" s="6" t="s">
        <v>424</v>
      </c>
      <c r="F145" s="45" t="s">
        <v>121</v>
      </c>
      <c r="G145" s="46">
        <f t="shared" si="16"/>
        <v>100</v>
      </c>
      <c r="H145" s="46">
        <f>TRUNC(S145*(1-LOTE_02!$K$10),2)</f>
        <v>272.74</v>
      </c>
      <c r="I145" s="46">
        <f>TRUNC(T145*(1-LOTE_02!$K$10),2)</f>
        <v>108.01</v>
      </c>
      <c r="J145" s="100">
        <f t="shared" ref="J145:J209" si="17">$J$4</f>
        <v>0.22470000000000001</v>
      </c>
      <c r="K145" s="48">
        <f t="shared" ref="K145:K207" si="18">TRUNC(H145*(1+J145),2)</f>
        <v>334.02</v>
      </c>
      <c r="L145" s="48">
        <f t="shared" ref="L145:L207" si="19">TRUNC(I145*(1+J145),2)</f>
        <v>132.27000000000001</v>
      </c>
      <c r="M145" s="48">
        <f t="shared" ref="M145:M207" si="20">TRUNC(K145*G145,2)</f>
        <v>33402</v>
      </c>
      <c r="N145" s="48">
        <f t="shared" ref="N145:N207" si="21">TRUNC(L145*G145,2)</f>
        <v>13227</v>
      </c>
      <c r="O145" s="50">
        <f t="shared" ref="O145:O207" si="22">TRUNC(M145+N145,2)</f>
        <v>46629</v>
      </c>
      <c r="P145" s="50">
        <v>0</v>
      </c>
      <c r="Q145" s="76"/>
      <c r="R145" s="140">
        <f>IF(S10&gt;5,100,20)</f>
        <v>100</v>
      </c>
      <c r="S145" s="79">
        <v>272.74</v>
      </c>
      <c r="T145" s="80">
        <v>108.01</v>
      </c>
    </row>
    <row r="146" spans="2:20" ht="70">
      <c r="B146" s="5" t="s">
        <v>425</v>
      </c>
      <c r="C146" s="45" t="s">
        <v>135</v>
      </c>
      <c r="D146" s="45">
        <v>101963</v>
      </c>
      <c r="E146" s="6" t="s">
        <v>426</v>
      </c>
      <c r="F146" s="45" t="s">
        <v>121</v>
      </c>
      <c r="G146" s="46">
        <f t="shared" si="16"/>
        <v>100</v>
      </c>
      <c r="H146" s="46">
        <f>TRUNC(S146*(1-LOTE_02!$K$10),2)</f>
        <v>179.59</v>
      </c>
      <c r="I146" s="46">
        <f>TRUNC(T146*(1-LOTE_02!$K$10),2)</f>
        <v>28.09</v>
      </c>
      <c r="J146" s="100">
        <f t="shared" si="17"/>
        <v>0.22470000000000001</v>
      </c>
      <c r="K146" s="48">
        <f t="shared" si="18"/>
        <v>219.94</v>
      </c>
      <c r="L146" s="48">
        <f t="shared" si="19"/>
        <v>34.4</v>
      </c>
      <c r="M146" s="48">
        <f t="shared" si="20"/>
        <v>21994</v>
      </c>
      <c r="N146" s="48">
        <f t="shared" si="21"/>
        <v>3440</v>
      </c>
      <c r="O146" s="50">
        <f t="shared" si="22"/>
        <v>25434</v>
      </c>
      <c r="P146" s="50">
        <v>0</v>
      </c>
      <c r="Q146" s="76"/>
      <c r="R146" s="140">
        <f>IF(S10&gt;5,100,20)</f>
        <v>100</v>
      </c>
      <c r="S146" s="79">
        <v>179.59</v>
      </c>
      <c r="T146" s="80">
        <v>28.09</v>
      </c>
    </row>
    <row r="147" spans="2:20" ht="42">
      <c r="B147" s="5" t="s">
        <v>427</v>
      </c>
      <c r="C147" s="45" t="s">
        <v>135</v>
      </c>
      <c r="D147" s="45">
        <v>103670</v>
      </c>
      <c r="E147" s="6" t="s">
        <v>390</v>
      </c>
      <c r="F147" s="45" t="s">
        <v>161</v>
      </c>
      <c r="G147" s="46">
        <f t="shared" si="16"/>
        <v>5</v>
      </c>
      <c r="H147" s="46">
        <f>TRUNC(S147*(1-LOTE_02!$K$10),2)</f>
        <v>130.29</v>
      </c>
      <c r="I147" s="46">
        <f>TRUNC(T147*(1-LOTE_02!$K$10),2)</f>
        <v>230</v>
      </c>
      <c r="J147" s="100">
        <f t="shared" si="17"/>
        <v>0.22470000000000001</v>
      </c>
      <c r="K147" s="48">
        <f t="shared" si="18"/>
        <v>159.56</v>
      </c>
      <c r="L147" s="48">
        <f t="shared" si="19"/>
        <v>281.68</v>
      </c>
      <c r="M147" s="48">
        <f t="shared" si="20"/>
        <v>797.8</v>
      </c>
      <c r="N147" s="48">
        <f t="shared" si="21"/>
        <v>1408.4</v>
      </c>
      <c r="O147" s="50">
        <f t="shared" si="22"/>
        <v>2206.1999999999998</v>
      </c>
      <c r="P147" s="50">
        <v>0</v>
      </c>
      <c r="Q147" s="76"/>
      <c r="R147" s="140">
        <f>IF(S10&gt;5,5,1)</f>
        <v>5</v>
      </c>
      <c r="S147" s="79">
        <v>130.29000000000002</v>
      </c>
      <c r="T147" s="80">
        <v>230</v>
      </c>
    </row>
    <row r="148" spans="2:20" ht="42">
      <c r="B148" s="5" t="s">
        <v>428</v>
      </c>
      <c r="C148" s="45" t="s">
        <v>135</v>
      </c>
      <c r="D148" s="45">
        <v>105036</v>
      </c>
      <c r="E148" s="6" t="s">
        <v>429</v>
      </c>
      <c r="F148" s="45" t="s">
        <v>187</v>
      </c>
      <c r="G148" s="46">
        <f t="shared" si="16"/>
        <v>20</v>
      </c>
      <c r="H148" s="46">
        <f>TRUNC(S148*(1-LOTE_02!$K$10),2)</f>
        <v>32.840000000000003</v>
      </c>
      <c r="I148" s="46">
        <f>TRUNC(T148*(1-LOTE_02!$K$10),2)</f>
        <v>24.9</v>
      </c>
      <c r="J148" s="100">
        <f t="shared" si="17"/>
        <v>0.22470000000000001</v>
      </c>
      <c r="K148" s="48">
        <f t="shared" si="18"/>
        <v>40.21</v>
      </c>
      <c r="L148" s="48">
        <f t="shared" si="19"/>
        <v>30.49</v>
      </c>
      <c r="M148" s="48">
        <f t="shared" si="20"/>
        <v>804.2</v>
      </c>
      <c r="N148" s="48">
        <f t="shared" si="21"/>
        <v>609.79999999999995</v>
      </c>
      <c r="O148" s="50">
        <f t="shared" si="22"/>
        <v>1414</v>
      </c>
      <c r="P148" s="50">
        <v>0</v>
      </c>
      <c r="Q148" s="76"/>
      <c r="R148" s="140">
        <f>IF(S10&gt;=5,20,5)</f>
        <v>20</v>
      </c>
      <c r="S148" s="79">
        <v>32.840000000000003</v>
      </c>
      <c r="T148" s="80">
        <v>24.9</v>
      </c>
    </row>
    <row r="149" spans="2:20" ht="42">
      <c r="B149" s="5" t="s">
        <v>430</v>
      </c>
      <c r="C149" s="45" t="s">
        <v>135</v>
      </c>
      <c r="D149" s="45">
        <v>94588</v>
      </c>
      <c r="E149" s="6" t="s">
        <v>431</v>
      </c>
      <c r="F149" s="45" t="s">
        <v>187</v>
      </c>
      <c r="G149" s="46">
        <f t="shared" si="16"/>
        <v>20</v>
      </c>
      <c r="H149" s="46">
        <f>TRUNC(S149*(1-LOTE_02!$K$10),2)</f>
        <v>57.6</v>
      </c>
      <c r="I149" s="46">
        <f>TRUNC(T149*(1-LOTE_02!$K$10),2)</f>
        <v>26.02</v>
      </c>
      <c r="J149" s="100">
        <f t="shared" si="17"/>
        <v>0.22470000000000001</v>
      </c>
      <c r="K149" s="48">
        <f t="shared" si="18"/>
        <v>70.540000000000006</v>
      </c>
      <c r="L149" s="48">
        <f t="shared" si="19"/>
        <v>31.86</v>
      </c>
      <c r="M149" s="48">
        <f t="shared" si="20"/>
        <v>1410.8</v>
      </c>
      <c r="N149" s="48">
        <f t="shared" si="21"/>
        <v>637.20000000000005</v>
      </c>
      <c r="O149" s="50">
        <f t="shared" si="22"/>
        <v>2048</v>
      </c>
      <c r="P149" s="50">
        <v>0</v>
      </c>
      <c r="Q149" s="76"/>
      <c r="R149" s="140">
        <f>IF(S10&gt;=5,20,5)</f>
        <v>20</v>
      </c>
      <c r="S149" s="79">
        <v>57.600000000000009</v>
      </c>
      <c r="T149" s="80">
        <v>26.02</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2242446.5</v>
      </c>
      <c r="Q150" s="76"/>
      <c r="R150" s="154"/>
      <c r="S150" s="79" t="s">
        <v>22</v>
      </c>
      <c r="T150" s="80" t="s">
        <v>22</v>
      </c>
    </row>
    <row r="151" spans="2:20" ht="28">
      <c r="B151" s="5" t="s">
        <v>432</v>
      </c>
      <c r="C151" s="45" t="s">
        <v>135</v>
      </c>
      <c r="D151" s="45">
        <v>98458</v>
      </c>
      <c r="E151" s="6" t="s">
        <v>433</v>
      </c>
      <c r="F151" s="45" t="s">
        <v>121</v>
      </c>
      <c r="G151" s="46">
        <f t="shared" si="23"/>
        <v>200</v>
      </c>
      <c r="H151" s="46">
        <f>TRUNC(S151*(1-LOTE_02!$K$10),2)</f>
        <v>87.1</v>
      </c>
      <c r="I151" s="46">
        <f>TRUNC(T151*(1-LOTE_02!$K$10),2)</f>
        <v>27.82</v>
      </c>
      <c r="J151" s="100">
        <f t="shared" si="17"/>
        <v>0.22470000000000001</v>
      </c>
      <c r="K151" s="48">
        <f t="shared" si="18"/>
        <v>106.67</v>
      </c>
      <c r="L151" s="48">
        <f t="shared" si="19"/>
        <v>34.07</v>
      </c>
      <c r="M151" s="48">
        <f t="shared" si="20"/>
        <v>21334</v>
      </c>
      <c r="N151" s="48">
        <f t="shared" si="21"/>
        <v>6814</v>
      </c>
      <c r="O151" s="50">
        <f t="shared" si="22"/>
        <v>28148</v>
      </c>
      <c r="P151" s="50">
        <v>0</v>
      </c>
      <c r="Q151" s="76"/>
      <c r="R151" s="140">
        <f>IF((15*3*S9+15*3*S10)&gt;200,200,(15*3*S9+15*3*S10))</f>
        <v>200</v>
      </c>
      <c r="S151" s="79">
        <v>87.1</v>
      </c>
      <c r="T151" s="80">
        <v>27.82</v>
      </c>
    </row>
    <row r="152" spans="2:20" ht="70">
      <c r="B152" s="5" t="s">
        <v>434</v>
      </c>
      <c r="C152" s="45" t="s">
        <v>135</v>
      </c>
      <c r="D152" s="45">
        <v>103329</v>
      </c>
      <c r="E152" s="6" t="s">
        <v>435</v>
      </c>
      <c r="F152" s="45" t="s">
        <v>121</v>
      </c>
      <c r="G152" s="46">
        <f t="shared" si="23"/>
        <v>1000</v>
      </c>
      <c r="H152" s="46">
        <f>TRUNC(S152*(1-LOTE_02!$K$10),2)</f>
        <v>61.23</v>
      </c>
      <c r="I152" s="46">
        <f>TRUNC(T152*(1-LOTE_02!$K$10),2)</f>
        <v>49.94</v>
      </c>
      <c r="J152" s="100">
        <f t="shared" si="17"/>
        <v>0.22470000000000001</v>
      </c>
      <c r="K152" s="48">
        <f t="shared" si="18"/>
        <v>74.98</v>
      </c>
      <c r="L152" s="48">
        <f t="shared" si="19"/>
        <v>61.16</v>
      </c>
      <c r="M152" s="48">
        <f t="shared" si="20"/>
        <v>74980</v>
      </c>
      <c r="N152" s="48">
        <f t="shared" si="21"/>
        <v>61160</v>
      </c>
      <c r="O152" s="50">
        <f t="shared" si="22"/>
        <v>136140</v>
      </c>
      <c r="P152" s="50">
        <v>0</v>
      </c>
      <c r="Q152" s="76"/>
      <c r="R152" s="140">
        <f>IF((20*S9+50*S10)&gt;1000,1000,(20*S9+50*S10))</f>
        <v>1000</v>
      </c>
      <c r="S152" s="79">
        <v>61.230000000000004</v>
      </c>
      <c r="T152" s="80">
        <v>49.94</v>
      </c>
    </row>
    <row r="153" spans="2:20" ht="70">
      <c r="B153" s="5" t="s">
        <v>436</v>
      </c>
      <c r="C153" s="45" t="s">
        <v>135</v>
      </c>
      <c r="D153" s="45">
        <v>103331</v>
      </c>
      <c r="E153" s="6" t="s">
        <v>437</v>
      </c>
      <c r="F153" s="45" t="s">
        <v>121</v>
      </c>
      <c r="G153" s="46">
        <f t="shared" si="23"/>
        <v>1000</v>
      </c>
      <c r="H153" s="46">
        <f>TRUNC(S153*(1-LOTE_02!$K$10),2)</f>
        <v>59.56</v>
      </c>
      <c r="I153" s="46">
        <f>TRUNC(T153*(1-LOTE_02!$K$10),2)</f>
        <v>37.549999999999997</v>
      </c>
      <c r="J153" s="100">
        <f t="shared" si="17"/>
        <v>0.22470000000000001</v>
      </c>
      <c r="K153" s="48">
        <f t="shared" si="18"/>
        <v>72.94</v>
      </c>
      <c r="L153" s="48">
        <f t="shared" si="19"/>
        <v>45.98</v>
      </c>
      <c r="M153" s="48">
        <f t="shared" si="20"/>
        <v>72940</v>
      </c>
      <c r="N153" s="48">
        <f t="shared" si="21"/>
        <v>45980</v>
      </c>
      <c r="O153" s="50">
        <f t="shared" si="22"/>
        <v>118920</v>
      </c>
      <c r="P153" s="50">
        <v>0</v>
      </c>
      <c r="Q153" s="76"/>
      <c r="R153" s="140">
        <f>IF((20*S9+50*S10)&gt;1000,1000,(20*S9+50*S10))</f>
        <v>1000</v>
      </c>
      <c r="S153" s="79">
        <v>59.56</v>
      </c>
      <c r="T153" s="80">
        <v>37.549999999999997</v>
      </c>
    </row>
    <row r="154" spans="2:20" ht="70">
      <c r="B154" s="5" t="s">
        <v>438</v>
      </c>
      <c r="C154" s="45" t="s">
        <v>135</v>
      </c>
      <c r="D154" s="45">
        <v>96358</v>
      </c>
      <c r="E154" s="6" t="s">
        <v>439</v>
      </c>
      <c r="F154" s="45" t="s">
        <v>121</v>
      </c>
      <c r="G154" s="46">
        <f t="shared" si="23"/>
        <v>500</v>
      </c>
      <c r="H154" s="46">
        <f>TRUNC(S154*(1-LOTE_02!$K$10),2)</f>
        <v>91.63</v>
      </c>
      <c r="I154" s="46">
        <f>TRUNC(T154*(1-LOTE_02!$K$10),2)</f>
        <v>11.8</v>
      </c>
      <c r="J154" s="100">
        <f t="shared" si="17"/>
        <v>0.22470000000000001</v>
      </c>
      <c r="K154" s="48">
        <f t="shared" si="18"/>
        <v>112.21</v>
      </c>
      <c r="L154" s="48">
        <f t="shared" si="19"/>
        <v>14.45</v>
      </c>
      <c r="M154" s="48">
        <f t="shared" si="20"/>
        <v>56105</v>
      </c>
      <c r="N154" s="48">
        <f t="shared" si="21"/>
        <v>7225</v>
      </c>
      <c r="O154" s="50">
        <f t="shared" si="22"/>
        <v>63330</v>
      </c>
      <c r="P154" s="50">
        <v>0</v>
      </c>
      <c r="Q154" s="76"/>
      <c r="R154" s="140">
        <f>IF((20*S9+50*S10)&gt;500,500,(20*S9+50*S10))</f>
        <v>500</v>
      </c>
      <c r="S154" s="79">
        <v>91.63000000000001</v>
      </c>
      <c r="T154" s="80">
        <v>11.8</v>
      </c>
    </row>
    <row r="155" spans="2:20" ht="98">
      <c r="B155" s="5" t="s">
        <v>440</v>
      </c>
      <c r="C155" s="45" t="s">
        <v>135</v>
      </c>
      <c r="D155" s="45">
        <v>96359</v>
      </c>
      <c r="E155" s="6" t="s">
        <v>441</v>
      </c>
      <c r="F155" s="45" t="s">
        <v>121</v>
      </c>
      <c r="G155" s="46">
        <f t="shared" si="23"/>
        <v>500</v>
      </c>
      <c r="H155" s="46">
        <f>TRUNC(S155*(1-LOTE_02!$K$10),2)</f>
        <v>103.82</v>
      </c>
      <c r="I155" s="46">
        <f>TRUNC(T155*(1-LOTE_02!$K$10),2)</f>
        <v>13.47</v>
      </c>
      <c r="J155" s="100">
        <f t="shared" si="17"/>
        <v>0.22470000000000001</v>
      </c>
      <c r="K155" s="48">
        <f t="shared" si="18"/>
        <v>127.14</v>
      </c>
      <c r="L155" s="48">
        <f t="shared" si="19"/>
        <v>16.489999999999998</v>
      </c>
      <c r="M155" s="48">
        <f t="shared" si="20"/>
        <v>63570</v>
      </c>
      <c r="N155" s="48">
        <f t="shared" si="21"/>
        <v>8245</v>
      </c>
      <c r="O155" s="50">
        <f t="shared" si="22"/>
        <v>71815</v>
      </c>
      <c r="P155" s="50">
        <v>0</v>
      </c>
      <c r="Q155" s="76"/>
      <c r="R155" s="140">
        <f>IF((20*S9+50*S10)&gt;500,500,(20*S9+50*S10))</f>
        <v>500</v>
      </c>
      <c r="S155" s="79">
        <v>103.82000000000001</v>
      </c>
      <c r="T155" s="80">
        <v>13.47</v>
      </c>
    </row>
    <row r="156" spans="2:20" ht="42">
      <c r="B156" s="5" t="s">
        <v>442</v>
      </c>
      <c r="C156" s="45" t="s">
        <v>97</v>
      </c>
      <c r="D156" s="45" t="s">
        <v>443</v>
      </c>
      <c r="E156" s="6" t="s">
        <v>444</v>
      </c>
      <c r="F156" s="45" t="s">
        <v>121</v>
      </c>
      <c r="G156" s="46">
        <f t="shared" si="23"/>
        <v>200</v>
      </c>
      <c r="H156" s="46">
        <f>TRUNC(S156*(1-LOTE_02!$K$10),2)</f>
        <v>446.82</v>
      </c>
      <c r="I156" s="46">
        <f>TRUNC(T156*(1-LOTE_02!$K$10),2)</f>
        <v>109.65</v>
      </c>
      <c r="J156" s="100">
        <f t="shared" si="17"/>
        <v>0.22470000000000001</v>
      </c>
      <c r="K156" s="48">
        <f t="shared" si="18"/>
        <v>547.22</v>
      </c>
      <c r="L156" s="48">
        <f t="shared" si="19"/>
        <v>134.28</v>
      </c>
      <c r="M156" s="48">
        <f t="shared" si="20"/>
        <v>109444</v>
      </c>
      <c r="N156" s="48">
        <f t="shared" si="21"/>
        <v>26856</v>
      </c>
      <c r="O156" s="50">
        <f t="shared" si="22"/>
        <v>136300</v>
      </c>
      <c r="P156" s="50">
        <v>0</v>
      </c>
      <c r="Q156" s="76"/>
      <c r="R156" s="140">
        <f>IF((20*S9+20*S10)&gt;200,200,(20*S9+20*S10))</f>
        <v>200</v>
      </c>
      <c r="S156" s="79">
        <v>446.82</v>
      </c>
      <c r="T156" s="80">
        <v>109.65</v>
      </c>
    </row>
    <row r="157" spans="2:20" ht="42">
      <c r="B157" s="5" t="s">
        <v>445</v>
      </c>
      <c r="C157" s="45" t="s">
        <v>135</v>
      </c>
      <c r="D157" s="45">
        <v>102180</v>
      </c>
      <c r="E157" s="6" t="s">
        <v>1772</v>
      </c>
      <c r="F157" s="45" t="s">
        <v>121</v>
      </c>
      <c r="G157" s="46">
        <f t="shared" si="23"/>
        <v>100</v>
      </c>
      <c r="H157" s="46">
        <f>TRUNC(S157*(1-LOTE_02!$K$10),2)</f>
        <v>482.66</v>
      </c>
      <c r="I157" s="46">
        <f>TRUNC(T157*(1-LOTE_02!$K$10),2)</f>
        <v>48.25</v>
      </c>
      <c r="J157" s="100">
        <f t="shared" si="17"/>
        <v>0.22470000000000001</v>
      </c>
      <c r="K157" s="48">
        <f t="shared" si="18"/>
        <v>591.11</v>
      </c>
      <c r="L157" s="48">
        <f t="shared" si="19"/>
        <v>59.09</v>
      </c>
      <c r="M157" s="48">
        <f t="shared" si="20"/>
        <v>59111</v>
      </c>
      <c r="N157" s="48">
        <f t="shared" si="21"/>
        <v>5909</v>
      </c>
      <c r="O157" s="50">
        <f t="shared" si="22"/>
        <v>65020</v>
      </c>
      <c r="P157" s="50">
        <v>0</v>
      </c>
      <c r="Q157" s="76"/>
      <c r="R157" s="140">
        <f>IF((20*S9+20*S10)&gt;100,100,(20*S9+20*S10))</f>
        <v>100</v>
      </c>
      <c r="S157" s="79">
        <v>482.65999999999997</v>
      </c>
      <c r="T157" s="80">
        <v>48.25</v>
      </c>
    </row>
    <row r="158" spans="2:20" ht="42">
      <c r="B158" s="5" t="s">
        <v>446</v>
      </c>
      <c r="C158" s="45" t="s">
        <v>135</v>
      </c>
      <c r="D158" s="45">
        <v>102181</v>
      </c>
      <c r="E158" s="6" t="s">
        <v>1773</v>
      </c>
      <c r="F158" s="45" t="s">
        <v>121</v>
      </c>
      <c r="G158" s="46">
        <f t="shared" si="23"/>
        <v>200</v>
      </c>
      <c r="H158" s="46">
        <f>TRUNC(S158*(1-LOTE_02!$K$10),2)</f>
        <v>598.17999999999995</v>
      </c>
      <c r="I158" s="46">
        <f>TRUNC(T158*(1-LOTE_02!$K$10),2)</f>
        <v>45.37</v>
      </c>
      <c r="J158" s="100">
        <f t="shared" si="17"/>
        <v>0.22470000000000001</v>
      </c>
      <c r="K158" s="48">
        <f t="shared" si="18"/>
        <v>732.59</v>
      </c>
      <c r="L158" s="48">
        <f t="shared" si="19"/>
        <v>55.56</v>
      </c>
      <c r="M158" s="48">
        <f t="shared" si="20"/>
        <v>146518</v>
      </c>
      <c r="N158" s="48">
        <f t="shared" si="21"/>
        <v>11112</v>
      </c>
      <c r="O158" s="50">
        <f t="shared" si="22"/>
        <v>157630</v>
      </c>
      <c r="P158" s="50">
        <v>0</v>
      </c>
      <c r="Q158" s="76"/>
      <c r="R158" s="140">
        <f>IF((20*S9+20*S10)&gt;200,200,(20*S9+20*S10))</f>
        <v>200</v>
      </c>
      <c r="S158" s="79">
        <v>598.17999999999995</v>
      </c>
      <c r="T158" s="80">
        <v>45.37</v>
      </c>
    </row>
    <row r="159" spans="2:20" ht="56">
      <c r="B159" s="5" t="s">
        <v>447</v>
      </c>
      <c r="C159" s="45" t="s">
        <v>97</v>
      </c>
      <c r="D159" s="45" t="s">
        <v>448</v>
      </c>
      <c r="E159" s="6" t="s">
        <v>449</v>
      </c>
      <c r="F159" s="45" t="s">
        <v>121</v>
      </c>
      <c r="G159" s="46">
        <f t="shared" si="23"/>
        <v>200</v>
      </c>
      <c r="H159" s="46">
        <f>TRUNC(S159*(1-LOTE_02!$K$10),2)</f>
        <v>143.80000000000001</v>
      </c>
      <c r="I159" s="46">
        <f>TRUNC(T159*(1-LOTE_02!$K$10),2)</f>
        <v>45.37</v>
      </c>
      <c r="J159" s="100">
        <f t="shared" si="17"/>
        <v>0.22470000000000001</v>
      </c>
      <c r="K159" s="48">
        <f t="shared" si="18"/>
        <v>176.11</v>
      </c>
      <c r="L159" s="48">
        <f t="shared" si="19"/>
        <v>55.56</v>
      </c>
      <c r="M159" s="48">
        <f t="shared" si="20"/>
        <v>35222</v>
      </c>
      <c r="N159" s="48">
        <f t="shared" si="21"/>
        <v>11112</v>
      </c>
      <c r="O159" s="50">
        <f t="shared" si="22"/>
        <v>46334</v>
      </c>
      <c r="P159" s="50">
        <v>0</v>
      </c>
      <c r="Q159" s="76"/>
      <c r="R159" s="140">
        <f>IF((20*S9+20*S10)&gt;200,200,(20*S9+20*S10))</f>
        <v>200</v>
      </c>
      <c r="S159" s="79">
        <v>143.80000000000001</v>
      </c>
      <c r="T159" s="80">
        <v>45.37</v>
      </c>
    </row>
    <row r="160" spans="2:20" ht="56">
      <c r="B160" s="5" t="s">
        <v>450</v>
      </c>
      <c r="C160" s="45" t="s">
        <v>135</v>
      </c>
      <c r="D160" s="45">
        <v>102253</v>
      </c>
      <c r="E160" s="6" t="s">
        <v>1774</v>
      </c>
      <c r="F160" s="45" t="s">
        <v>121</v>
      </c>
      <c r="G160" s="46">
        <f>IF($S$11=0,0,TRUNC(R160,2))</f>
        <v>10</v>
      </c>
      <c r="H160" s="46">
        <f>TRUNC(S160*(1-LOTE_02!$K$10),2)</f>
        <v>1072.6300000000001</v>
      </c>
      <c r="I160" s="46">
        <f>TRUNC(T160*(1-LOTE_02!$K$10),2)</f>
        <v>73.83</v>
      </c>
      <c r="J160" s="100">
        <f t="shared" si="17"/>
        <v>0.22470000000000001</v>
      </c>
      <c r="K160" s="48">
        <f t="shared" si="18"/>
        <v>1313.64</v>
      </c>
      <c r="L160" s="48">
        <f t="shared" si="19"/>
        <v>90.41</v>
      </c>
      <c r="M160" s="48">
        <f t="shared" si="20"/>
        <v>13136.4</v>
      </c>
      <c r="N160" s="48">
        <f t="shared" si="21"/>
        <v>904.1</v>
      </c>
      <c r="O160" s="50">
        <f t="shared" si="22"/>
        <v>14040.5</v>
      </c>
      <c r="P160" s="50">
        <v>0</v>
      </c>
      <c r="Q160" s="76"/>
      <c r="R160" s="140">
        <f>IF(S10&gt;=5,10,5)</f>
        <v>10</v>
      </c>
      <c r="S160" s="79">
        <v>1072.6300000000001</v>
      </c>
      <c r="T160" s="80">
        <v>73.83</v>
      </c>
    </row>
    <row r="161" spans="2:20" ht="42">
      <c r="B161" s="5" t="s">
        <v>451</v>
      </c>
      <c r="C161" s="45" t="s">
        <v>165</v>
      </c>
      <c r="D161" s="45" t="s">
        <v>452</v>
      </c>
      <c r="E161" s="6" t="s">
        <v>453</v>
      </c>
      <c r="F161" s="45" t="s">
        <v>168</v>
      </c>
      <c r="G161" s="46">
        <f t="shared" si="23"/>
        <v>500</v>
      </c>
      <c r="H161" s="46">
        <f>TRUNC(S161*(1-LOTE_02!$K$10),2)</f>
        <v>406.96</v>
      </c>
      <c r="I161" s="46">
        <f>TRUNC(T161*(1-LOTE_02!$K$10),2)</f>
        <v>0</v>
      </c>
      <c r="J161" s="100">
        <f t="shared" si="17"/>
        <v>0.22470000000000001</v>
      </c>
      <c r="K161" s="48">
        <f t="shared" si="18"/>
        <v>498.4</v>
      </c>
      <c r="L161" s="48">
        <f t="shared" si="19"/>
        <v>0</v>
      </c>
      <c r="M161" s="48">
        <f t="shared" si="20"/>
        <v>249200</v>
      </c>
      <c r="N161" s="48">
        <f t="shared" si="21"/>
        <v>0</v>
      </c>
      <c r="O161" s="50">
        <f t="shared" si="22"/>
        <v>249200</v>
      </c>
      <c r="P161" s="50">
        <v>0</v>
      </c>
      <c r="Q161" s="76"/>
      <c r="R161" s="140">
        <f>IF((50*S9+50*S10)&gt;500,500,(50*S9+50*S10))</f>
        <v>500</v>
      </c>
      <c r="S161" s="79">
        <v>406.96</v>
      </c>
      <c r="T161" s="80">
        <v>0</v>
      </c>
    </row>
    <row r="162" spans="2:20" ht="56">
      <c r="B162" s="5" t="s">
        <v>454</v>
      </c>
      <c r="C162" s="45" t="s">
        <v>165</v>
      </c>
      <c r="D162" s="45" t="s">
        <v>455</v>
      </c>
      <c r="E162" s="6" t="s">
        <v>456</v>
      </c>
      <c r="F162" s="45" t="s">
        <v>168</v>
      </c>
      <c r="G162" s="46">
        <f t="shared" si="23"/>
        <v>100</v>
      </c>
      <c r="H162" s="46">
        <f>TRUNC(S162*(1-LOTE_02!$K$10),2)</f>
        <v>772.2</v>
      </c>
      <c r="I162" s="46">
        <f>TRUNC(T162*(1-LOTE_02!$K$10),2)</f>
        <v>0</v>
      </c>
      <c r="J162" s="100">
        <f t="shared" si="17"/>
        <v>0.22470000000000001</v>
      </c>
      <c r="K162" s="48">
        <f t="shared" si="18"/>
        <v>945.71</v>
      </c>
      <c r="L162" s="48">
        <f t="shared" si="19"/>
        <v>0</v>
      </c>
      <c r="M162" s="48">
        <f t="shared" si="20"/>
        <v>94571</v>
      </c>
      <c r="N162" s="48">
        <f t="shared" si="21"/>
        <v>0</v>
      </c>
      <c r="O162" s="50">
        <f t="shared" si="22"/>
        <v>94571</v>
      </c>
      <c r="P162" s="50">
        <v>0</v>
      </c>
      <c r="Q162" s="76"/>
      <c r="R162" s="140">
        <f>IF((50*S9+50*S10)&gt;100,100,(50*S9+50*S10))</f>
        <v>100</v>
      </c>
      <c r="S162" s="79">
        <v>772.2</v>
      </c>
      <c r="T162" s="80">
        <v>0</v>
      </c>
    </row>
    <row r="163" spans="2:20" ht="56">
      <c r="B163" s="5" t="s">
        <v>457</v>
      </c>
      <c r="C163" s="45" t="s">
        <v>97</v>
      </c>
      <c r="D163" s="45" t="s">
        <v>458</v>
      </c>
      <c r="E163" s="6" t="s">
        <v>459</v>
      </c>
      <c r="F163" s="45" t="s">
        <v>121</v>
      </c>
      <c r="G163" s="46">
        <f t="shared" si="23"/>
        <v>100</v>
      </c>
      <c r="H163" s="46">
        <f>TRUNC(S163*(1-LOTE_02!$K$10),2)</f>
        <v>95.44</v>
      </c>
      <c r="I163" s="46">
        <f>TRUNC(T163*(1-LOTE_02!$K$10),2)</f>
        <v>27.6</v>
      </c>
      <c r="J163" s="100">
        <f t="shared" si="17"/>
        <v>0.22470000000000001</v>
      </c>
      <c r="K163" s="48">
        <f t="shared" si="18"/>
        <v>116.88</v>
      </c>
      <c r="L163" s="48">
        <f t="shared" si="19"/>
        <v>33.799999999999997</v>
      </c>
      <c r="M163" s="48">
        <f t="shared" si="20"/>
        <v>11688</v>
      </c>
      <c r="N163" s="48">
        <f t="shared" si="21"/>
        <v>3380</v>
      </c>
      <c r="O163" s="50">
        <f t="shared" si="22"/>
        <v>15068</v>
      </c>
      <c r="P163" s="50">
        <v>0</v>
      </c>
      <c r="Q163" s="76"/>
      <c r="R163" s="140">
        <f>IF((50*S9+50*S10)&gt;100,100,(50*S9+50*S10))</f>
        <v>100</v>
      </c>
      <c r="S163" s="79">
        <v>95.44</v>
      </c>
      <c r="T163" s="80">
        <v>27.6</v>
      </c>
    </row>
    <row r="164" spans="2:20" ht="42">
      <c r="B164" s="5" t="s">
        <v>460</v>
      </c>
      <c r="C164" s="45" t="s">
        <v>97</v>
      </c>
      <c r="D164" s="45" t="s">
        <v>461</v>
      </c>
      <c r="E164" s="6" t="s">
        <v>462</v>
      </c>
      <c r="F164" s="45" t="s">
        <v>121</v>
      </c>
      <c r="G164" s="46">
        <f t="shared" si="23"/>
        <v>200</v>
      </c>
      <c r="H164" s="46">
        <f>TRUNC(S164*(1-LOTE_02!$K$10),2)</f>
        <v>84.91</v>
      </c>
      <c r="I164" s="46">
        <f>TRUNC(T164*(1-LOTE_02!$K$10),2)</f>
        <v>27.6</v>
      </c>
      <c r="J164" s="100">
        <f t="shared" si="17"/>
        <v>0.22470000000000001</v>
      </c>
      <c r="K164" s="48">
        <f t="shared" si="18"/>
        <v>103.98</v>
      </c>
      <c r="L164" s="48">
        <f t="shared" si="19"/>
        <v>33.799999999999997</v>
      </c>
      <c r="M164" s="48">
        <f t="shared" si="20"/>
        <v>20796</v>
      </c>
      <c r="N164" s="48">
        <f t="shared" si="21"/>
        <v>6760</v>
      </c>
      <c r="O164" s="50">
        <f t="shared" si="22"/>
        <v>27556</v>
      </c>
      <c r="P164" s="50">
        <v>0</v>
      </c>
      <c r="Q164" s="76"/>
      <c r="R164" s="140">
        <f>IF((50*S9+50*S10)&gt;200,200,(50*S9+50*S10))</f>
        <v>200</v>
      </c>
      <c r="S164" s="79">
        <v>84.91</v>
      </c>
      <c r="T164" s="80">
        <v>27.6</v>
      </c>
    </row>
    <row r="165" spans="2:20" ht="28">
      <c r="B165" s="5" t="s">
        <v>463</v>
      </c>
      <c r="C165" s="45" t="s">
        <v>97</v>
      </c>
      <c r="D165" s="45" t="s">
        <v>464</v>
      </c>
      <c r="E165" s="6" t="s">
        <v>465</v>
      </c>
      <c r="F165" s="45" t="s">
        <v>121</v>
      </c>
      <c r="G165" s="46">
        <f t="shared" si="23"/>
        <v>500</v>
      </c>
      <c r="H165" s="46">
        <f>TRUNC(S165*(1-LOTE_02!$K$10),2)</f>
        <v>10.32</v>
      </c>
      <c r="I165" s="46">
        <f>TRUNC(T165*(1-LOTE_02!$K$10),2)</f>
        <v>18.559999999999999</v>
      </c>
      <c r="J165" s="100">
        <f t="shared" si="17"/>
        <v>0.22470000000000001</v>
      </c>
      <c r="K165" s="48">
        <f t="shared" si="18"/>
        <v>12.63</v>
      </c>
      <c r="L165" s="48">
        <f t="shared" si="19"/>
        <v>22.73</v>
      </c>
      <c r="M165" s="48">
        <f t="shared" si="20"/>
        <v>6315</v>
      </c>
      <c r="N165" s="48">
        <f t="shared" si="21"/>
        <v>11365</v>
      </c>
      <c r="O165" s="50">
        <f t="shared" si="22"/>
        <v>17680</v>
      </c>
      <c r="P165" s="50">
        <v>0</v>
      </c>
      <c r="Q165" s="76"/>
      <c r="R165" s="140">
        <f>IF((50*S9+50*S10)&gt;500,500,(50*S9+50*S10))</f>
        <v>500</v>
      </c>
      <c r="S165" s="79">
        <v>10.32</v>
      </c>
      <c r="T165" s="80">
        <v>18.559999999999999</v>
      </c>
    </row>
    <row r="166" spans="2:20" ht="56">
      <c r="B166" s="5" t="s">
        <v>466</v>
      </c>
      <c r="C166" s="45" t="s">
        <v>97</v>
      </c>
      <c r="D166" s="45" t="s">
        <v>467</v>
      </c>
      <c r="E166" s="6" t="s">
        <v>468</v>
      </c>
      <c r="F166" s="45" t="s">
        <v>121</v>
      </c>
      <c r="G166" s="46">
        <f t="shared" si="23"/>
        <v>1350</v>
      </c>
      <c r="H166" s="46">
        <f>TRUNC(S166*(1-LOTE_02!$K$10),2)</f>
        <v>408.68</v>
      </c>
      <c r="I166" s="46">
        <f>TRUNC(T166*(1-LOTE_02!$K$10),2)</f>
        <v>147.4</v>
      </c>
      <c r="J166" s="100">
        <f t="shared" si="17"/>
        <v>0.22470000000000001</v>
      </c>
      <c r="K166" s="48">
        <f t="shared" si="18"/>
        <v>500.51</v>
      </c>
      <c r="L166" s="48">
        <f t="shared" si="19"/>
        <v>180.52</v>
      </c>
      <c r="M166" s="48">
        <f t="shared" si="20"/>
        <v>675688.5</v>
      </c>
      <c r="N166" s="48">
        <f t="shared" si="21"/>
        <v>243702</v>
      </c>
      <c r="O166" s="50">
        <f t="shared" si="22"/>
        <v>919390.5</v>
      </c>
      <c r="P166" s="50">
        <v>0</v>
      </c>
      <c r="Q166" s="76"/>
      <c r="R166" s="140">
        <f>30*S9+30*S10</f>
        <v>1350</v>
      </c>
      <c r="S166" s="79">
        <v>408.68</v>
      </c>
      <c r="T166" s="80">
        <v>147.4</v>
      </c>
    </row>
    <row r="167" spans="2:20" ht="42">
      <c r="B167" s="5" t="s">
        <v>469</v>
      </c>
      <c r="C167" s="45" t="s">
        <v>135</v>
      </c>
      <c r="D167" s="45">
        <v>102162</v>
      </c>
      <c r="E167" s="6" t="s">
        <v>1775</v>
      </c>
      <c r="F167" s="45" t="s">
        <v>121</v>
      </c>
      <c r="G167" s="46">
        <f t="shared" si="23"/>
        <v>50</v>
      </c>
      <c r="H167" s="46">
        <f>TRUNC(S167*(1-LOTE_02!$K$10),2)</f>
        <v>323.77</v>
      </c>
      <c r="I167" s="46">
        <f>TRUNC(T167*(1-LOTE_02!$K$10),2)</f>
        <v>27.35</v>
      </c>
      <c r="J167" s="100">
        <f t="shared" si="17"/>
        <v>0.22470000000000001</v>
      </c>
      <c r="K167" s="48">
        <f t="shared" si="18"/>
        <v>396.52</v>
      </c>
      <c r="L167" s="48">
        <f t="shared" si="19"/>
        <v>33.49</v>
      </c>
      <c r="M167" s="48">
        <f t="shared" si="20"/>
        <v>19826</v>
      </c>
      <c r="N167" s="48">
        <f t="shared" si="21"/>
        <v>1674.5</v>
      </c>
      <c r="O167" s="50">
        <f t="shared" si="22"/>
        <v>21500.5</v>
      </c>
      <c r="P167" s="50">
        <v>0</v>
      </c>
      <c r="Q167" s="76"/>
      <c r="R167" s="140">
        <f>IF((5*S9+10*S10)&gt;50,50,(5*S9+10*S10))</f>
        <v>50</v>
      </c>
      <c r="S167" s="79">
        <v>323.77</v>
      </c>
      <c r="T167" s="80">
        <v>27.35</v>
      </c>
    </row>
    <row r="168" spans="2:20" ht="42">
      <c r="B168" s="5" t="s">
        <v>470</v>
      </c>
      <c r="C168" s="45" t="s">
        <v>135</v>
      </c>
      <c r="D168" s="45">
        <v>102166</v>
      </c>
      <c r="E168" s="6" t="s">
        <v>1776</v>
      </c>
      <c r="F168" s="45" t="s">
        <v>121</v>
      </c>
      <c r="G168" s="46">
        <f t="shared" si="23"/>
        <v>50</v>
      </c>
      <c r="H168" s="46">
        <f>TRUNC(S168*(1-LOTE_02!$K$10),2)</f>
        <v>357.68</v>
      </c>
      <c r="I168" s="46">
        <f>TRUNC(T168*(1-LOTE_02!$K$10),2)</f>
        <v>16.89</v>
      </c>
      <c r="J168" s="100">
        <f t="shared" si="17"/>
        <v>0.22470000000000001</v>
      </c>
      <c r="K168" s="48">
        <f t="shared" si="18"/>
        <v>438.05</v>
      </c>
      <c r="L168" s="48">
        <f t="shared" si="19"/>
        <v>20.68</v>
      </c>
      <c r="M168" s="48">
        <f t="shared" si="20"/>
        <v>21902.5</v>
      </c>
      <c r="N168" s="48">
        <f t="shared" si="21"/>
        <v>1034</v>
      </c>
      <c r="O168" s="50">
        <f t="shared" si="22"/>
        <v>22936.5</v>
      </c>
      <c r="P168" s="50">
        <v>0</v>
      </c>
      <c r="Q168" s="76"/>
      <c r="R168" s="140">
        <f>IF((5*S9+10*S10)&gt;50,50,(5*S9+10*S10))</f>
        <v>50</v>
      </c>
      <c r="S168" s="79">
        <v>357.68</v>
      </c>
      <c r="T168" s="80">
        <v>16.89</v>
      </c>
    </row>
    <row r="169" spans="2:20" ht="42">
      <c r="B169" s="5" t="s">
        <v>471</v>
      </c>
      <c r="C169" s="45" t="s">
        <v>135</v>
      </c>
      <c r="D169" s="45">
        <v>102172</v>
      </c>
      <c r="E169" s="6" t="s">
        <v>1777</v>
      </c>
      <c r="F169" s="45" t="s">
        <v>121</v>
      </c>
      <c r="G169" s="46">
        <f t="shared" si="23"/>
        <v>50</v>
      </c>
      <c r="H169" s="46">
        <f>TRUNC(S169*(1-LOTE_02!$K$10),2)</f>
        <v>585.09</v>
      </c>
      <c r="I169" s="46">
        <f>TRUNC(T169*(1-LOTE_02!$K$10),2)</f>
        <v>16.97</v>
      </c>
      <c r="J169" s="100">
        <f t="shared" si="17"/>
        <v>0.22470000000000001</v>
      </c>
      <c r="K169" s="48">
        <f t="shared" si="18"/>
        <v>716.55</v>
      </c>
      <c r="L169" s="48">
        <f t="shared" si="19"/>
        <v>20.78</v>
      </c>
      <c r="M169" s="48">
        <f t="shared" si="20"/>
        <v>35827.5</v>
      </c>
      <c r="N169" s="48">
        <f t="shared" si="21"/>
        <v>1039</v>
      </c>
      <c r="O169" s="50">
        <f t="shared" si="22"/>
        <v>36866.5</v>
      </c>
      <c r="P169" s="50">
        <v>0</v>
      </c>
      <c r="Q169" s="76"/>
      <c r="R169" s="140">
        <f>IF((5*S9+10*S10)&gt;50,50,(5*S9+10*S10))</f>
        <v>50</v>
      </c>
      <c r="S169" s="79">
        <v>585.08999999999992</v>
      </c>
      <c r="T169" s="80">
        <v>16.97</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1055349.5</v>
      </c>
      <c r="Q170" s="76"/>
      <c r="R170" s="154"/>
      <c r="S170" s="79" t="s">
        <v>22</v>
      </c>
      <c r="T170" s="80" t="s">
        <v>22</v>
      </c>
    </row>
    <row r="171" spans="2:20" ht="84">
      <c r="B171" s="5" t="s">
        <v>472</v>
      </c>
      <c r="C171" s="45" t="s">
        <v>135</v>
      </c>
      <c r="D171" s="45">
        <v>87893</v>
      </c>
      <c r="E171" s="6" t="s">
        <v>473</v>
      </c>
      <c r="F171" s="45" t="s">
        <v>121</v>
      </c>
      <c r="G171" s="46">
        <f t="shared" si="23"/>
        <v>4000</v>
      </c>
      <c r="H171" s="46">
        <f>TRUNC(S171*(1-LOTE_02!$K$10),2)</f>
        <v>4.58</v>
      </c>
      <c r="I171" s="46">
        <f>TRUNC(T171*(1-LOTE_02!$K$10),2)</f>
        <v>4.45</v>
      </c>
      <c r="J171" s="100">
        <f t="shared" si="17"/>
        <v>0.22470000000000001</v>
      </c>
      <c r="K171" s="48">
        <f t="shared" si="18"/>
        <v>5.6</v>
      </c>
      <c r="L171" s="48">
        <f t="shared" si="19"/>
        <v>5.44</v>
      </c>
      <c r="M171" s="48">
        <f t="shared" si="20"/>
        <v>22400</v>
      </c>
      <c r="N171" s="48">
        <f t="shared" si="21"/>
        <v>21760</v>
      </c>
      <c r="O171" s="50">
        <f t="shared" si="22"/>
        <v>44160</v>
      </c>
      <c r="P171" s="50">
        <v>0</v>
      </c>
      <c r="Q171" s="76"/>
      <c r="R171" s="140">
        <f>(R152+R153)*2</f>
        <v>4000</v>
      </c>
      <c r="S171" s="79">
        <v>4.5799999999999992</v>
      </c>
      <c r="T171" s="80">
        <v>4.45</v>
      </c>
    </row>
    <row r="172" spans="2:20" ht="84">
      <c r="B172" s="5" t="s">
        <v>474</v>
      </c>
      <c r="C172" s="45" t="s">
        <v>135</v>
      </c>
      <c r="D172" s="45">
        <v>87530</v>
      </c>
      <c r="E172" s="6" t="s">
        <v>475</v>
      </c>
      <c r="F172" s="45" t="s">
        <v>121</v>
      </c>
      <c r="G172" s="46">
        <f t="shared" si="23"/>
        <v>4000</v>
      </c>
      <c r="H172" s="46">
        <f>TRUNC(S172*(1-LOTE_02!$K$10),2)</f>
        <v>32.49</v>
      </c>
      <c r="I172" s="46">
        <f>TRUNC(T172*(1-LOTE_02!$K$10),2)</f>
        <v>19.39</v>
      </c>
      <c r="J172" s="100">
        <f t="shared" si="17"/>
        <v>0.22470000000000001</v>
      </c>
      <c r="K172" s="48">
        <f t="shared" si="18"/>
        <v>39.79</v>
      </c>
      <c r="L172" s="48">
        <f t="shared" si="19"/>
        <v>23.74</v>
      </c>
      <c r="M172" s="48">
        <f t="shared" si="20"/>
        <v>159160</v>
      </c>
      <c r="N172" s="48">
        <f t="shared" si="21"/>
        <v>94960</v>
      </c>
      <c r="O172" s="50">
        <f t="shared" si="22"/>
        <v>254120</v>
      </c>
      <c r="P172" s="50">
        <v>0</v>
      </c>
      <c r="Q172" s="76"/>
      <c r="R172" s="140">
        <f>(R152+R153)*2</f>
        <v>4000</v>
      </c>
      <c r="S172" s="79">
        <v>32.49</v>
      </c>
      <c r="T172" s="80">
        <v>19.39</v>
      </c>
    </row>
    <row r="173" spans="2:20" ht="84">
      <c r="B173" s="5" t="s">
        <v>476</v>
      </c>
      <c r="C173" s="45" t="s">
        <v>135</v>
      </c>
      <c r="D173" s="45">
        <v>87528</v>
      </c>
      <c r="E173" s="6" t="s">
        <v>477</v>
      </c>
      <c r="F173" s="45" t="s">
        <v>121</v>
      </c>
      <c r="G173" s="46">
        <f t="shared" si="23"/>
        <v>200</v>
      </c>
      <c r="H173" s="46">
        <f>TRUNC(S173*(1-LOTE_02!$K$10),2)</f>
        <v>33.75</v>
      </c>
      <c r="I173" s="46">
        <f>TRUNC(T173*(1-LOTE_02!$K$10),2)</f>
        <v>21.78</v>
      </c>
      <c r="J173" s="100">
        <f t="shared" si="17"/>
        <v>0.22470000000000001</v>
      </c>
      <c r="K173" s="48">
        <f t="shared" si="18"/>
        <v>41.33</v>
      </c>
      <c r="L173" s="48">
        <f t="shared" si="19"/>
        <v>26.67</v>
      </c>
      <c r="M173" s="48">
        <f t="shared" si="20"/>
        <v>8266</v>
      </c>
      <c r="N173" s="48">
        <f t="shared" si="21"/>
        <v>5334</v>
      </c>
      <c r="O173" s="50">
        <f t="shared" si="22"/>
        <v>13600</v>
      </c>
      <c r="P173" s="50">
        <v>0</v>
      </c>
      <c r="Q173" s="76"/>
      <c r="R173" s="140">
        <f>R175</f>
        <v>200</v>
      </c>
      <c r="S173" s="79">
        <v>33.75</v>
      </c>
      <c r="T173" s="80">
        <v>21.78</v>
      </c>
    </row>
    <row r="174" spans="2:20" ht="56">
      <c r="B174" s="5" t="s">
        <v>478</v>
      </c>
      <c r="C174" s="45" t="s">
        <v>135</v>
      </c>
      <c r="D174" s="45">
        <v>87244</v>
      </c>
      <c r="E174" s="6" t="s">
        <v>479</v>
      </c>
      <c r="F174" s="45" t="s">
        <v>121</v>
      </c>
      <c r="G174" s="46">
        <f t="shared" si="23"/>
        <v>200</v>
      </c>
      <c r="H174" s="46">
        <f>TRUNC(S174*(1-LOTE_02!$K$10),2)</f>
        <v>307.18</v>
      </c>
      <c r="I174" s="46">
        <f>TRUNC(T174*(1-LOTE_02!$K$10),2)</f>
        <v>34.47</v>
      </c>
      <c r="J174" s="100">
        <f t="shared" si="17"/>
        <v>0.22470000000000001</v>
      </c>
      <c r="K174" s="48">
        <f t="shared" si="18"/>
        <v>376.2</v>
      </c>
      <c r="L174" s="48">
        <f t="shared" si="19"/>
        <v>42.21</v>
      </c>
      <c r="M174" s="48">
        <f t="shared" si="20"/>
        <v>75240</v>
      </c>
      <c r="N174" s="48">
        <f t="shared" si="21"/>
        <v>8442</v>
      </c>
      <c r="O174" s="50">
        <f t="shared" si="22"/>
        <v>83682</v>
      </c>
      <c r="P174" s="50">
        <v>0</v>
      </c>
      <c r="Q174" s="76"/>
      <c r="R174" s="140">
        <f>IF((50*S10)&gt;200,200,(10*S9+50*S10))</f>
        <v>200</v>
      </c>
      <c r="S174" s="79">
        <v>307.17999999999995</v>
      </c>
      <c r="T174" s="80">
        <v>34.47</v>
      </c>
    </row>
    <row r="175" spans="2:20" ht="70">
      <c r="B175" s="5" t="s">
        <v>480</v>
      </c>
      <c r="C175" s="45" t="s">
        <v>135</v>
      </c>
      <c r="D175" s="45">
        <v>87265</v>
      </c>
      <c r="E175" s="6" t="s">
        <v>481</v>
      </c>
      <c r="F175" s="45" t="s">
        <v>121</v>
      </c>
      <c r="G175" s="46">
        <f t="shared" si="23"/>
        <v>200</v>
      </c>
      <c r="H175" s="46">
        <f>TRUNC(S175*(1-LOTE_02!$K$10),2)</f>
        <v>55.34</v>
      </c>
      <c r="I175" s="46">
        <f>TRUNC(T175*(1-LOTE_02!$K$10),2)</f>
        <v>16</v>
      </c>
      <c r="J175" s="100">
        <f t="shared" si="17"/>
        <v>0.22470000000000001</v>
      </c>
      <c r="K175" s="48">
        <f t="shared" si="18"/>
        <v>67.77</v>
      </c>
      <c r="L175" s="48">
        <f t="shared" si="19"/>
        <v>19.59</v>
      </c>
      <c r="M175" s="48">
        <f t="shared" si="20"/>
        <v>13554</v>
      </c>
      <c r="N175" s="48">
        <f t="shared" si="21"/>
        <v>3918</v>
      </c>
      <c r="O175" s="50">
        <f t="shared" si="22"/>
        <v>17472</v>
      </c>
      <c r="P175" s="50">
        <v>0</v>
      </c>
      <c r="Q175" s="76"/>
      <c r="R175" s="140">
        <f>IF((50*S10)&gt;200,200,(10*S9+50*S10))</f>
        <v>200</v>
      </c>
      <c r="S175" s="79">
        <v>55.34</v>
      </c>
      <c r="T175" s="80">
        <v>16</v>
      </c>
    </row>
    <row r="176" spans="2:20" ht="70">
      <c r="B176" s="5" t="s">
        <v>482</v>
      </c>
      <c r="C176" s="45" t="s">
        <v>135</v>
      </c>
      <c r="D176" s="45">
        <v>87251</v>
      </c>
      <c r="E176" s="6" t="s">
        <v>483</v>
      </c>
      <c r="F176" s="45" t="s">
        <v>121</v>
      </c>
      <c r="G176" s="46">
        <f t="shared" si="23"/>
        <v>100</v>
      </c>
      <c r="H176" s="46">
        <f>TRUNC(S176*(1-LOTE_02!$K$10),2)</f>
        <v>56.75</v>
      </c>
      <c r="I176" s="46">
        <f>TRUNC(T176*(1-LOTE_02!$K$10),2)</f>
        <v>7.62</v>
      </c>
      <c r="J176" s="100">
        <f t="shared" si="17"/>
        <v>0.22470000000000001</v>
      </c>
      <c r="K176" s="48">
        <f t="shared" si="18"/>
        <v>69.5</v>
      </c>
      <c r="L176" s="48">
        <f t="shared" si="19"/>
        <v>9.33</v>
      </c>
      <c r="M176" s="48">
        <f t="shared" si="20"/>
        <v>6950</v>
      </c>
      <c r="N176" s="48">
        <f t="shared" si="21"/>
        <v>933</v>
      </c>
      <c r="O176" s="50">
        <f t="shared" si="22"/>
        <v>7883</v>
      </c>
      <c r="P176" s="50">
        <v>0</v>
      </c>
      <c r="Q176" s="76"/>
      <c r="R176" s="140">
        <f>IF((30*S10)&gt;100,100,(10*S9+30*S10))</f>
        <v>100</v>
      </c>
      <c r="S176" s="79">
        <v>56.750000000000007</v>
      </c>
      <c r="T176" s="80">
        <v>7.62</v>
      </c>
    </row>
    <row r="177" spans="2:20" ht="42">
      <c r="B177" s="5" t="s">
        <v>1752</v>
      </c>
      <c r="C177" s="45" t="s">
        <v>165</v>
      </c>
      <c r="D177" s="45" t="s">
        <v>1753</v>
      </c>
      <c r="E177" s="6" t="s">
        <v>1754</v>
      </c>
      <c r="F177" s="45" t="s">
        <v>168</v>
      </c>
      <c r="G177" s="46">
        <f t="shared" si="23"/>
        <v>2250</v>
      </c>
      <c r="H177" s="46">
        <f>TRUNC(S177*(1-LOTE_02!$K$10),2)</f>
        <v>128.02000000000001</v>
      </c>
      <c r="I177" s="46">
        <f>TRUNC(T177*(1-LOTE_02!$K$10),2)</f>
        <v>5.74</v>
      </c>
      <c r="J177" s="100">
        <f t="shared" si="17"/>
        <v>0.22470000000000001</v>
      </c>
      <c r="K177" s="48">
        <f t="shared" si="18"/>
        <v>156.78</v>
      </c>
      <c r="L177" s="48">
        <f t="shared" si="19"/>
        <v>7.02</v>
      </c>
      <c r="M177" s="48">
        <f t="shared" si="20"/>
        <v>352755</v>
      </c>
      <c r="N177" s="48">
        <f t="shared" si="21"/>
        <v>15795</v>
      </c>
      <c r="O177" s="50">
        <f t="shared" si="22"/>
        <v>368550</v>
      </c>
      <c r="P177" s="50"/>
      <c r="Q177" s="76"/>
      <c r="R177" s="148">
        <f>50*(S9+S10)</f>
        <v>2250</v>
      </c>
      <c r="S177" s="46">
        <v>128.02000000000001</v>
      </c>
      <c r="T177" s="47">
        <v>5.74</v>
      </c>
    </row>
    <row r="178" spans="2:20" ht="42">
      <c r="B178" s="5" t="s">
        <v>1755</v>
      </c>
      <c r="C178" s="45" t="s">
        <v>97</v>
      </c>
      <c r="D178" s="45" t="s">
        <v>1756</v>
      </c>
      <c r="E178" s="6" t="s">
        <v>1757</v>
      </c>
      <c r="F178" s="45" t="s">
        <v>121</v>
      </c>
      <c r="G178" s="46">
        <f t="shared" si="23"/>
        <v>2250</v>
      </c>
      <c r="H178" s="46">
        <f>TRUNC(S178*(1-LOTE_02!$K$10),2)</f>
        <v>69.540000000000006</v>
      </c>
      <c r="I178" s="46">
        <f>TRUNC(T178*(1-LOTE_02!$K$10),2)</f>
        <v>26.96</v>
      </c>
      <c r="J178" s="100">
        <f t="shared" si="17"/>
        <v>0.22470000000000001</v>
      </c>
      <c r="K178" s="48">
        <f t="shared" si="18"/>
        <v>85.16</v>
      </c>
      <c r="L178" s="48">
        <f t="shared" si="19"/>
        <v>33.01</v>
      </c>
      <c r="M178" s="48">
        <f t="shared" si="20"/>
        <v>191610</v>
      </c>
      <c r="N178" s="48">
        <f t="shared" si="21"/>
        <v>74272.5</v>
      </c>
      <c r="O178" s="50">
        <f t="shared" si="22"/>
        <v>265882.5</v>
      </c>
      <c r="P178" s="50"/>
      <c r="Q178" s="76"/>
      <c r="R178" s="140">
        <f>50*(S9+S10)</f>
        <v>2250</v>
      </c>
      <c r="S178" s="46">
        <v>69.540000000000006</v>
      </c>
      <c r="T178" s="47">
        <v>26.96</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1876542</v>
      </c>
      <c r="Q179" s="76"/>
      <c r="R179" s="154"/>
      <c r="S179" s="79" t="s">
        <v>22</v>
      </c>
      <c r="T179" s="80" t="s">
        <v>22</v>
      </c>
    </row>
    <row r="180" spans="2:20" ht="70">
      <c r="B180" s="5" t="s">
        <v>484</v>
      </c>
      <c r="C180" s="45" t="s">
        <v>97</v>
      </c>
      <c r="D180" s="45" t="s">
        <v>485</v>
      </c>
      <c r="E180" s="6" t="s">
        <v>486</v>
      </c>
      <c r="F180" s="45" t="s">
        <v>121</v>
      </c>
      <c r="G180" s="46">
        <f t="shared" si="23"/>
        <v>2250</v>
      </c>
      <c r="H180" s="46">
        <f>TRUNC(S180*(1-LOTE_02!$K$10),2)</f>
        <v>17.41</v>
      </c>
      <c r="I180" s="46">
        <f>TRUNC(T180*(1-LOTE_02!$K$10),2)</f>
        <v>13.23</v>
      </c>
      <c r="J180" s="100">
        <f t="shared" si="17"/>
        <v>0.22470000000000001</v>
      </c>
      <c r="K180" s="48">
        <f t="shared" si="18"/>
        <v>21.32</v>
      </c>
      <c r="L180" s="48">
        <f t="shared" si="19"/>
        <v>16.2</v>
      </c>
      <c r="M180" s="48">
        <f t="shared" si="20"/>
        <v>47970</v>
      </c>
      <c r="N180" s="48">
        <f t="shared" si="21"/>
        <v>36450</v>
      </c>
      <c r="O180" s="50">
        <f t="shared" si="22"/>
        <v>84420</v>
      </c>
      <c r="P180" s="50">
        <v>0</v>
      </c>
      <c r="Q180" s="76"/>
      <c r="R180" s="140">
        <f>50*S9+50*S10</f>
        <v>2250</v>
      </c>
      <c r="S180" s="79">
        <v>17.41</v>
      </c>
      <c r="T180" s="80">
        <v>13.23</v>
      </c>
    </row>
    <row r="181" spans="2:20" ht="42">
      <c r="B181" s="5" t="s">
        <v>487</v>
      </c>
      <c r="C181" s="45" t="s">
        <v>165</v>
      </c>
      <c r="D181" s="45" t="s">
        <v>488</v>
      </c>
      <c r="E181" s="6" t="s">
        <v>489</v>
      </c>
      <c r="F181" s="45" t="s">
        <v>168</v>
      </c>
      <c r="G181" s="46">
        <f t="shared" si="23"/>
        <v>10400</v>
      </c>
      <c r="H181" s="46">
        <f>TRUNC(S181*(1-LOTE_02!$K$10),2)</f>
        <v>134.74</v>
      </c>
      <c r="I181" s="46">
        <f>TRUNC(T181*(1-LOTE_02!$K$10),2)</f>
        <v>0</v>
      </c>
      <c r="J181" s="100">
        <f t="shared" si="17"/>
        <v>0.22470000000000001</v>
      </c>
      <c r="K181" s="48">
        <f t="shared" si="18"/>
        <v>165.01</v>
      </c>
      <c r="L181" s="48">
        <f t="shared" si="19"/>
        <v>0</v>
      </c>
      <c r="M181" s="48">
        <f t="shared" si="20"/>
        <v>1716104</v>
      </c>
      <c r="N181" s="48">
        <f t="shared" si="21"/>
        <v>0</v>
      </c>
      <c r="O181" s="50">
        <f t="shared" si="22"/>
        <v>1716104</v>
      </c>
      <c r="P181" s="50">
        <v>0</v>
      </c>
      <c r="Q181" s="76"/>
      <c r="R181" s="140">
        <f>20*S9+400*S10</f>
        <v>10400</v>
      </c>
      <c r="S181" s="79">
        <v>134.74</v>
      </c>
      <c r="T181" s="80">
        <v>0</v>
      </c>
    </row>
    <row r="182" spans="2:20" ht="28">
      <c r="B182" s="5" t="s">
        <v>490</v>
      </c>
      <c r="C182" s="45" t="s">
        <v>135</v>
      </c>
      <c r="D182" s="45">
        <v>96113</v>
      </c>
      <c r="E182" s="6" t="s">
        <v>491</v>
      </c>
      <c r="F182" s="45" t="s">
        <v>121</v>
      </c>
      <c r="G182" s="46">
        <f t="shared" si="23"/>
        <v>100</v>
      </c>
      <c r="H182" s="46">
        <f>TRUNC(S182*(1-LOTE_02!$K$10),2)</f>
        <v>29.39</v>
      </c>
      <c r="I182" s="46">
        <f>TRUNC(T182*(1-LOTE_02!$K$10),2)</f>
        <v>24.09</v>
      </c>
      <c r="J182" s="100">
        <f t="shared" si="17"/>
        <v>0.22470000000000001</v>
      </c>
      <c r="K182" s="48">
        <f t="shared" si="18"/>
        <v>35.99</v>
      </c>
      <c r="L182" s="48">
        <f t="shared" si="19"/>
        <v>29.5</v>
      </c>
      <c r="M182" s="48">
        <f t="shared" si="20"/>
        <v>3599</v>
      </c>
      <c r="N182" s="48">
        <f t="shared" si="21"/>
        <v>2950</v>
      </c>
      <c r="O182" s="50">
        <f t="shared" si="22"/>
        <v>6549</v>
      </c>
      <c r="P182" s="50">
        <v>0</v>
      </c>
      <c r="Q182" s="76"/>
      <c r="R182" s="140">
        <f>IF((10*S10)&gt;100,100,(10*S9+10*S10))</f>
        <v>100</v>
      </c>
      <c r="S182" s="79">
        <v>29.389999999999997</v>
      </c>
      <c r="T182" s="80">
        <v>24.09</v>
      </c>
    </row>
    <row r="183" spans="2:20" ht="42">
      <c r="B183" s="5" t="s">
        <v>492</v>
      </c>
      <c r="C183" s="45" t="s">
        <v>135</v>
      </c>
      <c r="D183" s="45">
        <v>99054</v>
      </c>
      <c r="E183" s="6" t="s">
        <v>493</v>
      </c>
      <c r="F183" s="45" t="s">
        <v>121</v>
      </c>
      <c r="G183" s="46">
        <f t="shared" si="23"/>
        <v>100</v>
      </c>
      <c r="H183" s="46">
        <f>TRUNC(S183*(1-LOTE_02!$K$10),2)</f>
        <v>34.630000000000003</v>
      </c>
      <c r="I183" s="46">
        <f>TRUNC(T183*(1-LOTE_02!$K$10),2)</f>
        <v>33.75</v>
      </c>
      <c r="J183" s="100">
        <f t="shared" si="17"/>
        <v>0.22470000000000001</v>
      </c>
      <c r="K183" s="48">
        <f t="shared" si="18"/>
        <v>42.41</v>
      </c>
      <c r="L183" s="48">
        <f t="shared" si="19"/>
        <v>41.33</v>
      </c>
      <c r="M183" s="48">
        <f t="shared" si="20"/>
        <v>4241</v>
      </c>
      <c r="N183" s="48">
        <f t="shared" si="21"/>
        <v>4133</v>
      </c>
      <c r="O183" s="50">
        <f t="shared" si="22"/>
        <v>8374</v>
      </c>
      <c r="P183" s="50">
        <v>0</v>
      </c>
      <c r="Q183" s="76"/>
      <c r="R183" s="140">
        <f>IF((20*S10+20*S9)&gt;100,100,(20*S10+20*S9))</f>
        <v>100</v>
      </c>
      <c r="S183" s="79">
        <v>34.629999999999995</v>
      </c>
      <c r="T183" s="80">
        <v>33.75</v>
      </c>
    </row>
    <row r="184" spans="2:20" ht="28">
      <c r="B184" s="5" t="s">
        <v>494</v>
      </c>
      <c r="C184" s="45" t="s">
        <v>135</v>
      </c>
      <c r="D184" s="45">
        <v>96120</v>
      </c>
      <c r="E184" s="6" t="s">
        <v>495</v>
      </c>
      <c r="F184" s="45" t="s">
        <v>187</v>
      </c>
      <c r="G184" s="46">
        <f t="shared" si="23"/>
        <v>500</v>
      </c>
      <c r="H184" s="46">
        <f>TRUNC(S184*(1-LOTE_02!$K$10),2)</f>
        <v>2.04</v>
      </c>
      <c r="I184" s="46">
        <f>TRUNC(T184*(1-LOTE_02!$K$10),2)</f>
        <v>1.36</v>
      </c>
      <c r="J184" s="100">
        <f t="shared" si="17"/>
        <v>0.22470000000000001</v>
      </c>
      <c r="K184" s="48">
        <f t="shared" si="18"/>
        <v>2.4900000000000002</v>
      </c>
      <c r="L184" s="48">
        <f t="shared" si="19"/>
        <v>1.66</v>
      </c>
      <c r="M184" s="48">
        <f t="shared" si="20"/>
        <v>1245</v>
      </c>
      <c r="N184" s="48">
        <f t="shared" si="21"/>
        <v>830</v>
      </c>
      <c r="O184" s="50">
        <f t="shared" si="22"/>
        <v>2075</v>
      </c>
      <c r="P184" s="50">
        <v>0</v>
      </c>
      <c r="Q184" s="76"/>
      <c r="R184" s="140">
        <f>IF((20*S10+20*S9)&gt;500,500,(20*S10+20*S9))</f>
        <v>500</v>
      </c>
      <c r="S184" s="79">
        <v>2.04</v>
      </c>
      <c r="T184" s="80">
        <v>1.36</v>
      </c>
    </row>
    <row r="185" spans="2:20" ht="56">
      <c r="B185" s="5" t="s">
        <v>496</v>
      </c>
      <c r="C185" s="45" t="s">
        <v>135</v>
      </c>
      <c r="D185" s="45">
        <v>96486</v>
      </c>
      <c r="E185" s="6" t="s">
        <v>497</v>
      </c>
      <c r="F185" s="45" t="s">
        <v>121</v>
      </c>
      <c r="G185" s="46">
        <f t="shared" si="23"/>
        <v>100</v>
      </c>
      <c r="H185" s="46">
        <f>TRUNC(S185*(1-LOTE_02!$K$10),2)</f>
        <v>73.11</v>
      </c>
      <c r="I185" s="46">
        <f>TRUNC(T185*(1-LOTE_02!$K$10),2)</f>
        <v>10.81</v>
      </c>
      <c r="J185" s="100">
        <f t="shared" si="17"/>
        <v>0.22470000000000001</v>
      </c>
      <c r="K185" s="48">
        <f t="shared" si="18"/>
        <v>89.53</v>
      </c>
      <c r="L185" s="48">
        <f t="shared" si="19"/>
        <v>13.23</v>
      </c>
      <c r="M185" s="48">
        <f t="shared" si="20"/>
        <v>8953</v>
      </c>
      <c r="N185" s="48">
        <f t="shared" si="21"/>
        <v>1323</v>
      </c>
      <c r="O185" s="50">
        <f t="shared" si="22"/>
        <v>10276</v>
      </c>
      <c r="P185" s="50">
        <v>0</v>
      </c>
      <c r="Q185" s="76"/>
      <c r="R185" s="140">
        <f>IF((20*S10+20*S9)&gt;100,100,(20*S10+20*S9))</f>
        <v>100</v>
      </c>
      <c r="S185" s="79">
        <v>73.11</v>
      </c>
      <c r="T185" s="80">
        <v>10.81</v>
      </c>
    </row>
    <row r="186" spans="2:20" ht="42">
      <c r="B186" s="5" t="s">
        <v>498</v>
      </c>
      <c r="C186" s="45" t="s">
        <v>135</v>
      </c>
      <c r="D186" s="45">
        <v>96114</v>
      </c>
      <c r="E186" s="6" t="s">
        <v>499</v>
      </c>
      <c r="F186" s="45" t="s">
        <v>121</v>
      </c>
      <c r="G186" s="46">
        <f t="shared" si="23"/>
        <v>100</v>
      </c>
      <c r="H186" s="46">
        <f>TRUNC(S186*(1-LOTE_02!$K$10),2)</f>
        <v>70.61</v>
      </c>
      <c r="I186" s="46">
        <f>TRUNC(T186*(1-LOTE_02!$K$10),2)</f>
        <v>16.04</v>
      </c>
      <c r="J186" s="100">
        <f t="shared" si="17"/>
        <v>0.22470000000000001</v>
      </c>
      <c r="K186" s="48">
        <f t="shared" si="18"/>
        <v>86.47</v>
      </c>
      <c r="L186" s="48">
        <f t="shared" si="19"/>
        <v>19.64</v>
      </c>
      <c r="M186" s="48">
        <f t="shared" si="20"/>
        <v>8647</v>
      </c>
      <c r="N186" s="48">
        <f t="shared" si="21"/>
        <v>1964</v>
      </c>
      <c r="O186" s="50">
        <f t="shared" si="22"/>
        <v>10611</v>
      </c>
      <c r="P186" s="50">
        <v>0</v>
      </c>
      <c r="Q186" s="76"/>
      <c r="R186" s="140">
        <f>IF((10*S10)&gt;100,100,(10*S9+10*S10))</f>
        <v>100</v>
      </c>
      <c r="S186" s="79">
        <v>70.610000000000014</v>
      </c>
      <c r="T186" s="80">
        <v>16.04</v>
      </c>
    </row>
    <row r="187" spans="2:20" ht="42">
      <c r="B187" s="5" t="s">
        <v>500</v>
      </c>
      <c r="C187" s="45" t="s">
        <v>135</v>
      </c>
      <c r="D187" s="45">
        <v>96123</v>
      </c>
      <c r="E187" s="6" t="s">
        <v>501</v>
      </c>
      <c r="F187" s="45" t="s">
        <v>187</v>
      </c>
      <c r="G187" s="46">
        <f t="shared" si="23"/>
        <v>900</v>
      </c>
      <c r="H187" s="46">
        <f>TRUNC(S187*(1-LOTE_02!$K$10),2)</f>
        <v>27.23</v>
      </c>
      <c r="I187" s="46">
        <f>TRUNC(T187*(1-LOTE_02!$K$10),2)</f>
        <v>7.38</v>
      </c>
      <c r="J187" s="100">
        <f t="shared" si="17"/>
        <v>0.22470000000000001</v>
      </c>
      <c r="K187" s="48">
        <f t="shared" si="18"/>
        <v>33.340000000000003</v>
      </c>
      <c r="L187" s="48">
        <f t="shared" si="19"/>
        <v>9.0299999999999994</v>
      </c>
      <c r="M187" s="48">
        <f t="shared" si="20"/>
        <v>30006</v>
      </c>
      <c r="N187" s="48">
        <f t="shared" si="21"/>
        <v>8127</v>
      </c>
      <c r="O187" s="50">
        <f t="shared" si="22"/>
        <v>38133</v>
      </c>
      <c r="P187" s="50">
        <v>0</v>
      </c>
      <c r="Q187" s="76"/>
      <c r="R187" s="140">
        <f>20*S10+20*S9</f>
        <v>900</v>
      </c>
      <c r="S187" s="79">
        <v>27.23</v>
      </c>
      <c r="T187" s="80">
        <v>7.38</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7026817.5</v>
      </c>
      <c r="Q188" s="76"/>
      <c r="R188" s="154"/>
      <c r="S188" s="79" t="s">
        <v>22</v>
      </c>
      <c r="T188" s="80" t="s">
        <v>22</v>
      </c>
    </row>
    <row r="189" spans="2:20" ht="84">
      <c r="B189" s="5" t="s">
        <v>502</v>
      </c>
      <c r="C189" s="45" t="s">
        <v>135</v>
      </c>
      <c r="D189" s="45">
        <v>87632</v>
      </c>
      <c r="E189" s="6" t="s">
        <v>503</v>
      </c>
      <c r="F189" s="45" t="s">
        <v>121</v>
      </c>
      <c r="G189" s="46">
        <f t="shared" si="23"/>
        <v>18000</v>
      </c>
      <c r="H189" s="46">
        <f>TRUNC(S189*(1-LOTE_02!$K$10),2)</f>
        <v>42.7</v>
      </c>
      <c r="I189" s="46">
        <f>TRUNC(T189*(1-LOTE_02!$K$10),2)</f>
        <v>14.68</v>
      </c>
      <c r="J189" s="100">
        <f t="shared" si="17"/>
        <v>0.22470000000000001</v>
      </c>
      <c r="K189" s="48">
        <f t="shared" si="18"/>
        <v>52.29</v>
      </c>
      <c r="L189" s="48">
        <f t="shared" si="19"/>
        <v>17.97</v>
      </c>
      <c r="M189" s="48">
        <f t="shared" si="20"/>
        <v>941220</v>
      </c>
      <c r="N189" s="48">
        <f t="shared" si="21"/>
        <v>323460</v>
      </c>
      <c r="O189" s="50">
        <f t="shared" si="22"/>
        <v>1264680</v>
      </c>
      <c r="P189" s="50">
        <v>0</v>
      </c>
      <c r="Q189" s="76"/>
      <c r="R189" s="140">
        <f>400*S10+400*S9</f>
        <v>18000</v>
      </c>
      <c r="S189" s="79">
        <v>42.7</v>
      </c>
      <c r="T189" s="80">
        <v>14.68</v>
      </c>
    </row>
    <row r="190" spans="2:20" ht="56">
      <c r="B190" s="5" t="s">
        <v>504</v>
      </c>
      <c r="C190" s="45" t="s">
        <v>135</v>
      </c>
      <c r="D190" s="45">
        <v>101749</v>
      </c>
      <c r="E190" s="6" t="s">
        <v>1778</v>
      </c>
      <c r="F190" s="45" t="s">
        <v>121</v>
      </c>
      <c r="G190" s="46">
        <f t="shared" si="23"/>
        <v>1500</v>
      </c>
      <c r="H190" s="46">
        <f>TRUNC(S190*(1-LOTE_02!$K$10),2)</f>
        <v>46.74</v>
      </c>
      <c r="I190" s="46">
        <f>TRUNC(T190*(1-LOTE_02!$K$10),2)</f>
        <v>14.2</v>
      </c>
      <c r="J190" s="100">
        <f t="shared" si="17"/>
        <v>0.22470000000000001</v>
      </c>
      <c r="K190" s="48">
        <f t="shared" si="18"/>
        <v>57.24</v>
      </c>
      <c r="L190" s="48">
        <f t="shared" si="19"/>
        <v>17.39</v>
      </c>
      <c r="M190" s="48">
        <f t="shared" si="20"/>
        <v>85860</v>
      </c>
      <c r="N190" s="48">
        <f t="shared" si="21"/>
        <v>26085</v>
      </c>
      <c r="O190" s="50">
        <f t="shared" si="22"/>
        <v>111945</v>
      </c>
      <c r="P190" s="50">
        <v>0</v>
      </c>
      <c r="Q190" s="76"/>
      <c r="R190" s="140">
        <f>IF((50*S9+200*S10)&gt;1500,1500,(50*S9+200*S10))</f>
        <v>1500</v>
      </c>
      <c r="S190" s="79">
        <v>46.739999999999995</v>
      </c>
      <c r="T190" s="80">
        <v>14.2</v>
      </c>
    </row>
    <row r="191" spans="2:20" ht="126">
      <c r="B191" s="5" t="s">
        <v>505</v>
      </c>
      <c r="C191" s="45" t="s">
        <v>97</v>
      </c>
      <c r="D191" s="45" t="s">
        <v>506</v>
      </c>
      <c r="E191" s="6" t="s">
        <v>507</v>
      </c>
      <c r="F191" s="45" t="s">
        <v>121</v>
      </c>
      <c r="G191" s="46">
        <f t="shared" si="23"/>
        <v>12000</v>
      </c>
      <c r="H191" s="46">
        <f>TRUNC(S191*(1-LOTE_02!$K$10),2)</f>
        <v>236.56</v>
      </c>
      <c r="I191" s="46">
        <f>TRUNC(T191*(1-LOTE_02!$K$10),2)</f>
        <v>30.84</v>
      </c>
      <c r="J191" s="100">
        <f t="shared" si="17"/>
        <v>0.22470000000000001</v>
      </c>
      <c r="K191" s="48">
        <f t="shared" si="18"/>
        <v>289.70999999999998</v>
      </c>
      <c r="L191" s="48">
        <f t="shared" si="19"/>
        <v>37.76</v>
      </c>
      <c r="M191" s="48">
        <f t="shared" si="20"/>
        <v>3476520</v>
      </c>
      <c r="N191" s="48">
        <f t="shared" si="21"/>
        <v>453120</v>
      </c>
      <c r="O191" s="50">
        <f t="shared" si="22"/>
        <v>3929640</v>
      </c>
      <c r="P191" s="50">
        <v>0</v>
      </c>
      <c r="Q191" s="76"/>
      <c r="R191" s="141">
        <f>400*S10+100*S9</f>
        <v>12000</v>
      </c>
      <c r="S191" s="79">
        <v>236.56</v>
      </c>
      <c r="T191" s="80">
        <v>30.84</v>
      </c>
    </row>
    <row r="192" spans="2:20" ht="140">
      <c r="B192" s="5" t="s">
        <v>508</v>
      </c>
      <c r="C192" s="45" t="s">
        <v>97</v>
      </c>
      <c r="D192" s="45" t="s">
        <v>509</v>
      </c>
      <c r="E192" s="6" t="s">
        <v>510</v>
      </c>
      <c r="F192" s="45" t="s">
        <v>121</v>
      </c>
      <c r="G192" s="46">
        <f t="shared" si="23"/>
        <v>3750</v>
      </c>
      <c r="H192" s="46">
        <f>TRUNC(S192*(1-LOTE_02!$K$10),2)</f>
        <v>301.95999999999998</v>
      </c>
      <c r="I192" s="46">
        <f>TRUNC(T192*(1-LOTE_02!$K$10),2)</f>
        <v>30.84</v>
      </c>
      <c r="J192" s="100">
        <f t="shared" si="17"/>
        <v>0.22470000000000001</v>
      </c>
      <c r="K192" s="48">
        <f t="shared" si="18"/>
        <v>369.81</v>
      </c>
      <c r="L192" s="48">
        <f t="shared" si="19"/>
        <v>37.76</v>
      </c>
      <c r="M192" s="48">
        <f t="shared" si="20"/>
        <v>1386787.5</v>
      </c>
      <c r="N192" s="48">
        <f t="shared" si="21"/>
        <v>141600</v>
      </c>
      <c r="O192" s="50">
        <f t="shared" si="22"/>
        <v>1528387.5</v>
      </c>
      <c r="P192" s="50">
        <v>0</v>
      </c>
      <c r="Q192" s="76"/>
      <c r="R192" s="141">
        <f>14*5*(S10)+100*S9</f>
        <v>3750</v>
      </c>
      <c r="S192" s="79">
        <v>301.95999999999998</v>
      </c>
      <c r="T192" s="80">
        <v>30.84</v>
      </c>
    </row>
    <row r="193" spans="2:20" ht="42">
      <c r="B193" s="5" t="s">
        <v>511</v>
      </c>
      <c r="C193" s="45" t="s">
        <v>135</v>
      </c>
      <c r="D193" s="45">
        <v>101736</v>
      </c>
      <c r="E193" s="6" t="s">
        <v>1779</v>
      </c>
      <c r="F193" s="45" t="s">
        <v>121</v>
      </c>
      <c r="G193" s="46">
        <f t="shared" si="23"/>
        <v>500</v>
      </c>
      <c r="H193" s="46">
        <f>TRUNC(S193*(1-LOTE_02!$K$10),2)</f>
        <v>99.33</v>
      </c>
      <c r="I193" s="46">
        <f>TRUNC(T193*(1-LOTE_02!$K$10),2)</f>
        <v>12.94</v>
      </c>
      <c r="J193" s="100">
        <f t="shared" si="17"/>
        <v>0.22470000000000001</v>
      </c>
      <c r="K193" s="48">
        <f t="shared" si="18"/>
        <v>121.64</v>
      </c>
      <c r="L193" s="48">
        <f t="shared" si="19"/>
        <v>15.84</v>
      </c>
      <c r="M193" s="48">
        <f t="shared" si="20"/>
        <v>60820</v>
      </c>
      <c r="N193" s="48">
        <f t="shared" si="21"/>
        <v>7920</v>
      </c>
      <c r="O193" s="50">
        <f t="shared" si="22"/>
        <v>68740</v>
      </c>
      <c r="P193" s="50">
        <v>0</v>
      </c>
      <c r="Q193" s="76"/>
      <c r="R193" s="141">
        <f>IF(2*(S10+S9)&gt;50,500,2*(S9+S10))</f>
        <v>500</v>
      </c>
      <c r="S193" s="79">
        <v>99.33</v>
      </c>
      <c r="T193" s="80">
        <v>12.94</v>
      </c>
    </row>
    <row r="194" spans="2:20" ht="70">
      <c r="B194" s="5" t="s">
        <v>512</v>
      </c>
      <c r="C194" s="45" t="s">
        <v>135</v>
      </c>
      <c r="D194" s="45">
        <v>94995</v>
      </c>
      <c r="E194" s="6" t="s">
        <v>1780</v>
      </c>
      <c r="F194" s="45" t="s">
        <v>121</v>
      </c>
      <c r="G194" s="46">
        <f t="shared" si="23"/>
        <v>500</v>
      </c>
      <c r="H194" s="46">
        <f>TRUNC(S194*(1-LOTE_02!$K$10),2)</f>
        <v>103.53</v>
      </c>
      <c r="I194" s="46">
        <f>TRUNC(T194*(1-LOTE_02!$K$10),2)</f>
        <v>7.94</v>
      </c>
      <c r="J194" s="100">
        <f t="shared" si="17"/>
        <v>0.22470000000000001</v>
      </c>
      <c r="K194" s="48">
        <f t="shared" si="18"/>
        <v>126.79</v>
      </c>
      <c r="L194" s="48">
        <f t="shared" si="19"/>
        <v>9.7200000000000006</v>
      </c>
      <c r="M194" s="48">
        <f t="shared" si="20"/>
        <v>63395</v>
      </c>
      <c r="N194" s="48">
        <f t="shared" si="21"/>
        <v>4860</v>
      </c>
      <c r="O194" s="50">
        <f t="shared" si="22"/>
        <v>68255</v>
      </c>
      <c r="P194" s="50">
        <v>0</v>
      </c>
      <c r="Q194" s="76"/>
      <c r="R194" s="141">
        <f>IF(50*(S10+S9)&gt;500,500,50*(S9+S10))</f>
        <v>500</v>
      </c>
      <c r="S194" s="79">
        <v>103.53</v>
      </c>
      <c r="T194" s="80">
        <v>7.94</v>
      </c>
    </row>
    <row r="195" spans="2:20" ht="28">
      <c r="B195" s="5" t="s">
        <v>513</v>
      </c>
      <c r="C195" s="45" t="s">
        <v>165</v>
      </c>
      <c r="D195" s="45" t="s">
        <v>514</v>
      </c>
      <c r="E195" s="6" t="s">
        <v>515</v>
      </c>
      <c r="F195" s="45" t="s">
        <v>168</v>
      </c>
      <c r="G195" s="46">
        <f t="shared" si="23"/>
        <v>4500</v>
      </c>
      <c r="H195" s="46">
        <f>TRUNC(S195*(1-LOTE_02!$K$10),2)</f>
        <v>5.82</v>
      </c>
      <c r="I195" s="46">
        <f>TRUNC(T195*(1-LOTE_02!$K$10),2)</f>
        <v>3.29</v>
      </c>
      <c r="J195" s="100">
        <f t="shared" si="17"/>
        <v>0.22470000000000001</v>
      </c>
      <c r="K195" s="48">
        <f t="shared" si="18"/>
        <v>7.12</v>
      </c>
      <c r="L195" s="48">
        <f t="shared" si="19"/>
        <v>4.0199999999999996</v>
      </c>
      <c r="M195" s="48">
        <f t="shared" si="20"/>
        <v>32040</v>
      </c>
      <c r="N195" s="48">
        <f t="shared" si="21"/>
        <v>18090</v>
      </c>
      <c r="O195" s="50">
        <f t="shared" si="22"/>
        <v>50130</v>
      </c>
      <c r="P195" s="50">
        <v>0</v>
      </c>
      <c r="Q195" s="76"/>
      <c r="R195" s="140">
        <f>100*(S9+S10)</f>
        <v>4500</v>
      </c>
      <c r="S195" s="79">
        <v>5.82</v>
      </c>
      <c r="T195" s="80">
        <v>3.29</v>
      </c>
    </row>
    <row r="196" spans="2:20">
      <c r="B196" s="5" t="s">
        <v>516</v>
      </c>
      <c r="C196" s="45" t="s">
        <v>97</v>
      </c>
      <c r="D196" s="45" t="s">
        <v>517</v>
      </c>
      <c r="E196" s="6" t="s">
        <v>518</v>
      </c>
      <c r="F196" s="45" t="s">
        <v>519</v>
      </c>
      <c r="G196" s="46">
        <f t="shared" si="23"/>
        <v>1000</v>
      </c>
      <c r="H196" s="46">
        <f>TRUNC(S196*(1-LOTE_02!$K$10),2)</f>
        <v>2.38</v>
      </c>
      <c r="I196" s="46">
        <f>TRUNC(T196*(1-LOTE_02!$K$10),2)</f>
        <v>1.74</v>
      </c>
      <c r="J196" s="100">
        <f t="shared" si="17"/>
        <v>0.22470000000000001</v>
      </c>
      <c r="K196" s="48">
        <f t="shared" si="18"/>
        <v>2.91</v>
      </c>
      <c r="L196" s="48">
        <f t="shared" si="19"/>
        <v>2.13</v>
      </c>
      <c r="M196" s="48">
        <f t="shared" si="20"/>
        <v>2910</v>
      </c>
      <c r="N196" s="48">
        <f t="shared" si="21"/>
        <v>2130</v>
      </c>
      <c r="O196" s="50">
        <f t="shared" si="22"/>
        <v>5040</v>
      </c>
      <c r="P196" s="50">
        <v>0</v>
      </c>
      <c r="Q196" s="76"/>
      <c r="R196" s="140">
        <f>IF((200*S9+200*S10)&gt;1000,1000,(200*S9+200*S10))</f>
        <v>1000</v>
      </c>
      <c r="S196" s="79">
        <v>2.38</v>
      </c>
      <c r="T196" s="80">
        <v>1.74</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492906.75</v>
      </c>
      <c r="Q197" s="76"/>
      <c r="R197" s="154"/>
      <c r="S197" s="79" t="s">
        <v>22</v>
      </c>
      <c r="T197" s="80" t="s">
        <v>22</v>
      </c>
    </row>
    <row r="198" spans="2:20" ht="42">
      <c r="B198" s="5" t="s">
        <v>520</v>
      </c>
      <c r="C198" s="45" t="s">
        <v>135</v>
      </c>
      <c r="D198" s="45">
        <v>88648</v>
      </c>
      <c r="E198" s="6" t="s">
        <v>521</v>
      </c>
      <c r="F198" s="45" t="s">
        <v>187</v>
      </c>
      <c r="G198" s="46">
        <f t="shared" si="23"/>
        <v>100</v>
      </c>
      <c r="H198" s="46">
        <f>TRUNC(S198*(1-LOTE_02!$K$10),2)</f>
        <v>7.15</v>
      </c>
      <c r="I198" s="46">
        <f>TRUNC(T198*(1-LOTE_02!$K$10),2)</f>
        <v>2.0299999999999998</v>
      </c>
      <c r="J198" s="100">
        <f t="shared" si="17"/>
        <v>0.22470000000000001</v>
      </c>
      <c r="K198" s="48">
        <f t="shared" si="18"/>
        <v>8.75</v>
      </c>
      <c r="L198" s="48">
        <f t="shared" si="19"/>
        <v>2.48</v>
      </c>
      <c r="M198" s="48">
        <f t="shared" si="20"/>
        <v>875</v>
      </c>
      <c r="N198" s="48">
        <f t="shared" si="21"/>
        <v>248</v>
      </c>
      <c r="O198" s="50">
        <f t="shared" si="22"/>
        <v>1123</v>
      </c>
      <c r="P198" s="50">
        <v>0</v>
      </c>
      <c r="Q198" s="76"/>
      <c r="R198" s="140">
        <f>IF((20*S10)&gt;100,100,(10*S9+10*S10))</f>
        <v>100</v>
      </c>
      <c r="S198" s="79">
        <v>7.15</v>
      </c>
      <c r="T198" s="80">
        <v>2.0299999999999998</v>
      </c>
    </row>
    <row r="199" spans="2:20" ht="42">
      <c r="B199" s="5" t="s">
        <v>522</v>
      </c>
      <c r="C199" s="45" t="s">
        <v>135</v>
      </c>
      <c r="D199" s="45">
        <v>88650</v>
      </c>
      <c r="E199" s="6" t="s">
        <v>523</v>
      </c>
      <c r="F199" s="45" t="s">
        <v>187</v>
      </c>
      <c r="G199" s="46">
        <f t="shared" si="23"/>
        <v>3125</v>
      </c>
      <c r="H199" s="46">
        <f>TRUNC(S199*(1-LOTE_02!$K$10),2)</f>
        <v>11.86</v>
      </c>
      <c r="I199" s="46">
        <f>TRUNC(T199*(1-LOTE_02!$K$10),2)</f>
        <v>2.41</v>
      </c>
      <c r="J199" s="100">
        <f t="shared" si="17"/>
        <v>0.22470000000000001</v>
      </c>
      <c r="K199" s="48">
        <f t="shared" si="18"/>
        <v>14.52</v>
      </c>
      <c r="L199" s="48">
        <f t="shared" si="19"/>
        <v>2.95</v>
      </c>
      <c r="M199" s="48">
        <f t="shared" si="20"/>
        <v>45375</v>
      </c>
      <c r="N199" s="48">
        <f t="shared" si="21"/>
        <v>9218.75</v>
      </c>
      <c r="O199" s="50">
        <f t="shared" si="22"/>
        <v>54593.75</v>
      </c>
      <c r="P199" s="50">
        <v>0</v>
      </c>
      <c r="Q199" s="76"/>
      <c r="R199" s="141">
        <f>85*S10+50*S9</f>
        <v>3125</v>
      </c>
      <c r="S199" s="79">
        <v>11.86</v>
      </c>
      <c r="T199" s="80">
        <v>2.41</v>
      </c>
    </row>
    <row r="200" spans="2:20" ht="126">
      <c r="B200" s="5" t="s">
        <v>524</v>
      </c>
      <c r="C200" s="45" t="s">
        <v>97</v>
      </c>
      <c r="D200" s="45" t="s">
        <v>525</v>
      </c>
      <c r="E200" s="6" t="s">
        <v>526</v>
      </c>
      <c r="F200" s="45" t="s">
        <v>187</v>
      </c>
      <c r="G200" s="46">
        <f t="shared" si="23"/>
        <v>9000</v>
      </c>
      <c r="H200" s="46">
        <f>TRUNC(S200*(1-LOTE_02!$K$10),2)</f>
        <v>33.86</v>
      </c>
      <c r="I200" s="46">
        <f>TRUNC(T200*(1-LOTE_02!$K$10),2)</f>
        <v>2.46</v>
      </c>
      <c r="J200" s="100">
        <f t="shared" si="17"/>
        <v>0.22470000000000001</v>
      </c>
      <c r="K200" s="48">
        <f t="shared" si="18"/>
        <v>41.46</v>
      </c>
      <c r="L200" s="48">
        <f t="shared" si="19"/>
        <v>3.01</v>
      </c>
      <c r="M200" s="48">
        <f t="shared" si="20"/>
        <v>373140</v>
      </c>
      <c r="N200" s="48">
        <f t="shared" si="21"/>
        <v>27090</v>
      </c>
      <c r="O200" s="50">
        <f t="shared" si="22"/>
        <v>400230</v>
      </c>
      <c r="P200" s="50">
        <v>0</v>
      </c>
      <c r="Q200" s="76"/>
      <c r="R200" s="140">
        <f>200*(S10+S9)</f>
        <v>9000</v>
      </c>
      <c r="S200" s="79">
        <v>33.86</v>
      </c>
      <c r="T200" s="80">
        <v>2.46</v>
      </c>
    </row>
    <row r="201" spans="2:20" ht="42">
      <c r="B201" s="5" t="s">
        <v>527</v>
      </c>
      <c r="C201" s="45" t="s">
        <v>135</v>
      </c>
      <c r="D201" s="45">
        <v>101738</v>
      </c>
      <c r="E201" s="6" t="s">
        <v>1781</v>
      </c>
      <c r="F201" s="45" t="s">
        <v>187</v>
      </c>
      <c r="G201" s="46">
        <f t="shared" si="23"/>
        <v>50</v>
      </c>
      <c r="H201" s="46">
        <f>TRUNC(S201*(1-LOTE_02!$K$10),2)</f>
        <v>34.659999999999997</v>
      </c>
      <c r="I201" s="46">
        <f>TRUNC(T201*(1-LOTE_02!$K$10),2)</f>
        <v>9.83</v>
      </c>
      <c r="J201" s="100">
        <f t="shared" si="17"/>
        <v>0.22470000000000001</v>
      </c>
      <c r="K201" s="48">
        <f t="shared" si="18"/>
        <v>42.44</v>
      </c>
      <c r="L201" s="48">
        <f t="shared" si="19"/>
        <v>12.03</v>
      </c>
      <c r="M201" s="48">
        <f t="shared" si="20"/>
        <v>2122</v>
      </c>
      <c r="N201" s="48">
        <f t="shared" si="21"/>
        <v>601.5</v>
      </c>
      <c r="O201" s="50">
        <f t="shared" si="22"/>
        <v>2723.5</v>
      </c>
      <c r="P201" s="50">
        <v>0</v>
      </c>
      <c r="Q201" s="76"/>
      <c r="R201" s="140">
        <f>IF((S9*5+20*S10)&gt;50,50,(5*S9+10*S10))</f>
        <v>50</v>
      </c>
      <c r="S201" s="79">
        <v>34.660000000000004</v>
      </c>
      <c r="T201" s="80">
        <v>9.83</v>
      </c>
    </row>
    <row r="202" spans="2:20" ht="28">
      <c r="B202" s="5" t="s">
        <v>528</v>
      </c>
      <c r="C202" s="45" t="s">
        <v>165</v>
      </c>
      <c r="D202" s="45" t="s">
        <v>529</v>
      </c>
      <c r="E202" s="6" t="s">
        <v>530</v>
      </c>
      <c r="F202" s="45" t="s">
        <v>531</v>
      </c>
      <c r="G202" s="46">
        <f t="shared" si="23"/>
        <v>50</v>
      </c>
      <c r="H202" s="46">
        <f>TRUNC(S202*(1-LOTE_02!$K$10),2)</f>
        <v>30.12</v>
      </c>
      <c r="I202" s="46">
        <f>TRUNC(T202*(1-LOTE_02!$K$10),2)</f>
        <v>1.28</v>
      </c>
      <c r="J202" s="100">
        <f t="shared" si="17"/>
        <v>0.22470000000000001</v>
      </c>
      <c r="K202" s="48">
        <f t="shared" si="18"/>
        <v>36.880000000000003</v>
      </c>
      <c r="L202" s="48">
        <f t="shared" si="19"/>
        <v>1.56</v>
      </c>
      <c r="M202" s="48">
        <f t="shared" si="20"/>
        <v>1844</v>
      </c>
      <c r="N202" s="48">
        <f t="shared" si="21"/>
        <v>78</v>
      </c>
      <c r="O202" s="50">
        <f t="shared" si="22"/>
        <v>1922</v>
      </c>
      <c r="P202" s="50">
        <v>0</v>
      </c>
      <c r="Q202" s="76"/>
      <c r="R202" s="140">
        <f>IF((S9*5+20*S10)&gt;50,50,(5*S9+10*S10))</f>
        <v>50</v>
      </c>
      <c r="S202" s="79">
        <v>30.12</v>
      </c>
      <c r="T202" s="80">
        <v>1.28</v>
      </c>
    </row>
    <row r="203" spans="2:20" ht="28">
      <c r="B203" s="5" t="s">
        <v>532</v>
      </c>
      <c r="C203" s="45" t="s">
        <v>135</v>
      </c>
      <c r="D203" s="45">
        <v>98685</v>
      </c>
      <c r="E203" s="6" t="s">
        <v>1782</v>
      </c>
      <c r="F203" s="45" t="s">
        <v>187</v>
      </c>
      <c r="G203" s="46">
        <f t="shared" si="23"/>
        <v>50</v>
      </c>
      <c r="H203" s="46">
        <f>TRUNC(S203*(1-LOTE_02!$K$10),2)</f>
        <v>97.95</v>
      </c>
      <c r="I203" s="46">
        <f>TRUNC(T203*(1-LOTE_02!$K$10),2)</f>
        <v>9.31</v>
      </c>
      <c r="J203" s="100">
        <f t="shared" si="17"/>
        <v>0.22470000000000001</v>
      </c>
      <c r="K203" s="48">
        <f t="shared" si="18"/>
        <v>119.95</v>
      </c>
      <c r="L203" s="48">
        <f t="shared" si="19"/>
        <v>11.4</v>
      </c>
      <c r="M203" s="48">
        <f t="shared" si="20"/>
        <v>5997.5</v>
      </c>
      <c r="N203" s="48">
        <f t="shared" si="21"/>
        <v>570</v>
      </c>
      <c r="O203" s="50">
        <f t="shared" si="22"/>
        <v>6567.5</v>
      </c>
      <c r="P203" s="50">
        <v>0</v>
      </c>
      <c r="Q203" s="76"/>
      <c r="R203" s="140">
        <f>IF((S9*5+20*S10)&gt;50,50,(5*S9+10*S10))</f>
        <v>50</v>
      </c>
      <c r="S203" s="79">
        <v>97.95</v>
      </c>
      <c r="T203" s="80">
        <v>9.31</v>
      </c>
    </row>
    <row r="204" spans="2:20" ht="28">
      <c r="B204" s="5" t="s">
        <v>533</v>
      </c>
      <c r="C204" s="45" t="s">
        <v>135</v>
      </c>
      <c r="D204" s="45">
        <v>98689</v>
      </c>
      <c r="E204" s="6" t="s">
        <v>1783</v>
      </c>
      <c r="F204" s="45" t="s">
        <v>187</v>
      </c>
      <c r="G204" s="46">
        <f t="shared" si="23"/>
        <v>50</v>
      </c>
      <c r="H204" s="46">
        <f>TRUNC(S204*(1-LOTE_02!$K$10),2)</f>
        <v>142.59</v>
      </c>
      <c r="I204" s="46">
        <f>TRUNC(T204*(1-LOTE_02!$K$10),2)</f>
        <v>17.96</v>
      </c>
      <c r="J204" s="100">
        <f t="shared" si="17"/>
        <v>0.22470000000000001</v>
      </c>
      <c r="K204" s="48">
        <f t="shared" si="18"/>
        <v>174.62</v>
      </c>
      <c r="L204" s="48">
        <f t="shared" si="19"/>
        <v>21.99</v>
      </c>
      <c r="M204" s="48">
        <f t="shared" si="20"/>
        <v>8731</v>
      </c>
      <c r="N204" s="48">
        <f t="shared" si="21"/>
        <v>1099.5</v>
      </c>
      <c r="O204" s="50">
        <f t="shared" si="22"/>
        <v>9830.5</v>
      </c>
      <c r="P204" s="50">
        <v>0</v>
      </c>
      <c r="Q204" s="76"/>
      <c r="R204" s="140">
        <f>IF((S9*5+20*S10)&gt;50,50,(5*S9+10*S10))</f>
        <v>50</v>
      </c>
      <c r="S204" s="79">
        <v>142.59</v>
      </c>
      <c r="T204" s="80">
        <v>17.96</v>
      </c>
    </row>
    <row r="205" spans="2:20" ht="28">
      <c r="B205" s="5" t="s">
        <v>534</v>
      </c>
      <c r="C205" s="45" t="s">
        <v>135</v>
      </c>
      <c r="D205" s="45">
        <v>98695</v>
      </c>
      <c r="E205" s="6" t="s">
        <v>1784</v>
      </c>
      <c r="F205" s="45" t="s">
        <v>187</v>
      </c>
      <c r="G205" s="46">
        <f t="shared" si="23"/>
        <v>50</v>
      </c>
      <c r="H205" s="46">
        <f>TRUNC(S205*(1-LOTE_02!$K$10),2)</f>
        <v>115.1</v>
      </c>
      <c r="I205" s="46">
        <f>TRUNC(T205*(1-LOTE_02!$K$10),2)</f>
        <v>18.41</v>
      </c>
      <c r="J205" s="100">
        <f t="shared" si="17"/>
        <v>0.22470000000000001</v>
      </c>
      <c r="K205" s="48">
        <f t="shared" si="18"/>
        <v>140.96</v>
      </c>
      <c r="L205" s="48">
        <f t="shared" si="19"/>
        <v>22.54</v>
      </c>
      <c r="M205" s="48">
        <f t="shared" si="20"/>
        <v>7048</v>
      </c>
      <c r="N205" s="48">
        <f t="shared" si="21"/>
        <v>1127</v>
      </c>
      <c r="O205" s="50">
        <f t="shared" si="22"/>
        <v>8175</v>
      </c>
      <c r="P205" s="50">
        <v>0</v>
      </c>
      <c r="Q205" s="76"/>
      <c r="R205" s="140">
        <f>IF((S9*5+20*S10)&gt;50,50,(5*S9+10*S10))</f>
        <v>50</v>
      </c>
      <c r="S205" s="79">
        <v>115.1</v>
      </c>
      <c r="T205" s="80">
        <v>18.41</v>
      </c>
    </row>
    <row r="206" spans="2:20" ht="28">
      <c r="B206" s="5" t="s">
        <v>535</v>
      </c>
      <c r="C206" s="45" t="s">
        <v>165</v>
      </c>
      <c r="D206" s="45" t="s">
        <v>536</v>
      </c>
      <c r="E206" s="6" t="s">
        <v>537</v>
      </c>
      <c r="F206" s="45" t="s">
        <v>531</v>
      </c>
      <c r="G206" s="46">
        <f t="shared" si="23"/>
        <v>50</v>
      </c>
      <c r="H206" s="46">
        <f>TRUNC(S206*(1-LOTE_02!$K$10),2)</f>
        <v>124.82</v>
      </c>
      <c r="I206" s="46">
        <f>TRUNC(T206*(1-LOTE_02!$K$10),2)</f>
        <v>1.61</v>
      </c>
      <c r="J206" s="100">
        <f t="shared" si="17"/>
        <v>0.22470000000000001</v>
      </c>
      <c r="K206" s="48">
        <f t="shared" si="18"/>
        <v>152.86000000000001</v>
      </c>
      <c r="L206" s="48">
        <f t="shared" si="19"/>
        <v>1.97</v>
      </c>
      <c r="M206" s="48">
        <f t="shared" si="20"/>
        <v>7643</v>
      </c>
      <c r="N206" s="48">
        <f t="shared" si="21"/>
        <v>98.5</v>
      </c>
      <c r="O206" s="50">
        <f t="shared" si="22"/>
        <v>7741.5</v>
      </c>
      <c r="P206" s="50">
        <v>0</v>
      </c>
      <c r="Q206" s="76"/>
      <c r="R206" s="140">
        <f>IF((S9*5+20*S10)&gt;50,50,(5*S9+10*S10))</f>
        <v>50</v>
      </c>
      <c r="S206" s="79">
        <v>124.82</v>
      </c>
      <c r="T206" s="80">
        <v>1.61</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1849561.95</v>
      </c>
      <c r="Q207" s="76"/>
      <c r="R207" s="154"/>
      <c r="S207" s="79" t="s">
        <v>22</v>
      </c>
      <c r="T207" s="80" t="s">
        <v>22</v>
      </c>
    </row>
    <row r="208" spans="2:20" ht="42">
      <c r="B208" s="5" t="s">
        <v>538</v>
      </c>
      <c r="C208" s="45" t="s">
        <v>97</v>
      </c>
      <c r="D208" s="45" t="s">
        <v>539</v>
      </c>
      <c r="E208" s="6" t="s">
        <v>540</v>
      </c>
      <c r="F208" s="45" t="s">
        <v>104</v>
      </c>
      <c r="G208" s="46">
        <f t="shared" si="23"/>
        <v>20</v>
      </c>
      <c r="H208" s="46">
        <f>TRUNC(S208*(1-LOTE_02!$K$10),2)</f>
        <v>39.630000000000003</v>
      </c>
      <c r="I208" s="46">
        <f>TRUNC(T208*(1-LOTE_02!$K$10),2)</f>
        <v>72.540000000000006</v>
      </c>
      <c r="J208" s="100">
        <f t="shared" si="17"/>
        <v>0.22470000000000001</v>
      </c>
      <c r="K208" s="48">
        <f t="shared" ref="K208:K271" si="24">TRUNC(H208*(1+J208),2)</f>
        <v>48.53</v>
      </c>
      <c r="L208" s="48">
        <f t="shared" ref="L208:L271" si="25">TRUNC(I208*(1+J208),2)</f>
        <v>88.83</v>
      </c>
      <c r="M208" s="48">
        <f t="shared" ref="M208:M271" si="26">TRUNC(K208*G208,2)</f>
        <v>970.6</v>
      </c>
      <c r="N208" s="48">
        <f t="shared" ref="N208:N271" si="27">TRUNC(L208*G208,2)</f>
        <v>1776.6</v>
      </c>
      <c r="O208" s="50">
        <f t="shared" ref="O208:O271" si="28">TRUNC(M208+N208,2)</f>
        <v>2747.2</v>
      </c>
      <c r="P208" s="50">
        <v>0</v>
      </c>
      <c r="Q208" s="76"/>
      <c r="R208" s="140">
        <f>IF((2*S9+2*S10)&gt;20,20,(2*S9+2*S10))</f>
        <v>20</v>
      </c>
      <c r="S208" s="79">
        <v>39.630000000000003</v>
      </c>
      <c r="T208" s="80">
        <v>72.540000000000006</v>
      </c>
    </row>
    <row r="209" spans="2:20" ht="28">
      <c r="B209" s="5" t="s">
        <v>541</v>
      </c>
      <c r="C209" s="45" t="s">
        <v>97</v>
      </c>
      <c r="D209" s="45" t="s">
        <v>542</v>
      </c>
      <c r="E209" s="6" t="s">
        <v>543</v>
      </c>
      <c r="F209" s="45" t="s">
        <v>104</v>
      </c>
      <c r="G209" s="46">
        <f t="shared" si="23"/>
        <v>10</v>
      </c>
      <c r="H209" s="46">
        <f>TRUNC(S209*(1-LOTE_02!$K$10),2)</f>
        <v>0</v>
      </c>
      <c r="I209" s="46">
        <f>TRUNC(T209*(1-LOTE_02!$K$10),2)</f>
        <v>115.63</v>
      </c>
      <c r="J209" s="100">
        <f t="shared" si="17"/>
        <v>0.22470000000000001</v>
      </c>
      <c r="K209" s="48">
        <f t="shared" si="24"/>
        <v>0</v>
      </c>
      <c r="L209" s="48">
        <f t="shared" si="25"/>
        <v>141.61000000000001</v>
      </c>
      <c r="M209" s="48">
        <f t="shared" si="26"/>
        <v>0</v>
      </c>
      <c r="N209" s="48">
        <f t="shared" si="27"/>
        <v>1416.1</v>
      </c>
      <c r="O209" s="50">
        <f t="shared" si="28"/>
        <v>1416.1</v>
      </c>
      <c r="P209" s="50">
        <v>0</v>
      </c>
      <c r="Q209" s="76"/>
      <c r="R209" s="140">
        <f>IF((1*S9+1*S10)&gt;10,10,(1*S9+1*S10))</f>
        <v>10</v>
      </c>
      <c r="S209" s="79">
        <v>0</v>
      </c>
      <c r="T209" s="80">
        <v>115.63</v>
      </c>
    </row>
    <row r="210" spans="2:20" ht="42">
      <c r="B210" s="5" t="s">
        <v>544</v>
      </c>
      <c r="C210" s="45" t="s">
        <v>135</v>
      </c>
      <c r="D210" s="45">
        <v>102182</v>
      </c>
      <c r="E210" s="6" t="s">
        <v>1785</v>
      </c>
      <c r="F210" s="45" t="s">
        <v>210</v>
      </c>
      <c r="G210" s="46">
        <f t="shared" ref="G210:G273" si="29">TRUNC(R210,2)</f>
        <v>20</v>
      </c>
      <c r="H210" s="46">
        <f>TRUNC(S210*(1-LOTE_02!$K$10),2)</f>
        <v>1308.31</v>
      </c>
      <c r="I210" s="46">
        <f>TRUNC(T210*(1-LOTE_02!$K$10),2)</f>
        <v>63.65</v>
      </c>
      <c r="J210" s="100">
        <f t="shared" ref="J210:J273" si="30">$J$4</f>
        <v>0.22470000000000001</v>
      </c>
      <c r="K210" s="48">
        <f t="shared" si="24"/>
        <v>1602.28</v>
      </c>
      <c r="L210" s="48">
        <f t="shared" si="25"/>
        <v>77.95</v>
      </c>
      <c r="M210" s="48">
        <f t="shared" si="26"/>
        <v>32045.599999999999</v>
      </c>
      <c r="N210" s="48">
        <f t="shared" si="27"/>
        <v>1559</v>
      </c>
      <c r="O210" s="50">
        <f t="shared" si="28"/>
        <v>33604.6</v>
      </c>
      <c r="P210" s="50">
        <v>0</v>
      </c>
      <c r="Q210" s="76"/>
      <c r="R210" s="140">
        <f>IF((2*S9+2*S10)&gt;20,20,(2*S9+2*S10))</f>
        <v>20</v>
      </c>
      <c r="S210" s="79">
        <v>1308.31</v>
      </c>
      <c r="T210" s="80">
        <v>63.65</v>
      </c>
    </row>
    <row r="211" spans="2:20" ht="56">
      <c r="B211" s="5" t="s">
        <v>545</v>
      </c>
      <c r="C211" s="45" t="s">
        <v>135</v>
      </c>
      <c r="D211" s="45">
        <v>102183</v>
      </c>
      <c r="E211" s="6" t="s">
        <v>1786</v>
      </c>
      <c r="F211" s="45" t="s">
        <v>210</v>
      </c>
      <c r="G211" s="46">
        <f t="shared" si="29"/>
        <v>10</v>
      </c>
      <c r="H211" s="46">
        <f>TRUNC(S211*(1-LOTE_02!$K$10),2)</f>
        <v>2450.02</v>
      </c>
      <c r="I211" s="46">
        <f>TRUNC(T211*(1-LOTE_02!$K$10),2)</f>
        <v>127.04</v>
      </c>
      <c r="J211" s="100">
        <f t="shared" si="30"/>
        <v>0.22470000000000001</v>
      </c>
      <c r="K211" s="48">
        <f t="shared" si="24"/>
        <v>3000.53</v>
      </c>
      <c r="L211" s="48">
        <f t="shared" si="25"/>
        <v>155.58000000000001</v>
      </c>
      <c r="M211" s="48">
        <f t="shared" si="26"/>
        <v>30005.3</v>
      </c>
      <c r="N211" s="48">
        <f t="shared" si="27"/>
        <v>1555.8</v>
      </c>
      <c r="O211" s="50">
        <f t="shared" si="28"/>
        <v>31561.1</v>
      </c>
      <c r="P211" s="50">
        <v>0</v>
      </c>
      <c r="Q211" s="76"/>
      <c r="R211" s="140">
        <f>IF((1*S9+1*S10)&gt;10,10,(1*S9+1*S10))</f>
        <v>10</v>
      </c>
      <c r="S211" s="79">
        <v>2450.02</v>
      </c>
      <c r="T211" s="80">
        <v>127.04</v>
      </c>
    </row>
    <row r="212" spans="2:20" ht="56">
      <c r="B212" s="5" t="s">
        <v>546</v>
      </c>
      <c r="C212" s="45" t="s">
        <v>135</v>
      </c>
      <c r="D212" s="45">
        <v>102184</v>
      </c>
      <c r="E212" s="6" t="s">
        <v>1787</v>
      </c>
      <c r="F212" s="45" t="s">
        <v>210</v>
      </c>
      <c r="G212" s="46">
        <f t="shared" si="29"/>
        <v>10</v>
      </c>
      <c r="H212" s="46">
        <f>TRUNC(S212*(1-LOTE_02!$K$10),2)</f>
        <v>2303.56</v>
      </c>
      <c r="I212" s="46">
        <f>TRUNC(T212*(1-LOTE_02!$K$10),2)</f>
        <v>115.63</v>
      </c>
      <c r="J212" s="100">
        <f t="shared" si="30"/>
        <v>0.22470000000000001</v>
      </c>
      <c r="K212" s="48">
        <f t="shared" si="24"/>
        <v>2821.16</v>
      </c>
      <c r="L212" s="48">
        <f t="shared" si="25"/>
        <v>141.61000000000001</v>
      </c>
      <c r="M212" s="48">
        <f t="shared" si="26"/>
        <v>28211.599999999999</v>
      </c>
      <c r="N212" s="48">
        <f t="shared" si="27"/>
        <v>1416.1</v>
      </c>
      <c r="O212" s="50">
        <f t="shared" si="28"/>
        <v>29627.7</v>
      </c>
      <c r="P212" s="50">
        <v>0</v>
      </c>
      <c r="Q212" s="76"/>
      <c r="R212" s="140">
        <f>IF((1*S9+1*S10)&gt;10,10,(1*S9+1*S10))</f>
        <v>10</v>
      </c>
      <c r="S212" s="79">
        <v>2303.56</v>
      </c>
      <c r="T212" s="80">
        <v>115.63</v>
      </c>
    </row>
    <row r="213" spans="2:20" ht="70">
      <c r="B213" s="5" t="s">
        <v>547</v>
      </c>
      <c r="C213" s="45" t="s">
        <v>135</v>
      </c>
      <c r="D213" s="45">
        <v>102185</v>
      </c>
      <c r="E213" s="6" t="s">
        <v>1788</v>
      </c>
      <c r="F213" s="45" t="s">
        <v>210</v>
      </c>
      <c r="G213" s="46">
        <f t="shared" si="29"/>
        <v>10</v>
      </c>
      <c r="H213" s="46">
        <f>TRUNC(S213*(1-LOTE_02!$K$10),2)</f>
        <v>4611.7700000000004</v>
      </c>
      <c r="I213" s="46">
        <f>TRUNC(T213*(1-LOTE_02!$K$10),2)</f>
        <v>240.68</v>
      </c>
      <c r="J213" s="100">
        <f t="shared" si="30"/>
        <v>0.22470000000000001</v>
      </c>
      <c r="K213" s="48">
        <f t="shared" si="24"/>
        <v>5648.03</v>
      </c>
      <c r="L213" s="48">
        <f t="shared" si="25"/>
        <v>294.76</v>
      </c>
      <c r="M213" s="48">
        <f t="shared" si="26"/>
        <v>56480.3</v>
      </c>
      <c r="N213" s="48">
        <f t="shared" si="27"/>
        <v>2947.6</v>
      </c>
      <c r="O213" s="50">
        <f t="shared" si="28"/>
        <v>59427.9</v>
      </c>
      <c r="P213" s="50">
        <v>0</v>
      </c>
      <c r="Q213" s="76"/>
      <c r="R213" s="140">
        <f>IF((1*S9+1*S10)&gt;10,10,(1*S9+1*S10))</f>
        <v>10</v>
      </c>
      <c r="S213" s="79">
        <v>4611.7699999999995</v>
      </c>
      <c r="T213" s="80">
        <v>240.68</v>
      </c>
    </row>
    <row r="214" spans="2:20" ht="28">
      <c r="B214" s="5" t="s">
        <v>548</v>
      </c>
      <c r="C214" s="45" t="s">
        <v>97</v>
      </c>
      <c r="D214" s="45" t="s">
        <v>549</v>
      </c>
      <c r="E214" s="6" t="s">
        <v>550</v>
      </c>
      <c r="F214" s="45" t="s">
        <v>104</v>
      </c>
      <c r="G214" s="46">
        <f t="shared" si="29"/>
        <v>50</v>
      </c>
      <c r="H214" s="46">
        <f>TRUNC(S214*(1-LOTE_02!$K$10),2)</f>
        <v>23.65</v>
      </c>
      <c r="I214" s="46">
        <f>TRUNC(T214*(1-LOTE_02!$K$10),2)</f>
        <v>44.94</v>
      </c>
      <c r="J214" s="100">
        <f t="shared" si="30"/>
        <v>0.22470000000000001</v>
      </c>
      <c r="K214" s="48">
        <f t="shared" si="24"/>
        <v>28.96</v>
      </c>
      <c r="L214" s="48">
        <f t="shared" si="25"/>
        <v>55.03</v>
      </c>
      <c r="M214" s="48">
        <f t="shared" si="26"/>
        <v>1448</v>
      </c>
      <c r="N214" s="48">
        <f t="shared" si="27"/>
        <v>2751.5</v>
      </c>
      <c r="O214" s="50">
        <f t="shared" si="28"/>
        <v>4199.5</v>
      </c>
      <c r="P214" s="50">
        <v>0</v>
      </c>
      <c r="Q214" s="76"/>
      <c r="R214" s="140">
        <f>IF((2*S9+2*S10)&gt;50,50,(2*S9+2*S10))</f>
        <v>50</v>
      </c>
      <c r="S214" s="79">
        <v>23.65</v>
      </c>
      <c r="T214" s="80">
        <v>44.94</v>
      </c>
    </row>
    <row r="215" spans="2:20" ht="70">
      <c r="B215" s="5" t="s">
        <v>551</v>
      </c>
      <c r="C215" s="45" t="s">
        <v>135</v>
      </c>
      <c r="D215" s="45">
        <v>100695</v>
      </c>
      <c r="E215" s="6" t="s">
        <v>1789</v>
      </c>
      <c r="F215" s="45" t="s">
        <v>210</v>
      </c>
      <c r="G215" s="46">
        <f t="shared" si="29"/>
        <v>50</v>
      </c>
      <c r="H215" s="46">
        <f>TRUNC(S215*(1-LOTE_02!$K$10),2)</f>
        <v>33.47</v>
      </c>
      <c r="I215" s="46">
        <f>TRUNC(T215*(1-LOTE_02!$K$10),2)</f>
        <v>56.72</v>
      </c>
      <c r="J215" s="100">
        <f t="shared" si="30"/>
        <v>0.22470000000000001</v>
      </c>
      <c r="K215" s="48">
        <f t="shared" si="24"/>
        <v>40.99</v>
      </c>
      <c r="L215" s="48">
        <f t="shared" si="25"/>
        <v>69.459999999999994</v>
      </c>
      <c r="M215" s="48">
        <f t="shared" si="26"/>
        <v>2049.5</v>
      </c>
      <c r="N215" s="48">
        <f t="shared" si="27"/>
        <v>3473</v>
      </c>
      <c r="O215" s="50">
        <f t="shared" si="28"/>
        <v>5522.5</v>
      </c>
      <c r="P215" s="50">
        <v>0</v>
      </c>
      <c r="Q215" s="76"/>
      <c r="R215" s="140">
        <f>IF((2*S9+2*S10)&gt;50,50,(2*S9+2*S10))</f>
        <v>50</v>
      </c>
      <c r="S215" s="79">
        <v>33.47</v>
      </c>
      <c r="T215" s="80">
        <v>56.72</v>
      </c>
    </row>
    <row r="216" spans="2:20" ht="70">
      <c r="B216" s="5" t="s">
        <v>552</v>
      </c>
      <c r="C216" s="45" t="s">
        <v>135</v>
      </c>
      <c r="D216" s="45">
        <v>100697</v>
      </c>
      <c r="E216" s="6" t="s">
        <v>1790</v>
      </c>
      <c r="F216" s="45" t="s">
        <v>210</v>
      </c>
      <c r="G216" s="46">
        <f t="shared" si="29"/>
        <v>50</v>
      </c>
      <c r="H216" s="46">
        <f>TRUNC(S216*(1-LOTE_02!$K$10),2)</f>
        <v>40.4</v>
      </c>
      <c r="I216" s="46">
        <f>TRUNC(T216*(1-LOTE_02!$K$10),2)</f>
        <v>69.5</v>
      </c>
      <c r="J216" s="100">
        <f t="shared" si="30"/>
        <v>0.22470000000000001</v>
      </c>
      <c r="K216" s="48">
        <f t="shared" si="24"/>
        <v>49.47</v>
      </c>
      <c r="L216" s="48">
        <f t="shared" si="25"/>
        <v>85.11</v>
      </c>
      <c r="M216" s="48">
        <f t="shared" si="26"/>
        <v>2473.5</v>
      </c>
      <c r="N216" s="48">
        <f t="shared" si="27"/>
        <v>4255.5</v>
      </c>
      <c r="O216" s="50">
        <f t="shared" si="28"/>
        <v>6729</v>
      </c>
      <c r="P216" s="50">
        <v>0</v>
      </c>
      <c r="Q216" s="76"/>
      <c r="R216" s="140">
        <f>IF((2*S9+2*S10)&gt;50,50,(2*S9+2*S10))</f>
        <v>50</v>
      </c>
      <c r="S216" s="79">
        <v>40.400000000000006</v>
      </c>
      <c r="T216" s="80">
        <v>69.5</v>
      </c>
    </row>
    <row r="217" spans="2:20" ht="70">
      <c r="B217" s="5" t="s">
        <v>553</v>
      </c>
      <c r="C217" s="45" t="s">
        <v>135</v>
      </c>
      <c r="D217" s="45">
        <v>90820</v>
      </c>
      <c r="E217" s="6" t="s">
        <v>1791</v>
      </c>
      <c r="F217" s="45" t="s">
        <v>210</v>
      </c>
      <c r="G217" s="46">
        <f t="shared" si="29"/>
        <v>45</v>
      </c>
      <c r="H217" s="46">
        <f>TRUNC(S217*(1-LOTE_02!$K$10),2)</f>
        <v>353.24</v>
      </c>
      <c r="I217" s="46">
        <f>TRUNC(T217*(1-LOTE_02!$K$10),2)</f>
        <v>36.950000000000003</v>
      </c>
      <c r="J217" s="100">
        <f t="shared" si="30"/>
        <v>0.22470000000000001</v>
      </c>
      <c r="K217" s="48">
        <f t="shared" si="24"/>
        <v>432.61</v>
      </c>
      <c r="L217" s="48">
        <f t="shared" si="25"/>
        <v>45.25</v>
      </c>
      <c r="M217" s="48">
        <f t="shared" si="26"/>
        <v>19467.45</v>
      </c>
      <c r="N217" s="48">
        <f t="shared" si="27"/>
        <v>2036.25</v>
      </c>
      <c r="O217" s="50">
        <f t="shared" si="28"/>
        <v>21503.7</v>
      </c>
      <c r="P217" s="50">
        <v>0</v>
      </c>
      <c r="Q217" s="76"/>
      <c r="R217" s="140">
        <f>IF((1*S9+1*S10)&gt;50,50,(1*S9+1*S10))</f>
        <v>45</v>
      </c>
      <c r="S217" s="79">
        <v>353.24</v>
      </c>
      <c r="T217" s="80">
        <v>36.950000000000003</v>
      </c>
    </row>
    <row r="218" spans="2:20" ht="70">
      <c r="B218" s="5" t="s">
        <v>554</v>
      </c>
      <c r="C218" s="45" t="s">
        <v>135</v>
      </c>
      <c r="D218" s="45">
        <v>90822</v>
      </c>
      <c r="E218" s="6" t="s">
        <v>1792</v>
      </c>
      <c r="F218" s="45" t="s">
        <v>210</v>
      </c>
      <c r="G218" s="46">
        <f t="shared" si="29"/>
        <v>50</v>
      </c>
      <c r="H218" s="46">
        <f>TRUNC(S218*(1-LOTE_02!$K$10),2)</f>
        <v>382.79</v>
      </c>
      <c r="I218" s="46">
        <f>TRUNC(T218*(1-LOTE_02!$K$10),2)</f>
        <v>44.71</v>
      </c>
      <c r="J218" s="100">
        <f t="shared" si="30"/>
        <v>0.22470000000000001</v>
      </c>
      <c r="K218" s="48">
        <f t="shared" si="24"/>
        <v>468.8</v>
      </c>
      <c r="L218" s="48">
        <f t="shared" si="25"/>
        <v>54.75</v>
      </c>
      <c r="M218" s="48">
        <f t="shared" si="26"/>
        <v>23440</v>
      </c>
      <c r="N218" s="48">
        <f t="shared" si="27"/>
        <v>2737.5</v>
      </c>
      <c r="O218" s="50">
        <f t="shared" si="28"/>
        <v>26177.5</v>
      </c>
      <c r="P218" s="50">
        <v>0</v>
      </c>
      <c r="Q218" s="76"/>
      <c r="R218" s="140">
        <f>IF((2*S9+2*S10)&gt;50,50,(2*S9+2*S10))</f>
        <v>50</v>
      </c>
      <c r="S218" s="79">
        <v>382.79</v>
      </c>
      <c r="T218" s="80">
        <v>44.71</v>
      </c>
    </row>
    <row r="219" spans="2:20" ht="70">
      <c r="B219" s="5" t="s">
        <v>555</v>
      </c>
      <c r="C219" s="45" t="s">
        <v>135</v>
      </c>
      <c r="D219" s="45">
        <v>90823</v>
      </c>
      <c r="E219" s="6" t="s">
        <v>1793</v>
      </c>
      <c r="F219" s="45" t="s">
        <v>210</v>
      </c>
      <c r="G219" s="46">
        <f t="shared" si="29"/>
        <v>50</v>
      </c>
      <c r="H219" s="46">
        <f>TRUNC(S219*(1-LOTE_02!$K$10),2)</f>
        <v>468.34</v>
      </c>
      <c r="I219" s="46">
        <f>TRUNC(T219*(1-LOTE_02!$K$10),2)</f>
        <v>48.19</v>
      </c>
      <c r="J219" s="100">
        <f t="shared" si="30"/>
        <v>0.22470000000000001</v>
      </c>
      <c r="K219" s="48">
        <f t="shared" si="24"/>
        <v>573.57000000000005</v>
      </c>
      <c r="L219" s="48">
        <f t="shared" si="25"/>
        <v>59.01</v>
      </c>
      <c r="M219" s="48">
        <f t="shared" si="26"/>
        <v>28678.5</v>
      </c>
      <c r="N219" s="48">
        <f t="shared" si="27"/>
        <v>2950.5</v>
      </c>
      <c r="O219" s="50">
        <f t="shared" si="28"/>
        <v>31629</v>
      </c>
      <c r="P219" s="50">
        <v>0</v>
      </c>
      <c r="Q219" s="76"/>
      <c r="R219" s="140">
        <f>IF((2*S9+2*S10)&gt;50,50,(2*S9+2*S10))</f>
        <v>50</v>
      </c>
      <c r="S219" s="79">
        <v>468.34</v>
      </c>
      <c r="T219" s="80">
        <v>48.19</v>
      </c>
    </row>
    <row r="220" spans="2:20" ht="28">
      <c r="B220" s="5" t="s">
        <v>556</v>
      </c>
      <c r="C220" s="45" t="s">
        <v>165</v>
      </c>
      <c r="D220" s="45" t="s">
        <v>557</v>
      </c>
      <c r="E220" s="6" t="s">
        <v>558</v>
      </c>
      <c r="F220" s="45" t="s">
        <v>559</v>
      </c>
      <c r="G220" s="46">
        <f t="shared" si="29"/>
        <v>50</v>
      </c>
      <c r="H220" s="46">
        <f>TRUNC(S220*(1-LOTE_02!$K$10),2)</f>
        <v>892.01</v>
      </c>
      <c r="I220" s="46">
        <f>TRUNC(T220*(1-LOTE_02!$K$10),2)</f>
        <v>163.52000000000001</v>
      </c>
      <c r="J220" s="100">
        <f t="shared" si="30"/>
        <v>0.22470000000000001</v>
      </c>
      <c r="K220" s="48">
        <f t="shared" si="24"/>
        <v>1092.44</v>
      </c>
      <c r="L220" s="48">
        <f t="shared" si="25"/>
        <v>200.26</v>
      </c>
      <c r="M220" s="48">
        <f t="shared" si="26"/>
        <v>54622</v>
      </c>
      <c r="N220" s="48">
        <f t="shared" si="27"/>
        <v>10013</v>
      </c>
      <c r="O220" s="50">
        <f t="shared" si="28"/>
        <v>64635</v>
      </c>
      <c r="P220" s="50">
        <v>0</v>
      </c>
      <c r="Q220" s="76"/>
      <c r="R220" s="140">
        <f>IF((2*S9+2*S10)&gt;50,50,(2*S9+2*S10))</f>
        <v>50</v>
      </c>
      <c r="S220" s="79">
        <v>892.01</v>
      </c>
      <c r="T220" s="80">
        <v>163.52000000000001</v>
      </c>
    </row>
    <row r="221" spans="2:20" ht="28">
      <c r="B221" s="5" t="s">
        <v>560</v>
      </c>
      <c r="C221" s="45" t="s">
        <v>165</v>
      </c>
      <c r="D221" s="45" t="s">
        <v>561</v>
      </c>
      <c r="E221" s="6" t="s">
        <v>562</v>
      </c>
      <c r="F221" s="45" t="s">
        <v>559</v>
      </c>
      <c r="G221" s="46">
        <f t="shared" si="29"/>
        <v>20</v>
      </c>
      <c r="H221" s="46">
        <f>TRUNC(S221*(1-LOTE_02!$K$10),2)</f>
        <v>1795.08</v>
      </c>
      <c r="I221" s="46">
        <f>TRUNC(T221*(1-LOTE_02!$K$10),2)</f>
        <v>163.52000000000001</v>
      </c>
      <c r="J221" s="100">
        <f t="shared" si="30"/>
        <v>0.22470000000000001</v>
      </c>
      <c r="K221" s="48">
        <f t="shared" si="24"/>
        <v>2198.4299999999998</v>
      </c>
      <c r="L221" s="48">
        <f t="shared" si="25"/>
        <v>200.26</v>
      </c>
      <c r="M221" s="48">
        <f t="shared" si="26"/>
        <v>43968.6</v>
      </c>
      <c r="N221" s="48">
        <f t="shared" si="27"/>
        <v>4005.2</v>
      </c>
      <c r="O221" s="50">
        <f t="shared" si="28"/>
        <v>47973.8</v>
      </c>
      <c r="P221" s="50">
        <v>0</v>
      </c>
      <c r="Q221" s="76"/>
      <c r="R221" s="140">
        <f>IF((1*S9+1*S10)&gt;20,20,(1*S9+1*S10))</f>
        <v>20</v>
      </c>
      <c r="S221" s="79">
        <v>1795.08</v>
      </c>
      <c r="T221" s="80">
        <v>163.52000000000001</v>
      </c>
    </row>
    <row r="222" spans="2:20" ht="98">
      <c r="B222" s="5" t="s">
        <v>563</v>
      </c>
      <c r="C222" s="45" t="s">
        <v>135</v>
      </c>
      <c r="D222" s="45">
        <v>90793</v>
      </c>
      <c r="E222" s="6" t="s">
        <v>1794</v>
      </c>
      <c r="F222" s="45" t="s">
        <v>210</v>
      </c>
      <c r="G222" s="46">
        <f t="shared" si="29"/>
        <v>20</v>
      </c>
      <c r="H222" s="46">
        <f>TRUNC(S222*(1-LOTE_02!$K$10),2)</f>
        <v>1148.26</v>
      </c>
      <c r="I222" s="46">
        <f>TRUNC(T222*(1-LOTE_02!$K$10),2)</f>
        <v>25.82</v>
      </c>
      <c r="J222" s="100">
        <f t="shared" si="30"/>
        <v>0.22470000000000001</v>
      </c>
      <c r="K222" s="48">
        <f t="shared" si="24"/>
        <v>1406.27</v>
      </c>
      <c r="L222" s="48">
        <f t="shared" si="25"/>
        <v>31.62</v>
      </c>
      <c r="M222" s="48">
        <f t="shared" si="26"/>
        <v>28125.4</v>
      </c>
      <c r="N222" s="48">
        <f t="shared" si="27"/>
        <v>632.4</v>
      </c>
      <c r="O222" s="50">
        <f t="shared" si="28"/>
        <v>28757.8</v>
      </c>
      <c r="P222" s="50">
        <v>0</v>
      </c>
      <c r="Q222" s="76"/>
      <c r="R222" s="140">
        <f>IF((2*S9+2*S10)&gt;20,20,(2*S9+2*S10))</f>
        <v>20</v>
      </c>
      <c r="S222" s="79">
        <v>1148.26</v>
      </c>
      <c r="T222" s="80">
        <v>25.82</v>
      </c>
    </row>
    <row r="223" spans="2:20" ht="56">
      <c r="B223" s="5" t="s">
        <v>564</v>
      </c>
      <c r="C223" s="45" t="s">
        <v>97</v>
      </c>
      <c r="D223" s="45" t="s">
        <v>565</v>
      </c>
      <c r="E223" s="6" t="s">
        <v>566</v>
      </c>
      <c r="F223" s="45" t="s">
        <v>104</v>
      </c>
      <c r="G223" s="46">
        <f t="shared" si="29"/>
        <v>225</v>
      </c>
      <c r="H223" s="46">
        <f>TRUNC(S223*(1-LOTE_02!$K$10),2)</f>
        <v>1705.84</v>
      </c>
      <c r="I223" s="46">
        <f>TRUNC(T223*(1-LOTE_02!$K$10),2)</f>
        <v>51</v>
      </c>
      <c r="J223" s="100">
        <f t="shared" si="30"/>
        <v>0.22470000000000001</v>
      </c>
      <c r="K223" s="48">
        <f t="shared" si="24"/>
        <v>2089.14</v>
      </c>
      <c r="L223" s="48">
        <f t="shared" si="25"/>
        <v>62.45</v>
      </c>
      <c r="M223" s="48">
        <f t="shared" si="26"/>
        <v>470056.5</v>
      </c>
      <c r="N223" s="48">
        <f t="shared" si="27"/>
        <v>14051.25</v>
      </c>
      <c r="O223" s="50">
        <f t="shared" si="28"/>
        <v>484107.75</v>
      </c>
      <c r="P223" s="50">
        <v>0</v>
      </c>
      <c r="Q223" s="76"/>
      <c r="R223" s="140">
        <f>5*(S9+S10)</f>
        <v>225</v>
      </c>
      <c r="S223" s="79">
        <v>1705.84</v>
      </c>
      <c r="T223" s="80">
        <v>51</v>
      </c>
    </row>
    <row r="224" spans="2:20" ht="28">
      <c r="B224" s="5" t="s">
        <v>567</v>
      </c>
      <c r="C224" s="45" t="s">
        <v>97</v>
      </c>
      <c r="D224" s="45" t="s">
        <v>568</v>
      </c>
      <c r="E224" s="6" t="s">
        <v>569</v>
      </c>
      <c r="F224" s="45" t="s">
        <v>104</v>
      </c>
      <c r="G224" s="46">
        <f t="shared" si="29"/>
        <v>50</v>
      </c>
      <c r="H224" s="46">
        <f>TRUNC(S224*(1-LOTE_02!$K$10),2)</f>
        <v>292.79000000000002</v>
      </c>
      <c r="I224" s="46">
        <f>TRUNC(T224*(1-LOTE_02!$K$10),2)</f>
        <v>14.85</v>
      </c>
      <c r="J224" s="100">
        <f t="shared" si="30"/>
        <v>0.22470000000000001</v>
      </c>
      <c r="K224" s="48">
        <f t="shared" si="24"/>
        <v>358.57</v>
      </c>
      <c r="L224" s="48">
        <f t="shared" si="25"/>
        <v>18.18</v>
      </c>
      <c r="M224" s="48">
        <f t="shared" si="26"/>
        <v>17928.5</v>
      </c>
      <c r="N224" s="48">
        <f t="shared" si="27"/>
        <v>909</v>
      </c>
      <c r="O224" s="50">
        <f t="shared" si="28"/>
        <v>18837.5</v>
      </c>
      <c r="P224" s="50">
        <v>0</v>
      </c>
      <c r="Q224" s="76"/>
      <c r="R224" s="140">
        <f>IF((2*S9+2*S10)&gt;50,50,(2*S9+2*S10))</f>
        <v>50</v>
      </c>
      <c r="S224" s="79">
        <v>292.79000000000002</v>
      </c>
      <c r="T224" s="80">
        <v>14.85</v>
      </c>
    </row>
    <row r="225" spans="2:20" ht="42">
      <c r="B225" s="5" t="s">
        <v>570</v>
      </c>
      <c r="C225" s="45" t="s">
        <v>135</v>
      </c>
      <c r="D225" s="45">
        <v>100701</v>
      </c>
      <c r="E225" s="6" t="s">
        <v>1795</v>
      </c>
      <c r="F225" s="45" t="s">
        <v>121</v>
      </c>
      <c r="G225" s="46">
        <f t="shared" si="29"/>
        <v>100</v>
      </c>
      <c r="H225" s="46">
        <f>TRUNC(S225*(1-LOTE_02!$K$10),2)</f>
        <v>679.36</v>
      </c>
      <c r="I225" s="46">
        <f>TRUNC(T225*(1-LOTE_02!$K$10),2)</f>
        <v>14.5</v>
      </c>
      <c r="J225" s="100">
        <f t="shared" si="30"/>
        <v>0.22470000000000001</v>
      </c>
      <c r="K225" s="48">
        <f t="shared" si="24"/>
        <v>832.01</v>
      </c>
      <c r="L225" s="48">
        <f t="shared" si="25"/>
        <v>17.75</v>
      </c>
      <c r="M225" s="48">
        <f t="shared" si="26"/>
        <v>83201</v>
      </c>
      <c r="N225" s="48">
        <f t="shared" si="27"/>
        <v>1775</v>
      </c>
      <c r="O225" s="50">
        <f t="shared" si="28"/>
        <v>84976</v>
      </c>
      <c r="P225" s="50">
        <v>0</v>
      </c>
      <c r="Q225" s="76"/>
      <c r="R225" s="140">
        <f>IF((5*S9+7*S10)&gt;100,100,(5*S9+7*S10))</f>
        <v>100</v>
      </c>
      <c r="S225" s="79">
        <v>679.36</v>
      </c>
      <c r="T225" s="80">
        <v>14.5</v>
      </c>
    </row>
    <row r="226" spans="2:20" ht="42">
      <c r="B226" s="5" t="s">
        <v>571</v>
      </c>
      <c r="C226" s="45" t="s">
        <v>135</v>
      </c>
      <c r="D226" s="45">
        <v>90838</v>
      </c>
      <c r="E226" s="6" t="s">
        <v>1796</v>
      </c>
      <c r="F226" s="45" t="s">
        <v>210</v>
      </c>
      <c r="G226" s="46">
        <f t="shared" si="29"/>
        <v>10</v>
      </c>
      <c r="H226" s="46">
        <f>TRUNC(S226*(1-LOTE_02!$K$10),2)</f>
        <v>1600.8</v>
      </c>
      <c r="I226" s="46">
        <f>TRUNC(T226*(1-LOTE_02!$K$10),2)</f>
        <v>100.18</v>
      </c>
      <c r="J226" s="100">
        <f t="shared" si="30"/>
        <v>0.22470000000000001</v>
      </c>
      <c r="K226" s="48">
        <f t="shared" si="24"/>
        <v>1960.49</v>
      </c>
      <c r="L226" s="48">
        <f t="shared" si="25"/>
        <v>122.69</v>
      </c>
      <c r="M226" s="48">
        <f t="shared" si="26"/>
        <v>19604.900000000001</v>
      </c>
      <c r="N226" s="48">
        <f t="shared" si="27"/>
        <v>1226.9000000000001</v>
      </c>
      <c r="O226" s="50">
        <f t="shared" si="28"/>
        <v>20831.8</v>
      </c>
      <c r="P226" s="50">
        <v>0</v>
      </c>
      <c r="Q226" s="76"/>
      <c r="R226" s="140">
        <f>IF((1*S9+1*S10)&gt;10,10,(1*S9+1*S10))</f>
        <v>10</v>
      </c>
      <c r="S226" s="79">
        <v>1600.8</v>
      </c>
      <c r="T226" s="80">
        <v>100.18</v>
      </c>
    </row>
    <row r="227" spans="2:20" ht="56">
      <c r="B227" s="5" t="s">
        <v>572</v>
      </c>
      <c r="C227" s="45" t="s">
        <v>135</v>
      </c>
      <c r="D227" s="45">
        <v>91341</v>
      </c>
      <c r="E227" s="6" t="s">
        <v>1797</v>
      </c>
      <c r="F227" s="45" t="s">
        <v>121</v>
      </c>
      <c r="G227" s="46">
        <f t="shared" si="29"/>
        <v>20</v>
      </c>
      <c r="H227" s="46">
        <f>TRUNC(S227*(1-LOTE_02!$K$10),2)</f>
        <v>552.38</v>
      </c>
      <c r="I227" s="46">
        <f>TRUNC(T227*(1-LOTE_02!$K$10),2)</f>
        <v>12.25</v>
      </c>
      <c r="J227" s="100">
        <f t="shared" si="30"/>
        <v>0.22470000000000001</v>
      </c>
      <c r="K227" s="48">
        <f t="shared" si="24"/>
        <v>676.49</v>
      </c>
      <c r="L227" s="48">
        <f t="shared" si="25"/>
        <v>15</v>
      </c>
      <c r="M227" s="48">
        <f t="shared" si="26"/>
        <v>13529.8</v>
      </c>
      <c r="N227" s="48">
        <f t="shared" si="27"/>
        <v>300</v>
      </c>
      <c r="O227" s="50">
        <f t="shared" si="28"/>
        <v>13829.8</v>
      </c>
      <c r="P227" s="50">
        <v>0</v>
      </c>
      <c r="Q227" s="76"/>
      <c r="R227" s="140">
        <f>IF((1*S9+2*S10)&gt;20,20,(1*S9+2*S10))</f>
        <v>20</v>
      </c>
      <c r="S227" s="79">
        <v>552.38</v>
      </c>
      <c r="T227" s="80">
        <v>12.25</v>
      </c>
    </row>
    <row r="228" spans="2:20" ht="56">
      <c r="B228" s="5" t="s">
        <v>573</v>
      </c>
      <c r="C228" s="45" t="s">
        <v>135</v>
      </c>
      <c r="D228" s="45">
        <v>100702</v>
      </c>
      <c r="E228" s="6" t="s">
        <v>1798</v>
      </c>
      <c r="F228" s="45" t="s">
        <v>121</v>
      </c>
      <c r="G228" s="46">
        <f t="shared" si="29"/>
        <v>50</v>
      </c>
      <c r="H228" s="46">
        <f>TRUNC(S228*(1-LOTE_02!$K$10),2)</f>
        <v>384.74</v>
      </c>
      <c r="I228" s="46">
        <f>TRUNC(T228*(1-LOTE_02!$K$10),2)</f>
        <v>9.17</v>
      </c>
      <c r="J228" s="100">
        <f t="shared" si="30"/>
        <v>0.22470000000000001</v>
      </c>
      <c r="K228" s="48">
        <f t="shared" si="24"/>
        <v>471.19</v>
      </c>
      <c r="L228" s="48">
        <f t="shared" si="25"/>
        <v>11.23</v>
      </c>
      <c r="M228" s="48">
        <f t="shared" si="26"/>
        <v>23559.5</v>
      </c>
      <c r="N228" s="48">
        <f t="shared" si="27"/>
        <v>561.5</v>
      </c>
      <c r="O228" s="50">
        <f t="shared" si="28"/>
        <v>24121</v>
      </c>
      <c r="P228" s="50">
        <v>0</v>
      </c>
      <c r="Q228" s="76"/>
      <c r="R228" s="140">
        <f>IF((10*S9+10*S10)&gt;50,50,(10*S9+10*S10))</f>
        <v>50</v>
      </c>
      <c r="S228" s="79">
        <v>384.74</v>
      </c>
      <c r="T228" s="80">
        <v>9.17</v>
      </c>
    </row>
    <row r="229" spans="2:20" ht="112">
      <c r="B229" s="5" t="s">
        <v>574</v>
      </c>
      <c r="C229" s="45" t="s">
        <v>135</v>
      </c>
      <c r="D229" s="45">
        <v>94569</v>
      </c>
      <c r="E229" s="6" t="s">
        <v>575</v>
      </c>
      <c r="F229" s="45" t="s">
        <v>121</v>
      </c>
      <c r="G229" s="46">
        <f t="shared" si="29"/>
        <v>50</v>
      </c>
      <c r="H229" s="46">
        <f>TRUNC(S229*(1-LOTE_02!$K$10),2)</f>
        <v>532.36</v>
      </c>
      <c r="I229" s="46">
        <f>TRUNC(T229*(1-LOTE_02!$K$10),2)</f>
        <v>30.98</v>
      </c>
      <c r="J229" s="100">
        <f t="shared" si="30"/>
        <v>0.22470000000000001</v>
      </c>
      <c r="K229" s="48">
        <f t="shared" si="24"/>
        <v>651.98</v>
      </c>
      <c r="L229" s="48">
        <f t="shared" si="25"/>
        <v>37.94</v>
      </c>
      <c r="M229" s="48">
        <f t="shared" si="26"/>
        <v>32599</v>
      </c>
      <c r="N229" s="48">
        <f t="shared" si="27"/>
        <v>1897</v>
      </c>
      <c r="O229" s="50">
        <f t="shared" si="28"/>
        <v>34496</v>
      </c>
      <c r="P229" s="50">
        <v>0</v>
      </c>
      <c r="Q229" s="76"/>
      <c r="R229" s="140">
        <f>IF((5*S9+5*S10)&gt;50,50,(5*S9+5*S10))</f>
        <v>50</v>
      </c>
      <c r="S229" s="79">
        <v>532.36</v>
      </c>
      <c r="T229" s="80">
        <v>30.98</v>
      </c>
    </row>
    <row r="230" spans="2:20" ht="140">
      <c r="B230" s="5" t="s">
        <v>576</v>
      </c>
      <c r="C230" s="45" t="s">
        <v>135</v>
      </c>
      <c r="D230" s="45">
        <v>94570</v>
      </c>
      <c r="E230" s="6" t="s">
        <v>577</v>
      </c>
      <c r="F230" s="45" t="s">
        <v>121</v>
      </c>
      <c r="G230" s="46">
        <f t="shared" si="29"/>
        <v>50</v>
      </c>
      <c r="H230" s="46">
        <f>TRUNC(S230*(1-LOTE_02!$K$10),2)</f>
        <v>285.35000000000002</v>
      </c>
      <c r="I230" s="46">
        <f>TRUNC(T230*(1-LOTE_02!$K$10),2)</f>
        <v>9.58</v>
      </c>
      <c r="J230" s="100">
        <f t="shared" si="30"/>
        <v>0.22470000000000001</v>
      </c>
      <c r="K230" s="48">
        <f t="shared" si="24"/>
        <v>349.46</v>
      </c>
      <c r="L230" s="48">
        <f t="shared" si="25"/>
        <v>11.73</v>
      </c>
      <c r="M230" s="48">
        <f t="shared" si="26"/>
        <v>17473</v>
      </c>
      <c r="N230" s="48">
        <f t="shared" si="27"/>
        <v>586.5</v>
      </c>
      <c r="O230" s="50">
        <f t="shared" si="28"/>
        <v>18059.5</v>
      </c>
      <c r="P230" s="50">
        <v>0</v>
      </c>
      <c r="Q230" s="76"/>
      <c r="R230" s="140">
        <f>IF((5*S9+5*S10)&gt;50,50,(5*S9+5*S10))</f>
        <v>50</v>
      </c>
      <c r="S230" s="79">
        <v>285.35000000000002</v>
      </c>
      <c r="T230" s="80">
        <v>9.58</v>
      </c>
    </row>
    <row r="231" spans="2:20" ht="98">
      <c r="B231" s="5" t="s">
        <v>578</v>
      </c>
      <c r="C231" s="45" t="s">
        <v>135</v>
      </c>
      <c r="D231" s="45">
        <v>100674</v>
      </c>
      <c r="E231" s="6" t="s">
        <v>579</v>
      </c>
      <c r="F231" s="45" t="s">
        <v>121</v>
      </c>
      <c r="G231" s="46">
        <f t="shared" si="29"/>
        <v>50</v>
      </c>
      <c r="H231" s="46">
        <f>TRUNC(S231*(1-LOTE_02!$K$10),2)</f>
        <v>617.05999999999995</v>
      </c>
      <c r="I231" s="46">
        <f>TRUNC(T231*(1-LOTE_02!$K$10),2)</f>
        <v>22.77</v>
      </c>
      <c r="J231" s="100">
        <f t="shared" si="30"/>
        <v>0.22470000000000001</v>
      </c>
      <c r="K231" s="48">
        <f t="shared" si="24"/>
        <v>755.71</v>
      </c>
      <c r="L231" s="48">
        <f t="shared" si="25"/>
        <v>27.88</v>
      </c>
      <c r="M231" s="48">
        <f t="shared" si="26"/>
        <v>37785.5</v>
      </c>
      <c r="N231" s="48">
        <f t="shared" si="27"/>
        <v>1394</v>
      </c>
      <c r="O231" s="50">
        <f t="shared" si="28"/>
        <v>39179.5</v>
      </c>
      <c r="P231" s="50">
        <v>0</v>
      </c>
      <c r="Q231" s="76"/>
      <c r="R231" s="140">
        <f>IF((5*S9+5*S10)&gt;50,50,(5*S9+5*S10))</f>
        <v>50</v>
      </c>
      <c r="S231" s="79">
        <v>617.06000000000006</v>
      </c>
      <c r="T231" s="80">
        <v>22.77</v>
      </c>
    </row>
    <row r="232" spans="2:20" ht="140">
      <c r="B232" s="5" t="s">
        <v>580</v>
      </c>
      <c r="C232" s="45" t="s">
        <v>135</v>
      </c>
      <c r="D232" s="45">
        <v>94573</v>
      </c>
      <c r="E232" s="6" t="s">
        <v>581</v>
      </c>
      <c r="F232" s="45" t="s">
        <v>121</v>
      </c>
      <c r="G232" s="46">
        <f t="shared" si="29"/>
        <v>50</v>
      </c>
      <c r="H232" s="46">
        <f>TRUNC(S232*(1-LOTE_02!$K$10),2)</f>
        <v>317.08999999999997</v>
      </c>
      <c r="I232" s="46">
        <f>TRUNC(T232*(1-LOTE_02!$K$10),2)</f>
        <v>9.57</v>
      </c>
      <c r="J232" s="100">
        <f t="shared" si="30"/>
        <v>0.22470000000000001</v>
      </c>
      <c r="K232" s="48">
        <f t="shared" si="24"/>
        <v>388.34</v>
      </c>
      <c r="L232" s="48">
        <f t="shared" si="25"/>
        <v>11.72</v>
      </c>
      <c r="M232" s="48">
        <f t="shared" si="26"/>
        <v>19417</v>
      </c>
      <c r="N232" s="48">
        <f t="shared" si="27"/>
        <v>586</v>
      </c>
      <c r="O232" s="50">
        <f t="shared" si="28"/>
        <v>20003</v>
      </c>
      <c r="P232" s="50">
        <v>0</v>
      </c>
      <c r="Q232" s="76"/>
      <c r="R232" s="140">
        <f>IF((5*S9+5*S10)&gt;50,50,(5*S9+5*S10))</f>
        <v>50</v>
      </c>
      <c r="S232" s="79">
        <v>317.09000000000003</v>
      </c>
      <c r="T232" s="80">
        <v>9.57</v>
      </c>
    </row>
    <row r="233" spans="2:20" ht="28">
      <c r="B233" s="5" t="s">
        <v>582</v>
      </c>
      <c r="C233" s="45" t="s">
        <v>165</v>
      </c>
      <c r="D233" s="45" t="s">
        <v>583</v>
      </c>
      <c r="E233" s="6" t="s">
        <v>584</v>
      </c>
      <c r="F233" s="45" t="s">
        <v>168</v>
      </c>
      <c r="G233" s="46">
        <f t="shared" si="29"/>
        <v>100</v>
      </c>
      <c r="H233" s="46">
        <f>TRUNC(S233*(1-LOTE_02!$K$10),2)</f>
        <v>652.55999999999995</v>
      </c>
      <c r="I233" s="46">
        <f>TRUNC(T233*(1-LOTE_02!$K$10),2)</f>
        <v>94.19</v>
      </c>
      <c r="J233" s="100">
        <f t="shared" si="30"/>
        <v>0.22470000000000001</v>
      </c>
      <c r="K233" s="48">
        <f t="shared" si="24"/>
        <v>799.19</v>
      </c>
      <c r="L233" s="48">
        <f t="shared" si="25"/>
        <v>115.35</v>
      </c>
      <c r="M233" s="48">
        <f t="shared" si="26"/>
        <v>79919</v>
      </c>
      <c r="N233" s="48">
        <f t="shared" si="27"/>
        <v>11535</v>
      </c>
      <c r="O233" s="50">
        <f t="shared" si="28"/>
        <v>91454</v>
      </c>
      <c r="P233" s="50">
        <v>0</v>
      </c>
      <c r="Q233" s="76"/>
      <c r="R233" s="140">
        <f>IF((20*S9+20*S10)&gt;100,100,(20*S9+20*S10))</f>
        <v>100</v>
      </c>
      <c r="S233" s="79">
        <v>652.55999999999995</v>
      </c>
      <c r="T233" s="80">
        <v>94.19</v>
      </c>
    </row>
    <row r="234" spans="2:20" ht="42">
      <c r="B234" s="5" t="s">
        <v>585</v>
      </c>
      <c r="C234" s="45" t="s">
        <v>135</v>
      </c>
      <c r="D234" s="45">
        <v>99861</v>
      </c>
      <c r="E234" s="6" t="s">
        <v>1799</v>
      </c>
      <c r="F234" s="45" t="s">
        <v>121</v>
      </c>
      <c r="G234" s="46">
        <f t="shared" si="29"/>
        <v>100</v>
      </c>
      <c r="H234" s="46">
        <f>TRUNC(S234*(1-LOTE_02!$K$10),2)</f>
        <v>313.51</v>
      </c>
      <c r="I234" s="46">
        <f>TRUNC(T234*(1-LOTE_02!$K$10),2)</f>
        <v>234.19</v>
      </c>
      <c r="J234" s="100">
        <f t="shared" si="30"/>
        <v>0.22470000000000001</v>
      </c>
      <c r="K234" s="48">
        <f t="shared" si="24"/>
        <v>383.95</v>
      </c>
      <c r="L234" s="48">
        <f t="shared" si="25"/>
        <v>286.81</v>
      </c>
      <c r="M234" s="48">
        <f t="shared" si="26"/>
        <v>38395</v>
      </c>
      <c r="N234" s="48">
        <f t="shared" si="27"/>
        <v>28681</v>
      </c>
      <c r="O234" s="50">
        <f t="shared" si="28"/>
        <v>67076</v>
      </c>
      <c r="P234" s="50">
        <v>0</v>
      </c>
      <c r="Q234" s="76"/>
      <c r="R234" s="140">
        <f>IF((20*S9+20*S10)&gt;100,100,(20*S9+20*S10))</f>
        <v>100</v>
      </c>
      <c r="S234" s="79">
        <v>313.51000000000005</v>
      </c>
      <c r="T234" s="80">
        <v>234.19</v>
      </c>
    </row>
    <row r="235" spans="2:20" ht="28">
      <c r="B235" s="5" t="s">
        <v>586</v>
      </c>
      <c r="C235" s="45" t="s">
        <v>97</v>
      </c>
      <c r="D235" s="45" t="s">
        <v>587</v>
      </c>
      <c r="E235" s="6" t="s">
        <v>588</v>
      </c>
      <c r="F235" s="45" t="s">
        <v>187</v>
      </c>
      <c r="G235" s="46">
        <f t="shared" si="29"/>
        <v>100</v>
      </c>
      <c r="H235" s="46">
        <f>TRUNC(S235*(1-LOTE_02!$K$10),2)</f>
        <v>407.73</v>
      </c>
      <c r="I235" s="46">
        <f>TRUNC(T235*(1-LOTE_02!$K$10),2)</f>
        <v>50.14</v>
      </c>
      <c r="J235" s="100">
        <f t="shared" si="30"/>
        <v>0.22470000000000001</v>
      </c>
      <c r="K235" s="48">
        <f t="shared" si="24"/>
        <v>499.34</v>
      </c>
      <c r="L235" s="48">
        <f t="shared" si="25"/>
        <v>61.4</v>
      </c>
      <c r="M235" s="48">
        <f t="shared" si="26"/>
        <v>49934</v>
      </c>
      <c r="N235" s="48">
        <f t="shared" si="27"/>
        <v>6140</v>
      </c>
      <c r="O235" s="50">
        <f t="shared" si="28"/>
        <v>56074</v>
      </c>
      <c r="P235" s="50">
        <v>0</v>
      </c>
      <c r="Q235" s="76"/>
      <c r="R235" s="140">
        <f>IF((10*S10+10*S9)&gt;100,100,(10*S10+10*S9))</f>
        <v>100</v>
      </c>
      <c r="S235" s="79">
        <v>407.73</v>
      </c>
      <c r="T235" s="80">
        <v>50.14</v>
      </c>
    </row>
    <row r="236" spans="2:20" ht="28">
      <c r="B236" s="5" t="s">
        <v>589</v>
      </c>
      <c r="C236" s="45" t="s">
        <v>165</v>
      </c>
      <c r="D236" s="45" t="s">
        <v>590</v>
      </c>
      <c r="E236" s="6" t="s">
        <v>591</v>
      </c>
      <c r="F236" s="45" t="s">
        <v>559</v>
      </c>
      <c r="G236" s="46">
        <f t="shared" si="29"/>
        <v>10</v>
      </c>
      <c r="H236" s="46">
        <f>TRUNC(S236*(1-LOTE_02!$K$10),2)</f>
        <v>1008.6</v>
      </c>
      <c r="I236" s="46">
        <f>TRUNC(T236*(1-LOTE_02!$K$10),2)</f>
        <v>18.84</v>
      </c>
      <c r="J236" s="100">
        <f t="shared" si="30"/>
        <v>0.22470000000000001</v>
      </c>
      <c r="K236" s="48">
        <f t="shared" si="24"/>
        <v>1235.23</v>
      </c>
      <c r="L236" s="48">
        <f t="shared" si="25"/>
        <v>23.07</v>
      </c>
      <c r="M236" s="48">
        <f t="shared" si="26"/>
        <v>12352.3</v>
      </c>
      <c r="N236" s="48">
        <f t="shared" si="27"/>
        <v>230.7</v>
      </c>
      <c r="O236" s="50">
        <f t="shared" si="28"/>
        <v>12583</v>
      </c>
      <c r="P236" s="50">
        <v>0</v>
      </c>
      <c r="Q236" s="76"/>
      <c r="R236" s="140">
        <f>IF((1*S9+1*S10)&gt;10,10,(1*S9+1*S10))</f>
        <v>10</v>
      </c>
      <c r="S236" s="79">
        <v>1008.6</v>
      </c>
      <c r="T236" s="80">
        <v>18.84</v>
      </c>
    </row>
    <row r="237" spans="2:20" ht="42">
      <c r="B237" s="5" t="s">
        <v>592</v>
      </c>
      <c r="C237" s="45" t="s">
        <v>97</v>
      </c>
      <c r="D237" s="45" t="s">
        <v>593</v>
      </c>
      <c r="E237" s="6" t="s">
        <v>594</v>
      </c>
      <c r="F237" s="45" t="s">
        <v>187</v>
      </c>
      <c r="G237" s="46">
        <f t="shared" si="29"/>
        <v>1500</v>
      </c>
      <c r="H237" s="46">
        <f>TRUNC(S237*(1-LOTE_02!$K$10),2)</f>
        <v>110.62</v>
      </c>
      <c r="I237" s="46">
        <f>TRUNC(T237*(1-LOTE_02!$K$10),2)</f>
        <v>95.85</v>
      </c>
      <c r="J237" s="100">
        <f t="shared" si="30"/>
        <v>0.22470000000000001</v>
      </c>
      <c r="K237" s="48">
        <f t="shared" si="24"/>
        <v>135.47</v>
      </c>
      <c r="L237" s="48">
        <f t="shared" si="25"/>
        <v>117.38</v>
      </c>
      <c r="M237" s="48">
        <f t="shared" si="26"/>
        <v>203205</v>
      </c>
      <c r="N237" s="48">
        <f t="shared" si="27"/>
        <v>176070</v>
      </c>
      <c r="O237" s="50">
        <f t="shared" si="28"/>
        <v>379275</v>
      </c>
      <c r="P237" s="50">
        <v>0</v>
      </c>
      <c r="Q237" s="76"/>
      <c r="R237" s="140">
        <f>IF((100*S9+100*S10)&gt;1500,1500,(100*S9+100*S10))</f>
        <v>1500</v>
      </c>
      <c r="S237" s="79">
        <v>110.62</v>
      </c>
      <c r="T237" s="80">
        <v>95.85</v>
      </c>
    </row>
    <row r="238" spans="2:20" ht="28">
      <c r="B238" s="5" t="s">
        <v>595</v>
      </c>
      <c r="C238" s="45" t="s">
        <v>165</v>
      </c>
      <c r="D238" s="45" t="s">
        <v>596</v>
      </c>
      <c r="E238" s="6" t="s">
        <v>597</v>
      </c>
      <c r="F238" s="45" t="s">
        <v>531</v>
      </c>
      <c r="G238" s="46">
        <f t="shared" si="29"/>
        <v>10</v>
      </c>
      <c r="H238" s="46">
        <f>TRUNC(S238*(1-LOTE_02!$K$10),2)</f>
        <v>129.37</v>
      </c>
      <c r="I238" s="46">
        <f>TRUNC(T238*(1-LOTE_02!$K$10),2)</f>
        <v>31.4</v>
      </c>
      <c r="J238" s="100">
        <f t="shared" si="30"/>
        <v>0.22470000000000001</v>
      </c>
      <c r="K238" s="48">
        <f t="shared" si="24"/>
        <v>158.43</v>
      </c>
      <c r="L238" s="48">
        <f t="shared" si="25"/>
        <v>38.450000000000003</v>
      </c>
      <c r="M238" s="48">
        <f t="shared" si="26"/>
        <v>1584.3</v>
      </c>
      <c r="N238" s="48">
        <f t="shared" si="27"/>
        <v>384.5</v>
      </c>
      <c r="O238" s="50">
        <f t="shared" si="28"/>
        <v>1968.8</v>
      </c>
      <c r="P238" s="50">
        <v>0</v>
      </c>
      <c r="Q238" s="76"/>
      <c r="R238" s="140">
        <f>IF((1*S9+1*S10)&gt;10,10,(1*S9+1*S10))</f>
        <v>10</v>
      </c>
      <c r="S238" s="79">
        <v>129.37</v>
      </c>
      <c r="T238" s="80">
        <v>31.4</v>
      </c>
    </row>
    <row r="239" spans="2:20" ht="28">
      <c r="B239" s="5" t="s">
        <v>598</v>
      </c>
      <c r="C239" s="45" t="s">
        <v>165</v>
      </c>
      <c r="D239" s="45" t="s">
        <v>599</v>
      </c>
      <c r="E239" s="6" t="s">
        <v>600</v>
      </c>
      <c r="F239" s="45" t="s">
        <v>559</v>
      </c>
      <c r="G239" s="46">
        <f t="shared" si="29"/>
        <v>10</v>
      </c>
      <c r="H239" s="46">
        <f>TRUNC(S239*(1-LOTE_02!$K$10),2)</f>
        <v>37.82</v>
      </c>
      <c r="I239" s="46">
        <f>TRUNC(T239*(1-LOTE_02!$K$10),2)</f>
        <v>1.91</v>
      </c>
      <c r="J239" s="100">
        <f t="shared" si="30"/>
        <v>0.22470000000000001</v>
      </c>
      <c r="K239" s="48">
        <f t="shared" si="24"/>
        <v>46.31</v>
      </c>
      <c r="L239" s="48">
        <f t="shared" si="25"/>
        <v>2.33</v>
      </c>
      <c r="M239" s="48">
        <f t="shared" si="26"/>
        <v>463.1</v>
      </c>
      <c r="N239" s="48">
        <f t="shared" si="27"/>
        <v>23.3</v>
      </c>
      <c r="O239" s="50">
        <f t="shared" si="28"/>
        <v>486.4</v>
      </c>
      <c r="P239" s="50">
        <v>0</v>
      </c>
      <c r="Q239" s="76"/>
      <c r="R239" s="140">
        <f>IF((1*S9+1*S10)&gt;10,10,(1*S9+1*S10))</f>
        <v>10</v>
      </c>
      <c r="S239" s="79">
        <v>37.82</v>
      </c>
      <c r="T239" s="80">
        <v>1.91</v>
      </c>
    </row>
    <row r="240" spans="2:20" ht="28">
      <c r="B240" s="5" t="s">
        <v>601</v>
      </c>
      <c r="C240" s="45" t="s">
        <v>97</v>
      </c>
      <c r="D240" s="45" t="s">
        <v>602</v>
      </c>
      <c r="E240" s="6" t="s">
        <v>603</v>
      </c>
      <c r="F240" s="45" t="s">
        <v>121</v>
      </c>
      <c r="G240" s="46">
        <f t="shared" si="29"/>
        <v>50</v>
      </c>
      <c r="H240" s="46">
        <f>TRUNC(S240*(1-LOTE_02!$K$10),2)</f>
        <v>378.21</v>
      </c>
      <c r="I240" s="46">
        <f>TRUNC(T240*(1-LOTE_02!$K$10),2)</f>
        <v>347.78</v>
      </c>
      <c r="J240" s="100">
        <f t="shared" si="30"/>
        <v>0.22470000000000001</v>
      </c>
      <c r="K240" s="48">
        <f t="shared" si="24"/>
        <v>463.19</v>
      </c>
      <c r="L240" s="48">
        <f t="shared" si="25"/>
        <v>425.92</v>
      </c>
      <c r="M240" s="48">
        <f t="shared" si="26"/>
        <v>23159.5</v>
      </c>
      <c r="N240" s="48">
        <f t="shared" si="27"/>
        <v>21296</v>
      </c>
      <c r="O240" s="50">
        <f t="shared" si="28"/>
        <v>44455.5</v>
      </c>
      <c r="P240" s="50">
        <v>0</v>
      </c>
      <c r="Q240" s="76"/>
      <c r="R240" s="140">
        <f>IF((5*S9+5*S10)&gt;50,50,(5*S9+5*S10))</f>
        <v>50</v>
      </c>
      <c r="S240" s="79">
        <v>378.21</v>
      </c>
      <c r="T240" s="80">
        <v>347.78</v>
      </c>
    </row>
    <row r="241" spans="2:20" ht="28">
      <c r="B241" s="5" t="s">
        <v>604</v>
      </c>
      <c r="C241" s="45" t="s">
        <v>97</v>
      </c>
      <c r="D241" s="45" t="s">
        <v>605</v>
      </c>
      <c r="E241" s="6" t="s">
        <v>606</v>
      </c>
      <c r="F241" s="45" t="s">
        <v>187</v>
      </c>
      <c r="G241" s="46">
        <f t="shared" si="29"/>
        <v>500</v>
      </c>
      <c r="H241" s="46">
        <f>TRUNC(S241*(1-LOTE_02!$K$10),2)</f>
        <v>49.74</v>
      </c>
      <c r="I241" s="46">
        <f>TRUNC(T241*(1-LOTE_02!$K$10),2)</f>
        <v>19.239999999999998</v>
      </c>
      <c r="J241" s="100">
        <f t="shared" si="30"/>
        <v>0.22470000000000001</v>
      </c>
      <c r="K241" s="48">
        <f t="shared" si="24"/>
        <v>60.91</v>
      </c>
      <c r="L241" s="48">
        <f t="shared" si="25"/>
        <v>23.56</v>
      </c>
      <c r="M241" s="48">
        <f t="shared" si="26"/>
        <v>30455</v>
      </c>
      <c r="N241" s="48">
        <f t="shared" si="27"/>
        <v>11780</v>
      </c>
      <c r="O241" s="50">
        <f t="shared" si="28"/>
        <v>42235</v>
      </c>
      <c r="P241" s="50">
        <v>0</v>
      </c>
      <c r="Q241" s="76"/>
      <c r="R241" s="140">
        <f>IF((100*S10+100*S9)&gt;500,500,(100*S10+100*S9))</f>
        <v>500</v>
      </c>
      <c r="S241" s="79">
        <v>49.74</v>
      </c>
      <c r="T241" s="80">
        <v>19.239999999999998</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78849.600000000006</v>
      </c>
      <c r="Q242" s="76"/>
      <c r="R242" s="154"/>
      <c r="S242" s="79" t="s">
        <v>22</v>
      </c>
      <c r="T242" s="80" t="s">
        <v>22</v>
      </c>
    </row>
    <row r="243" spans="2:20" ht="28">
      <c r="B243" s="5" t="s">
        <v>607</v>
      </c>
      <c r="C243" s="45" t="s">
        <v>135</v>
      </c>
      <c r="D243" s="45">
        <v>102188</v>
      </c>
      <c r="E243" s="6" t="s">
        <v>1800</v>
      </c>
      <c r="F243" s="45" t="s">
        <v>210</v>
      </c>
      <c r="G243" s="46">
        <f t="shared" si="29"/>
        <v>10</v>
      </c>
      <c r="H243" s="46">
        <f>TRUNC(S243*(1-LOTE_02!$K$10),2)</f>
        <v>1002.14</v>
      </c>
      <c r="I243" s="46">
        <f>TRUNC(T243*(1-LOTE_02!$K$10),2)</f>
        <v>71.38</v>
      </c>
      <c r="J243" s="100">
        <f t="shared" si="30"/>
        <v>0.22470000000000001</v>
      </c>
      <c r="K243" s="48">
        <f t="shared" si="24"/>
        <v>1227.32</v>
      </c>
      <c r="L243" s="48">
        <f t="shared" si="25"/>
        <v>87.41</v>
      </c>
      <c r="M243" s="48">
        <f t="shared" si="26"/>
        <v>12273.2</v>
      </c>
      <c r="N243" s="48">
        <f t="shared" si="27"/>
        <v>874.1</v>
      </c>
      <c r="O243" s="50">
        <f t="shared" si="28"/>
        <v>13147.3</v>
      </c>
      <c r="P243" s="50">
        <v>0</v>
      </c>
      <c r="Q243" s="76"/>
      <c r="R243" s="140">
        <f>IF((1*S9+1*S10)&gt;10,10,(1*S9+1*S10))</f>
        <v>10</v>
      </c>
      <c r="S243" s="79">
        <v>1002.14</v>
      </c>
      <c r="T243" s="80">
        <v>71.38</v>
      </c>
    </row>
    <row r="244" spans="2:20" ht="98">
      <c r="B244" s="5" t="s">
        <v>608</v>
      </c>
      <c r="C244" s="45" t="s">
        <v>135</v>
      </c>
      <c r="D244" s="45">
        <v>102189</v>
      </c>
      <c r="E244" s="6" t="s">
        <v>1801</v>
      </c>
      <c r="F244" s="45" t="s">
        <v>210</v>
      </c>
      <c r="G244" s="46">
        <f t="shared" si="29"/>
        <v>10</v>
      </c>
      <c r="H244" s="46">
        <f>TRUNC(S244*(1-LOTE_02!$K$10),2)</f>
        <v>208.25</v>
      </c>
      <c r="I244" s="46">
        <f>TRUNC(T244*(1-LOTE_02!$K$10),2)</f>
        <v>74.31</v>
      </c>
      <c r="J244" s="100">
        <f t="shared" si="30"/>
        <v>0.22470000000000001</v>
      </c>
      <c r="K244" s="48">
        <f t="shared" si="24"/>
        <v>255.04</v>
      </c>
      <c r="L244" s="48">
        <f t="shared" si="25"/>
        <v>91</v>
      </c>
      <c r="M244" s="48">
        <f t="shared" si="26"/>
        <v>2550.4</v>
      </c>
      <c r="N244" s="48">
        <f t="shared" si="27"/>
        <v>910</v>
      </c>
      <c r="O244" s="50">
        <f t="shared" si="28"/>
        <v>3460.4</v>
      </c>
      <c r="P244" s="50">
        <v>0</v>
      </c>
      <c r="Q244" s="76"/>
      <c r="R244" s="140">
        <f>IF((1*S9+1*S10)&gt;10,10,(1*S9+1*S10))</f>
        <v>10</v>
      </c>
      <c r="S244" s="79">
        <v>208.25</v>
      </c>
      <c r="T244" s="80">
        <v>74.31</v>
      </c>
    </row>
    <row r="245" spans="2:20" ht="28">
      <c r="B245" s="5" t="s">
        <v>609</v>
      </c>
      <c r="C245" s="45" t="s">
        <v>135</v>
      </c>
      <c r="D245" s="45">
        <v>100705</v>
      </c>
      <c r="E245" s="6" t="s">
        <v>1802</v>
      </c>
      <c r="F245" s="45" t="s">
        <v>210</v>
      </c>
      <c r="G245" s="46">
        <f t="shared" si="29"/>
        <v>50</v>
      </c>
      <c r="H245" s="46">
        <f>TRUNC(S245*(1-LOTE_02!$K$10),2)</f>
        <v>58.46</v>
      </c>
      <c r="I245" s="46">
        <f>TRUNC(T245*(1-LOTE_02!$K$10),2)</f>
        <v>22.47</v>
      </c>
      <c r="J245" s="100">
        <f t="shared" si="30"/>
        <v>0.22470000000000001</v>
      </c>
      <c r="K245" s="48">
        <f t="shared" si="24"/>
        <v>71.59</v>
      </c>
      <c r="L245" s="48">
        <f t="shared" si="25"/>
        <v>27.51</v>
      </c>
      <c r="M245" s="48">
        <f t="shared" si="26"/>
        <v>3579.5</v>
      </c>
      <c r="N245" s="48">
        <f t="shared" si="27"/>
        <v>1375.5</v>
      </c>
      <c r="O245" s="50">
        <f t="shared" si="28"/>
        <v>4955</v>
      </c>
      <c r="P245" s="50">
        <v>0</v>
      </c>
      <c r="Q245" s="76"/>
      <c r="R245" s="140">
        <f>IF((5*2*S10+2*S9)&gt;50,50,(5*2*S10+2*S9))</f>
        <v>50</v>
      </c>
      <c r="S245" s="79">
        <v>58.460000000000008</v>
      </c>
      <c r="T245" s="80">
        <v>22.47</v>
      </c>
    </row>
    <row r="246" spans="2:20" ht="56">
      <c r="B246" s="5" t="s">
        <v>610</v>
      </c>
      <c r="C246" s="45" t="s">
        <v>135</v>
      </c>
      <c r="D246" s="45">
        <v>100709</v>
      </c>
      <c r="E246" s="6" t="s">
        <v>1803</v>
      </c>
      <c r="F246" s="45" t="s">
        <v>210</v>
      </c>
      <c r="G246" s="46">
        <f t="shared" si="29"/>
        <v>50</v>
      </c>
      <c r="H246" s="46">
        <f>TRUNC(S246*(1-LOTE_02!$K$10),2)</f>
        <v>37.61</v>
      </c>
      <c r="I246" s="46">
        <f>TRUNC(T246*(1-LOTE_02!$K$10),2)</f>
        <v>30.92</v>
      </c>
      <c r="J246" s="100">
        <f t="shared" si="30"/>
        <v>0.22470000000000001</v>
      </c>
      <c r="K246" s="48">
        <f t="shared" si="24"/>
        <v>46.06</v>
      </c>
      <c r="L246" s="48">
        <f t="shared" si="25"/>
        <v>37.86</v>
      </c>
      <c r="M246" s="48">
        <f t="shared" si="26"/>
        <v>2303</v>
      </c>
      <c r="N246" s="48">
        <f t="shared" si="27"/>
        <v>1893</v>
      </c>
      <c r="O246" s="50">
        <f t="shared" si="28"/>
        <v>4196</v>
      </c>
      <c r="P246" s="50">
        <v>0</v>
      </c>
      <c r="Q246" s="76"/>
      <c r="R246" s="140">
        <f>IF((3*2*S9+3*2*S10)&gt;50,50,(3*2*S9+3*2*S10))</f>
        <v>50</v>
      </c>
      <c r="S246" s="79">
        <v>37.61</v>
      </c>
      <c r="T246" s="80">
        <v>30.92</v>
      </c>
    </row>
    <row r="247" spans="2:20" ht="28">
      <c r="B247" s="5" t="s">
        <v>611</v>
      </c>
      <c r="C247" s="45" t="s">
        <v>97</v>
      </c>
      <c r="D247" s="45" t="s">
        <v>612</v>
      </c>
      <c r="E247" s="6" t="s">
        <v>613</v>
      </c>
      <c r="F247" s="45" t="s">
        <v>104</v>
      </c>
      <c r="G247" s="46">
        <f t="shared" si="29"/>
        <v>30</v>
      </c>
      <c r="H247" s="46">
        <f>TRUNC(S247*(1-LOTE_02!$K$10),2)</f>
        <v>295.83</v>
      </c>
      <c r="I247" s="46">
        <f>TRUNC(T247*(1-LOTE_02!$K$10),2)</f>
        <v>22.18</v>
      </c>
      <c r="J247" s="100">
        <f t="shared" si="30"/>
        <v>0.22470000000000001</v>
      </c>
      <c r="K247" s="48">
        <f t="shared" si="24"/>
        <v>362.3</v>
      </c>
      <c r="L247" s="48">
        <f t="shared" si="25"/>
        <v>27.16</v>
      </c>
      <c r="M247" s="48">
        <f t="shared" si="26"/>
        <v>10869</v>
      </c>
      <c r="N247" s="48">
        <f t="shared" si="27"/>
        <v>814.8</v>
      </c>
      <c r="O247" s="50">
        <f t="shared" si="28"/>
        <v>11683.8</v>
      </c>
      <c r="P247" s="50">
        <v>0</v>
      </c>
      <c r="Q247" s="76"/>
      <c r="R247" s="140">
        <f>IF((1*S9+1*S10)&gt;30,30,(1*S9+1*S10))</f>
        <v>30</v>
      </c>
      <c r="S247" s="79">
        <v>295.83</v>
      </c>
      <c r="T247" s="80">
        <v>22.18</v>
      </c>
    </row>
    <row r="248" spans="2:20" ht="70">
      <c r="B248" s="5" t="s">
        <v>614</v>
      </c>
      <c r="C248" s="45" t="s">
        <v>135</v>
      </c>
      <c r="D248" s="45">
        <v>91306</v>
      </c>
      <c r="E248" s="6" t="s">
        <v>1804</v>
      </c>
      <c r="F248" s="45" t="s">
        <v>210</v>
      </c>
      <c r="G248" s="46">
        <f t="shared" si="29"/>
        <v>30</v>
      </c>
      <c r="H248" s="46">
        <f>TRUNC(S248*(1-LOTE_02!$K$10),2)</f>
        <v>159.19</v>
      </c>
      <c r="I248" s="46">
        <f>TRUNC(T248*(1-LOTE_02!$K$10),2)</f>
        <v>24.35</v>
      </c>
      <c r="J248" s="100">
        <f t="shared" si="30"/>
        <v>0.22470000000000001</v>
      </c>
      <c r="K248" s="48">
        <f t="shared" si="24"/>
        <v>194.95</v>
      </c>
      <c r="L248" s="48">
        <f t="shared" si="25"/>
        <v>29.82</v>
      </c>
      <c r="M248" s="48">
        <f t="shared" si="26"/>
        <v>5848.5</v>
      </c>
      <c r="N248" s="48">
        <f t="shared" si="27"/>
        <v>894.6</v>
      </c>
      <c r="O248" s="50">
        <f t="shared" si="28"/>
        <v>6743.1</v>
      </c>
      <c r="P248" s="50">
        <v>0</v>
      </c>
      <c r="Q248" s="76"/>
      <c r="R248" s="140">
        <f>IF((2*S9+3*S10)&gt;30,30,(2*S9+3*S10))</f>
        <v>30</v>
      </c>
      <c r="S248" s="79">
        <v>159.19</v>
      </c>
      <c r="T248" s="80">
        <v>24.35</v>
      </c>
    </row>
    <row r="249" spans="2:20" ht="70">
      <c r="B249" s="5" t="s">
        <v>615</v>
      </c>
      <c r="C249" s="45" t="s">
        <v>135</v>
      </c>
      <c r="D249" s="45">
        <v>90831</v>
      </c>
      <c r="E249" s="6" t="s">
        <v>1805</v>
      </c>
      <c r="F249" s="45" t="s">
        <v>210</v>
      </c>
      <c r="G249" s="46">
        <f t="shared" si="29"/>
        <v>30</v>
      </c>
      <c r="H249" s="46">
        <f>TRUNC(S249*(1-LOTE_02!$K$10),2)</f>
        <v>159.19</v>
      </c>
      <c r="I249" s="46">
        <f>TRUNC(T249*(1-LOTE_02!$K$10),2)</f>
        <v>24.35</v>
      </c>
      <c r="J249" s="100">
        <f t="shared" si="30"/>
        <v>0.22470000000000001</v>
      </c>
      <c r="K249" s="48">
        <f t="shared" si="24"/>
        <v>194.95</v>
      </c>
      <c r="L249" s="48">
        <f t="shared" si="25"/>
        <v>29.82</v>
      </c>
      <c r="M249" s="48">
        <f t="shared" si="26"/>
        <v>5848.5</v>
      </c>
      <c r="N249" s="48">
        <f t="shared" si="27"/>
        <v>894.6</v>
      </c>
      <c r="O249" s="50">
        <f t="shared" si="28"/>
        <v>6743.1</v>
      </c>
      <c r="P249" s="50">
        <v>0</v>
      </c>
      <c r="Q249" s="76"/>
      <c r="R249" s="140">
        <f>IF((2*S9+2*S10)&gt;30,30,(2*S9+2*S10))</f>
        <v>30</v>
      </c>
      <c r="S249" s="79">
        <v>159.19</v>
      </c>
      <c r="T249" s="80">
        <v>24.35</v>
      </c>
    </row>
    <row r="250" spans="2:20" ht="70">
      <c r="B250" s="5" t="s">
        <v>616</v>
      </c>
      <c r="C250" s="45" t="s">
        <v>135</v>
      </c>
      <c r="D250" s="45">
        <v>90830</v>
      </c>
      <c r="E250" s="6" t="s">
        <v>1806</v>
      </c>
      <c r="F250" s="45" t="s">
        <v>210</v>
      </c>
      <c r="G250" s="46">
        <f t="shared" si="29"/>
        <v>30</v>
      </c>
      <c r="H250" s="46">
        <f>TRUNC(S250*(1-LOTE_02!$K$10),2)</f>
        <v>179.24</v>
      </c>
      <c r="I250" s="46">
        <f>TRUNC(T250*(1-LOTE_02!$K$10),2)</f>
        <v>31.97</v>
      </c>
      <c r="J250" s="100">
        <f t="shared" si="30"/>
        <v>0.22470000000000001</v>
      </c>
      <c r="K250" s="48">
        <f t="shared" si="24"/>
        <v>219.51</v>
      </c>
      <c r="L250" s="48">
        <f t="shared" si="25"/>
        <v>39.15</v>
      </c>
      <c r="M250" s="48">
        <f t="shared" si="26"/>
        <v>6585.3</v>
      </c>
      <c r="N250" s="48">
        <f t="shared" si="27"/>
        <v>1174.5</v>
      </c>
      <c r="O250" s="50">
        <f t="shared" si="28"/>
        <v>7759.8</v>
      </c>
      <c r="P250" s="50">
        <v>0</v>
      </c>
      <c r="Q250" s="76"/>
      <c r="R250" s="140">
        <f>IF((1*S9+1*S10)&gt;30,30,(1*S9+1*S10))</f>
        <v>30</v>
      </c>
      <c r="S250" s="79">
        <v>179.24</v>
      </c>
      <c r="T250" s="80">
        <v>31.97</v>
      </c>
    </row>
    <row r="251" spans="2:20" ht="42">
      <c r="B251" s="5" t="s">
        <v>617</v>
      </c>
      <c r="C251" s="45" t="s">
        <v>97</v>
      </c>
      <c r="D251" s="45" t="s">
        <v>618</v>
      </c>
      <c r="E251" s="6" t="s">
        <v>619</v>
      </c>
      <c r="F251" s="45" t="s">
        <v>104</v>
      </c>
      <c r="G251" s="46">
        <f t="shared" si="29"/>
        <v>10</v>
      </c>
      <c r="H251" s="46">
        <f>TRUNC(S251*(1-LOTE_02!$K$10),2)</f>
        <v>119.86</v>
      </c>
      <c r="I251" s="46">
        <f>TRUNC(T251*(1-LOTE_02!$K$10),2)</f>
        <v>28.96</v>
      </c>
      <c r="J251" s="100">
        <f t="shared" si="30"/>
        <v>0.22470000000000001</v>
      </c>
      <c r="K251" s="48">
        <f t="shared" si="24"/>
        <v>146.79</v>
      </c>
      <c r="L251" s="48">
        <f t="shared" si="25"/>
        <v>35.46</v>
      </c>
      <c r="M251" s="48">
        <f t="shared" si="26"/>
        <v>1467.9</v>
      </c>
      <c r="N251" s="48">
        <f t="shared" si="27"/>
        <v>354.6</v>
      </c>
      <c r="O251" s="50">
        <f t="shared" si="28"/>
        <v>1822.5</v>
      </c>
      <c r="P251" s="50">
        <v>0</v>
      </c>
      <c r="Q251" s="76"/>
      <c r="R251" s="140">
        <f>IF((1*S9+1*S10)&gt;10,10,(1*S9+1*S10))</f>
        <v>10</v>
      </c>
      <c r="S251" s="79">
        <v>119.86</v>
      </c>
      <c r="T251" s="80">
        <v>28.96</v>
      </c>
    </row>
    <row r="252" spans="2:20" ht="98">
      <c r="B252" s="5" t="s">
        <v>620</v>
      </c>
      <c r="C252" s="45" t="s">
        <v>97</v>
      </c>
      <c r="D252" s="45" t="s">
        <v>621</v>
      </c>
      <c r="E252" s="7" t="s">
        <v>622</v>
      </c>
      <c r="F252" s="45" t="s">
        <v>104</v>
      </c>
      <c r="G252" s="46">
        <f t="shared" si="29"/>
        <v>10</v>
      </c>
      <c r="H252" s="46">
        <f>TRUNC(S252*(1-LOTE_02!$K$10),2)</f>
        <v>801.91</v>
      </c>
      <c r="I252" s="46">
        <f>TRUNC(T252*(1-LOTE_02!$K$10),2)</f>
        <v>695.5</v>
      </c>
      <c r="J252" s="100">
        <f t="shared" si="30"/>
        <v>0.22470000000000001</v>
      </c>
      <c r="K252" s="48">
        <f t="shared" si="24"/>
        <v>982.09</v>
      </c>
      <c r="L252" s="48">
        <f t="shared" si="25"/>
        <v>851.77</v>
      </c>
      <c r="M252" s="48">
        <f t="shared" si="26"/>
        <v>9820.9</v>
      </c>
      <c r="N252" s="48">
        <f t="shared" si="27"/>
        <v>8517.7000000000007</v>
      </c>
      <c r="O252" s="50">
        <f t="shared" si="28"/>
        <v>18338.599999999999</v>
      </c>
      <c r="P252" s="50">
        <v>0</v>
      </c>
      <c r="Q252" s="76"/>
      <c r="R252" s="140">
        <f>IF((1*S9+1*S10)&gt;10,10,(1*S9+1*S10))</f>
        <v>10</v>
      </c>
      <c r="S252" s="79">
        <v>801.91</v>
      </c>
      <c r="T252" s="80">
        <v>695.5</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6170796</v>
      </c>
      <c r="Q253" s="76"/>
      <c r="R253" s="154"/>
      <c r="S253" s="79" t="s">
        <v>22</v>
      </c>
      <c r="T253" s="80" t="s">
        <v>22</v>
      </c>
    </row>
    <row r="254" spans="2:20" ht="70">
      <c r="B254" s="5" t="s">
        <v>623</v>
      </c>
      <c r="C254" s="45" t="s">
        <v>97</v>
      </c>
      <c r="D254" s="45" t="s">
        <v>624</v>
      </c>
      <c r="E254" s="6" t="s">
        <v>625</v>
      </c>
      <c r="F254" s="45" t="s">
        <v>121</v>
      </c>
      <c r="G254" s="46">
        <f t="shared" si="29"/>
        <v>2000</v>
      </c>
      <c r="H254" s="46">
        <f>TRUNC(S254*(1-LOTE_02!$K$10),2)</f>
        <v>19.78</v>
      </c>
      <c r="I254" s="46">
        <f>TRUNC(T254*(1-LOTE_02!$K$10),2)</f>
        <v>3.61</v>
      </c>
      <c r="J254" s="100">
        <f t="shared" si="30"/>
        <v>0.22470000000000001</v>
      </c>
      <c r="K254" s="48">
        <f t="shared" si="24"/>
        <v>24.22</v>
      </c>
      <c r="L254" s="48">
        <f t="shared" si="25"/>
        <v>4.42</v>
      </c>
      <c r="M254" s="48">
        <f t="shared" si="26"/>
        <v>48440</v>
      </c>
      <c r="N254" s="48">
        <f t="shared" si="27"/>
        <v>8840</v>
      </c>
      <c r="O254" s="50">
        <f t="shared" si="28"/>
        <v>57280</v>
      </c>
      <c r="P254" s="50">
        <v>0</v>
      </c>
      <c r="Q254" s="76"/>
      <c r="R254" s="140">
        <f>IF((50*S9+200*S10)&gt;2000,2000,(50*S9+200*S10))</f>
        <v>2000</v>
      </c>
      <c r="S254" s="79">
        <v>19.78</v>
      </c>
      <c r="T254" s="80">
        <v>3.61</v>
      </c>
    </row>
    <row r="255" spans="2:20" ht="84">
      <c r="B255" s="5" t="s">
        <v>626</v>
      </c>
      <c r="C255" s="45" t="s">
        <v>135</v>
      </c>
      <c r="D255" s="45">
        <v>92543</v>
      </c>
      <c r="E255" s="6" t="s">
        <v>1807</v>
      </c>
      <c r="F255" s="45" t="s">
        <v>121</v>
      </c>
      <c r="G255" s="46">
        <f t="shared" si="29"/>
        <v>1000</v>
      </c>
      <c r="H255" s="46">
        <f>TRUNC(S255*(1-LOTE_02!$K$10),2)</f>
        <v>25.4</v>
      </c>
      <c r="I255" s="46">
        <f>TRUNC(T255*(1-LOTE_02!$K$10),2)</f>
        <v>4.5999999999999996</v>
      </c>
      <c r="J255" s="100">
        <f t="shared" si="30"/>
        <v>0.22470000000000001</v>
      </c>
      <c r="K255" s="48">
        <f t="shared" si="24"/>
        <v>31.1</v>
      </c>
      <c r="L255" s="48">
        <f t="shared" si="25"/>
        <v>5.63</v>
      </c>
      <c r="M255" s="48">
        <f t="shared" si="26"/>
        <v>31100</v>
      </c>
      <c r="N255" s="48">
        <f t="shared" si="27"/>
        <v>5630</v>
      </c>
      <c r="O255" s="50">
        <f t="shared" si="28"/>
        <v>36730</v>
      </c>
      <c r="P255" s="50">
        <v>0</v>
      </c>
      <c r="Q255" s="76"/>
      <c r="R255" s="140">
        <f>IF((10*S9+200*S10)&gt;1000,1000,(10*S9+200*S10))</f>
        <v>1000</v>
      </c>
      <c r="S255" s="79">
        <v>25.4</v>
      </c>
      <c r="T255" s="80">
        <v>4.5999999999999996</v>
      </c>
    </row>
    <row r="256" spans="2:20" ht="98">
      <c r="B256" s="5" t="s">
        <v>627</v>
      </c>
      <c r="C256" s="45" t="s">
        <v>135</v>
      </c>
      <c r="D256" s="45">
        <v>92580</v>
      </c>
      <c r="E256" s="6" t="s">
        <v>1808</v>
      </c>
      <c r="F256" s="45" t="s">
        <v>121</v>
      </c>
      <c r="G256" s="46">
        <f t="shared" si="29"/>
        <v>5000</v>
      </c>
      <c r="H256" s="46">
        <f>TRUNC(S256*(1-LOTE_02!$K$10),2)</f>
        <v>45.1</v>
      </c>
      <c r="I256" s="46">
        <f>TRUNC(T256*(1-LOTE_02!$K$10),2)</f>
        <v>5.99</v>
      </c>
      <c r="J256" s="100">
        <f t="shared" si="30"/>
        <v>0.22470000000000001</v>
      </c>
      <c r="K256" s="48">
        <f t="shared" si="24"/>
        <v>55.23</v>
      </c>
      <c r="L256" s="48">
        <f t="shared" si="25"/>
        <v>7.33</v>
      </c>
      <c r="M256" s="48">
        <f t="shared" si="26"/>
        <v>276150</v>
      </c>
      <c r="N256" s="48">
        <f t="shared" si="27"/>
        <v>36650</v>
      </c>
      <c r="O256" s="50">
        <f t="shared" si="28"/>
        <v>312800</v>
      </c>
      <c r="P256" s="50">
        <v>0</v>
      </c>
      <c r="Q256" s="76"/>
      <c r="R256" s="140">
        <f>IF((10*S9+200*S10)&gt;5000,5000,(10*S9+200*S10))</f>
        <v>5000</v>
      </c>
      <c r="S256" s="79">
        <v>45.1</v>
      </c>
      <c r="T256" s="80">
        <v>5.99</v>
      </c>
    </row>
    <row r="257" spans="2:20" ht="84">
      <c r="B257" s="5" t="s">
        <v>628</v>
      </c>
      <c r="C257" s="45" t="s">
        <v>135</v>
      </c>
      <c r="D257" s="45">
        <v>94207</v>
      </c>
      <c r="E257" s="6" t="s">
        <v>629</v>
      </c>
      <c r="F257" s="45" t="s">
        <v>121</v>
      </c>
      <c r="G257" s="46">
        <f t="shared" si="29"/>
        <v>1000</v>
      </c>
      <c r="H257" s="46">
        <f>TRUNC(S257*(1-LOTE_02!$K$10),2)</f>
        <v>68.39</v>
      </c>
      <c r="I257" s="46">
        <f>TRUNC(T257*(1-LOTE_02!$K$10),2)</f>
        <v>4.74</v>
      </c>
      <c r="J257" s="100">
        <f t="shared" si="30"/>
        <v>0.22470000000000001</v>
      </c>
      <c r="K257" s="48">
        <f t="shared" si="24"/>
        <v>83.75</v>
      </c>
      <c r="L257" s="48">
        <f t="shared" si="25"/>
        <v>5.8</v>
      </c>
      <c r="M257" s="48">
        <f t="shared" si="26"/>
        <v>83750</v>
      </c>
      <c r="N257" s="48">
        <f t="shared" si="27"/>
        <v>5800</v>
      </c>
      <c r="O257" s="50">
        <f t="shared" si="28"/>
        <v>89550</v>
      </c>
      <c r="P257" s="50">
        <v>0</v>
      </c>
      <c r="Q257" s="76"/>
      <c r="R257" s="140">
        <f>IF((10*S9+200*S10)&gt;1000,1000,(10*S9+200*S10))</f>
        <v>1000</v>
      </c>
      <c r="S257" s="79">
        <v>68.39</v>
      </c>
      <c r="T257" s="80">
        <v>4.74</v>
      </c>
    </row>
    <row r="258" spans="2:20" ht="42">
      <c r="B258" s="5" t="s">
        <v>630</v>
      </c>
      <c r="C258" s="45" t="s">
        <v>135</v>
      </c>
      <c r="D258" s="45">
        <v>94216</v>
      </c>
      <c r="E258" s="6" t="s">
        <v>631</v>
      </c>
      <c r="F258" s="45" t="s">
        <v>121</v>
      </c>
      <c r="G258" s="46">
        <f t="shared" si="29"/>
        <v>1000</v>
      </c>
      <c r="H258" s="46">
        <f>TRUNC(S258*(1-LOTE_02!$K$10),2)</f>
        <v>187.31</v>
      </c>
      <c r="I258" s="46">
        <f>TRUNC(T258*(1-LOTE_02!$K$10),2)</f>
        <v>1.94</v>
      </c>
      <c r="J258" s="100">
        <f t="shared" si="30"/>
        <v>0.22470000000000001</v>
      </c>
      <c r="K258" s="48">
        <f t="shared" si="24"/>
        <v>229.39</v>
      </c>
      <c r="L258" s="48">
        <f t="shared" si="25"/>
        <v>2.37</v>
      </c>
      <c r="M258" s="48">
        <f t="shared" si="26"/>
        <v>229390</v>
      </c>
      <c r="N258" s="48">
        <f t="shared" si="27"/>
        <v>2370</v>
      </c>
      <c r="O258" s="50">
        <f t="shared" si="28"/>
        <v>231760</v>
      </c>
      <c r="P258" s="50">
        <v>0</v>
      </c>
      <c r="Q258" s="76"/>
      <c r="R258" s="140">
        <f>IF((10*S9+200*S10)&gt;1000,1000,(10*S9+200*S10))</f>
        <v>1000</v>
      </c>
      <c r="S258" s="79">
        <v>187.31</v>
      </c>
      <c r="T258" s="80">
        <v>1.94</v>
      </c>
    </row>
    <row r="259" spans="2:20" ht="42">
      <c r="B259" s="5" t="s">
        <v>632</v>
      </c>
      <c r="C259" s="45" t="s">
        <v>135</v>
      </c>
      <c r="D259" s="45">
        <v>94213</v>
      </c>
      <c r="E259" s="6" t="s">
        <v>633</v>
      </c>
      <c r="F259" s="45" t="s">
        <v>121</v>
      </c>
      <c r="G259" s="46">
        <f t="shared" si="29"/>
        <v>1000</v>
      </c>
      <c r="H259" s="46">
        <f>TRUNC(S259*(1-LOTE_02!$K$10),2)</f>
        <v>65.61</v>
      </c>
      <c r="I259" s="46">
        <f>TRUNC(T259*(1-LOTE_02!$K$10),2)</f>
        <v>3.08</v>
      </c>
      <c r="J259" s="100">
        <f t="shared" si="30"/>
        <v>0.22470000000000001</v>
      </c>
      <c r="K259" s="48">
        <f t="shared" si="24"/>
        <v>80.349999999999994</v>
      </c>
      <c r="L259" s="48">
        <f t="shared" si="25"/>
        <v>3.77</v>
      </c>
      <c r="M259" s="48">
        <f t="shared" si="26"/>
        <v>80350</v>
      </c>
      <c r="N259" s="48">
        <f t="shared" si="27"/>
        <v>3770</v>
      </c>
      <c r="O259" s="50">
        <f t="shared" si="28"/>
        <v>84120</v>
      </c>
      <c r="P259" s="50">
        <v>0</v>
      </c>
      <c r="Q259" s="76"/>
      <c r="R259" s="140">
        <f>IF((10*S9+200*S10)&gt;1000,1000,(10*S9+200*S10))</f>
        <v>1000</v>
      </c>
      <c r="S259" s="79">
        <v>65.61</v>
      </c>
      <c r="T259" s="80">
        <v>3.08</v>
      </c>
    </row>
    <row r="260" spans="2:20" ht="56">
      <c r="B260" s="5" t="s">
        <v>634</v>
      </c>
      <c r="C260" s="45" t="s">
        <v>135</v>
      </c>
      <c r="D260" s="45">
        <v>94227</v>
      </c>
      <c r="E260" s="6" t="s">
        <v>635</v>
      </c>
      <c r="F260" s="45" t="s">
        <v>187</v>
      </c>
      <c r="G260" s="46">
        <f t="shared" si="29"/>
        <v>500</v>
      </c>
      <c r="H260" s="46">
        <f>TRUNC(S260*(1-LOTE_02!$K$10),2)</f>
        <v>55.23</v>
      </c>
      <c r="I260" s="46">
        <f>TRUNC(T260*(1-LOTE_02!$K$10),2)</f>
        <v>8.44</v>
      </c>
      <c r="J260" s="100">
        <f t="shared" si="30"/>
        <v>0.22470000000000001</v>
      </c>
      <c r="K260" s="48">
        <f t="shared" si="24"/>
        <v>67.64</v>
      </c>
      <c r="L260" s="48">
        <f t="shared" si="25"/>
        <v>10.33</v>
      </c>
      <c r="M260" s="48">
        <f t="shared" si="26"/>
        <v>33820</v>
      </c>
      <c r="N260" s="48">
        <f t="shared" si="27"/>
        <v>5165</v>
      </c>
      <c r="O260" s="50">
        <f t="shared" si="28"/>
        <v>38985</v>
      </c>
      <c r="P260" s="50">
        <v>0</v>
      </c>
      <c r="Q260" s="76"/>
      <c r="R260" s="140">
        <f>IF((50*S10+50*S9)&gt;500,500,(50*S10+50*S9))</f>
        <v>500</v>
      </c>
      <c r="S260" s="79">
        <v>55.230000000000004</v>
      </c>
      <c r="T260" s="80">
        <v>8.44</v>
      </c>
    </row>
    <row r="261" spans="2:20" ht="56">
      <c r="B261" s="5" t="s">
        <v>636</v>
      </c>
      <c r="C261" s="45" t="s">
        <v>135</v>
      </c>
      <c r="D261" s="45">
        <v>94228</v>
      </c>
      <c r="E261" s="6" t="s">
        <v>637</v>
      </c>
      <c r="F261" s="45" t="s">
        <v>187</v>
      </c>
      <c r="G261" s="46">
        <f t="shared" si="29"/>
        <v>500</v>
      </c>
      <c r="H261" s="46">
        <f>TRUNC(S261*(1-LOTE_02!$K$10),2)</f>
        <v>76.11</v>
      </c>
      <c r="I261" s="46">
        <f>TRUNC(T261*(1-LOTE_02!$K$10),2)</f>
        <v>11.53</v>
      </c>
      <c r="J261" s="100">
        <f t="shared" si="30"/>
        <v>0.22470000000000001</v>
      </c>
      <c r="K261" s="48">
        <f t="shared" si="24"/>
        <v>93.21</v>
      </c>
      <c r="L261" s="48">
        <f t="shared" si="25"/>
        <v>14.12</v>
      </c>
      <c r="M261" s="48">
        <f t="shared" si="26"/>
        <v>46605</v>
      </c>
      <c r="N261" s="48">
        <f t="shared" si="27"/>
        <v>7060</v>
      </c>
      <c r="O261" s="50">
        <f t="shared" si="28"/>
        <v>53665</v>
      </c>
      <c r="P261" s="50">
        <v>0</v>
      </c>
      <c r="Q261" s="76"/>
      <c r="R261" s="140">
        <f>IF((50*S10+20*S9)&gt;500,500,(50*S10+20*S9))</f>
        <v>500</v>
      </c>
      <c r="S261" s="79">
        <v>76.11</v>
      </c>
      <c r="T261" s="80">
        <v>11.53</v>
      </c>
    </row>
    <row r="262" spans="2:20" ht="56">
      <c r="B262" s="5" t="s">
        <v>638</v>
      </c>
      <c r="C262" s="45" t="s">
        <v>135</v>
      </c>
      <c r="D262" s="45">
        <v>94229</v>
      </c>
      <c r="E262" s="6" t="s">
        <v>639</v>
      </c>
      <c r="F262" s="45" t="s">
        <v>187</v>
      </c>
      <c r="G262" s="46">
        <f t="shared" si="29"/>
        <v>500</v>
      </c>
      <c r="H262" s="46">
        <f>TRUNC(S262*(1-LOTE_02!$K$10),2)</f>
        <v>148.47</v>
      </c>
      <c r="I262" s="46">
        <f>TRUNC(T262*(1-LOTE_02!$K$10),2)</f>
        <v>20.59</v>
      </c>
      <c r="J262" s="100">
        <f t="shared" si="30"/>
        <v>0.22470000000000001</v>
      </c>
      <c r="K262" s="48">
        <f t="shared" si="24"/>
        <v>181.83</v>
      </c>
      <c r="L262" s="48">
        <f t="shared" si="25"/>
        <v>25.21</v>
      </c>
      <c r="M262" s="48">
        <f t="shared" si="26"/>
        <v>90915</v>
      </c>
      <c r="N262" s="48">
        <f t="shared" si="27"/>
        <v>12605</v>
      </c>
      <c r="O262" s="50">
        <f t="shared" si="28"/>
        <v>103520</v>
      </c>
      <c r="P262" s="50">
        <v>0</v>
      </c>
      <c r="Q262" s="76"/>
      <c r="R262" s="140">
        <f>IF((50*S10+20*S9)&gt;500,500,(50*S10+20*S9))</f>
        <v>500</v>
      </c>
      <c r="S262" s="79">
        <v>148.47</v>
      </c>
      <c r="T262" s="80">
        <v>20.59</v>
      </c>
    </row>
    <row r="263" spans="2:20" ht="56">
      <c r="B263" s="5" t="s">
        <v>640</v>
      </c>
      <c r="C263" s="45" t="s">
        <v>135</v>
      </c>
      <c r="D263" s="45">
        <v>94223</v>
      </c>
      <c r="E263" s="6" t="s">
        <v>641</v>
      </c>
      <c r="F263" s="45" t="s">
        <v>187</v>
      </c>
      <c r="G263" s="46">
        <f t="shared" si="29"/>
        <v>500</v>
      </c>
      <c r="H263" s="46">
        <f>TRUNC(S263*(1-LOTE_02!$K$10),2)</f>
        <v>122.84</v>
      </c>
      <c r="I263" s="46">
        <f>TRUNC(T263*(1-LOTE_02!$K$10),2)</f>
        <v>2.3199999999999998</v>
      </c>
      <c r="J263" s="100">
        <f t="shared" si="30"/>
        <v>0.22470000000000001</v>
      </c>
      <c r="K263" s="48">
        <f t="shared" si="24"/>
        <v>150.44</v>
      </c>
      <c r="L263" s="48">
        <f t="shared" si="25"/>
        <v>2.84</v>
      </c>
      <c r="M263" s="48">
        <f t="shared" si="26"/>
        <v>75220</v>
      </c>
      <c r="N263" s="48">
        <f t="shared" si="27"/>
        <v>1420</v>
      </c>
      <c r="O263" s="50">
        <f t="shared" si="28"/>
        <v>76640</v>
      </c>
      <c r="P263" s="50">
        <v>0</v>
      </c>
      <c r="Q263" s="76"/>
      <c r="R263" s="140">
        <f>IF((50*S10+50*S9)&gt;500,500,(50*S10+50*S9))</f>
        <v>500</v>
      </c>
      <c r="S263" s="79">
        <v>122.84</v>
      </c>
      <c r="T263" s="80">
        <v>2.3199999999999998</v>
      </c>
    </row>
    <row r="264" spans="2:20" ht="28">
      <c r="B264" s="5" t="s">
        <v>642</v>
      </c>
      <c r="C264" s="45" t="s">
        <v>165</v>
      </c>
      <c r="D264" s="45" t="s">
        <v>643</v>
      </c>
      <c r="E264" s="6" t="s">
        <v>644</v>
      </c>
      <c r="F264" s="45" t="s">
        <v>531</v>
      </c>
      <c r="G264" s="46">
        <f t="shared" si="29"/>
        <v>500</v>
      </c>
      <c r="H264" s="46">
        <f>TRUNC(S264*(1-LOTE_02!$K$10),2)</f>
        <v>119.54</v>
      </c>
      <c r="I264" s="46">
        <f>TRUNC(T264*(1-LOTE_02!$K$10),2)</f>
        <v>3.83</v>
      </c>
      <c r="J264" s="100">
        <f t="shared" si="30"/>
        <v>0.22470000000000001</v>
      </c>
      <c r="K264" s="48">
        <f t="shared" si="24"/>
        <v>146.4</v>
      </c>
      <c r="L264" s="48">
        <f t="shared" si="25"/>
        <v>4.6900000000000004</v>
      </c>
      <c r="M264" s="48">
        <f t="shared" si="26"/>
        <v>73200</v>
      </c>
      <c r="N264" s="48">
        <f t="shared" si="27"/>
        <v>2345</v>
      </c>
      <c r="O264" s="50">
        <f t="shared" si="28"/>
        <v>75545</v>
      </c>
      <c r="P264" s="50">
        <v>0</v>
      </c>
      <c r="Q264" s="76"/>
      <c r="R264" s="140">
        <f>IF((50*S10+50*S9)&gt;500,500,(50*S10+50*S9))</f>
        <v>500</v>
      </c>
      <c r="S264" s="79">
        <v>119.54</v>
      </c>
      <c r="T264" s="80">
        <v>3.83</v>
      </c>
    </row>
    <row r="265" spans="2:20" ht="28">
      <c r="B265" s="5" t="s">
        <v>645</v>
      </c>
      <c r="C265" s="45" t="s">
        <v>97</v>
      </c>
      <c r="D265" s="45" t="s">
        <v>646</v>
      </c>
      <c r="E265" s="6" t="s">
        <v>647</v>
      </c>
      <c r="F265" s="45" t="s">
        <v>187</v>
      </c>
      <c r="G265" s="46">
        <f t="shared" si="29"/>
        <v>500</v>
      </c>
      <c r="H265" s="46">
        <f>TRUNC(S265*(1-LOTE_02!$K$10),2)</f>
        <v>61.8</v>
      </c>
      <c r="I265" s="46">
        <f>TRUNC(T265*(1-LOTE_02!$K$10),2)</f>
        <v>4.42</v>
      </c>
      <c r="J265" s="100">
        <f t="shared" si="30"/>
        <v>0.22470000000000001</v>
      </c>
      <c r="K265" s="48">
        <f t="shared" si="24"/>
        <v>75.680000000000007</v>
      </c>
      <c r="L265" s="48">
        <f t="shared" si="25"/>
        <v>5.41</v>
      </c>
      <c r="M265" s="48">
        <f t="shared" si="26"/>
        <v>37840</v>
      </c>
      <c r="N265" s="48">
        <f t="shared" si="27"/>
        <v>2705</v>
      </c>
      <c r="O265" s="50">
        <f t="shared" si="28"/>
        <v>40545</v>
      </c>
      <c r="P265" s="50">
        <v>0</v>
      </c>
      <c r="Q265" s="76"/>
      <c r="R265" s="140">
        <f>IF((50*S10+50*S9)&gt;500,500,(50*S10+50*S9))</f>
        <v>500</v>
      </c>
      <c r="S265" s="79">
        <v>61.8</v>
      </c>
      <c r="T265" s="80">
        <v>4.42</v>
      </c>
    </row>
    <row r="266" spans="2:20" ht="56">
      <c r="B266" s="5" t="s">
        <v>648</v>
      </c>
      <c r="C266" s="45" t="s">
        <v>135</v>
      </c>
      <c r="D266" s="45">
        <v>100327</v>
      </c>
      <c r="E266" s="6" t="s">
        <v>649</v>
      </c>
      <c r="F266" s="45" t="s">
        <v>187</v>
      </c>
      <c r="G266" s="46">
        <f t="shared" si="29"/>
        <v>500</v>
      </c>
      <c r="H266" s="46">
        <f>TRUNC(S266*(1-LOTE_02!$K$10),2)</f>
        <v>53.21</v>
      </c>
      <c r="I266" s="46">
        <f>TRUNC(T266*(1-LOTE_02!$K$10),2)</f>
        <v>7</v>
      </c>
      <c r="J266" s="100">
        <f t="shared" si="30"/>
        <v>0.22470000000000001</v>
      </c>
      <c r="K266" s="48">
        <f t="shared" si="24"/>
        <v>65.16</v>
      </c>
      <c r="L266" s="48">
        <f t="shared" si="25"/>
        <v>8.57</v>
      </c>
      <c r="M266" s="48">
        <f t="shared" si="26"/>
        <v>32580</v>
      </c>
      <c r="N266" s="48">
        <f t="shared" si="27"/>
        <v>4285</v>
      </c>
      <c r="O266" s="50">
        <f t="shared" si="28"/>
        <v>36865</v>
      </c>
      <c r="P266" s="50">
        <v>0</v>
      </c>
      <c r="Q266" s="76"/>
      <c r="R266" s="140">
        <f>IF((50*S10+50*S9)&gt;500,500,(50*S10+50*S9))</f>
        <v>500</v>
      </c>
      <c r="S266" s="79">
        <v>53.21</v>
      </c>
      <c r="T266" s="80">
        <v>7</v>
      </c>
    </row>
    <row r="267" spans="2:20" ht="56">
      <c r="B267" s="5" t="s">
        <v>650</v>
      </c>
      <c r="C267" s="45" t="s">
        <v>135</v>
      </c>
      <c r="D267" s="45">
        <v>100435</v>
      </c>
      <c r="E267" s="6" t="s">
        <v>651</v>
      </c>
      <c r="F267" s="45" t="s">
        <v>187</v>
      </c>
      <c r="G267" s="46">
        <f t="shared" si="29"/>
        <v>500</v>
      </c>
      <c r="H267" s="46">
        <f>TRUNC(S267*(1-LOTE_02!$K$10),2)</f>
        <v>95.33</v>
      </c>
      <c r="I267" s="46">
        <f>TRUNC(T267*(1-LOTE_02!$K$10),2)</f>
        <v>4.99</v>
      </c>
      <c r="J267" s="100">
        <f t="shared" si="30"/>
        <v>0.22470000000000001</v>
      </c>
      <c r="K267" s="48">
        <f t="shared" si="24"/>
        <v>116.75</v>
      </c>
      <c r="L267" s="48">
        <f t="shared" si="25"/>
        <v>6.11</v>
      </c>
      <c r="M267" s="48">
        <f t="shared" si="26"/>
        <v>58375</v>
      </c>
      <c r="N267" s="48">
        <f t="shared" si="27"/>
        <v>3055</v>
      </c>
      <c r="O267" s="50">
        <f t="shared" si="28"/>
        <v>61430</v>
      </c>
      <c r="P267" s="50">
        <v>0</v>
      </c>
      <c r="Q267" s="76"/>
      <c r="R267" s="140">
        <f>IF((50*S10+50*S9)&gt;500,500,(50*S10+50*S9))</f>
        <v>500</v>
      </c>
      <c r="S267" s="79">
        <v>95.33</v>
      </c>
      <c r="T267" s="80">
        <v>4.99</v>
      </c>
    </row>
    <row r="268" spans="2:20" ht="42">
      <c r="B268" s="5" t="s">
        <v>652</v>
      </c>
      <c r="C268" s="45" t="s">
        <v>135</v>
      </c>
      <c r="D268" s="45">
        <v>94231</v>
      </c>
      <c r="E268" s="6" t="s">
        <v>653</v>
      </c>
      <c r="F268" s="45" t="s">
        <v>187</v>
      </c>
      <c r="G268" s="46">
        <f t="shared" si="29"/>
        <v>500</v>
      </c>
      <c r="H268" s="46">
        <f>TRUNC(S268*(1-LOTE_02!$K$10),2)</f>
        <v>46.69</v>
      </c>
      <c r="I268" s="46">
        <f>TRUNC(T268*(1-LOTE_02!$K$10),2)</f>
        <v>5.83</v>
      </c>
      <c r="J268" s="100">
        <f t="shared" si="30"/>
        <v>0.22470000000000001</v>
      </c>
      <c r="K268" s="48">
        <f t="shared" si="24"/>
        <v>57.18</v>
      </c>
      <c r="L268" s="48">
        <f t="shared" si="25"/>
        <v>7.14</v>
      </c>
      <c r="M268" s="48">
        <f t="shared" si="26"/>
        <v>28590</v>
      </c>
      <c r="N268" s="48">
        <f t="shared" si="27"/>
        <v>3570</v>
      </c>
      <c r="O268" s="50">
        <f t="shared" si="28"/>
        <v>32160</v>
      </c>
      <c r="P268" s="50">
        <v>0</v>
      </c>
      <c r="Q268" s="76"/>
      <c r="R268" s="140">
        <f>IF((50*S10+50*S9)&gt;500,500,(50*S10+50*S9))</f>
        <v>500</v>
      </c>
      <c r="S268" s="79">
        <v>46.690000000000005</v>
      </c>
      <c r="T268" s="80">
        <v>5.83</v>
      </c>
    </row>
    <row r="269" spans="2:20" ht="28">
      <c r="B269" s="5" t="s">
        <v>654</v>
      </c>
      <c r="C269" s="45" t="s">
        <v>97</v>
      </c>
      <c r="D269" s="45" t="s">
        <v>655</v>
      </c>
      <c r="E269" s="6" t="s">
        <v>656</v>
      </c>
      <c r="F269" s="45" t="s">
        <v>161</v>
      </c>
      <c r="G269" s="46">
        <f t="shared" si="29"/>
        <v>50</v>
      </c>
      <c r="H269" s="46">
        <f>TRUNC(S269*(1-LOTE_02!$K$10),2)</f>
        <v>3099.13</v>
      </c>
      <c r="I269" s="46">
        <f>TRUNC(T269*(1-LOTE_02!$K$10),2)</f>
        <v>823.44</v>
      </c>
      <c r="J269" s="100">
        <f t="shared" si="30"/>
        <v>0.22470000000000001</v>
      </c>
      <c r="K269" s="48">
        <f t="shared" si="24"/>
        <v>3795.5</v>
      </c>
      <c r="L269" s="48">
        <f t="shared" si="25"/>
        <v>1008.46</v>
      </c>
      <c r="M269" s="48">
        <f t="shared" si="26"/>
        <v>189775</v>
      </c>
      <c r="N269" s="48">
        <f t="shared" si="27"/>
        <v>50423</v>
      </c>
      <c r="O269" s="50">
        <f t="shared" si="28"/>
        <v>240198</v>
      </c>
      <c r="P269" s="50">
        <v>0</v>
      </c>
      <c r="Q269" s="76"/>
      <c r="R269" s="140">
        <f>IF((S9+2*S10)&gt;50,50,(S9+2*S10))</f>
        <v>50</v>
      </c>
      <c r="S269" s="79">
        <v>3099.13</v>
      </c>
      <c r="T269" s="80">
        <v>823.44</v>
      </c>
    </row>
    <row r="270" spans="2:20" ht="56">
      <c r="B270" s="5" t="s">
        <v>657</v>
      </c>
      <c r="C270" s="45" t="s">
        <v>135</v>
      </c>
      <c r="D270" s="45">
        <v>98562</v>
      </c>
      <c r="E270" s="6" t="s">
        <v>658</v>
      </c>
      <c r="F270" s="45" t="s">
        <v>121</v>
      </c>
      <c r="G270" s="46">
        <f t="shared" si="29"/>
        <v>2250</v>
      </c>
      <c r="H270" s="46">
        <f>TRUNC(S270*(1-LOTE_02!$K$10),2)</f>
        <v>33.56</v>
      </c>
      <c r="I270" s="46">
        <f>TRUNC(T270*(1-LOTE_02!$K$10),2)</f>
        <v>26.85</v>
      </c>
      <c r="J270" s="100">
        <f t="shared" si="30"/>
        <v>0.22470000000000001</v>
      </c>
      <c r="K270" s="48">
        <f t="shared" si="24"/>
        <v>41.1</v>
      </c>
      <c r="L270" s="48">
        <f t="shared" si="25"/>
        <v>32.880000000000003</v>
      </c>
      <c r="M270" s="48">
        <f t="shared" si="26"/>
        <v>92475</v>
      </c>
      <c r="N270" s="48">
        <f t="shared" si="27"/>
        <v>73980</v>
      </c>
      <c r="O270" s="50">
        <f t="shared" si="28"/>
        <v>166455</v>
      </c>
      <c r="P270" s="50">
        <v>0</v>
      </c>
      <c r="Q270" s="76"/>
      <c r="R270" s="140">
        <f>50*S9+50*S10</f>
        <v>2250</v>
      </c>
      <c r="S270" s="79">
        <v>33.559999999999995</v>
      </c>
      <c r="T270" s="80">
        <v>26.85</v>
      </c>
    </row>
    <row r="271" spans="2:20" ht="56">
      <c r="B271" s="5" t="s">
        <v>659</v>
      </c>
      <c r="C271" s="45" t="s">
        <v>135</v>
      </c>
      <c r="D271" s="45">
        <v>98555</v>
      </c>
      <c r="E271" s="6" t="s">
        <v>660</v>
      </c>
      <c r="F271" s="45" t="s">
        <v>121</v>
      </c>
      <c r="G271" s="46">
        <f t="shared" si="29"/>
        <v>4500</v>
      </c>
      <c r="H271" s="46">
        <f>TRUNC(S271*(1-LOTE_02!$K$10),2)</f>
        <v>21.12</v>
      </c>
      <c r="I271" s="46">
        <f>TRUNC(T271*(1-LOTE_02!$K$10),2)</f>
        <v>12.46</v>
      </c>
      <c r="J271" s="100">
        <f t="shared" si="30"/>
        <v>0.22470000000000001</v>
      </c>
      <c r="K271" s="48">
        <f t="shared" si="24"/>
        <v>25.86</v>
      </c>
      <c r="L271" s="48">
        <f t="shared" si="25"/>
        <v>15.25</v>
      </c>
      <c r="M271" s="48">
        <f t="shared" si="26"/>
        <v>116370</v>
      </c>
      <c r="N271" s="48">
        <f t="shared" si="27"/>
        <v>68625</v>
      </c>
      <c r="O271" s="50">
        <f t="shared" si="28"/>
        <v>184995</v>
      </c>
      <c r="P271" s="50">
        <v>0</v>
      </c>
      <c r="Q271" s="76"/>
      <c r="R271" s="140">
        <f>100*S9+100*S10</f>
        <v>4500</v>
      </c>
      <c r="S271" s="79">
        <v>21.119999999999997</v>
      </c>
      <c r="T271" s="80">
        <v>12.46</v>
      </c>
    </row>
    <row r="272" spans="2:20" ht="70">
      <c r="B272" s="5" t="s">
        <v>661</v>
      </c>
      <c r="C272" s="45" t="s">
        <v>135</v>
      </c>
      <c r="D272" s="45">
        <v>98556</v>
      </c>
      <c r="E272" s="6" t="s">
        <v>1809</v>
      </c>
      <c r="F272" s="45" t="s">
        <v>121</v>
      </c>
      <c r="G272" s="46">
        <f t="shared" si="29"/>
        <v>4500</v>
      </c>
      <c r="H272" s="46">
        <f>TRUNC(S272*(1-LOTE_02!$K$10),2)</f>
        <v>42.87</v>
      </c>
      <c r="I272" s="46">
        <f>TRUNC(T272*(1-LOTE_02!$K$10),2)</f>
        <v>20.79</v>
      </c>
      <c r="J272" s="100">
        <f t="shared" si="30"/>
        <v>0.22470000000000001</v>
      </c>
      <c r="K272" s="48">
        <f t="shared" ref="K272:K335" si="31">TRUNC(H272*(1+J272),2)</f>
        <v>52.5</v>
      </c>
      <c r="L272" s="48">
        <f t="shared" ref="L272:L335" si="32">TRUNC(I272*(1+J272),2)</f>
        <v>25.46</v>
      </c>
      <c r="M272" s="48">
        <f t="shared" ref="M272:M335" si="33">TRUNC(K272*G272,2)</f>
        <v>236250</v>
      </c>
      <c r="N272" s="48">
        <f t="shared" ref="N272:N335" si="34">TRUNC(L272*G272,2)</f>
        <v>114570</v>
      </c>
      <c r="O272" s="50">
        <f t="shared" ref="O272:O335" si="35">TRUNC(M272+N272,2)</f>
        <v>350820</v>
      </c>
      <c r="P272" s="50">
        <v>0</v>
      </c>
      <c r="Q272" s="76"/>
      <c r="R272" s="140">
        <f>100*S9+100*S10</f>
        <v>4500</v>
      </c>
      <c r="S272" s="79">
        <v>42.87</v>
      </c>
      <c r="T272" s="80">
        <v>20.79</v>
      </c>
    </row>
    <row r="273" spans="2:20" ht="70">
      <c r="B273" s="5" t="s">
        <v>662</v>
      </c>
      <c r="C273" s="45" t="s">
        <v>135</v>
      </c>
      <c r="D273" s="45">
        <v>98547</v>
      </c>
      <c r="E273" s="6" t="s">
        <v>663</v>
      </c>
      <c r="F273" s="45" t="s">
        <v>121</v>
      </c>
      <c r="G273" s="46">
        <f t="shared" si="29"/>
        <v>4500</v>
      </c>
      <c r="H273" s="46">
        <f>TRUNC(S273*(1-LOTE_02!$K$10),2)</f>
        <v>215.79</v>
      </c>
      <c r="I273" s="46">
        <f>TRUNC(T273*(1-LOTE_02!$K$10),2)</f>
        <v>32.78</v>
      </c>
      <c r="J273" s="100">
        <f t="shared" si="30"/>
        <v>0.22470000000000001</v>
      </c>
      <c r="K273" s="48">
        <f t="shared" si="31"/>
        <v>264.27</v>
      </c>
      <c r="L273" s="48">
        <f t="shared" si="32"/>
        <v>40.14</v>
      </c>
      <c r="M273" s="48">
        <f t="shared" si="33"/>
        <v>1189215</v>
      </c>
      <c r="N273" s="48">
        <f t="shared" si="34"/>
        <v>180630</v>
      </c>
      <c r="O273" s="50">
        <f t="shared" si="35"/>
        <v>1369845</v>
      </c>
      <c r="P273" s="50">
        <v>0</v>
      </c>
      <c r="Q273" s="76"/>
      <c r="R273" s="140">
        <f>100*S9+100*S10</f>
        <v>4500</v>
      </c>
      <c r="S273" s="79">
        <v>215.79</v>
      </c>
      <c r="T273" s="80">
        <v>32.78</v>
      </c>
    </row>
    <row r="274" spans="2:20" ht="42">
      <c r="B274" s="5" t="s">
        <v>664</v>
      </c>
      <c r="C274" s="45" t="s">
        <v>135</v>
      </c>
      <c r="D274" s="45">
        <v>98553</v>
      </c>
      <c r="E274" s="6" t="s">
        <v>665</v>
      </c>
      <c r="F274" s="45" t="s">
        <v>121</v>
      </c>
      <c r="G274" s="46">
        <f t="shared" ref="G274:G337" si="36">TRUNC(R274,2)</f>
        <v>4500</v>
      </c>
      <c r="H274" s="46">
        <f>TRUNC(S274*(1-LOTE_02!$K$10),2)</f>
        <v>178.3</v>
      </c>
      <c r="I274" s="46">
        <f>TRUNC(T274*(1-LOTE_02!$K$10),2)</f>
        <v>9.7200000000000006</v>
      </c>
      <c r="J274" s="100">
        <f t="shared" ref="J274:J337" si="37">$J$4</f>
        <v>0.22470000000000001</v>
      </c>
      <c r="K274" s="48">
        <f t="shared" si="31"/>
        <v>218.36</v>
      </c>
      <c r="L274" s="48">
        <f t="shared" si="32"/>
        <v>11.9</v>
      </c>
      <c r="M274" s="48">
        <f t="shared" si="33"/>
        <v>982620</v>
      </c>
      <c r="N274" s="48">
        <f t="shared" si="34"/>
        <v>53550</v>
      </c>
      <c r="O274" s="50">
        <f t="shared" si="35"/>
        <v>1036170</v>
      </c>
      <c r="P274" s="50">
        <v>0</v>
      </c>
      <c r="Q274" s="76"/>
      <c r="R274" s="140">
        <f>100*S9+100*S10</f>
        <v>4500</v>
      </c>
      <c r="S274" s="79">
        <v>178.3</v>
      </c>
      <c r="T274" s="80">
        <v>9.7200000000000006</v>
      </c>
    </row>
    <row r="275" spans="2:20" ht="42">
      <c r="B275" s="5" t="s">
        <v>666</v>
      </c>
      <c r="C275" s="45" t="s">
        <v>135</v>
      </c>
      <c r="D275" s="45">
        <v>98557</v>
      </c>
      <c r="E275" s="6" t="s">
        <v>667</v>
      </c>
      <c r="F275" s="45" t="s">
        <v>121</v>
      </c>
      <c r="G275" s="46">
        <f t="shared" si="36"/>
        <v>4500</v>
      </c>
      <c r="H275" s="46">
        <f>TRUNC(S275*(1-LOTE_02!$K$10),2)</f>
        <v>43.08</v>
      </c>
      <c r="I275" s="46">
        <f>TRUNC(T275*(1-LOTE_02!$K$10),2)</f>
        <v>8.66</v>
      </c>
      <c r="J275" s="100">
        <f t="shared" si="37"/>
        <v>0.22470000000000001</v>
      </c>
      <c r="K275" s="48">
        <f t="shared" si="31"/>
        <v>52.76</v>
      </c>
      <c r="L275" s="48">
        <f t="shared" si="32"/>
        <v>10.6</v>
      </c>
      <c r="M275" s="48">
        <f t="shared" si="33"/>
        <v>237420</v>
      </c>
      <c r="N275" s="48">
        <f t="shared" si="34"/>
        <v>47700</v>
      </c>
      <c r="O275" s="50">
        <f t="shared" si="35"/>
        <v>285120</v>
      </c>
      <c r="P275" s="50">
        <v>0</v>
      </c>
      <c r="Q275" s="76"/>
      <c r="R275" s="140">
        <f>100*S9+100*S10</f>
        <v>4500</v>
      </c>
      <c r="S275" s="79">
        <v>43.08</v>
      </c>
      <c r="T275" s="80">
        <v>8.66</v>
      </c>
    </row>
    <row r="276" spans="2:20" ht="42">
      <c r="B276" s="5" t="s">
        <v>668</v>
      </c>
      <c r="C276" s="45" t="s">
        <v>135</v>
      </c>
      <c r="D276" s="45">
        <v>98554</v>
      </c>
      <c r="E276" s="6" t="s">
        <v>669</v>
      </c>
      <c r="F276" s="45" t="s">
        <v>121</v>
      </c>
      <c r="G276" s="46">
        <f t="shared" si="36"/>
        <v>4500</v>
      </c>
      <c r="H276" s="46">
        <f>TRUNC(S276*(1-LOTE_02!$K$10),2)</f>
        <v>39.619999999999997</v>
      </c>
      <c r="I276" s="46">
        <f>TRUNC(T276*(1-LOTE_02!$K$10),2)</f>
        <v>11.63</v>
      </c>
      <c r="J276" s="100">
        <f t="shared" si="37"/>
        <v>0.22470000000000001</v>
      </c>
      <c r="K276" s="48">
        <f t="shared" si="31"/>
        <v>48.52</v>
      </c>
      <c r="L276" s="48">
        <f t="shared" si="32"/>
        <v>14.24</v>
      </c>
      <c r="M276" s="48">
        <f t="shared" si="33"/>
        <v>218340</v>
      </c>
      <c r="N276" s="48">
        <f t="shared" si="34"/>
        <v>64080</v>
      </c>
      <c r="O276" s="50">
        <f t="shared" si="35"/>
        <v>282420</v>
      </c>
      <c r="P276" s="50">
        <v>0</v>
      </c>
      <c r="Q276" s="76"/>
      <c r="R276" s="140">
        <f>100*S9+100*S10</f>
        <v>4500</v>
      </c>
      <c r="S276" s="79">
        <v>39.619999999999997</v>
      </c>
      <c r="T276" s="80">
        <v>11.63</v>
      </c>
    </row>
    <row r="277" spans="2:20" ht="28">
      <c r="B277" s="5" t="s">
        <v>670</v>
      </c>
      <c r="C277" s="45" t="s">
        <v>165</v>
      </c>
      <c r="D277" s="45" t="s">
        <v>671</v>
      </c>
      <c r="E277" s="6" t="s">
        <v>672</v>
      </c>
      <c r="F277" s="45" t="s">
        <v>531</v>
      </c>
      <c r="G277" s="46">
        <f t="shared" si="36"/>
        <v>2250</v>
      </c>
      <c r="H277" s="46">
        <f>TRUNC(S277*(1-LOTE_02!$K$10),2)</f>
        <v>17.25</v>
      </c>
      <c r="I277" s="46">
        <f>TRUNC(T277*(1-LOTE_02!$K$10),2)</f>
        <v>5.27</v>
      </c>
      <c r="J277" s="100">
        <f t="shared" si="37"/>
        <v>0.22470000000000001</v>
      </c>
      <c r="K277" s="48">
        <f t="shared" si="31"/>
        <v>21.12</v>
      </c>
      <c r="L277" s="48">
        <f t="shared" si="32"/>
        <v>6.45</v>
      </c>
      <c r="M277" s="48">
        <f t="shared" si="33"/>
        <v>47520</v>
      </c>
      <c r="N277" s="48">
        <f t="shared" si="34"/>
        <v>14512.5</v>
      </c>
      <c r="O277" s="50">
        <f t="shared" si="35"/>
        <v>62032.5</v>
      </c>
      <c r="P277" s="50">
        <v>0</v>
      </c>
      <c r="Q277" s="76"/>
      <c r="R277" s="140">
        <f>50*S9+50*S10</f>
        <v>2250</v>
      </c>
      <c r="S277" s="79">
        <v>17.25</v>
      </c>
      <c r="T277" s="80">
        <v>5.27</v>
      </c>
    </row>
    <row r="278" spans="2:20" ht="42">
      <c r="B278" s="5" t="s">
        <v>673</v>
      </c>
      <c r="C278" s="45" t="s">
        <v>165</v>
      </c>
      <c r="D278" s="45" t="s">
        <v>674</v>
      </c>
      <c r="E278" s="6" t="s">
        <v>675</v>
      </c>
      <c r="F278" s="45" t="s">
        <v>168</v>
      </c>
      <c r="G278" s="46">
        <f t="shared" si="36"/>
        <v>2250</v>
      </c>
      <c r="H278" s="46">
        <f>TRUNC(S278*(1-LOTE_02!$K$10),2)</f>
        <v>58.1</v>
      </c>
      <c r="I278" s="46">
        <f>TRUNC(T278*(1-LOTE_02!$K$10),2)</f>
        <v>10.93</v>
      </c>
      <c r="J278" s="100">
        <f t="shared" si="37"/>
        <v>0.22470000000000001</v>
      </c>
      <c r="K278" s="48">
        <f t="shared" si="31"/>
        <v>71.150000000000006</v>
      </c>
      <c r="L278" s="48">
        <f t="shared" si="32"/>
        <v>13.38</v>
      </c>
      <c r="M278" s="48">
        <f t="shared" si="33"/>
        <v>160087.5</v>
      </c>
      <c r="N278" s="48">
        <f t="shared" si="34"/>
        <v>30105</v>
      </c>
      <c r="O278" s="50">
        <f t="shared" si="35"/>
        <v>190192.5</v>
      </c>
      <c r="P278" s="50">
        <v>0</v>
      </c>
      <c r="Q278" s="76"/>
      <c r="R278" s="140">
        <f>50*S9+50*S10</f>
        <v>2250</v>
      </c>
      <c r="S278" s="79">
        <v>58.1</v>
      </c>
      <c r="T278" s="80">
        <v>10.93</v>
      </c>
    </row>
    <row r="279" spans="2:20" ht="42">
      <c r="B279" s="5" t="s">
        <v>676</v>
      </c>
      <c r="C279" s="45" t="s">
        <v>165</v>
      </c>
      <c r="D279" s="45" t="s">
        <v>677</v>
      </c>
      <c r="E279" s="6" t="s">
        <v>678</v>
      </c>
      <c r="F279" s="45" t="s">
        <v>168</v>
      </c>
      <c r="G279" s="46">
        <f t="shared" si="36"/>
        <v>2250</v>
      </c>
      <c r="H279" s="46">
        <f>TRUNC(S279*(1-LOTE_02!$K$10),2)</f>
        <v>110.11</v>
      </c>
      <c r="I279" s="46">
        <f>TRUNC(T279*(1-LOTE_02!$K$10),2)</f>
        <v>79.19</v>
      </c>
      <c r="J279" s="100">
        <f t="shared" si="37"/>
        <v>0.22470000000000001</v>
      </c>
      <c r="K279" s="48">
        <f t="shared" si="31"/>
        <v>134.85</v>
      </c>
      <c r="L279" s="48">
        <f t="shared" si="32"/>
        <v>96.98</v>
      </c>
      <c r="M279" s="48">
        <f t="shared" si="33"/>
        <v>303412.5</v>
      </c>
      <c r="N279" s="48">
        <f t="shared" si="34"/>
        <v>218205</v>
      </c>
      <c r="O279" s="50">
        <f t="shared" si="35"/>
        <v>521617.5</v>
      </c>
      <c r="P279" s="50">
        <v>0</v>
      </c>
      <c r="Q279" s="76"/>
      <c r="R279" s="140">
        <f>50*S9+50*S10</f>
        <v>2250</v>
      </c>
      <c r="S279" s="79">
        <v>110.11</v>
      </c>
      <c r="T279" s="80">
        <v>79.19</v>
      </c>
    </row>
    <row r="280" spans="2:20" ht="28">
      <c r="B280" s="5" t="s">
        <v>679</v>
      </c>
      <c r="C280" s="45" t="s">
        <v>165</v>
      </c>
      <c r="D280" s="45" t="s">
        <v>680</v>
      </c>
      <c r="E280" s="6" t="s">
        <v>681</v>
      </c>
      <c r="F280" s="45" t="s">
        <v>168</v>
      </c>
      <c r="G280" s="46">
        <f t="shared" si="36"/>
        <v>2250</v>
      </c>
      <c r="H280" s="46">
        <f>TRUNC(S280*(1-LOTE_02!$K$10),2)</f>
        <v>32.67</v>
      </c>
      <c r="I280" s="46">
        <f>TRUNC(T280*(1-LOTE_02!$K$10),2)</f>
        <v>9.92</v>
      </c>
      <c r="J280" s="100">
        <f t="shared" si="37"/>
        <v>0.22470000000000001</v>
      </c>
      <c r="K280" s="48">
        <f t="shared" si="31"/>
        <v>40.01</v>
      </c>
      <c r="L280" s="48">
        <f t="shared" si="32"/>
        <v>12.14</v>
      </c>
      <c r="M280" s="48">
        <f t="shared" si="33"/>
        <v>90022.5</v>
      </c>
      <c r="N280" s="48">
        <f t="shared" si="34"/>
        <v>27315</v>
      </c>
      <c r="O280" s="50">
        <f t="shared" si="35"/>
        <v>117337.5</v>
      </c>
      <c r="P280" s="50">
        <v>0</v>
      </c>
      <c r="Q280" s="76"/>
      <c r="R280" s="140">
        <f>50*S9+50*S10</f>
        <v>2250</v>
      </c>
      <c r="S280" s="79">
        <v>32.67</v>
      </c>
      <c r="T280" s="80">
        <v>9.92</v>
      </c>
    </row>
    <row r="281" spans="2:20" ht="42">
      <c r="B281" s="5" t="s">
        <v>682</v>
      </c>
      <c r="C281" s="45" t="s">
        <v>97</v>
      </c>
      <c r="D281" s="45" t="s">
        <v>683</v>
      </c>
      <c r="E281" s="6" t="s">
        <v>684</v>
      </c>
      <c r="F281" s="45" t="s">
        <v>104</v>
      </c>
      <c r="G281" s="46">
        <f t="shared" si="36"/>
        <v>50</v>
      </c>
      <c r="H281" s="46">
        <f>TRUNC(S281*(1-LOTE_02!$K$10),2)</f>
        <v>21.82</v>
      </c>
      <c r="I281" s="46">
        <f>TRUNC(T281*(1-LOTE_02!$K$10),2)</f>
        <v>1.64</v>
      </c>
      <c r="J281" s="100">
        <f t="shared" si="37"/>
        <v>0.22470000000000001</v>
      </c>
      <c r="K281" s="48">
        <f t="shared" si="31"/>
        <v>26.72</v>
      </c>
      <c r="L281" s="48">
        <f t="shared" si="32"/>
        <v>2</v>
      </c>
      <c r="M281" s="48">
        <f t="shared" si="33"/>
        <v>1336</v>
      </c>
      <c r="N281" s="48">
        <f t="shared" si="34"/>
        <v>100</v>
      </c>
      <c r="O281" s="50">
        <f t="shared" si="35"/>
        <v>1436</v>
      </c>
      <c r="P281" s="50">
        <v>0</v>
      </c>
      <c r="Q281" s="76"/>
      <c r="R281" s="140">
        <f>IF((4*S10+4*S9)&gt;50,50,(4*S10+4*S9))</f>
        <v>50</v>
      </c>
      <c r="S281" s="79">
        <v>21.82</v>
      </c>
      <c r="T281" s="80">
        <v>1.64</v>
      </c>
    </row>
    <row r="282" spans="2:20" ht="42">
      <c r="B282" s="5" t="s">
        <v>685</v>
      </c>
      <c r="C282" s="45" t="s">
        <v>97</v>
      </c>
      <c r="D282" s="45" t="s">
        <v>686</v>
      </c>
      <c r="E282" s="6" t="s">
        <v>687</v>
      </c>
      <c r="F282" s="45" t="s">
        <v>121</v>
      </c>
      <c r="G282" s="46">
        <f t="shared" si="36"/>
        <v>1000</v>
      </c>
      <c r="H282" s="46">
        <f>TRUNC(S282*(1-LOTE_02!$K$10),2)</f>
        <v>3.84</v>
      </c>
      <c r="I282" s="46">
        <f>TRUNC(T282*(1-LOTE_02!$K$10),2)</f>
        <v>3.28</v>
      </c>
      <c r="J282" s="100">
        <f t="shared" si="37"/>
        <v>0.22470000000000001</v>
      </c>
      <c r="K282" s="48">
        <f t="shared" si="31"/>
        <v>4.7</v>
      </c>
      <c r="L282" s="48">
        <f t="shared" si="32"/>
        <v>4.01</v>
      </c>
      <c r="M282" s="48">
        <f t="shared" si="33"/>
        <v>4700</v>
      </c>
      <c r="N282" s="48">
        <f t="shared" si="34"/>
        <v>4010</v>
      </c>
      <c r="O282" s="50">
        <f t="shared" si="35"/>
        <v>8710</v>
      </c>
      <c r="P282" s="50">
        <v>0</v>
      </c>
      <c r="Q282" s="76"/>
      <c r="R282" s="140">
        <f>IF((100*S9+100*S10)&gt;1000,1000,(100*S9+100*S10))</f>
        <v>1000</v>
      </c>
      <c r="S282" s="79">
        <v>3.84</v>
      </c>
      <c r="T282" s="80">
        <v>3.28</v>
      </c>
    </row>
    <row r="283" spans="2:20" ht="28">
      <c r="B283" s="5" t="s">
        <v>688</v>
      </c>
      <c r="C283" s="45" t="s">
        <v>97</v>
      </c>
      <c r="D283" s="45" t="s">
        <v>689</v>
      </c>
      <c r="E283" s="6" t="s">
        <v>690</v>
      </c>
      <c r="F283" s="45" t="s">
        <v>187</v>
      </c>
      <c r="G283" s="46">
        <f t="shared" si="36"/>
        <v>500</v>
      </c>
      <c r="H283" s="46">
        <f>TRUNC(S283*(1-LOTE_02!$K$10),2)</f>
        <v>0.69</v>
      </c>
      <c r="I283" s="46">
        <f>TRUNC(T283*(1-LOTE_02!$K$10),2)</f>
        <v>1.54</v>
      </c>
      <c r="J283" s="100">
        <f t="shared" si="37"/>
        <v>0.22470000000000001</v>
      </c>
      <c r="K283" s="48">
        <f t="shared" si="31"/>
        <v>0.84</v>
      </c>
      <c r="L283" s="48">
        <f t="shared" si="32"/>
        <v>1.88</v>
      </c>
      <c r="M283" s="48">
        <f t="shared" si="33"/>
        <v>420</v>
      </c>
      <c r="N283" s="48">
        <f t="shared" si="34"/>
        <v>940</v>
      </c>
      <c r="O283" s="50">
        <f t="shared" si="35"/>
        <v>1360</v>
      </c>
      <c r="P283" s="50">
        <v>0</v>
      </c>
      <c r="Q283" s="76"/>
      <c r="R283" s="140">
        <f>IF((50*S10+50*S9)&gt;500,500,(50*S10+50*S9))</f>
        <v>500</v>
      </c>
      <c r="S283" s="79">
        <v>0.69</v>
      </c>
      <c r="T283" s="80">
        <v>1.54</v>
      </c>
    </row>
    <row r="284" spans="2:20" ht="28">
      <c r="B284" s="5" t="s">
        <v>691</v>
      </c>
      <c r="C284" s="45" t="s">
        <v>97</v>
      </c>
      <c r="D284" s="45" t="s">
        <v>692</v>
      </c>
      <c r="E284" s="6" t="s">
        <v>693</v>
      </c>
      <c r="F284" s="45" t="s">
        <v>104</v>
      </c>
      <c r="G284" s="46">
        <f t="shared" si="36"/>
        <v>450</v>
      </c>
      <c r="H284" s="46">
        <f>TRUNC(S284*(1-LOTE_02!$K$10),2)</f>
        <v>9.8699999999999992</v>
      </c>
      <c r="I284" s="46">
        <f>TRUNC(T284*(1-LOTE_02!$K$10),2)</f>
        <v>18.809999999999999</v>
      </c>
      <c r="J284" s="100">
        <f t="shared" si="37"/>
        <v>0.22470000000000001</v>
      </c>
      <c r="K284" s="48">
        <f t="shared" si="31"/>
        <v>12.08</v>
      </c>
      <c r="L284" s="48">
        <f t="shared" si="32"/>
        <v>23.03</v>
      </c>
      <c r="M284" s="48">
        <f t="shared" si="33"/>
        <v>5436</v>
      </c>
      <c r="N284" s="48">
        <f t="shared" si="34"/>
        <v>10363.5</v>
      </c>
      <c r="O284" s="50">
        <f t="shared" si="35"/>
        <v>15799.5</v>
      </c>
      <c r="P284" s="50">
        <v>0</v>
      </c>
      <c r="Q284" s="76"/>
      <c r="R284" s="140">
        <f>10*S9+10*S10</f>
        <v>450</v>
      </c>
      <c r="S284" s="79">
        <v>9.8699999999999992</v>
      </c>
      <c r="T284" s="80">
        <v>18.809999999999999</v>
      </c>
    </row>
    <row r="285" spans="2:20" ht="28">
      <c r="B285" s="5" t="s">
        <v>694</v>
      </c>
      <c r="C285" s="45" t="s">
        <v>97</v>
      </c>
      <c r="D285" s="45" t="s">
        <v>695</v>
      </c>
      <c r="E285" s="6" t="s">
        <v>696</v>
      </c>
      <c r="F285" s="45" t="s">
        <v>104</v>
      </c>
      <c r="G285" s="46">
        <f t="shared" si="36"/>
        <v>50</v>
      </c>
      <c r="H285" s="46">
        <f>TRUNC(S285*(1-LOTE_02!$K$10),2)</f>
        <v>50.75</v>
      </c>
      <c r="I285" s="46">
        <f>TRUNC(T285*(1-LOTE_02!$K$10),2)</f>
        <v>25.89</v>
      </c>
      <c r="J285" s="100">
        <f t="shared" si="37"/>
        <v>0.22470000000000001</v>
      </c>
      <c r="K285" s="48">
        <f t="shared" si="31"/>
        <v>62.15</v>
      </c>
      <c r="L285" s="48">
        <f t="shared" si="32"/>
        <v>31.7</v>
      </c>
      <c r="M285" s="48">
        <f t="shared" si="33"/>
        <v>3107.5</v>
      </c>
      <c r="N285" s="48">
        <f t="shared" si="34"/>
        <v>1585</v>
      </c>
      <c r="O285" s="50">
        <f t="shared" si="35"/>
        <v>4692.5</v>
      </c>
      <c r="P285" s="50">
        <v>0</v>
      </c>
      <c r="Q285" s="76"/>
      <c r="R285" s="140">
        <f>IF((5*S9+5*S10)&gt;50,50,(5*S9+5*S10))</f>
        <v>50</v>
      </c>
      <c r="S285" s="79">
        <v>50.75</v>
      </c>
      <c r="T285" s="80">
        <v>25.89</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1473489.0700000003</v>
      </c>
      <c r="Q286" s="76"/>
      <c r="R286" s="154"/>
      <c r="S286" s="79" t="s">
        <v>22</v>
      </c>
      <c r="T286" s="80" t="s">
        <v>22</v>
      </c>
    </row>
    <row r="287" spans="2:20" ht="56">
      <c r="B287" s="5" t="s">
        <v>697</v>
      </c>
      <c r="C287" s="45" t="s">
        <v>135</v>
      </c>
      <c r="D287" s="45">
        <v>101094</v>
      </c>
      <c r="E287" s="6" t="s">
        <v>1810</v>
      </c>
      <c r="F287" s="45" t="s">
        <v>187</v>
      </c>
      <c r="G287" s="46">
        <f t="shared" si="36"/>
        <v>900</v>
      </c>
      <c r="H287" s="46">
        <f>TRUNC(S287*(1-LOTE_02!$K$10),2)</f>
        <v>193.34</v>
      </c>
      <c r="I287" s="46">
        <f>TRUNC(T287*(1-LOTE_02!$K$10),2)</f>
        <v>14.52</v>
      </c>
      <c r="J287" s="100">
        <f t="shared" si="37"/>
        <v>0.22470000000000001</v>
      </c>
      <c r="K287" s="48">
        <f t="shared" si="31"/>
        <v>236.78</v>
      </c>
      <c r="L287" s="48">
        <f t="shared" si="32"/>
        <v>17.78</v>
      </c>
      <c r="M287" s="48">
        <f t="shared" si="33"/>
        <v>213102</v>
      </c>
      <c r="N287" s="48">
        <f t="shared" si="34"/>
        <v>16002</v>
      </c>
      <c r="O287" s="50">
        <f t="shared" si="35"/>
        <v>229104</v>
      </c>
      <c r="P287" s="50">
        <v>0</v>
      </c>
      <c r="Q287" s="76"/>
      <c r="R287" s="140">
        <f>20*S9+20*S10</f>
        <v>900</v>
      </c>
      <c r="S287" s="79">
        <v>193.34</v>
      </c>
      <c r="T287" s="80">
        <v>14.52</v>
      </c>
    </row>
    <row r="288" spans="2:20" ht="28">
      <c r="B288" s="5" t="s">
        <v>698</v>
      </c>
      <c r="C288" s="45" t="s">
        <v>97</v>
      </c>
      <c r="D288" s="45" t="s">
        <v>699</v>
      </c>
      <c r="E288" s="6" t="s">
        <v>700</v>
      </c>
      <c r="F288" s="45" t="s">
        <v>187</v>
      </c>
      <c r="G288" s="46">
        <f t="shared" si="36"/>
        <v>1327.5</v>
      </c>
      <c r="H288" s="46">
        <f>TRUNC(S288*(1-LOTE_02!$K$10),2)</f>
        <v>144.02000000000001</v>
      </c>
      <c r="I288" s="46">
        <f>TRUNC(T288*(1-LOTE_02!$K$10),2)</f>
        <v>21.57</v>
      </c>
      <c r="J288" s="100">
        <f t="shared" si="37"/>
        <v>0.22470000000000001</v>
      </c>
      <c r="K288" s="48">
        <f t="shared" si="31"/>
        <v>176.38</v>
      </c>
      <c r="L288" s="48">
        <f t="shared" si="32"/>
        <v>26.41</v>
      </c>
      <c r="M288" s="48">
        <f t="shared" si="33"/>
        <v>234144.45</v>
      </c>
      <c r="N288" s="48">
        <f t="shared" si="34"/>
        <v>35059.269999999997</v>
      </c>
      <c r="O288" s="50">
        <f t="shared" si="35"/>
        <v>269203.71999999997</v>
      </c>
      <c r="P288" s="50">
        <v>0</v>
      </c>
      <c r="Q288" s="76"/>
      <c r="R288" s="140">
        <f>((28+17+33+40)*0.25)*(S9+S10)</f>
        <v>1327.5</v>
      </c>
      <c r="S288" s="79">
        <v>144.02000000000001</v>
      </c>
      <c r="T288" s="80">
        <v>21.57</v>
      </c>
    </row>
    <row r="289" spans="2:20" ht="28">
      <c r="B289" s="5" t="s">
        <v>701</v>
      </c>
      <c r="C289" s="45" t="s">
        <v>97</v>
      </c>
      <c r="D289" s="45" t="s">
        <v>702</v>
      </c>
      <c r="E289" s="6" t="s">
        <v>703</v>
      </c>
      <c r="F289" s="45" t="s">
        <v>187</v>
      </c>
      <c r="G289" s="46">
        <f t="shared" si="36"/>
        <v>1440</v>
      </c>
      <c r="H289" s="46">
        <f>TRUNC(S289*(1-LOTE_02!$K$10),2)</f>
        <v>156.94</v>
      </c>
      <c r="I289" s="46">
        <f>TRUNC(T289*(1-LOTE_02!$K$10),2)</f>
        <v>21.57</v>
      </c>
      <c r="J289" s="100">
        <f t="shared" si="37"/>
        <v>0.22470000000000001</v>
      </c>
      <c r="K289" s="48">
        <f t="shared" si="31"/>
        <v>192.2</v>
      </c>
      <c r="L289" s="48">
        <f t="shared" si="32"/>
        <v>26.41</v>
      </c>
      <c r="M289" s="48">
        <f t="shared" si="33"/>
        <v>276768</v>
      </c>
      <c r="N289" s="48">
        <f t="shared" si="34"/>
        <v>38030.400000000001</v>
      </c>
      <c r="O289" s="50">
        <f t="shared" si="35"/>
        <v>314798.40000000002</v>
      </c>
      <c r="P289" s="50">
        <v>0</v>
      </c>
      <c r="Q289" s="76"/>
      <c r="R289" s="140">
        <f>((17+22+60+29)*0.25)*(S9+S10)</f>
        <v>1440</v>
      </c>
      <c r="S289" s="79">
        <v>156.94</v>
      </c>
      <c r="T289" s="80">
        <v>21.57</v>
      </c>
    </row>
    <row r="290" spans="2:20" ht="28">
      <c r="B290" s="5" t="s">
        <v>704</v>
      </c>
      <c r="C290" s="45" t="s">
        <v>165</v>
      </c>
      <c r="D290" s="45" t="s">
        <v>705</v>
      </c>
      <c r="E290" s="6" t="s">
        <v>706</v>
      </c>
      <c r="F290" s="45" t="s">
        <v>168</v>
      </c>
      <c r="G290" s="46">
        <f t="shared" si="36"/>
        <v>900</v>
      </c>
      <c r="H290" s="46">
        <f>TRUNC(S290*(1-LOTE_02!$K$10),2)</f>
        <v>130.87</v>
      </c>
      <c r="I290" s="46">
        <f>TRUNC(T290*(1-LOTE_02!$K$10),2)</f>
        <v>21.74</v>
      </c>
      <c r="J290" s="100">
        <f t="shared" si="37"/>
        <v>0.22470000000000001</v>
      </c>
      <c r="K290" s="48">
        <f t="shared" si="31"/>
        <v>160.27000000000001</v>
      </c>
      <c r="L290" s="48">
        <f t="shared" si="32"/>
        <v>26.62</v>
      </c>
      <c r="M290" s="48">
        <f t="shared" si="33"/>
        <v>144243</v>
      </c>
      <c r="N290" s="48">
        <f t="shared" si="34"/>
        <v>23958</v>
      </c>
      <c r="O290" s="50">
        <f t="shared" si="35"/>
        <v>168201</v>
      </c>
      <c r="P290" s="50">
        <v>0</v>
      </c>
      <c r="Q290" s="76"/>
      <c r="R290" s="140">
        <f>20*S9+20*S10</f>
        <v>900</v>
      </c>
      <c r="S290" s="79">
        <v>130.87</v>
      </c>
      <c r="T290" s="80">
        <v>21.74</v>
      </c>
    </row>
    <row r="291" spans="2:20" ht="56">
      <c r="B291" s="5" t="s">
        <v>707</v>
      </c>
      <c r="C291" s="45" t="s">
        <v>135</v>
      </c>
      <c r="D291" s="45">
        <v>104658</v>
      </c>
      <c r="E291" s="6" t="s">
        <v>708</v>
      </c>
      <c r="F291" s="45" t="s">
        <v>121</v>
      </c>
      <c r="G291" s="46">
        <f t="shared" si="36"/>
        <v>900</v>
      </c>
      <c r="H291" s="46">
        <f>TRUNC(S291*(1-LOTE_02!$K$10),2)</f>
        <v>148.26</v>
      </c>
      <c r="I291" s="46">
        <f>TRUNC(T291*(1-LOTE_02!$K$10),2)</f>
        <v>34.57</v>
      </c>
      <c r="J291" s="100">
        <f t="shared" si="37"/>
        <v>0.22470000000000001</v>
      </c>
      <c r="K291" s="48">
        <f t="shared" si="31"/>
        <v>181.57</v>
      </c>
      <c r="L291" s="48">
        <f t="shared" si="32"/>
        <v>42.33</v>
      </c>
      <c r="M291" s="48">
        <f t="shared" si="33"/>
        <v>163413</v>
      </c>
      <c r="N291" s="48">
        <f t="shared" si="34"/>
        <v>38097</v>
      </c>
      <c r="O291" s="50">
        <f t="shared" si="35"/>
        <v>201510</v>
      </c>
      <c r="P291" s="50">
        <v>0</v>
      </c>
      <c r="Q291" s="76"/>
      <c r="R291" s="140">
        <f>20*S9+20*S10</f>
        <v>900</v>
      </c>
      <c r="S291" s="79">
        <v>148.26000000000002</v>
      </c>
      <c r="T291" s="80">
        <v>34.57</v>
      </c>
    </row>
    <row r="292" spans="2:20" ht="84">
      <c r="B292" s="5" t="s">
        <v>709</v>
      </c>
      <c r="C292" s="45" t="s">
        <v>97</v>
      </c>
      <c r="D292" s="45" t="s">
        <v>710</v>
      </c>
      <c r="E292" s="6" t="s">
        <v>711</v>
      </c>
      <c r="F292" s="45" t="s">
        <v>104</v>
      </c>
      <c r="G292" s="46">
        <f t="shared" si="36"/>
        <v>45</v>
      </c>
      <c r="H292" s="46">
        <f>TRUNC(S292*(1-LOTE_02!$K$10),2)</f>
        <v>202.52</v>
      </c>
      <c r="I292" s="46">
        <f>TRUNC(T292*(1-LOTE_02!$K$10),2)</f>
        <v>3.28</v>
      </c>
      <c r="J292" s="100">
        <f t="shared" si="37"/>
        <v>0.22470000000000001</v>
      </c>
      <c r="K292" s="48">
        <f t="shared" si="31"/>
        <v>248.02</v>
      </c>
      <c r="L292" s="48">
        <f t="shared" si="32"/>
        <v>4.01</v>
      </c>
      <c r="M292" s="48">
        <f t="shared" si="33"/>
        <v>11160.9</v>
      </c>
      <c r="N292" s="48">
        <f t="shared" si="34"/>
        <v>180.45</v>
      </c>
      <c r="O292" s="50">
        <f t="shared" si="35"/>
        <v>11341.35</v>
      </c>
      <c r="P292" s="50">
        <v>0</v>
      </c>
      <c r="Q292" s="76"/>
      <c r="R292" s="140">
        <f>1*S9+1*S10</f>
        <v>45</v>
      </c>
      <c r="S292" s="79">
        <v>202.52</v>
      </c>
      <c r="T292" s="80">
        <v>3.28</v>
      </c>
    </row>
    <row r="293" spans="2:20" ht="56">
      <c r="B293" s="5" t="s">
        <v>712</v>
      </c>
      <c r="C293" s="45" t="s">
        <v>97</v>
      </c>
      <c r="D293" s="45" t="s">
        <v>713</v>
      </c>
      <c r="E293" s="6" t="s">
        <v>714</v>
      </c>
      <c r="F293" s="45" t="s">
        <v>104</v>
      </c>
      <c r="G293" s="46">
        <f t="shared" si="36"/>
        <v>225</v>
      </c>
      <c r="H293" s="46">
        <f>TRUNC(S293*(1-LOTE_02!$K$10),2)</f>
        <v>14.38</v>
      </c>
      <c r="I293" s="46">
        <f>TRUNC(T293*(1-LOTE_02!$K$10),2)</f>
        <v>0.82</v>
      </c>
      <c r="J293" s="100">
        <f t="shared" si="37"/>
        <v>0.22470000000000001</v>
      </c>
      <c r="K293" s="48">
        <f t="shared" si="31"/>
        <v>17.61</v>
      </c>
      <c r="L293" s="48">
        <f t="shared" si="32"/>
        <v>1</v>
      </c>
      <c r="M293" s="48">
        <f t="shared" si="33"/>
        <v>3962.25</v>
      </c>
      <c r="N293" s="48">
        <f t="shared" si="34"/>
        <v>225</v>
      </c>
      <c r="O293" s="50">
        <f t="shared" si="35"/>
        <v>4187.25</v>
      </c>
      <c r="P293" s="50">
        <v>0</v>
      </c>
      <c r="Q293" s="76"/>
      <c r="R293" s="140">
        <f>5*S9+5*S10</f>
        <v>225</v>
      </c>
      <c r="S293" s="79">
        <v>14.38</v>
      </c>
      <c r="T293" s="80">
        <v>0.82</v>
      </c>
    </row>
    <row r="294" spans="2:20" ht="70">
      <c r="B294" s="5" t="s">
        <v>715</v>
      </c>
      <c r="C294" s="45" t="s">
        <v>97</v>
      </c>
      <c r="D294" s="45" t="s">
        <v>716</v>
      </c>
      <c r="E294" s="6" t="s">
        <v>717</v>
      </c>
      <c r="F294" s="45" t="s">
        <v>104</v>
      </c>
      <c r="G294" s="46">
        <f t="shared" si="36"/>
        <v>90</v>
      </c>
      <c r="H294" s="46">
        <f>TRUNC(S294*(1-LOTE_02!$K$10),2)</f>
        <v>226.08</v>
      </c>
      <c r="I294" s="46">
        <f>TRUNC(T294*(1-LOTE_02!$K$10),2)</f>
        <v>3.28</v>
      </c>
      <c r="J294" s="100">
        <f t="shared" si="37"/>
        <v>0.22470000000000001</v>
      </c>
      <c r="K294" s="48">
        <f t="shared" si="31"/>
        <v>276.88</v>
      </c>
      <c r="L294" s="48">
        <f t="shared" si="32"/>
        <v>4.01</v>
      </c>
      <c r="M294" s="48">
        <f t="shared" si="33"/>
        <v>24919.200000000001</v>
      </c>
      <c r="N294" s="48">
        <f t="shared" si="34"/>
        <v>360.9</v>
      </c>
      <c r="O294" s="50">
        <f t="shared" si="35"/>
        <v>25280.1</v>
      </c>
      <c r="P294" s="50">
        <v>0</v>
      </c>
      <c r="Q294" s="76"/>
      <c r="R294" s="140">
        <f>2*S9+2*S10</f>
        <v>90</v>
      </c>
      <c r="S294" s="79">
        <v>226.08</v>
      </c>
      <c r="T294" s="80">
        <v>3.28</v>
      </c>
    </row>
    <row r="295" spans="2:20" ht="56">
      <c r="B295" s="5" t="s">
        <v>718</v>
      </c>
      <c r="C295" s="45" t="s">
        <v>97</v>
      </c>
      <c r="D295" s="45" t="s">
        <v>719</v>
      </c>
      <c r="E295" s="6" t="s">
        <v>720</v>
      </c>
      <c r="F295" s="45" t="s">
        <v>104</v>
      </c>
      <c r="G295" s="46">
        <f t="shared" si="36"/>
        <v>90</v>
      </c>
      <c r="H295" s="46">
        <f>TRUNC(S295*(1-LOTE_02!$K$10),2)</f>
        <v>27.03</v>
      </c>
      <c r="I295" s="46">
        <f>TRUNC(T295*(1-LOTE_02!$K$10),2)</f>
        <v>4.45</v>
      </c>
      <c r="J295" s="100">
        <f t="shared" si="37"/>
        <v>0.22470000000000001</v>
      </c>
      <c r="K295" s="48">
        <f t="shared" si="31"/>
        <v>33.1</v>
      </c>
      <c r="L295" s="48">
        <f t="shared" si="32"/>
        <v>5.44</v>
      </c>
      <c r="M295" s="48">
        <f t="shared" si="33"/>
        <v>2979</v>
      </c>
      <c r="N295" s="48">
        <f t="shared" si="34"/>
        <v>489.6</v>
      </c>
      <c r="O295" s="50">
        <f t="shared" si="35"/>
        <v>3468.6</v>
      </c>
      <c r="P295" s="50">
        <v>0</v>
      </c>
      <c r="Q295" s="76"/>
      <c r="R295" s="140">
        <f>2*S9+2*S10</f>
        <v>90</v>
      </c>
      <c r="S295" s="79">
        <v>27.03</v>
      </c>
      <c r="T295" s="80">
        <v>4.45</v>
      </c>
    </row>
    <row r="296" spans="2:20" ht="42">
      <c r="B296" s="5" t="s">
        <v>721</v>
      </c>
      <c r="C296" s="45" t="s">
        <v>97</v>
      </c>
      <c r="D296" s="45" t="s">
        <v>722</v>
      </c>
      <c r="E296" s="6" t="s">
        <v>723</v>
      </c>
      <c r="F296" s="45" t="s">
        <v>104</v>
      </c>
      <c r="G296" s="46">
        <f t="shared" si="36"/>
        <v>90</v>
      </c>
      <c r="H296" s="46">
        <f>TRUNC(S296*(1-LOTE_02!$K$10),2)</f>
        <v>43.49</v>
      </c>
      <c r="I296" s="46">
        <f>TRUNC(T296*(1-LOTE_02!$K$10),2)</f>
        <v>4.45</v>
      </c>
      <c r="J296" s="100">
        <f t="shared" si="37"/>
        <v>0.22470000000000001</v>
      </c>
      <c r="K296" s="48">
        <f t="shared" si="31"/>
        <v>53.26</v>
      </c>
      <c r="L296" s="48">
        <f t="shared" si="32"/>
        <v>5.44</v>
      </c>
      <c r="M296" s="48">
        <f t="shared" si="33"/>
        <v>4793.3999999999996</v>
      </c>
      <c r="N296" s="48">
        <f t="shared" si="34"/>
        <v>489.6</v>
      </c>
      <c r="O296" s="50">
        <f t="shared" si="35"/>
        <v>5283</v>
      </c>
      <c r="P296" s="50">
        <v>0</v>
      </c>
      <c r="Q296" s="76"/>
      <c r="R296" s="140">
        <f>2*S9+2*S10</f>
        <v>90</v>
      </c>
      <c r="S296" s="79">
        <v>43.49</v>
      </c>
      <c r="T296" s="80">
        <v>4.45</v>
      </c>
    </row>
    <row r="297" spans="2:20" ht="56">
      <c r="B297" s="5" t="s">
        <v>724</v>
      </c>
      <c r="C297" s="45" t="s">
        <v>135</v>
      </c>
      <c r="D297" s="45">
        <v>100868</v>
      </c>
      <c r="E297" s="6" t="s">
        <v>1811</v>
      </c>
      <c r="F297" s="45" t="s">
        <v>210</v>
      </c>
      <c r="G297" s="46">
        <f t="shared" si="36"/>
        <v>45</v>
      </c>
      <c r="H297" s="46">
        <f>TRUNC(S297*(1-LOTE_02!$K$10),2)</f>
        <v>357.32</v>
      </c>
      <c r="I297" s="46">
        <f>TRUNC(T297*(1-LOTE_02!$K$10),2)</f>
        <v>25.41</v>
      </c>
      <c r="J297" s="100">
        <f t="shared" si="37"/>
        <v>0.22470000000000001</v>
      </c>
      <c r="K297" s="48">
        <f t="shared" si="31"/>
        <v>437.6</v>
      </c>
      <c r="L297" s="48">
        <f t="shared" si="32"/>
        <v>31.11</v>
      </c>
      <c r="M297" s="48">
        <f t="shared" si="33"/>
        <v>19692</v>
      </c>
      <c r="N297" s="48">
        <f t="shared" si="34"/>
        <v>1399.95</v>
      </c>
      <c r="O297" s="50">
        <f t="shared" si="35"/>
        <v>21091.95</v>
      </c>
      <c r="P297" s="50">
        <v>0</v>
      </c>
      <c r="Q297" s="76"/>
      <c r="R297" s="140">
        <f>1*S9+1*S10</f>
        <v>45</v>
      </c>
      <c r="S297" s="79">
        <v>357.32</v>
      </c>
      <c r="T297" s="80">
        <v>25.41</v>
      </c>
    </row>
    <row r="298" spans="2:20" ht="56">
      <c r="B298" s="5" t="s">
        <v>725</v>
      </c>
      <c r="C298" s="45" t="s">
        <v>135</v>
      </c>
      <c r="D298" s="45">
        <v>100871</v>
      </c>
      <c r="E298" s="6" t="s">
        <v>1812</v>
      </c>
      <c r="F298" s="45" t="s">
        <v>210</v>
      </c>
      <c r="G298" s="46">
        <f t="shared" si="36"/>
        <v>45</v>
      </c>
      <c r="H298" s="46">
        <f>TRUNC(S298*(1-LOTE_02!$K$10),2)</f>
        <v>356.39</v>
      </c>
      <c r="I298" s="46">
        <f>TRUNC(T298*(1-LOTE_02!$K$10),2)</f>
        <v>25.67</v>
      </c>
      <c r="J298" s="100">
        <f t="shared" si="37"/>
        <v>0.22470000000000001</v>
      </c>
      <c r="K298" s="48">
        <f t="shared" si="31"/>
        <v>436.47</v>
      </c>
      <c r="L298" s="48">
        <f t="shared" si="32"/>
        <v>31.43</v>
      </c>
      <c r="M298" s="48">
        <f t="shared" si="33"/>
        <v>19641.150000000001</v>
      </c>
      <c r="N298" s="48">
        <f t="shared" si="34"/>
        <v>1414.35</v>
      </c>
      <c r="O298" s="50">
        <f t="shared" si="35"/>
        <v>21055.5</v>
      </c>
      <c r="P298" s="50">
        <v>0</v>
      </c>
      <c r="Q298" s="76"/>
      <c r="R298" s="140">
        <f>1*S9+1*S10</f>
        <v>45</v>
      </c>
      <c r="S298" s="79">
        <v>356.39</v>
      </c>
      <c r="T298" s="80">
        <v>25.67</v>
      </c>
    </row>
    <row r="299" spans="2:20" ht="56">
      <c r="B299" s="5" t="s">
        <v>726</v>
      </c>
      <c r="C299" s="45" t="s">
        <v>135</v>
      </c>
      <c r="D299" s="45">
        <v>100866</v>
      </c>
      <c r="E299" s="6" t="s">
        <v>1813</v>
      </c>
      <c r="F299" s="45" t="s">
        <v>210</v>
      </c>
      <c r="G299" s="46">
        <f t="shared" si="36"/>
        <v>90</v>
      </c>
      <c r="H299" s="46">
        <f>TRUNC(S299*(1-LOTE_02!$K$10),2)</f>
        <v>326.19</v>
      </c>
      <c r="I299" s="46">
        <f>TRUNC(T299*(1-LOTE_02!$K$10),2)</f>
        <v>25.53</v>
      </c>
      <c r="J299" s="100">
        <f t="shared" si="37"/>
        <v>0.22470000000000001</v>
      </c>
      <c r="K299" s="48">
        <f t="shared" si="31"/>
        <v>399.48</v>
      </c>
      <c r="L299" s="48">
        <f t="shared" si="32"/>
        <v>31.26</v>
      </c>
      <c r="M299" s="48">
        <f t="shared" si="33"/>
        <v>35953.199999999997</v>
      </c>
      <c r="N299" s="48">
        <f t="shared" si="34"/>
        <v>2813.4</v>
      </c>
      <c r="O299" s="50">
        <f t="shared" si="35"/>
        <v>38766.6</v>
      </c>
      <c r="P299" s="50">
        <v>0</v>
      </c>
      <c r="Q299" s="76"/>
      <c r="R299" s="140">
        <f>2*S9+2*S10</f>
        <v>90</v>
      </c>
      <c r="S299" s="79">
        <v>326.19000000000005</v>
      </c>
      <c r="T299" s="80">
        <v>25.53</v>
      </c>
    </row>
    <row r="300" spans="2:20" ht="112">
      <c r="B300" s="5" t="s">
        <v>727</v>
      </c>
      <c r="C300" s="45" t="s">
        <v>97</v>
      </c>
      <c r="D300" s="45" t="s">
        <v>728</v>
      </c>
      <c r="E300" s="6" t="s">
        <v>729</v>
      </c>
      <c r="F300" s="45" t="s">
        <v>104</v>
      </c>
      <c r="G300" s="46">
        <f t="shared" si="36"/>
        <v>10</v>
      </c>
      <c r="H300" s="46">
        <f>TRUNC(S300*(1-LOTE_02!$K$10),2)</f>
        <v>547.16</v>
      </c>
      <c r="I300" s="46">
        <f>TRUNC(T300*(1-LOTE_02!$K$10),2)</f>
        <v>6.7</v>
      </c>
      <c r="J300" s="100">
        <f t="shared" si="37"/>
        <v>0.22470000000000001</v>
      </c>
      <c r="K300" s="48">
        <f t="shared" si="31"/>
        <v>670.1</v>
      </c>
      <c r="L300" s="48">
        <f t="shared" si="32"/>
        <v>8.1999999999999993</v>
      </c>
      <c r="M300" s="48">
        <f t="shared" si="33"/>
        <v>6701</v>
      </c>
      <c r="N300" s="48">
        <f t="shared" si="34"/>
        <v>82</v>
      </c>
      <c r="O300" s="50">
        <f t="shared" si="35"/>
        <v>6783</v>
      </c>
      <c r="P300" s="50">
        <v>0</v>
      </c>
      <c r="Q300" s="76"/>
      <c r="R300" s="140">
        <f>IF((1*S9+1*S10)&gt;10,10,(1*S9+1*S10))</f>
        <v>10</v>
      </c>
      <c r="S300" s="79">
        <v>547.16</v>
      </c>
      <c r="T300" s="80">
        <v>6.7</v>
      </c>
    </row>
    <row r="301" spans="2:20" ht="42">
      <c r="B301" s="5" t="s">
        <v>730</v>
      </c>
      <c r="C301" s="45" t="s">
        <v>97</v>
      </c>
      <c r="D301" s="45" t="s">
        <v>731</v>
      </c>
      <c r="E301" s="6" t="s">
        <v>732</v>
      </c>
      <c r="F301" s="45" t="s">
        <v>104</v>
      </c>
      <c r="G301" s="46">
        <f t="shared" si="36"/>
        <v>45</v>
      </c>
      <c r="H301" s="46">
        <f>TRUNC(S301*(1-LOTE_02!$K$10),2)</f>
        <v>790</v>
      </c>
      <c r="I301" s="46">
        <f>TRUNC(T301*(1-LOTE_02!$K$10),2)</f>
        <v>0</v>
      </c>
      <c r="J301" s="100">
        <f t="shared" si="37"/>
        <v>0.22470000000000001</v>
      </c>
      <c r="K301" s="48">
        <f t="shared" si="31"/>
        <v>967.51</v>
      </c>
      <c r="L301" s="48">
        <f t="shared" si="32"/>
        <v>0</v>
      </c>
      <c r="M301" s="48">
        <f t="shared" si="33"/>
        <v>43537.95</v>
      </c>
      <c r="N301" s="48">
        <f t="shared" si="34"/>
        <v>0</v>
      </c>
      <c r="O301" s="50">
        <f t="shared" si="35"/>
        <v>43537.95</v>
      </c>
      <c r="P301" s="50">
        <v>0</v>
      </c>
      <c r="Q301" s="76"/>
      <c r="R301" s="140">
        <f>1*S9+1*S10</f>
        <v>45</v>
      </c>
      <c r="S301" s="79">
        <v>790</v>
      </c>
      <c r="T301" s="80">
        <v>0</v>
      </c>
    </row>
    <row r="302" spans="2:20" ht="42">
      <c r="B302" s="5" t="s">
        <v>733</v>
      </c>
      <c r="C302" s="45" t="s">
        <v>97</v>
      </c>
      <c r="D302" s="45" t="s">
        <v>734</v>
      </c>
      <c r="E302" s="6" t="s">
        <v>735</v>
      </c>
      <c r="F302" s="45" t="s">
        <v>104</v>
      </c>
      <c r="G302" s="46">
        <f t="shared" si="36"/>
        <v>10</v>
      </c>
      <c r="H302" s="46">
        <f>TRUNC(S302*(1-LOTE_02!$K$10),2)</f>
        <v>2668.79</v>
      </c>
      <c r="I302" s="46">
        <f>TRUNC(T302*(1-LOTE_02!$K$10),2)</f>
        <v>0</v>
      </c>
      <c r="J302" s="100">
        <f t="shared" si="37"/>
        <v>0.22470000000000001</v>
      </c>
      <c r="K302" s="48">
        <f t="shared" si="31"/>
        <v>3268.46</v>
      </c>
      <c r="L302" s="48">
        <f t="shared" si="32"/>
        <v>0</v>
      </c>
      <c r="M302" s="48">
        <f t="shared" si="33"/>
        <v>32684.6</v>
      </c>
      <c r="N302" s="48">
        <f t="shared" si="34"/>
        <v>0</v>
      </c>
      <c r="O302" s="50">
        <f t="shared" si="35"/>
        <v>32684.6</v>
      </c>
      <c r="P302" s="50">
        <v>0</v>
      </c>
      <c r="Q302" s="76"/>
      <c r="R302" s="140">
        <f>IF((1*S9+1*S10)&gt;10,10,(1*S9+1*S10))</f>
        <v>10</v>
      </c>
      <c r="S302" s="79">
        <v>2668.79</v>
      </c>
      <c r="T302" s="80">
        <v>0</v>
      </c>
    </row>
    <row r="303" spans="2:20">
      <c r="B303" s="5" t="s">
        <v>736</v>
      </c>
      <c r="C303" s="45" t="s">
        <v>97</v>
      </c>
      <c r="D303" s="45" t="s">
        <v>737</v>
      </c>
      <c r="E303" s="6" t="s">
        <v>738</v>
      </c>
      <c r="F303" s="45" t="s">
        <v>104</v>
      </c>
      <c r="G303" s="46">
        <f t="shared" si="36"/>
        <v>10</v>
      </c>
      <c r="H303" s="46">
        <f>TRUNC(S303*(1-LOTE_02!$K$10),2)</f>
        <v>1475.29</v>
      </c>
      <c r="I303" s="46">
        <f>TRUNC(T303*(1-LOTE_02!$K$10),2)</f>
        <v>3.28</v>
      </c>
      <c r="J303" s="100">
        <f t="shared" si="37"/>
        <v>0.22470000000000001</v>
      </c>
      <c r="K303" s="48">
        <f t="shared" si="31"/>
        <v>1806.78</v>
      </c>
      <c r="L303" s="48">
        <f t="shared" si="32"/>
        <v>4.01</v>
      </c>
      <c r="M303" s="48">
        <f t="shared" si="33"/>
        <v>18067.8</v>
      </c>
      <c r="N303" s="48">
        <f t="shared" si="34"/>
        <v>40.1</v>
      </c>
      <c r="O303" s="50">
        <f t="shared" si="35"/>
        <v>18107.900000000001</v>
      </c>
      <c r="P303" s="50">
        <v>0</v>
      </c>
      <c r="Q303" s="76"/>
      <c r="R303" s="140">
        <f>IF((1*S9+1*S10)&gt;10,10,(1*S9+1*S10))</f>
        <v>10</v>
      </c>
      <c r="S303" s="79">
        <v>1475.29</v>
      </c>
      <c r="T303" s="80">
        <v>3.28</v>
      </c>
    </row>
    <row r="304" spans="2:20" ht="42">
      <c r="B304" s="5" t="s">
        <v>739</v>
      </c>
      <c r="C304" s="45" t="s">
        <v>97</v>
      </c>
      <c r="D304" s="45" t="s">
        <v>740</v>
      </c>
      <c r="E304" s="6" t="s">
        <v>741</v>
      </c>
      <c r="F304" s="45" t="s">
        <v>104</v>
      </c>
      <c r="G304" s="46">
        <f t="shared" si="36"/>
        <v>180</v>
      </c>
      <c r="H304" s="46">
        <f>TRUNC(S304*(1-LOTE_02!$K$10),2)</f>
        <v>66.3</v>
      </c>
      <c r="I304" s="46">
        <f>TRUNC(T304*(1-LOTE_02!$K$10),2)</f>
        <v>0</v>
      </c>
      <c r="J304" s="100">
        <f t="shared" si="37"/>
        <v>0.22470000000000001</v>
      </c>
      <c r="K304" s="48">
        <f t="shared" si="31"/>
        <v>81.19</v>
      </c>
      <c r="L304" s="48">
        <f t="shared" si="32"/>
        <v>0</v>
      </c>
      <c r="M304" s="48">
        <f t="shared" si="33"/>
        <v>14614.2</v>
      </c>
      <c r="N304" s="48">
        <f t="shared" si="34"/>
        <v>0</v>
      </c>
      <c r="O304" s="50">
        <f t="shared" si="35"/>
        <v>14614.2</v>
      </c>
      <c r="P304" s="50">
        <v>0</v>
      </c>
      <c r="Q304" s="76"/>
      <c r="R304" s="140">
        <f>4*S9+4*S10</f>
        <v>180</v>
      </c>
      <c r="S304" s="79">
        <v>66.3</v>
      </c>
      <c r="T304" s="80">
        <v>0</v>
      </c>
    </row>
    <row r="305" spans="2:20" ht="84">
      <c r="B305" s="5" t="s">
        <v>742</v>
      </c>
      <c r="C305" s="45" t="s">
        <v>97</v>
      </c>
      <c r="D305" s="45" t="s">
        <v>743</v>
      </c>
      <c r="E305" s="6" t="s">
        <v>744</v>
      </c>
      <c r="F305" s="45" t="s">
        <v>104</v>
      </c>
      <c r="G305" s="46">
        <f t="shared" si="36"/>
        <v>10</v>
      </c>
      <c r="H305" s="46">
        <f>TRUNC(S305*(1-LOTE_02!$K$10),2)</f>
        <v>76.08</v>
      </c>
      <c r="I305" s="46">
        <f>TRUNC(T305*(1-LOTE_02!$K$10),2)</f>
        <v>3.28</v>
      </c>
      <c r="J305" s="100">
        <f t="shared" si="37"/>
        <v>0.22470000000000001</v>
      </c>
      <c r="K305" s="48">
        <f t="shared" si="31"/>
        <v>93.17</v>
      </c>
      <c r="L305" s="48">
        <f t="shared" si="32"/>
        <v>4.01</v>
      </c>
      <c r="M305" s="48">
        <f t="shared" si="33"/>
        <v>931.7</v>
      </c>
      <c r="N305" s="48">
        <f t="shared" si="34"/>
        <v>40.1</v>
      </c>
      <c r="O305" s="50">
        <f t="shared" si="35"/>
        <v>971.8</v>
      </c>
      <c r="P305" s="50">
        <v>0</v>
      </c>
      <c r="Q305" s="76"/>
      <c r="R305" s="140">
        <f>IF((1*S9+1*S10)&gt;10,10,(1*S9+1*S10))</f>
        <v>10</v>
      </c>
      <c r="S305" s="79">
        <v>76.08</v>
      </c>
      <c r="T305" s="80">
        <v>3.28</v>
      </c>
    </row>
    <row r="306" spans="2:20" ht="98">
      <c r="B306" s="5" t="s">
        <v>745</v>
      </c>
      <c r="C306" s="45" t="s">
        <v>97</v>
      </c>
      <c r="D306" s="45" t="s">
        <v>746</v>
      </c>
      <c r="E306" s="6" t="s">
        <v>747</v>
      </c>
      <c r="F306" s="45" t="s">
        <v>104</v>
      </c>
      <c r="G306" s="46">
        <f t="shared" si="36"/>
        <v>45</v>
      </c>
      <c r="H306" s="46">
        <f>TRUNC(S306*(1-LOTE_02!$K$10),2)</f>
        <v>64.39</v>
      </c>
      <c r="I306" s="46">
        <f>TRUNC(T306*(1-LOTE_02!$K$10),2)</f>
        <v>0</v>
      </c>
      <c r="J306" s="100">
        <f t="shared" si="37"/>
        <v>0.22470000000000001</v>
      </c>
      <c r="K306" s="48">
        <f t="shared" si="31"/>
        <v>78.849999999999994</v>
      </c>
      <c r="L306" s="48">
        <f t="shared" si="32"/>
        <v>0</v>
      </c>
      <c r="M306" s="48">
        <f t="shared" si="33"/>
        <v>3548.25</v>
      </c>
      <c r="N306" s="48">
        <f t="shared" si="34"/>
        <v>0</v>
      </c>
      <c r="O306" s="50">
        <f t="shared" si="35"/>
        <v>3548.25</v>
      </c>
      <c r="P306" s="50">
        <v>0</v>
      </c>
      <c r="Q306" s="76"/>
      <c r="R306" s="140">
        <f>S9+S10</f>
        <v>45</v>
      </c>
      <c r="S306" s="79">
        <v>64.39</v>
      </c>
      <c r="T306" s="80">
        <v>0</v>
      </c>
    </row>
    <row r="307" spans="2:20" ht="84">
      <c r="B307" s="5" t="s">
        <v>748</v>
      </c>
      <c r="C307" s="45" t="s">
        <v>97</v>
      </c>
      <c r="D307" s="45" t="s">
        <v>749</v>
      </c>
      <c r="E307" s="6" t="s">
        <v>750</v>
      </c>
      <c r="F307" s="45" t="s">
        <v>104</v>
      </c>
      <c r="G307" s="46">
        <f t="shared" si="36"/>
        <v>10</v>
      </c>
      <c r="H307" s="46">
        <f>TRUNC(S307*(1-LOTE_02!$K$10),2)</f>
        <v>702.31</v>
      </c>
      <c r="I307" s="46">
        <f>TRUNC(T307*(1-LOTE_02!$K$10),2)</f>
        <v>25.99</v>
      </c>
      <c r="J307" s="100">
        <f t="shared" si="37"/>
        <v>0.22470000000000001</v>
      </c>
      <c r="K307" s="48">
        <f t="shared" si="31"/>
        <v>860.11</v>
      </c>
      <c r="L307" s="48">
        <f t="shared" si="32"/>
        <v>31.82</v>
      </c>
      <c r="M307" s="48">
        <f t="shared" si="33"/>
        <v>8601.1</v>
      </c>
      <c r="N307" s="48">
        <f t="shared" si="34"/>
        <v>318.2</v>
      </c>
      <c r="O307" s="50">
        <f t="shared" si="35"/>
        <v>8919.2999999999993</v>
      </c>
      <c r="P307" s="50">
        <v>0</v>
      </c>
      <c r="Q307" s="76"/>
      <c r="R307" s="140">
        <f>IF((1*S9+1*S10)&gt;10,10,(1*S9+1*S10))</f>
        <v>10</v>
      </c>
      <c r="S307" s="79">
        <v>702.31</v>
      </c>
      <c r="T307" s="80">
        <v>25.99</v>
      </c>
    </row>
    <row r="308" spans="2:20" ht="70">
      <c r="B308" s="5" t="s">
        <v>751</v>
      </c>
      <c r="C308" s="45" t="s">
        <v>97</v>
      </c>
      <c r="D308" s="45" t="s">
        <v>752</v>
      </c>
      <c r="E308" s="6" t="s">
        <v>753</v>
      </c>
      <c r="F308" s="45" t="s">
        <v>104</v>
      </c>
      <c r="G308" s="46">
        <f t="shared" si="36"/>
        <v>10</v>
      </c>
      <c r="H308" s="46">
        <f>TRUNC(S308*(1-LOTE_02!$K$10),2)</f>
        <v>276.95999999999998</v>
      </c>
      <c r="I308" s="46">
        <f>TRUNC(T308*(1-LOTE_02!$K$10),2)</f>
        <v>11.23</v>
      </c>
      <c r="J308" s="100">
        <f t="shared" si="37"/>
        <v>0.22470000000000001</v>
      </c>
      <c r="K308" s="48">
        <f t="shared" si="31"/>
        <v>339.19</v>
      </c>
      <c r="L308" s="48">
        <f t="shared" si="32"/>
        <v>13.75</v>
      </c>
      <c r="M308" s="48">
        <f t="shared" si="33"/>
        <v>3391.9</v>
      </c>
      <c r="N308" s="48">
        <f t="shared" si="34"/>
        <v>137.5</v>
      </c>
      <c r="O308" s="50">
        <f t="shared" si="35"/>
        <v>3529.4</v>
      </c>
      <c r="P308" s="50">
        <v>0</v>
      </c>
      <c r="Q308" s="76"/>
      <c r="R308" s="140">
        <f>IF((1*S9+1*S10)&gt;10,10,(1*S9+1*S10))</f>
        <v>10</v>
      </c>
      <c r="S308" s="79">
        <v>276.95999999999998</v>
      </c>
      <c r="T308" s="80">
        <v>11.23</v>
      </c>
    </row>
    <row r="309" spans="2:20" ht="28">
      <c r="B309" s="5" t="s">
        <v>754</v>
      </c>
      <c r="C309" s="45" t="s">
        <v>97</v>
      </c>
      <c r="D309" s="45" t="s">
        <v>755</v>
      </c>
      <c r="E309" s="6" t="s">
        <v>756</v>
      </c>
      <c r="F309" s="45" t="s">
        <v>187</v>
      </c>
      <c r="G309" s="46">
        <f t="shared" si="36"/>
        <v>50</v>
      </c>
      <c r="H309" s="46">
        <f>TRUNC(S309*(1-LOTE_02!$K$10),2)</f>
        <v>283.39999999999998</v>
      </c>
      <c r="I309" s="46">
        <f>TRUNC(T309*(1-LOTE_02!$K$10),2)</f>
        <v>38.700000000000003</v>
      </c>
      <c r="J309" s="100">
        <f t="shared" si="37"/>
        <v>0.22470000000000001</v>
      </c>
      <c r="K309" s="48">
        <f t="shared" si="31"/>
        <v>347.07</v>
      </c>
      <c r="L309" s="48">
        <f t="shared" si="32"/>
        <v>47.39</v>
      </c>
      <c r="M309" s="48">
        <f t="shared" si="33"/>
        <v>17353.5</v>
      </c>
      <c r="N309" s="48">
        <f t="shared" si="34"/>
        <v>2369.5</v>
      </c>
      <c r="O309" s="50">
        <f t="shared" si="35"/>
        <v>19723</v>
      </c>
      <c r="P309" s="50">
        <v>0</v>
      </c>
      <c r="Q309" s="76"/>
      <c r="R309" s="140">
        <f>IF((10*S9+10*S10)&gt;50,50,(10*S9+10*S10))</f>
        <v>50</v>
      </c>
      <c r="S309" s="79">
        <v>283.39999999999998</v>
      </c>
      <c r="T309" s="80">
        <v>38.700000000000003</v>
      </c>
    </row>
    <row r="310" spans="2:20" ht="84">
      <c r="B310" s="5" t="s">
        <v>757</v>
      </c>
      <c r="C310" s="45" t="s">
        <v>97</v>
      </c>
      <c r="D310" s="45" t="s">
        <v>758</v>
      </c>
      <c r="E310" s="6" t="s">
        <v>759</v>
      </c>
      <c r="F310" s="45" t="s">
        <v>104</v>
      </c>
      <c r="G310" s="46">
        <f t="shared" si="36"/>
        <v>10</v>
      </c>
      <c r="H310" s="46">
        <f>TRUNC(S310*(1-LOTE_02!$K$10),2)</f>
        <v>620.27</v>
      </c>
      <c r="I310" s="46">
        <f>TRUNC(T310*(1-LOTE_02!$K$10),2)</f>
        <v>14.85</v>
      </c>
      <c r="J310" s="100">
        <f t="shared" si="37"/>
        <v>0.22470000000000001</v>
      </c>
      <c r="K310" s="48">
        <f t="shared" si="31"/>
        <v>759.64</v>
      </c>
      <c r="L310" s="48">
        <f t="shared" si="32"/>
        <v>18.18</v>
      </c>
      <c r="M310" s="48">
        <f t="shared" si="33"/>
        <v>7596.4</v>
      </c>
      <c r="N310" s="48">
        <f t="shared" si="34"/>
        <v>181.8</v>
      </c>
      <c r="O310" s="50">
        <f t="shared" si="35"/>
        <v>7778.2</v>
      </c>
      <c r="P310" s="50">
        <v>0</v>
      </c>
      <c r="Q310" s="76"/>
      <c r="R310" s="140">
        <f>IF((1*S9+1*S10)&gt;10,10,(1*S9+1*S10))</f>
        <v>10</v>
      </c>
      <c r="S310" s="79">
        <v>620.27</v>
      </c>
      <c r="T310" s="80">
        <v>14.85</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10229318.5</v>
      </c>
      <c r="Q311" s="76"/>
      <c r="R311" s="154"/>
      <c r="S311" s="79" t="s">
        <v>22</v>
      </c>
      <c r="T311" s="80" t="s">
        <v>22</v>
      </c>
    </row>
    <row r="312" spans="2:20" ht="28">
      <c r="B312" s="5" t="s">
        <v>760</v>
      </c>
      <c r="C312" s="45" t="s">
        <v>165</v>
      </c>
      <c r="D312" s="45" t="s">
        <v>761</v>
      </c>
      <c r="E312" s="6" t="s">
        <v>762</v>
      </c>
      <c r="F312" s="45" t="s">
        <v>168</v>
      </c>
      <c r="G312" s="46">
        <f t="shared" si="36"/>
        <v>24300</v>
      </c>
      <c r="H312" s="46">
        <f>TRUNC(S312*(1-LOTE_02!$K$10),2)</f>
        <v>0</v>
      </c>
      <c r="I312" s="46">
        <f>TRUNC(T312*(1-LOTE_02!$K$10),2)</f>
        <v>15.81</v>
      </c>
      <c r="J312" s="100">
        <f t="shared" si="37"/>
        <v>0.22470000000000001</v>
      </c>
      <c r="K312" s="48">
        <f t="shared" si="31"/>
        <v>0</v>
      </c>
      <c r="L312" s="48">
        <f t="shared" si="32"/>
        <v>19.36</v>
      </c>
      <c r="M312" s="48">
        <f t="shared" si="33"/>
        <v>0</v>
      </c>
      <c r="N312" s="48">
        <f t="shared" si="34"/>
        <v>470448</v>
      </c>
      <c r="O312" s="50">
        <f t="shared" si="35"/>
        <v>470448</v>
      </c>
      <c r="P312" s="50">
        <v>0</v>
      </c>
      <c r="Q312" s="76"/>
      <c r="R312" s="140">
        <f>90*6*(S9+S10)</f>
        <v>24300</v>
      </c>
      <c r="S312" s="79">
        <v>0</v>
      </c>
      <c r="T312" s="80">
        <v>15.81</v>
      </c>
    </row>
    <row r="313" spans="2:20" ht="28">
      <c r="B313" s="5" t="s">
        <v>763</v>
      </c>
      <c r="C313" s="45" t="s">
        <v>165</v>
      </c>
      <c r="D313" s="45" t="s">
        <v>764</v>
      </c>
      <c r="E313" s="6" t="s">
        <v>765</v>
      </c>
      <c r="F313" s="45" t="s">
        <v>168</v>
      </c>
      <c r="G313" s="46">
        <f t="shared" si="36"/>
        <v>1500</v>
      </c>
      <c r="H313" s="46">
        <f>TRUNC(S313*(1-LOTE_02!$K$10),2)</f>
        <v>27.97</v>
      </c>
      <c r="I313" s="46">
        <f>TRUNC(T313*(1-LOTE_02!$K$10),2)</f>
        <v>21.74</v>
      </c>
      <c r="J313" s="100">
        <f t="shared" si="37"/>
        <v>0.22470000000000001</v>
      </c>
      <c r="K313" s="48">
        <f t="shared" si="31"/>
        <v>34.25</v>
      </c>
      <c r="L313" s="48">
        <f t="shared" si="32"/>
        <v>26.62</v>
      </c>
      <c r="M313" s="48">
        <f t="shared" si="33"/>
        <v>51375</v>
      </c>
      <c r="N313" s="48">
        <f t="shared" si="34"/>
        <v>39930</v>
      </c>
      <c r="O313" s="50">
        <f t="shared" si="35"/>
        <v>91305</v>
      </c>
      <c r="P313" s="50">
        <v>0</v>
      </c>
      <c r="Q313" s="76"/>
      <c r="R313" s="140">
        <f>50*S9+20*(S10)</f>
        <v>1500</v>
      </c>
      <c r="S313" s="79">
        <v>27.97</v>
      </c>
      <c r="T313" s="80">
        <v>21.74</v>
      </c>
    </row>
    <row r="314" spans="2:20" ht="28">
      <c r="B314" s="5" t="s">
        <v>766</v>
      </c>
      <c r="C314" s="45" t="s">
        <v>135</v>
      </c>
      <c r="D314" s="45">
        <v>100717</v>
      </c>
      <c r="E314" s="6" t="s">
        <v>767</v>
      </c>
      <c r="F314" s="45" t="s">
        <v>121</v>
      </c>
      <c r="G314" s="46">
        <f t="shared" si="36"/>
        <v>11000</v>
      </c>
      <c r="H314" s="46">
        <f>TRUNC(S314*(1-LOTE_02!$K$10),2)</f>
        <v>4.54</v>
      </c>
      <c r="I314" s="46">
        <f>TRUNC(T314*(1-LOTE_02!$K$10),2)</f>
        <v>6.54</v>
      </c>
      <c r="J314" s="100">
        <f t="shared" si="37"/>
        <v>0.22470000000000001</v>
      </c>
      <c r="K314" s="48">
        <f t="shared" si="31"/>
        <v>5.56</v>
      </c>
      <c r="L314" s="48">
        <f t="shared" si="32"/>
        <v>8</v>
      </c>
      <c r="M314" s="48">
        <f t="shared" si="33"/>
        <v>61160</v>
      </c>
      <c r="N314" s="48">
        <f t="shared" si="34"/>
        <v>88000</v>
      </c>
      <c r="O314" s="50">
        <f t="shared" si="35"/>
        <v>149160</v>
      </c>
      <c r="P314" s="50">
        <v>0</v>
      </c>
      <c r="Q314" s="76"/>
      <c r="R314" s="140">
        <f>R330</f>
        <v>11000</v>
      </c>
      <c r="S314" s="79">
        <v>4.54</v>
      </c>
      <c r="T314" s="80">
        <v>6.54</v>
      </c>
    </row>
    <row r="315" spans="2:20" ht="28">
      <c r="B315" s="5" t="s">
        <v>768</v>
      </c>
      <c r="C315" s="45" t="s">
        <v>135</v>
      </c>
      <c r="D315" s="45">
        <v>102197</v>
      </c>
      <c r="E315" s="6" t="s">
        <v>769</v>
      </c>
      <c r="F315" s="45" t="s">
        <v>121</v>
      </c>
      <c r="G315" s="46">
        <f t="shared" si="36"/>
        <v>5000</v>
      </c>
      <c r="H315" s="46">
        <f>TRUNC(S315*(1-LOTE_02!$K$10),2)</f>
        <v>17.87</v>
      </c>
      <c r="I315" s="46">
        <f>TRUNC(T315*(1-LOTE_02!$K$10),2)</f>
        <v>6.01</v>
      </c>
      <c r="J315" s="100">
        <f t="shared" si="37"/>
        <v>0.22470000000000001</v>
      </c>
      <c r="K315" s="48">
        <f t="shared" si="31"/>
        <v>21.88</v>
      </c>
      <c r="L315" s="48">
        <f t="shared" si="32"/>
        <v>7.36</v>
      </c>
      <c r="M315" s="48">
        <f t="shared" si="33"/>
        <v>109400</v>
      </c>
      <c r="N315" s="48">
        <f t="shared" si="34"/>
        <v>36800</v>
      </c>
      <c r="O315" s="50">
        <f t="shared" si="35"/>
        <v>146200</v>
      </c>
      <c r="P315" s="50">
        <v>0</v>
      </c>
      <c r="Q315" s="76"/>
      <c r="R315" s="140">
        <f>R256</f>
        <v>5000</v>
      </c>
      <c r="S315" s="79">
        <v>17.869999999999997</v>
      </c>
      <c r="T315" s="80">
        <v>6.01</v>
      </c>
    </row>
    <row r="316" spans="2:20" ht="70">
      <c r="B316" s="5" t="s">
        <v>770</v>
      </c>
      <c r="C316" s="45" t="s">
        <v>135</v>
      </c>
      <c r="D316" s="45">
        <v>88412</v>
      </c>
      <c r="E316" s="6" t="s">
        <v>771</v>
      </c>
      <c r="F316" s="45" t="s">
        <v>121</v>
      </c>
      <c r="G316" s="46">
        <f t="shared" si="36"/>
        <v>67500</v>
      </c>
      <c r="H316" s="46">
        <f>TRUNC(S316*(1-LOTE_02!$K$10),2)</f>
        <v>3.11</v>
      </c>
      <c r="I316" s="46">
        <f>TRUNC(T316*(1-LOTE_02!$K$10),2)</f>
        <v>0.61</v>
      </c>
      <c r="J316" s="100">
        <f t="shared" si="37"/>
        <v>0.22470000000000001</v>
      </c>
      <c r="K316" s="48">
        <f t="shared" si="31"/>
        <v>3.8</v>
      </c>
      <c r="L316" s="48">
        <f t="shared" si="32"/>
        <v>0.74</v>
      </c>
      <c r="M316" s="48">
        <f t="shared" si="33"/>
        <v>256500</v>
      </c>
      <c r="N316" s="48">
        <f t="shared" si="34"/>
        <v>49950</v>
      </c>
      <c r="O316" s="50">
        <f t="shared" si="35"/>
        <v>306450</v>
      </c>
      <c r="P316" s="50">
        <v>0</v>
      </c>
      <c r="Q316" s="76"/>
      <c r="R316" s="140">
        <f>1500*S9+1500*S10</f>
        <v>67500</v>
      </c>
      <c r="S316" s="79">
        <v>3.1100000000000003</v>
      </c>
      <c r="T316" s="80">
        <v>0.61</v>
      </c>
    </row>
    <row r="317" spans="2:20" ht="42">
      <c r="B317" s="5" t="s">
        <v>772</v>
      </c>
      <c r="C317" s="45" t="s">
        <v>135</v>
      </c>
      <c r="D317" s="45">
        <v>88484</v>
      </c>
      <c r="E317" s="6" t="s">
        <v>773</v>
      </c>
      <c r="F317" s="45" t="s">
        <v>121</v>
      </c>
      <c r="G317" s="46">
        <f t="shared" si="36"/>
        <v>67500</v>
      </c>
      <c r="H317" s="46">
        <f>TRUNC(S317*(1-LOTE_02!$K$10),2)</f>
        <v>3.17</v>
      </c>
      <c r="I317" s="46">
        <f>TRUNC(T317*(1-LOTE_02!$K$10),2)</f>
        <v>2.31</v>
      </c>
      <c r="J317" s="100">
        <f t="shared" si="37"/>
        <v>0.22470000000000001</v>
      </c>
      <c r="K317" s="48">
        <f t="shared" si="31"/>
        <v>3.88</v>
      </c>
      <c r="L317" s="48">
        <f t="shared" si="32"/>
        <v>2.82</v>
      </c>
      <c r="M317" s="48">
        <f t="shared" si="33"/>
        <v>261900</v>
      </c>
      <c r="N317" s="48">
        <f t="shared" si="34"/>
        <v>190350</v>
      </c>
      <c r="O317" s="50">
        <f t="shared" si="35"/>
        <v>452250</v>
      </c>
      <c r="P317" s="50">
        <v>0</v>
      </c>
      <c r="Q317" s="76"/>
      <c r="R317" s="140">
        <f>1500*S9+1500*S10</f>
        <v>67500</v>
      </c>
      <c r="S317" s="79">
        <v>3.1700000000000004</v>
      </c>
      <c r="T317" s="80">
        <v>2.31</v>
      </c>
    </row>
    <row r="318" spans="2:20" ht="42">
      <c r="B318" s="5" t="s">
        <v>774</v>
      </c>
      <c r="C318" s="45" t="s">
        <v>135</v>
      </c>
      <c r="D318" s="45">
        <v>88485</v>
      </c>
      <c r="E318" s="6" t="s">
        <v>775</v>
      </c>
      <c r="F318" s="45" t="s">
        <v>121</v>
      </c>
      <c r="G318" s="46">
        <f t="shared" si="36"/>
        <v>67500</v>
      </c>
      <c r="H318" s="46">
        <f>TRUNC(S318*(1-LOTE_02!$K$10),2)</f>
        <v>2.72</v>
      </c>
      <c r="I318" s="46">
        <f>TRUNC(T318*(1-LOTE_02!$K$10),2)</f>
        <v>1.62</v>
      </c>
      <c r="J318" s="100">
        <f t="shared" si="37"/>
        <v>0.22470000000000001</v>
      </c>
      <c r="K318" s="48">
        <f t="shared" si="31"/>
        <v>3.33</v>
      </c>
      <c r="L318" s="48">
        <f t="shared" si="32"/>
        <v>1.98</v>
      </c>
      <c r="M318" s="48">
        <f t="shared" si="33"/>
        <v>224775</v>
      </c>
      <c r="N318" s="48">
        <f t="shared" si="34"/>
        <v>133650</v>
      </c>
      <c r="O318" s="50">
        <f t="shared" si="35"/>
        <v>358425</v>
      </c>
      <c r="P318" s="50">
        <v>0</v>
      </c>
      <c r="Q318" s="76"/>
      <c r="R318" s="140">
        <f>1500*S9+1500*S10</f>
        <v>67500</v>
      </c>
      <c r="S318" s="79">
        <v>2.7199999999999998</v>
      </c>
      <c r="T318" s="80">
        <v>1.62</v>
      </c>
    </row>
    <row r="319" spans="2:20" ht="42">
      <c r="B319" s="5" t="s">
        <v>776</v>
      </c>
      <c r="C319" s="45" t="s">
        <v>135</v>
      </c>
      <c r="D319" s="45">
        <v>88495</v>
      </c>
      <c r="E319" s="6" t="s">
        <v>777</v>
      </c>
      <c r="F319" s="45" t="s">
        <v>121</v>
      </c>
      <c r="G319" s="46">
        <f t="shared" si="36"/>
        <v>67500</v>
      </c>
      <c r="H319" s="46">
        <f>TRUNC(S319*(1-LOTE_02!$K$10),2)</f>
        <v>5.96</v>
      </c>
      <c r="I319" s="46">
        <f>TRUNC(T319*(1-LOTE_02!$K$10),2)</f>
        <v>6.7</v>
      </c>
      <c r="J319" s="100">
        <f t="shared" si="37"/>
        <v>0.22470000000000001</v>
      </c>
      <c r="K319" s="48">
        <f t="shared" si="31"/>
        <v>7.29</v>
      </c>
      <c r="L319" s="48">
        <f t="shared" si="32"/>
        <v>8.1999999999999993</v>
      </c>
      <c r="M319" s="48">
        <f t="shared" si="33"/>
        <v>492075</v>
      </c>
      <c r="N319" s="48">
        <f t="shared" si="34"/>
        <v>553500</v>
      </c>
      <c r="O319" s="50">
        <f t="shared" si="35"/>
        <v>1045575</v>
      </c>
      <c r="P319" s="50">
        <v>0</v>
      </c>
      <c r="Q319" s="76"/>
      <c r="R319" s="140">
        <f>R316</f>
        <v>67500</v>
      </c>
      <c r="S319" s="79">
        <v>5.96</v>
      </c>
      <c r="T319" s="80">
        <v>6.7</v>
      </c>
    </row>
    <row r="320" spans="2:20" ht="42">
      <c r="B320" s="5" t="s">
        <v>778</v>
      </c>
      <c r="C320" s="45" t="s">
        <v>135</v>
      </c>
      <c r="D320" s="45">
        <v>88497</v>
      </c>
      <c r="E320" s="6" t="s">
        <v>779</v>
      </c>
      <c r="F320" s="45" t="s">
        <v>121</v>
      </c>
      <c r="G320" s="46">
        <f t="shared" si="36"/>
        <v>67500</v>
      </c>
      <c r="H320" s="46">
        <f>TRUNC(S320*(1-LOTE_02!$K$10),2)</f>
        <v>9.5299999999999994</v>
      </c>
      <c r="I320" s="46">
        <f>TRUNC(T320*(1-LOTE_02!$K$10),2)</f>
        <v>9.82</v>
      </c>
      <c r="J320" s="100">
        <f t="shared" si="37"/>
        <v>0.22470000000000001</v>
      </c>
      <c r="K320" s="48">
        <f t="shared" si="31"/>
        <v>11.67</v>
      </c>
      <c r="L320" s="48">
        <f t="shared" si="32"/>
        <v>12.02</v>
      </c>
      <c r="M320" s="48">
        <f t="shared" si="33"/>
        <v>787725</v>
      </c>
      <c r="N320" s="48">
        <f t="shared" si="34"/>
        <v>811350</v>
      </c>
      <c r="O320" s="50">
        <f t="shared" si="35"/>
        <v>1599075</v>
      </c>
      <c r="P320" s="50">
        <v>0</v>
      </c>
      <c r="Q320" s="76"/>
      <c r="R320" s="140">
        <f>R316</f>
        <v>67500</v>
      </c>
      <c r="S320" s="79">
        <v>9.5300000000000011</v>
      </c>
      <c r="T320" s="80">
        <v>9.82</v>
      </c>
    </row>
    <row r="321" spans="2:20" ht="42">
      <c r="B321" s="5" t="s">
        <v>780</v>
      </c>
      <c r="C321" s="45" t="s">
        <v>135</v>
      </c>
      <c r="D321" s="45">
        <v>88494</v>
      </c>
      <c r="E321" s="6" t="s">
        <v>781</v>
      </c>
      <c r="F321" s="45" t="s">
        <v>121</v>
      </c>
      <c r="G321" s="46">
        <f t="shared" si="36"/>
        <v>16875</v>
      </c>
      <c r="H321" s="46">
        <f>TRUNC(S321*(1-LOTE_02!$K$10),2)</f>
        <v>10.08</v>
      </c>
      <c r="I321" s="46">
        <f>TRUNC(T321*(1-LOTE_02!$K$10),2)</f>
        <v>13.82</v>
      </c>
      <c r="J321" s="100">
        <f t="shared" si="37"/>
        <v>0.22470000000000001</v>
      </c>
      <c r="K321" s="48">
        <f t="shared" si="31"/>
        <v>12.34</v>
      </c>
      <c r="L321" s="48">
        <f t="shared" si="32"/>
        <v>16.920000000000002</v>
      </c>
      <c r="M321" s="48">
        <f t="shared" si="33"/>
        <v>208237.5</v>
      </c>
      <c r="N321" s="48">
        <f t="shared" si="34"/>
        <v>285525</v>
      </c>
      <c r="O321" s="50">
        <f t="shared" si="35"/>
        <v>493762.5</v>
      </c>
      <c r="P321" s="50">
        <v>0</v>
      </c>
      <c r="Q321" s="76"/>
      <c r="R321" s="140">
        <f>R316/4</f>
        <v>16875</v>
      </c>
      <c r="S321" s="79">
        <v>10.079999999999998</v>
      </c>
      <c r="T321" s="80">
        <v>13.82</v>
      </c>
    </row>
    <row r="322" spans="2:20" ht="42">
      <c r="B322" s="5" t="s">
        <v>782</v>
      </c>
      <c r="C322" s="45" t="s">
        <v>135</v>
      </c>
      <c r="D322" s="45">
        <v>88496</v>
      </c>
      <c r="E322" s="6" t="s">
        <v>783</v>
      </c>
      <c r="F322" s="45" t="s">
        <v>121</v>
      </c>
      <c r="G322" s="46">
        <f t="shared" si="36"/>
        <v>16875</v>
      </c>
      <c r="H322" s="46">
        <f>TRUNC(S322*(1-LOTE_02!$K$10),2)</f>
        <v>15.56</v>
      </c>
      <c r="I322" s="46">
        <f>TRUNC(T322*(1-LOTE_02!$K$10),2)</f>
        <v>20.29</v>
      </c>
      <c r="J322" s="100">
        <f t="shared" si="37"/>
        <v>0.22470000000000001</v>
      </c>
      <c r="K322" s="48">
        <f t="shared" si="31"/>
        <v>19.05</v>
      </c>
      <c r="L322" s="48">
        <f t="shared" si="32"/>
        <v>24.84</v>
      </c>
      <c r="M322" s="48">
        <f t="shared" si="33"/>
        <v>321468.75</v>
      </c>
      <c r="N322" s="48">
        <f t="shared" si="34"/>
        <v>419175</v>
      </c>
      <c r="O322" s="50">
        <f t="shared" si="35"/>
        <v>740643.75</v>
      </c>
      <c r="P322" s="50">
        <v>0</v>
      </c>
      <c r="Q322" s="76"/>
      <c r="R322" s="140">
        <f>R316/4</f>
        <v>16875</v>
      </c>
      <c r="S322" s="79">
        <v>15.560000000000002</v>
      </c>
      <c r="T322" s="80">
        <v>20.29</v>
      </c>
    </row>
    <row r="323" spans="2:20" ht="56">
      <c r="B323" s="5" t="s">
        <v>784</v>
      </c>
      <c r="C323" s="45" t="s">
        <v>135</v>
      </c>
      <c r="D323" s="45">
        <v>96132</v>
      </c>
      <c r="E323" s="6" t="s">
        <v>785</v>
      </c>
      <c r="F323" s="45" t="s">
        <v>121</v>
      </c>
      <c r="G323" s="46">
        <f t="shared" si="36"/>
        <v>67500</v>
      </c>
      <c r="H323" s="46">
        <f>TRUNC(S323*(1-LOTE_02!$K$10),2)</f>
        <v>10.94</v>
      </c>
      <c r="I323" s="46">
        <f>TRUNC(T323*(1-LOTE_02!$K$10),2)</f>
        <v>7.23</v>
      </c>
      <c r="J323" s="100">
        <f t="shared" si="37"/>
        <v>0.22470000000000001</v>
      </c>
      <c r="K323" s="48">
        <f t="shared" si="31"/>
        <v>13.39</v>
      </c>
      <c r="L323" s="48">
        <f t="shared" si="32"/>
        <v>8.85</v>
      </c>
      <c r="M323" s="48">
        <f t="shared" si="33"/>
        <v>903825</v>
      </c>
      <c r="N323" s="48">
        <f t="shared" si="34"/>
        <v>597375</v>
      </c>
      <c r="O323" s="50">
        <f t="shared" si="35"/>
        <v>1501200</v>
      </c>
      <c r="P323" s="50">
        <v>0</v>
      </c>
      <c r="Q323" s="76"/>
      <c r="R323" s="140">
        <f>R316</f>
        <v>67500</v>
      </c>
      <c r="S323" s="79">
        <v>10.940000000000001</v>
      </c>
      <c r="T323" s="80">
        <v>7.23</v>
      </c>
    </row>
    <row r="324" spans="2:20" ht="42">
      <c r="B324" s="5" t="s">
        <v>786</v>
      </c>
      <c r="C324" s="45" t="s">
        <v>135</v>
      </c>
      <c r="D324" s="45">
        <v>88489</v>
      </c>
      <c r="E324" s="6" t="s">
        <v>787</v>
      </c>
      <c r="F324" s="45" t="s">
        <v>121</v>
      </c>
      <c r="G324" s="46">
        <f t="shared" si="36"/>
        <v>67500</v>
      </c>
      <c r="H324" s="46">
        <f>TRUNC(S324*(1-LOTE_02!$K$10),2)</f>
        <v>10.95</v>
      </c>
      <c r="I324" s="46">
        <f>TRUNC(T324*(1-LOTE_02!$K$10),2)</f>
        <v>4.37</v>
      </c>
      <c r="J324" s="100">
        <f t="shared" si="37"/>
        <v>0.22470000000000001</v>
      </c>
      <c r="K324" s="48">
        <f t="shared" si="31"/>
        <v>13.41</v>
      </c>
      <c r="L324" s="48">
        <f t="shared" si="32"/>
        <v>5.35</v>
      </c>
      <c r="M324" s="48">
        <f t="shared" si="33"/>
        <v>905175</v>
      </c>
      <c r="N324" s="48">
        <f t="shared" si="34"/>
        <v>361125</v>
      </c>
      <c r="O324" s="50">
        <f t="shared" si="35"/>
        <v>1266300</v>
      </c>
      <c r="P324" s="50">
        <v>0</v>
      </c>
      <c r="Q324" s="76"/>
      <c r="R324" s="140">
        <f>R316</f>
        <v>67500</v>
      </c>
      <c r="S324" s="79">
        <v>10.95</v>
      </c>
      <c r="T324" s="80">
        <v>4.37</v>
      </c>
    </row>
    <row r="325" spans="2:20" ht="56">
      <c r="B325" s="5" t="s">
        <v>788</v>
      </c>
      <c r="C325" s="45" t="s">
        <v>135</v>
      </c>
      <c r="D325" s="45">
        <v>102491</v>
      </c>
      <c r="E325" s="6" t="s">
        <v>789</v>
      </c>
      <c r="F325" s="45" t="s">
        <v>121</v>
      </c>
      <c r="G325" s="46">
        <f t="shared" si="36"/>
        <v>6750</v>
      </c>
      <c r="H325" s="46">
        <f>TRUNC(S325*(1-LOTE_02!$K$10),2)</f>
        <v>16.8</v>
      </c>
      <c r="I325" s="46">
        <f>TRUNC(T325*(1-LOTE_02!$K$10),2)</f>
        <v>7.61</v>
      </c>
      <c r="J325" s="100">
        <f t="shared" si="37"/>
        <v>0.22470000000000001</v>
      </c>
      <c r="K325" s="48">
        <f t="shared" si="31"/>
        <v>20.57</v>
      </c>
      <c r="L325" s="48">
        <f t="shared" si="32"/>
        <v>9.31</v>
      </c>
      <c r="M325" s="48">
        <f t="shared" si="33"/>
        <v>138847.5</v>
      </c>
      <c r="N325" s="48">
        <f t="shared" si="34"/>
        <v>62842.5</v>
      </c>
      <c r="O325" s="50">
        <f t="shared" si="35"/>
        <v>201690</v>
      </c>
      <c r="P325" s="50">
        <v>0</v>
      </c>
      <c r="Q325" s="76"/>
      <c r="R325" s="140">
        <f>150*S9+150*S10</f>
        <v>6750</v>
      </c>
      <c r="S325" s="79">
        <v>16.8</v>
      </c>
      <c r="T325" s="80">
        <v>7.61</v>
      </c>
    </row>
    <row r="326" spans="2:20" ht="56">
      <c r="B326" s="5" t="s">
        <v>790</v>
      </c>
      <c r="C326" s="45" t="s">
        <v>135</v>
      </c>
      <c r="D326" s="45">
        <v>102513</v>
      </c>
      <c r="E326" s="6" t="s">
        <v>791</v>
      </c>
      <c r="F326" s="45" t="s">
        <v>121</v>
      </c>
      <c r="G326" s="46">
        <f t="shared" si="36"/>
        <v>1800</v>
      </c>
      <c r="H326" s="46">
        <f>TRUNC(S326*(1-LOTE_02!$K$10),2)</f>
        <v>29.57</v>
      </c>
      <c r="I326" s="46">
        <f>TRUNC(T326*(1-LOTE_02!$K$10),2)</f>
        <v>27.17</v>
      </c>
      <c r="J326" s="100">
        <f t="shared" si="37"/>
        <v>0.22470000000000001</v>
      </c>
      <c r="K326" s="48">
        <f t="shared" si="31"/>
        <v>36.21</v>
      </c>
      <c r="L326" s="48">
        <f t="shared" si="32"/>
        <v>33.270000000000003</v>
      </c>
      <c r="M326" s="48">
        <f t="shared" si="33"/>
        <v>65178</v>
      </c>
      <c r="N326" s="48">
        <f t="shared" si="34"/>
        <v>59886</v>
      </c>
      <c r="O326" s="50">
        <f t="shared" si="35"/>
        <v>125064</v>
      </c>
      <c r="P326" s="50">
        <v>0</v>
      </c>
      <c r="Q326" s="76"/>
      <c r="R326" s="140">
        <f>40*S9+40*S10</f>
        <v>1800</v>
      </c>
      <c r="S326" s="79">
        <v>29.57</v>
      </c>
      <c r="T326" s="80">
        <v>27.17</v>
      </c>
    </row>
    <row r="327" spans="2:20" ht="42">
      <c r="B327" s="5" t="s">
        <v>792</v>
      </c>
      <c r="C327" s="45" t="s">
        <v>135</v>
      </c>
      <c r="D327" s="45">
        <v>102501</v>
      </c>
      <c r="E327" s="6" t="s">
        <v>793</v>
      </c>
      <c r="F327" s="45" t="s">
        <v>121</v>
      </c>
      <c r="G327" s="46">
        <f t="shared" si="36"/>
        <v>675</v>
      </c>
      <c r="H327" s="46">
        <f>TRUNC(S327*(1-LOTE_02!$K$10),2)</f>
        <v>17.899999999999999</v>
      </c>
      <c r="I327" s="46">
        <f>TRUNC(T327*(1-LOTE_02!$K$10),2)</f>
        <v>12.26</v>
      </c>
      <c r="J327" s="100">
        <f t="shared" si="37"/>
        <v>0.22470000000000001</v>
      </c>
      <c r="K327" s="48">
        <f t="shared" si="31"/>
        <v>21.92</v>
      </c>
      <c r="L327" s="48">
        <f t="shared" si="32"/>
        <v>15.01</v>
      </c>
      <c r="M327" s="48">
        <f t="shared" si="33"/>
        <v>14796</v>
      </c>
      <c r="N327" s="48">
        <f t="shared" si="34"/>
        <v>10131.75</v>
      </c>
      <c r="O327" s="50">
        <f t="shared" si="35"/>
        <v>24927.75</v>
      </c>
      <c r="P327" s="50">
        <v>0</v>
      </c>
      <c r="Q327" s="76"/>
      <c r="R327" s="140">
        <f>15*S9+15*S10</f>
        <v>675</v>
      </c>
      <c r="S327" s="79">
        <v>17.899999999999999</v>
      </c>
      <c r="T327" s="80">
        <v>12.26</v>
      </c>
    </row>
    <row r="328" spans="2:20" ht="98">
      <c r="B328" s="5" t="s">
        <v>794</v>
      </c>
      <c r="C328" s="45" t="s">
        <v>135</v>
      </c>
      <c r="D328" s="45">
        <v>100726</v>
      </c>
      <c r="E328" s="6" t="s">
        <v>795</v>
      </c>
      <c r="F328" s="45" t="s">
        <v>121</v>
      </c>
      <c r="G328" s="46">
        <f t="shared" si="36"/>
        <v>11000</v>
      </c>
      <c r="H328" s="46">
        <f>TRUNC(S328*(1-LOTE_02!$K$10),2)</f>
        <v>16.63</v>
      </c>
      <c r="I328" s="46">
        <f>TRUNC(T328*(1-LOTE_02!$K$10),2)</f>
        <v>14.19</v>
      </c>
      <c r="J328" s="100">
        <f t="shared" si="37"/>
        <v>0.22470000000000001</v>
      </c>
      <c r="K328" s="48">
        <f t="shared" si="31"/>
        <v>20.36</v>
      </c>
      <c r="L328" s="48">
        <f t="shared" si="32"/>
        <v>17.37</v>
      </c>
      <c r="M328" s="48">
        <f t="shared" si="33"/>
        <v>223960</v>
      </c>
      <c r="N328" s="48">
        <f t="shared" si="34"/>
        <v>191070</v>
      </c>
      <c r="O328" s="50">
        <f t="shared" si="35"/>
        <v>415030</v>
      </c>
      <c r="P328" s="50">
        <v>0</v>
      </c>
      <c r="Q328" s="76"/>
      <c r="R328" s="140">
        <f>300*S9+200*S10</f>
        <v>11000</v>
      </c>
      <c r="S328" s="79">
        <v>16.630000000000003</v>
      </c>
      <c r="T328" s="80">
        <v>14.19</v>
      </c>
    </row>
    <row r="329" spans="2:20" ht="28">
      <c r="B329" s="5" t="s">
        <v>796</v>
      </c>
      <c r="C329" s="45" t="s">
        <v>135</v>
      </c>
      <c r="D329" s="45">
        <v>102234</v>
      </c>
      <c r="E329" s="6" t="s">
        <v>797</v>
      </c>
      <c r="F329" s="45" t="s">
        <v>121</v>
      </c>
      <c r="G329" s="46">
        <f t="shared" si="36"/>
        <v>5000</v>
      </c>
      <c r="H329" s="46">
        <f>TRUNC(S329*(1-LOTE_02!$K$10),2)</f>
        <v>18.05</v>
      </c>
      <c r="I329" s="46">
        <f>TRUNC(T329*(1-LOTE_02!$K$10),2)</f>
        <v>9.7100000000000009</v>
      </c>
      <c r="J329" s="100">
        <f t="shared" si="37"/>
        <v>0.22470000000000001</v>
      </c>
      <c r="K329" s="48">
        <f t="shared" si="31"/>
        <v>22.1</v>
      </c>
      <c r="L329" s="48">
        <f t="shared" si="32"/>
        <v>11.89</v>
      </c>
      <c r="M329" s="48">
        <f t="shared" si="33"/>
        <v>110500</v>
      </c>
      <c r="N329" s="48">
        <f t="shared" si="34"/>
        <v>59450</v>
      </c>
      <c r="O329" s="50">
        <f t="shared" si="35"/>
        <v>169950</v>
      </c>
      <c r="P329" s="50">
        <v>0</v>
      </c>
      <c r="Q329" s="76"/>
      <c r="R329" s="140">
        <f>IF((10*S9+200*S10)&gt;5000,5000,(10*S9+200*S10))</f>
        <v>5000</v>
      </c>
      <c r="S329" s="79">
        <v>18.05</v>
      </c>
      <c r="T329" s="80">
        <v>9.7100000000000009</v>
      </c>
    </row>
    <row r="330" spans="2:20" ht="84">
      <c r="B330" s="5" t="s">
        <v>798</v>
      </c>
      <c r="C330" s="45" t="s">
        <v>135</v>
      </c>
      <c r="D330" s="45">
        <v>100749</v>
      </c>
      <c r="E330" s="6" t="s">
        <v>799</v>
      </c>
      <c r="F330" s="45" t="s">
        <v>121</v>
      </c>
      <c r="G330" s="46">
        <f t="shared" si="36"/>
        <v>11000</v>
      </c>
      <c r="H330" s="46">
        <f>TRUNC(S330*(1-LOTE_02!$K$10),2)</f>
        <v>16.190000000000001</v>
      </c>
      <c r="I330" s="46">
        <f>TRUNC(T330*(1-LOTE_02!$K$10),2)</f>
        <v>10.9</v>
      </c>
      <c r="J330" s="100">
        <f t="shared" si="37"/>
        <v>0.22470000000000001</v>
      </c>
      <c r="K330" s="48">
        <f t="shared" si="31"/>
        <v>19.82</v>
      </c>
      <c r="L330" s="48">
        <f t="shared" si="32"/>
        <v>13.34</v>
      </c>
      <c r="M330" s="48">
        <f t="shared" si="33"/>
        <v>218020</v>
      </c>
      <c r="N330" s="48">
        <f t="shared" si="34"/>
        <v>146740</v>
      </c>
      <c r="O330" s="50">
        <f t="shared" si="35"/>
        <v>364760</v>
      </c>
      <c r="P330" s="50">
        <v>0</v>
      </c>
      <c r="Q330" s="76"/>
      <c r="R330" s="140">
        <f>300*S9+200*S10</f>
        <v>11000</v>
      </c>
      <c r="S330" s="79">
        <v>16.189999999999998</v>
      </c>
      <c r="T330" s="80">
        <v>10.9</v>
      </c>
    </row>
    <row r="331" spans="2:20" ht="70">
      <c r="B331" s="5" t="s">
        <v>800</v>
      </c>
      <c r="C331" s="45" t="s">
        <v>135</v>
      </c>
      <c r="D331" s="45">
        <v>88429</v>
      </c>
      <c r="E331" s="6" t="s">
        <v>801</v>
      </c>
      <c r="F331" s="45" t="s">
        <v>121</v>
      </c>
      <c r="G331" s="46">
        <f t="shared" si="36"/>
        <v>2250</v>
      </c>
      <c r="H331" s="46">
        <f>TRUNC(S331*(1-LOTE_02!$K$10),2)</f>
        <v>31.07</v>
      </c>
      <c r="I331" s="46">
        <f>TRUNC(T331*(1-LOTE_02!$K$10),2)</f>
        <v>13.02</v>
      </c>
      <c r="J331" s="100">
        <f t="shared" si="37"/>
        <v>0.22470000000000001</v>
      </c>
      <c r="K331" s="48">
        <f t="shared" si="31"/>
        <v>38.049999999999997</v>
      </c>
      <c r="L331" s="48">
        <f t="shared" si="32"/>
        <v>15.94</v>
      </c>
      <c r="M331" s="48">
        <f t="shared" si="33"/>
        <v>85612.5</v>
      </c>
      <c r="N331" s="48">
        <f t="shared" si="34"/>
        <v>35865</v>
      </c>
      <c r="O331" s="50">
        <f t="shared" si="35"/>
        <v>121477.5</v>
      </c>
      <c r="P331" s="50">
        <v>0</v>
      </c>
      <c r="Q331" s="76"/>
      <c r="R331" s="140">
        <f>50*(S9+S10)</f>
        <v>2250</v>
      </c>
      <c r="S331" s="79">
        <v>31.070000000000004</v>
      </c>
      <c r="T331" s="80">
        <v>13.02</v>
      </c>
    </row>
    <row r="332" spans="2:20" ht="56">
      <c r="B332" s="5" t="s">
        <v>802</v>
      </c>
      <c r="C332" s="45" t="s">
        <v>97</v>
      </c>
      <c r="D332" s="45" t="s">
        <v>803</v>
      </c>
      <c r="E332" s="6" t="s">
        <v>804</v>
      </c>
      <c r="F332" s="45" t="s">
        <v>121</v>
      </c>
      <c r="G332" s="46">
        <f t="shared" si="36"/>
        <v>2250</v>
      </c>
      <c r="H332" s="46">
        <f>TRUNC(S332*(1-LOTE_02!$K$10),2)</f>
        <v>53.39</v>
      </c>
      <c r="I332" s="46">
        <f>TRUNC(T332*(1-LOTE_02!$K$10),2)</f>
        <v>13.98</v>
      </c>
      <c r="J332" s="100">
        <f t="shared" si="37"/>
        <v>0.22470000000000001</v>
      </c>
      <c r="K332" s="48">
        <f t="shared" si="31"/>
        <v>65.38</v>
      </c>
      <c r="L332" s="48">
        <f t="shared" si="32"/>
        <v>17.12</v>
      </c>
      <c r="M332" s="48">
        <f t="shared" si="33"/>
        <v>147105</v>
      </c>
      <c r="N332" s="48">
        <f t="shared" si="34"/>
        <v>38520</v>
      </c>
      <c r="O332" s="50">
        <f t="shared" si="35"/>
        <v>185625</v>
      </c>
      <c r="P332" s="50">
        <v>0</v>
      </c>
      <c r="Q332" s="76"/>
      <c r="R332" s="140">
        <f>50*(S9+S10)</f>
        <v>2250</v>
      </c>
      <c r="S332" s="79">
        <v>53.39</v>
      </c>
      <c r="T332" s="80">
        <v>13.98</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13428419.349999992</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50">
        <v>0</v>
      </c>
      <c r="Q334" s="76"/>
      <c r="R334" s="154"/>
      <c r="S334" s="79" t="s">
        <v>22</v>
      </c>
      <c r="T334" s="80" t="s">
        <v>22</v>
      </c>
    </row>
    <row r="335" spans="2:20" ht="56">
      <c r="B335" s="5" t="s">
        <v>807</v>
      </c>
      <c r="C335" s="45" t="s">
        <v>135</v>
      </c>
      <c r="D335" s="45">
        <v>90443</v>
      </c>
      <c r="E335" s="6" t="s">
        <v>808</v>
      </c>
      <c r="F335" s="45" t="s">
        <v>187</v>
      </c>
      <c r="G335" s="46">
        <f t="shared" si="36"/>
        <v>1350</v>
      </c>
      <c r="H335" s="46">
        <f>TRUNC(S335*(1-LOTE_02!$K$10),2)</f>
        <v>2.98</v>
      </c>
      <c r="I335" s="46">
        <f>TRUNC(T335*(1-LOTE_02!$K$10),2)</f>
        <v>6.34</v>
      </c>
      <c r="J335" s="100">
        <f t="shared" si="37"/>
        <v>0.22470000000000001</v>
      </c>
      <c r="K335" s="48">
        <f t="shared" si="31"/>
        <v>3.64</v>
      </c>
      <c r="L335" s="48">
        <f t="shared" si="32"/>
        <v>7.76</v>
      </c>
      <c r="M335" s="48">
        <f t="shared" si="33"/>
        <v>4914</v>
      </c>
      <c r="N335" s="48">
        <f t="shared" si="34"/>
        <v>10476</v>
      </c>
      <c r="O335" s="50">
        <f t="shared" si="35"/>
        <v>15390</v>
      </c>
      <c r="P335" s="50">
        <v>0</v>
      </c>
      <c r="Q335" s="76"/>
      <c r="R335" s="140">
        <f>30*S9+30*S10</f>
        <v>1350</v>
      </c>
      <c r="S335" s="79">
        <v>2.9800000000000004</v>
      </c>
      <c r="T335" s="80">
        <v>6.34</v>
      </c>
    </row>
    <row r="336" spans="2:20" ht="70">
      <c r="B336" s="5" t="s">
        <v>809</v>
      </c>
      <c r="C336" s="45" t="s">
        <v>135</v>
      </c>
      <c r="D336" s="45">
        <v>90444</v>
      </c>
      <c r="E336" s="6" t="s">
        <v>810</v>
      </c>
      <c r="F336" s="45" t="s">
        <v>187</v>
      </c>
      <c r="G336" s="46">
        <f t="shared" si="36"/>
        <v>100</v>
      </c>
      <c r="H336" s="46">
        <f>TRUNC(S336*(1-LOTE_02!$K$10),2)</f>
        <v>5.57</v>
      </c>
      <c r="I336" s="46">
        <f>TRUNC(T336*(1-LOTE_02!$K$10),2)</f>
        <v>7.88</v>
      </c>
      <c r="J336" s="100">
        <f t="shared" si="37"/>
        <v>0.22470000000000001</v>
      </c>
      <c r="K336" s="48">
        <f t="shared" ref="K336:K399" si="38">TRUNC(H336*(1+J336),2)</f>
        <v>6.82</v>
      </c>
      <c r="L336" s="48">
        <f t="shared" ref="L336:L399" si="39">TRUNC(I336*(1+J336),2)</f>
        <v>9.65</v>
      </c>
      <c r="M336" s="48">
        <f t="shared" ref="M336:M399" si="40">TRUNC(K336*G336,2)</f>
        <v>682</v>
      </c>
      <c r="N336" s="48">
        <f t="shared" ref="N336:N399" si="41">TRUNC(L336*G336,2)</f>
        <v>965</v>
      </c>
      <c r="O336" s="50">
        <f t="shared" ref="O336:O399" si="42">TRUNC(M336+N336,2)</f>
        <v>1647</v>
      </c>
      <c r="P336" s="50">
        <v>0</v>
      </c>
      <c r="Q336" s="76"/>
      <c r="R336" s="140">
        <f>IF((5*S9+30*S10)&gt;100,100,(5*S9+30*S10))</f>
        <v>100</v>
      </c>
      <c r="S336" s="79">
        <v>5.5699999999999994</v>
      </c>
      <c r="T336" s="80">
        <v>7.88</v>
      </c>
    </row>
    <row r="337" spans="2:20" ht="42">
      <c r="B337" s="5" t="s">
        <v>811</v>
      </c>
      <c r="C337" s="45" t="s">
        <v>135</v>
      </c>
      <c r="D337" s="45">
        <v>104795</v>
      </c>
      <c r="E337" s="6" t="s">
        <v>812</v>
      </c>
      <c r="F337" s="45" t="s">
        <v>187</v>
      </c>
      <c r="G337" s="46">
        <f t="shared" si="36"/>
        <v>22500</v>
      </c>
      <c r="H337" s="46">
        <f>TRUNC(S337*(1-LOTE_02!$K$10),2)</f>
        <v>0.63</v>
      </c>
      <c r="I337" s="46">
        <f>TRUNC(T337*(1-LOTE_02!$K$10),2)</f>
        <v>1.04</v>
      </c>
      <c r="J337" s="100">
        <f t="shared" si="37"/>
        <v>0.22470000000000001</v>
      </c>
      <c r="K337" s="48">
        <f t="shared" si="38"/>
        <v>0.77</v>
      </c>
      <c r="L337" s="48">
        <f t="shared" si="39"/>
        <v>1.27</v>
      </c>
      <c r="M337" s="48">
        <f t="shared" si="40"/>
        <v>17325</v>
      </c>
      <c r="N337" s="48">
        <f t="shared" si="41"/>
        <v>28575</v>
      </c>
      <c r="O337" s="50">
        <f t="shared" si="42"/>
        <v>45900</v>
      </c>
      <c r="P337" s="50">
        <v>0</v>
      </c>
      <c r="Q337" s="76"/>
      <c r="R337" s="140">
        <f>500*S9+500*S10</f>
        <v>22500</v>
      </c>
      <c r="S337" s="79">
        <v>0.62999999999999989</v>
      </c>
      <c r="T337" s="80">
        <v>1.04</v>
      </c>
    </row>
    <row r="338" spans="2:20" ht="56">
      <c r="B338" s="5" t="s">
        <v>813</v>
      </c>
      <c r="C338" s="45" t="s">
        <v>135</v>
      </c>
      <c r="D338" s="45">
        <v>104792</v>
      </c>
      <c r="E338" s="6" t="s">
        <v>814</v>
      </c>
      <c r="F338" s="45" t="s">
        <v>187</v>
      </c>
      <c r="G338" s="46">
        <f t="shared" ref="G338:G401" si="43">TRUNC(R338,2)</f>
        <v>22500</v>
      </c>
      <c r="H338" s="46">
        <f>TRUNC(S338*(1-LOTE_02!$K$10),2)</f>
        <v>0.19</v>
      </c>
      <c r="I338" s="46">
        <f>TRUNC(T338*(1-LOTE_02!$K$10),2)</f>
        <v>0.28999999999999998</v>
      </c>
      <c r="J338" s="100">
        <f t="shared" ref="J338:J401" si="44">$J$4</f>
        <v>0.22470000000000001</v>
      </c>
      <c r="K338" s="48">
        <f t="shared" si="38"/>
        <v>0.23</v>
      </c>
      <c r="L338" s="48">
        <f t="shared" si="39"/>
        <v>0.35</v>
      </c>
      <c r="M338" s="48">
        <f t="shared" si="40"/>
        <v>5175</v>
      </c>
      <c r="N338" s="48">
        <f t="shared" si="41"/>
        <v>7875</v>
      </c>
      <c r="O338" s="50">
        <f t="shared" si="42"/>
        <v>13050</v>
      </c>
      <c r="P338" s="50">
        <v>0</v>
      </c>
      <c r="Q338" s="76"/>
      <c r="R338" s="140">
        <f>500*S9+500*S10</f>
        <v>22500</v>
      </c>
      <c r="S338" s="79">
        <v>0.19</v>
      </c>
      <c r="T338" s="80">
        <v>0.28999999999999998</v>
      </c>
    </row>
    <row r="339" spans="2:20" ht="42">
      <c r="B339" s="5" t="s">
        <v>815</v>
      </c>
      <c r="C339" s="45" t="s">
        <v>135</v>
      </c>
      <c r="D339" s="45">
        <v>97661</v>
      </c>
      <c r="E339" s="6" t="s">
        <v>816</v>
      </c>
      <c r="F339" s="45" t="s">
        <v>187</v>
      </c>
      <c r="G339" s="46">
        <f t="shared" si="43"/>
        <v>2250</v>
      </c>
      <c r="H339" s="46">
        <f>TRUNC(S339*(1-LOTE_02!$K$10),2)</f>
        <v>0.32</v>
      </c>
      <c r="I339" s="46">
        <f>TRUNC(T339*(1-LOTE_02!$K$10),2)</f>
        <v>0.55000000000000004</v>
      </c>
      <c r="J339" s="100">
        <f t="shared" si="44"/>
        <v>0.22470000000000001</v>
      </c>
      <c r="K339" s="48">
        <f t="shared" si="38"/>
        <v>0.39</v>
      </c>
      <c r="L339" s="48">
        <f t="shared" si="39"/>
        <v>0.67</v>
      </c>
      <c r="M339" s="48">
        <f t="shared" si="40"/>
        <v>877.5</v>
      </c>
      <c r="N339" s="48">
        <f t="shared" si="41"/>
        <v>1507.5</v>
      </c>
      <c r="O339" s="50">
        <f t="shared" si="42"/>
        <v>2385</v>
      </c>
      <c r="P339" s="50">
        <v>0</v>
      </c>
      <c r="Q339" s="76"/>
      <c r="R339" s="140">
        <f>50*S9+50*S10</f>
        <v>2250</v>
      </c>
      <c r="S339" s="79">
        <v>0.31999999999999995</v>
      </c>
      <c r="T339" s="80">
        <v>0.55000000000000004</v>
      </c>
    </row>
    <row r="340" spans="2:20" ht="28">
      <c r="B340" s="5" t="s">
        <v>817</v>
      </c>
      <c r="C340" s="45" t="s">
        <v>97</v>
      </c>
      <c r="D340" s="45" t="s">
        <v>818</v>
      </c>
      <c r="E340" s="6" t="s">
        <v>819</v>
      </c>
      <c r="F340" s="45" t="s">
        <v>187</v>
      </c>
      <c r="G340" s="46">
        <f t="shared" si="43"/>
        <v>4500</v>
      </c>
      <c r="H340" s="46">
        <f>TRUNC(S340*(1-LOTE_02!$K$10),2)</f>
        <v>0.41</v>
      </c>
      <c r="I340" s="46">
        <f>TRUNC(T340*(1-LOTE_02!$K$10),2)</f>
        <v>0.78</v>
      </c>
      <c r="J340" s="100">
        <f t="shared" si="44"/>
        <v>0.22470000000000001</v>
      </c>
      <c r="K340" s="48">
        <f t="shared" si="38"/>
        <v>0.5</v>
      </c>
      <c r="L340" s="48">
        <f t="shared" si="39"/>
        <v>0.95</v>
      </c>
      <c r="M340" s="48">
        <f t="shared" si="40"/>
        <v>2250</v>
      </c>
      <c r="N340" s="48">
        <f t="shared" si="41"/>
        <v>4275</v>
      </c>
      <c r="O340" s="50">
        <f t="shared" si="42"/>
        <v>6525</v>
      </c>
      <c r="P340" s="50">
        <v>0</v>
      </c>
      <c r="Q340" s="76"/>
      <c r="R340" s="140">
        <f>100*S9+100*S10</f>
        <v>4500</v>
      </c>
      <c r="S340" s="79">
        <v>0.41</v>
      </c>
      <c r="T340" s="80">
        <v>0.78</v>
      </c>
    </row>
    <row r="341" spans="2:20" ht="42">
      <c r="B341" s="5" t="s">
        <v>820</v>
      </c>
      <c r="C341" s="45" t="s">
        <v>97</v>
      </c>
      <c r="D341" s="45" t="s">
        <v>821</v>
      </c>
      <c r="E341" s="6" t="s">
        <v>822</v>
      </c>
      <c r="F341" s="45" t="s">
        <v>104</v>
      </c>
      <c r="G341" s="46">
        <f t="shared" si="43"/>
        <v>135</v>
      </c>
      <c r="H341" s="46">
        <f>TRUNC(S341*(1-LOTE_02!$K$10),2)</f>
        <v>49.78</v>
      </c>
      <c r="I341" s="46">
        <f>TRUNC(T341*(1-LOTE_02!$K$10),2)</f>
        <v>19.350000000000001</v>
      </c>
      <c r="J341" s="100">
        <f t="shared" si="44"/>
        <v>0.22470000000000001</v>
      </c>
      <c r="K341" s="48">
        <f t="shared" si="38"/>
        <v>60.96</v>
      </c>
      <c r="L341" s="48">
        <f t="shared" si="39"/>
        <v>23.69</v>
      </c>
      <c r="M341" s="48">
        <f t="shared" si="40"/>
        <v>8229.6</v>
      </c>
      <c r="N341" s="48">
        <f t="shared" si="41"/>
        <v>3198.15</v>
      </c>
      <c r="O341" s="50">
        <f t="shared" si="42"/>
        <v>11427.75</v>
      </c>
      <c r="P341" s="50">
        <v>0</v>
      </c>
      <c r="Q341" s="76"/>
      <c r="R341" s="140">
        <f>3*(S9+S10)</f>
        <v>135</v>
      </c>
      <c r="S341" s="79">
        <v>49.78</v>
      </c>
      <c r="T341" s="80">
        <v>19.350000000000001</v>
      </c>
    </row>
    <row r="342" spans="2:20" ht="28">
      <c r="B342" s="5" t="s">
        <v>823</v>
      </c>
      <c r="C342" s="45" t="s">
        <v>165</v>
      </c>
      <c r="D342" s="45" t="s">
        <v>824</v>
      </c>
      <c r="E342" s="6" t="s">
        <v>825</v>
      </c>
      <c r="F342" s="45" t="s">
        <v>559</v>
      </c>
      <c r="G342" s="46">
        <f t="shared" si="43"/>
        <v>500</v>
      </c>
      <c r="H342" s="46">
        <f>TRUNC(S342*(1-LOTE_02!$K$10),2)</f>
        <v>266.56</v>
      </c>
      <c r="I342" s="46">
        <f>TRUNC(T342*(1-LOTE_02!$K$10),2)</f>
        <v>125.27</v>
      </c>
      <c r="J342" s="100">
        <f t="shared" si="44"/>
        <v>0.22470000000000001</v>
      </c>
      <c r="K342" s="48">
        <f t="shared" si="38"/>
        <v>326.45</v>
      </c>
      <c r="L342" s="48">
        <f t="shared" si="39"/>
        <v>153.41</v>
      </c>
      <c r="M342" s="48">
        <f t="shared" si="40"/>
        <v>163225</v>
      </c>
      <c r="N342" s="48">
        <f t="shared" si="41"/>
        <v>76705</v>
      </c>
      <c r="O342" s="50">
        <f t="shared" si="42"/>
        <v>239930</v>
      </c>
      <c r="P342" s="50">
        <v>0</v>
      </c>
      <c r="Q342" s="76"/>
      <c r="R342" s="140">
        <f>IF((10*S9+20*S10)&gt;500,500,(10*S9+20*S10))</f>
        <v>500</v>
      </c>
      <c r="S342" s="79">
        <v>266.56</v>
      </c>
      <c r="T342" s="80">
        <v>125.27</v>
      </c>
    </row>
    <row r="343" spans="2:20" ht="42">
      <c r="B343" s="5" t="s">
        <v>826</v>
      </c>
      <c r="C343" s="45" t="s">
        <v>165</v>
      </c>
      <c r="D343" s="45" t="s">
        <v>827</v>
      </c>
      <c r="E343" s="6" t="s">
        <v>828</v>
      </c>
      <c r="F343" s="45" t="s">
        <v>559</v>
      </c>
      <c r="G343" s="46">
        <f t="shared" si="43"/>
        <v>200</v>
      </c>
      <c r="H343" s="46">
        <f>TRUNC(S343*(1-LOTE_02!$K$10),2)</f>
        <v>155.19</v>
      </c>
      <c r="I343" s="46">
        <f>TRUNC(T343*(1-LOTE_02!$K$10),2)</f>
        <v>74.25</v>
      </c>
      <c r="J343" s="100">
        <f t="shared" si="44"/>
        <v>0.22470000000000001</v>
      </c>
      <c r="K343" s="48">
        <f t="shared" si="38"/>
        <v>190.06</v>
      </c>
      <c r="L343" s="48">
        <f t="shared" si="39"/>
        <v>90.93</v>
      </c>
      <c r="M343" s="48">
        <f t="shared" si="40"/>
        <v>38012</v>
      </c>
      <c r="N343" s="48">
        <f t="shared" si="41"/>
        <v>18186</v>
      </c>
      <c r="O343" s="50">
        <f t="shared" si="42"/>
        <v>56198</v>
      </c>
      <c r="P343" s="50">
        <v>0</v>
      </c>
      <c r="Q343" s="76"/>
      <c r="R343" s="140">
        <f>IF((5*S9+5*S10)&gt;200,200,(5*S9+5*S10))</f>
        <v>200</v>
      </c>
      <c r="S343" s="79">
        <v>155.19</v>
      </c>
      <c r="T343" s="80">
        <v>74.25</v>
      </c>
    </row>
    <row r="344" spans="2:20" ht="28">
      <c r="B344" s="5" t="s">
        <v>829</v>
      </c>
      <c r="C344" s="45" t="s">
        <v>165</v>
      </c>
      <c r="D344" s="45" t="s">
        <v>830</v>
      </c>
      <c r="E344" s="6" t="s">
        <v>831</v>
      </c>
      <c r="F344" s="45" t="s">
        <v>559</v>
      </c>
      <c r="G344" s="46">
        <f t="shared" si="43"/>
        <v>200</v>
      </c>
      <c r="H344" s="46">
        <f>TRUNC(S344*(1-LOTE_02!$K$10),2)</f>
        <v>254.47</v>
      </c>
      <c r="I344" s="46">
        <f>TRUNC(T344*(1-LOTE_02!$K$10),2)</f>
        <v>141.21</v>
      </c>
      <c r="J344" s="100">
        <f t="shared" si="44"/>
        <v>0.22470000000000001</v>
      </c>
      <c r="K344" s="48">
        <f t="shared" si="38"/>
        <v>311.64</v>
      </c>
      <c r="L344" s="48">
        <f t="shared" si="39"/>
        <v>172.93</v>
      </c>
      <c r="M344" s="48">
        <f t="shared" si="40"/>
        <v>62328</v>
      </c>
      <c r="N344" s="48">
        <f t="shared" si="41"/>
        <v>34586</v>
      </c>
      <c r="O344" s="50">
        <f t="shared" si="42"/>
        <v>96914</v>
      </c>
      <c r="P344" s="50">
        <v>0</v>
      </c>
      <c r="Q344" s="76"/>
      <c r="R344" s="140">
        <f>IF((10*S9+20*S10)&gt;200,200,(10*S9+20*S10))</f>
        <v>200</v>
      </c>
      <c r="S344" s="79">
        <v>254.47</v>
      </c>
      <c r="T344" s="80">
        <v>141.21</v>
      </c>
    </row>
    <row r="345" spans="2:20" ht="28">
      <c r="B345" s="5" t="s">
        <v>832</v>
      </c>
      <c r="C345" s="45" t="s">
        <v>97</v>
      </c>
      <c r="D345" s="45" t="s">
        <v>833</v>
      </c>
      <c r="E345" s="6" t="s">
        <v>834</v>
      </c>
      <c r="F345" s="45" t="s">
        <v>104</v>
      </c>
      <c r="G345" s="46">
        <f t="shared" si="43"/>
        <v>200</v>
      </c>
      <c r="H345" s="46">
        <f>TRUNC(S345*(1-LOTE_02!$K$10),2)</f>
        <v>55.78</v>
      </c>
      <c r="I345" s="46">
        <f>TRUNC(T345*(1-LOTE_02!$K$10),2)</f>
        <v>12.3</v>
      </c>
      <c r="J345" s="100">
        <f t="shared" si="44"/>
        <v>0.22470000000000001</v>
      </c>
      <c r="K345" s="48">
        <f t="shared" si="38"/>
        <v>68.31</v>
      </c>
      <c r="L345" s="48">
        <f t="shared" si="39"/>
        <v>15.06</v>
      </c>
      <c r="M345" s="48">
        <f t="shared" si="40"/>
        <v>13662</v>
      </c>
      <c r="N345" s="48">
        <f t="shared" si="41"/>
        <v>3012</v>
      </c>
      <c r="O345" s="50">
        <f t="shared" si="42"/>
        <v>16674</v>
      </c>
      <c r="P345" s="50">
        <v>0</v>
      </c>
      <c r="Q345" s="76"/>
      <c r="R345" s="140">
        <f>IF((10*S9+10*S10)&gt;200,200,(10*S9+10*S10))</f>
        <v>200</v>
      </c>
      <c r="S345" s="79">
        <v>55.78</v>
      </c>
      <c r="T345" s="80">
        <v>12.3</v>
      </c>
    </row>
    <row r="346" spans="2:20" ht="70">
      <c r="B346" s="5" t="s">
        <v>835</v>
      </c>
      <c r="C346" s="45" t="s">
        <v>135</v>
      </c>
      <c r="D346" s="45">
        <v>91863</v>
      </c>
      <c r="E346" s="6" t="s">
        <v>836</v>
      </c>
      <c r="F346" s="45" t="s">
        <v>187</v>
      </c>
      <c r="G346" s="46">
        <f t="shared" si="43"/>
        <v>1000</v>
      </c>
      <c r="H346" s="46">
        <f>TRUNC(S346*(1-LOTE_02!$K$10),2)</f>
        <v>8.99</v>
      </c>
      <c r="I346" s="46">
        <f>TRUNC(T346*(1-LOTE_02!$K$10),2)</f>
        <v>4.6100000000000003</v>
      </c>
      <c r="J346" s="100">
        <f t="shared" si="44"/>
        <v>0.22470000000000001</v>
      </c>
      <c r="K346" s="48">
        <f t="shared" si="38"/>
        <v>11.01</v>
      </c>
      <c r="L346" s="48">
        <f t="shared" si="39"/>
        <v>5.64</v>
      </c>
      <c r="M346" s="48">
        <f t="shared" si="40"/>
        <v>11010</v>
      </c>
      <c r="N346" s="48">
        <f t="shared" si="41"/>
        <v>5640</v>
      </c>
      <c r="O346" s="50">
        <f t="shared" si="42"/>
        <v>16650</v>
      </c>
      <c r="P346" s="50">
        <v>0</v>
      </c>
      <c r="Q346" s="76"/>
      <c r="R346" s="140">
        <f>IF((20*S9+100*S10)&gt;1000,1000,(20*S9+100*S10))</f>
        <v>1000</v>
      </c>
      <c r="S346" s="79">
        <v>8.9899999999999984</v>
      </c>
      <c r="T346" s="80">
        <v>4.6100000000000003</v>
      </c>
    </row>
    <row r="347" spans="2:20" ht="70">
      <c r="B347" s="5" t="s">
        <v>837</v>
      </c>
      <c r="C347" s="45" t="s">
        <v>135</v>
      </c>
      <c r="D347" s="45">
        <v>91864</v>
      </c>
      <c r="E347" s="6" t="s">
        <v>838</v>
      </c>
      <c r="F347" s="45" t="s">
        <v>187</v>
      </c>
      <c r="G347" s="46">
        <f t="shared" si="43"/>
        <v>500</v>
      </c>
      <c r="H347" s="46">
        <f>TRUNC(S347*(1-LOTE_02!$K$10),2)</f>
        <v>13.04</v>
      </c>
      <c r="I347" s="46">
        <f>TRUNC(T347*(1-LOTE_02!$K$10),2)</f>
        <v>5.35</v>
      </c>
      <c r="J347" s="100">
        <f t="shared" si="44"/>
        <v>0.22470000000000001</v>
      </c>
      <c r="K347" s="48">
        <f t="shared" si="38"/>
        <v>15.97</v>
      </c>
      <c r="L347" s="48">
        <f t="shared" si="39"/>
        <v>6.55</v>
      </c>
      <c r="M347" s="48">
        <f t="shared" si="40"/>
        <v>7985</v>
      </c>
      <c r="N347" s="48">
        <f t="shared" si="41"/>
        <v>3275</v>
      </c>
      <c r="O347" s="50">
        <f t="shared" si="42"/>
        <v>11260</v>
      </c>
      <c r="P347" s="50">
        <v>0</v>
      </c>
      <c r="Q347" s="76"/>
      <c r="R347" s="140">
        <f>IF((20*S9+100*S10)&gt;500,500,(20*S9+100*S10))</f>
        <v>500</v>
      </c>
      <c r="S347" s="79">
        <v>13.040000000000001</v>
      </c>
      <c r="T347" s="80">
        <v>5.35</v>
      </c>
    </row>
    <row r="348" spans="2:20" ht="56">
      <c r="B348" s="5" t="s">
        <v>839</v>
      </c>
      <c r="C348" s="45" t="s">
        <v>135</v>
      </c>
      <c r="D348" s="45">
        <v>91926</v>
      </c>
      <c r="E348" s="6" t="s">
        <v>840</v>
      </c>
      <c r="F348" s="45" t="s">
        <v>187</v>
      </c>
      <c r="G348" s="46">
        <f t="shared" si="43"/>
        <v>27000</v>
      </c>
      <c r="H348" s="46">
        <f>TRUNC(S348*(1-LOTE_02!$K$10),2)</f>
        <v>4.43</v>
      </c>
      <c r="I348" s="46">
        <f>TRUNC(T348*(1-LOTE_02!$K$10),2)</f>
        <v>1.23</v>
      </c>
      <c r="J348" s="100">
        <f t="shared" si="44"/>
        <v>0.22470000000000001</v>
      </c>
      <c r="K348" s="48">
        <f t="shared" si="38"/>
        <v>5.42</v>
      </c>
      <c r="L348" s="48">
        <f t="shared" si="39"/>
        <v>1.5</v>
      </c>
      <c r="M348" s="48">
        <f t="shared" si="40"/>
        <v>146340</v>
      </c>
      <c r="N348" s="48">
        <f t="shared" si="41"/>
        <v>40500</v>
      </c>
      <c r="O348" s="50">
        <f t="shared" si="42"/>
        <v>186840</v>
      </c>
      <c r="P348" s="50">
        <v>0</v>
      </c>
      <c r="Q348" s="76"/>
      <c r="R348" s="140">
        <f>600*S9+600*S10</f>
        <v>27000</v>
      </c>
      <c r="S348" s="79">
        <v>4.43</v>
      </c>
      <c r="T348" s="80">
        <v>1.23</v>
      </c>
    </row>
    <row r="349" spans="2:20" ht="56">
      <c r="B349" s="5" t="s">
        <v>841</v>
      </c>
      <c r="C349" s="45" t="s">
        <v>135</v>
      </c>
      <c r="D349" s="45">
        <v>91924</v>
      </c>
      <c r="E349" s="6" t="s">
        <v>842</v>
      </c>
      <c r="F349" s="45" t="s">
        <v>187</v>
      </c>
      <c r="G349" s="46">
        <f t="shared" si="43"/>
        <v>27000</v>
      </c>
      <c r="H349" s="46">
        <f>TRUNC(S349*(1-LOTE_02!$K$10),2)</f>
        <v>2.91</v>
      </c>
      <c r="I349" s="46">
        <f>TRUNC(T349*(1-LOTE_02!$K$10),2)</f>
        <v>0.97</v>
      </c>
      <c r="J349" s="100">
        <f t="shared" si="44"/>
        <v>0.22470000000000001</v>
      </c>
      <c r="K349" s="48">
        <f t="shared" si="38"/>
        <v>3.56</v>
      </c>
      <c r="L349" s="48">
        <f t="shared" si="39"/>
        <v>1.18</v>
      </c>
      <c r="M349" s="48">
        <f t="shared" si="40"/>
        <v>96120</v>
      </c>
      <c r="N349" s="48">
        <f t="shared" si="41"/>
        <v>31860</v>
      </c>
      <c r="O349" s="50">
        <f t="shared" si="42"/>
        <v>127980</v>
      </c>
      <c r="P349" s="50">
        <v>0</v>
      </c>
      <c r="Q349" s="76"/>
      <c r="R349" s="140">
        <f>600*S9+600*S10</f>
        <v>27000</v>
      </c>
      <c r="S349" s="79">
        <v>2.91</v>
      </c>
      <c r="T349" s="80">
        <v>0.97</v>
      </c>
    </row>
    <row r="350" spans="2:20" ht="56">
      <c r="B350" s="5" t="s">
        <v>843</v>
      </c>
      <c r="C350" s="45" t="s">
        <v>135</v>
      </c>
      <c r="D350" s="45">
        <v>91928</v>
      </c>
      <c r="E350" s="6" t="s">
        <v>844</v>
      </c>
      <c r="F350" s="45" t="s">
        <v>187</v>
      </c>
      <c r="G350" s="46">
        <f t="shared" si="43"/>
        <v>9000</v>
      </c>
      <c r="H350" s="46">
        <f>TRUNC(S350*(1-LOTE_02!$K$10),2)</f>
        <v>7.11</v>
      </c>
      <c r="I350" s="46">
        <f>TRUNC(T350*(1-LOTE_02!$K$10),2)</f>
        <v>1.68</v>
      </c>
      <c r="J350" s="100">
        <f t="shared" si="44"/>
        <v>0.22470000000000001</v>
      </c>
      <c r="K350" s="48">
        <f t="shared" si="38"/>
        <v>8.6999999999999993</v>
      </c>
      <c r="L350" s="48">
        <f t="shared" si="39"/>
        <v>2.0499999999999998</v>
      </c>
      <c r="M350" s="48">
        <f t="shared" si="40"/>
        <v>78300</v>
      </c>
      <c r="N350" s="48">
        <f t="shared" si="41"/>
        <v>18450</v>
      </c>
      <c r="O350" s="50">
        <f t="shared" si="42"/>
        <v>96750</v>
      </c>
      <c r="P350" s="50">
        <v>0</v>
      </c>
      <c r="Q350" s="76"/>
      <c r="R350" s="140">
        <f>200*S9+200*S10</f>
        <v>9000</v>
      </c>
      <c r="S350" s="79">
        <v>7.1099999999999994</v>
      </c>
      <c r="T350" s="80">
        <v>1.68</v>
      </c>
    </row>
    <row r="351" spans="2:20" ht="56">
      <c r="B351" s="5" t="s">
        <v>845</v>
      </c>
      <c r="C351" s="45" t="s">
        <v>135</v>
      </c>
      <c r="D351" s="45">
        <v>91952</v>
      </c>
      <c r="E351" s="6" t="s">
        <v>846</v>
      </c>
      <c r="F351" s="45" t="s">
        <v>210</v>
      </c>
      <c r="G351" s="46">
        <f t="shared" si="43"/>
        <v>1125</v>
      </c>
      <c r="H351" s="46">
        <f>TRUNC(S351*(1-LOTE_02!$K$10),2)</f>
        <v>11.41</v>
      </c>
      <c r="I351" s="46">
        <f>TRUNC(T351*(1-LOTE_02!$K$10),2)</f>
        <v>9.1</v>
      </c>
      <c r="J351" s="100">
        <f t="shared" si="44"/>
        <v>0.22470000000000001</v>
      </c>
      <c r="K351" s="48">
        <f t="shared" si="38"/>
        <v>13.97</v>
      </c>
      <c r="L351" s="48">
        <f t="shared" si="39"/>
        <v>11.14</v>
      </c>
      <c r="M351" s="48">
        <f t="shared" si="40"/>
        <v>15716.25</v>
      </c>
      <c r="N351" s="48">
        <f t="shared" si="41"/>
        <v>12532.5</v>
      </c>
      <c r="O351" s="50">
        <f t="shared" si="42"/>
        <v>28248.75</v>
      </c>
      <c r="P351" s="50">
        <v>0</v>
      </c>
      <c r="Q351" s="76"/>
      <c r="R351" s="140">
        <f>25*S9+25*S10</f>
        <v>1125</v>
      </c>
      <c r="S351" s="79">
        <v>11.410000000000002</v>
      </c>
      <c r="T351" s="80">
        <v>9.1</v>
      </c>
    </row>
    <row r="352" spans="2:20" ht="56">
      <c r="B352" s="5" t="s">
        <v>847</v>
      </c>
      <c r="C352" s="45" t="s">
        <v>135</v>
      </c>
      <c r="D352" s="45">
        <v>91959</v>
      </c>
      <c r="E352" s="6" t="s">
        <v>848</v>
      </c>
      <c r="F352" s="45" t="s">
        <v>210</v>
      </c>
      <c r="G352" s="46">
        <f t="shared" si="43"/>
        <v>450</v>
      </c>
      <c r="H352" s="46">
        <f>TRUNC(S352*(1-LOTE_02!$K$10),2)</f>
        <v>28.36</v>
      </c>
      <c r="I352" s="46">
        <f>TRUNC(T352*(1-LOTE_02!$K$10),2)</f>
        <v>20.76</v>
      </c>
      <c r="J352" s="100">
        <f t="shared" si="44"/>
        <v>0.22470000000000001</v>
      </c>
      <c r="K352" s="48">
        <f t="shared" si="38"/>
        <v>34.729999999999997</v>
      </c>
      <c r="L352" s="48">
        <f t="shared" si="39"/>
        <v>25.42</v>
      </c>
      <c r="M352" s="48">
        <f t="shared" si="40"/>
        <v>15628.5</v>
      </c>
      <c r="N352" s="48">
        <f t="shared" si="41"/>
        <v>11439</v>
      </c>
      <c r="O352" s="50">
        <f t="shared" si="42"/>
        <v>27067.5</v>
      </c>
      <c r="P352" s="50">
        <v>0</v>
      </c>
      <c r="Q352" s="76"/>
      <c r="R352" s="140">
        <f>10*S9+10*S10</f>
        <v>450</v>
      </c>
      <c r="S352" s="79">
        <v>28.359999999999996</v>
      </c>
      <c r="T352" s="80">
        <v>20.76</v>
      </c>
    </row>
    <row r="353" spans="2:20" ht="56">
      <c r="B353" s="5" t="s">
        <v>849</v>
      </c>
      <c r="C353" s="45" t="s">
        <v>135</v>
      </c>
      <c r="D353" s="45">
        <v>91967</v>
      </c>
      <c r="E353" s="6" t="s">
        <v>850</v>
      </c>
      <c r="F353" s="45" t="s">
        <v>210</v>
      </c>
      <c r="G353" s="46">
        <f t="shared" si="43"/>
        <v>450</v>
      </c>
      <c r="H353" s="46">
        <f>TRUNC(S353*(1-LOTE_02!$K$10),2)</f>
        <v>38.450000000000003</v>
      </c>
      <c r="I353" s="46">
        <f>TRUNC(T353*(1-LOTE_02!$K$10),2)</f>
        <v>27.41</v>
      </c>
      <c r="J353" s="100">
        <f t="shared" si="44"/>
        <v>0.22470000000000001</v>
      </c>
      <c r="K353" s="48">
        <f t="shared" si="38"/>
        <v>47.08</v>
      </c>
      <c r="L353" s="48">
        <f t="shared" si="39"/>
        <v>33.56</v>
      </c>
      <c r="M353" s="48">
        <f t="shared" si="40"/>
        <v>21186</v>
      </c>
      <c r="N353" s="48">
        <f t="shared" si="41"/>
        <v>15102</v>
      </c>
      <c r="O353" s="50">
        <f t="shared" si="42"/>
        <v>36288</v>
      </c>
      <c r="P353" s="50">
        <v>0</v>
      </c>
      <c r="Q353" s="76"/>
      <c r="R353" s="140">
        <f>10*S9+10*S10</f>
        <v>450</v>
      </c>
      <c r="S353" s="79">
        <v>38.450000000000003</v>
      </c>
      <c r="T353" s="80">
        <v>27.41</v>
      </c>
    </row>
    <row r="354" spans="2:20" ht="56">
      <c r="B354" s="5" t="s">
        <v>851</v>
      </c>
      <c r="C354" s="45" t="s">
        <v>135</v>
      </c>
      <c r="D354" s="45">
        <v>92005</v>
      </c>
      <c r="E354" s="6" t="s">
        <v>852</v>
      </c>
      <c r="F354" s="45" t="s">
        <v>210</v>
      </c>
      <c r="G354" s="46">
        <f t="shared" si="43"/>
        <v>500</v>
      </c>
      <c r="H354" s="46">
        <f>TRUNC(S354*(1-LOTE_02!$K$10),2)</f>
        <v>37.89</v>
      </c>
      <c r="I354" s="46">
        <f>TRUNC(T354*(1-LOTE_02!$K$10),2)</f>
        <v>27.42</v>
      </c>
      <c r="J354" s="100">
        <f t="shared" si="44"/>
        <v>0.22470000000000001</v>
      </c>
      <c r="K354" s="48">
        <f t="shared" si="38"/>
        <v>46.4</v>
      </c>
      <c r="L354" s="48">
        <f t="shared" si="39"/>
        <v>33.58</v>
      </c>
      <c r="M354" s="48">
        <f t="shared" si="40"/>
        <v>23200</v>
      </c>
      <c r="N354" s="48">
        <f t="shared" si="41"/>
        <v>16790</v>
      </c>
      <c r="O354" s="50">
        <f t="shared" si="42"/>
        <v>39990</v>
      </c>
      <c r="P354" s="50">
        <v>0</v>
      </c>
      <c r="Q354" s="76"/>
      <c r="R354" s="140">
        <f>IF((10*S9+20*S10)&gt;500,500,(10*S9+20*S10))</f>
        <v>500</v>
      </c>
      <c r="S354" s="79">
        <v>37.89</v>
      </c>
      <c r="T354" s="80">
        <v>27.42</v>
      </c>
    </row>
    <row r="355" spans="2:20" ht="56">
      <c r="B355" s="5" t="s">
        <v>853</v>
      </c>
      <c r="C355" s="45" t="s">
        <v>135</v>
      </c>
      <c r="D355" s="45">
        <v>92008</v>
      </c>
      <c r="E355" s="6" t="s">
        <v>854</v>
      </c>
      <c r="F355" s="45" t="s">
        <v>210</v>
      </c>
      <c r="G355" s="46">
        <f t="shared" si="43"/>
        <v>500</v>
      </c>
      <c r="H355" s="46">
        <f>TRUNC(S355*(1-LOTE_02!$K$10),2)</f>
        <v>30.55</v>
      </c>
      <c r="I355" s="46">
        <f>TRUNC(T355*(1-LOTE_02!$K$10),2)</f>
        <v>21.49</v>
      </c>
      <c r="J355" s="100">
        <f t="shared" si="44"/>
        <v>0.22470000000000001</v>
      </c>
      <c r="K355" s="48">
        <f t="shared" si="38"/>
        <v>37.409999999999997</v>
      </c>
      <c r="L355" s="48">
        <f t="shared" si="39"/>
        <v>26.31</v>
      </c>
      <c r="M355" s="48">
        <f t="shared" si="40"/>
        <v>18705</v>
      </c>
      <c r="N355" s="48">
        <f t="shared" si="41"/>
        <v>13155</v>
      </c>
      <c r="O355" s="50">
        <f t="shared" si="42"/>
        <v>31860</v>
      </c>
      <c r="P355" s="50">
        <v>0</v>
      </c>
      <c r="Q355" s="76"/>
      <c r="R355" s="140">
        <f>IF((10*S9+20*S10)&gt;500,500,(10*S9+20*S10))</f>
        <v>500</v>
      </c>
      <c r="S355" s="79">
        <v>30.55</v>
      </c>
      <c r="T355" s="80">
        <v>21.49</v>
      </c>
    </row>
    <row r="356" spans="2:20" ht="56">
      <c r="B356" s="5" t="s">
        <v>855</v>
      </c>
      <c r="C356" s="45" t="s">
        <v>135</v>
      </c>
      <c r="D356" s="45">
        <v>92000</v>
      </c>
      <c r="E356" s="6" t="s">
        <v>856</v>
      </c>
      <c r="F356" s="45" t="s">
        <v>210</v>
      </c>
      <c r="G356" s="46">
        <f t="shared" si="43"/>
        <v>1350</v>
      </c>
      <c r="H356" s="46">
        <f>TRUNC(S356*(1-LOTE_02!$K$10),2)</f>
        <v>19.39</v>
      </c>
      <c r="I356" s="46">
        <f>TRUNC(T356*(1-LOTE_02!$K$10),2)</f>
        <v>14.49</v>
      </c>
      <c r="J356" s="100">
        <f t="shared" si="44"/>
        <v>0.22470000000000001</v>
      </c>
      <c r="K356" s="48">
        <f t="shared" si="38"/>
        <v>23.74</v>
      </c>
      <c r="L356" s="48">
        <f t="shared" si="39"/>
        <v>17.739999999999998</v>
      </c>
      <c r="M356" s="48">
        <f t="shared" si="40"/>
        <v>32049</v>
      </c>
      <c r="N356" s="48">
        <f t="shared" si="41"/>
        <v>23949</v>
      </c>
      <c r="O356" s="50">
        <f t="shared" si="42"/>
        <v>55998</v>
      </c>
      <c r="P356" s="50">
        <v>0</v>
      </c>
      <c r="Q356" s="76"/>
      <c r="R356" s="140">
        <f>30*S9+30*S10</f>
        <v>1350</v>
      </c>
      <c r="S356" s="79">
        <v>19.39</v>
      </c>
      <c r="T356" s="80">
        <v>14.49</v>
      </c>
    </row>
    <row r="357" spans="2:20" ht="42">
      <c r="B357" s="5" t="s">
        <v>857</v>
      </c>
      <c r="C357" s="45" t="s">
        <v>97</v>
      </c>
      <c r="D357" s="45" t="s">
        <v>858</v>
      </c>
      <c r="E357" s="6" t="s">
        <v>859</v>
      </c>
      <c r="F357" s="45" t="s">
        <v>104</v>
      </c>
      <c r="G357" s="46">
        <f t="shared" si="43"/>
        <v>1850</v>
      </c>
      <c r="H357" s="46">
        <f>TRUNC(S357*(1-LOTE_02!$K$10),2)</f>
        <v>15.05</v>
      </c>
      <c r="I357" s="46">
        <f>TRUNC(T357*(1-LOTE_02!$K$10),2)</f>
        <v>23.65</v>
      </c>
      <c r="J357" s="100">
        <f t="shared" si="44"/>
        <v>0.22470000000000001</v>
      </c>
      <c r="K357" s="48">
        <f t="shared" si="38"/>
        <v>18.43</v>
      </c>
      <c r="L357" s="48">
        <f t="shared" si="39"/>
        <v>28.96</v>
      </c>
      <c r="M357" s="48">
        <f t="shared" si="40"/>
        <v>34095.5</v>
      </c>
      <c r="N357" s="48">
        <f t="shared" si="41"/>
        <v>53576</v>
      </c>
      <c r="O357" s="50">
        <f t="shared" si="42"/>
        <v>87671.5</v>
      </c>
      <c r="P357" s="50">
        <v>0</v>
      </c>
      <c r="Q357" s="76"/>
      <c r="R357" s="140">
        <f>30*S9+50*S10</f>
        <v>1850</v>
      </c>
      <c r="S357" s="79">
        <v>15.05</v>
      </c>
      <c r="T357" s="80">
        <v>23.65</v>
      </c>
    </row>
    <row r="358" spans="2:20" ht="28">
      <c r="B358" s="5" t="s">
        <v>860</v>
      </c>
      <c r="C358" s="45" t="s">
        <v>97</v>
      </c>
      <c r="D358" s="45" t="s">
        <v>861</v>
      </c>
      <c r="E358" s="6" t="s">
        <v>862</v>
      </c>
      <c r="F358" s="45" t="s">
        <v>104</v>
      </c>
      <c r="G358" s="46">
        <f t="shared" si="43"/>
        <v>50</v>
      </c>
      <c r="H358" s="46">
        <f>TRUNC(S358*(1-LOTE_02!$K$10),2)</f>
        <v>39.11</v>
      </c>
      <c r="I358" s="46">
        <f>TRUNC(T358*(1-LOTE_02!$K$10),2)</f>
        <v>17.73</v>
      </c>
      <c r="J358" s="100">
        <f t="shared" si="44"/>
        <v>0.22470000000000001</v>
      </c>
      <c r="K358" s="48">
        <f t="shared" si="38"/>
        <v>47.89</v>
      </c>
      <c r="L358" s="48">
        <f t="shared" si="39"/>
        <v>21.71</v>
      </c>
      <c r="M358" s="48">
        <f t="shared" si="40"/>
        <v>2394.5</v>
      </c>
      <c r="N358" s="48">
        <f t="shared" si="41"/>
        <v>1085.5</v>
      </c>
      <c r="O358" s="50">
        <f t="shared" si="42"/>
        <v>3480</v>
      </c>
      <c r="P358" s="50">
        <v>0</v>
      </c>
      <c r="Q358" s="76"/>
      <c r="R358" s="140">
        <f>IF((10*S9+10*S10)&gt;50,50,(10*S9+10*S10))</f>
        <v>50</v>
      </c>
      <c r="S358" s="79">
        <v>39.11</v>
      </c>
      <c r="T358" s="80">
        <v>17.73</v>
      </c>
    </row>
    <row r="359" spans="2:20" ht="84">
      <c r="B359" s="5" t="s">
        <v>863</v>
      </c>
      <c r="C359" s="45" t="s">
        <v>97</v>
      </c>
      <c r="D359" s="45" t="s">
        <v>864</v>
      </c>
      <c r="E359" s="6" t="s">
        <v>865</v>
      </c>
      <c r="F359" s="45" t="s">
        <v>104</v>
      </c>
      <c r="G359" s="46">
        <f t="shared" si="43"/>
        <v>200</v>
      </c>
      <c r="H359" s="46">
        <f>TRUNC(S359*(1-LOTE_02!$K$10),2)</f>
        <v>196.09</v>
      </c>
      <c r="I359" s="46">
        <f>TRUNC(T359*(1-LOTE_02!$K$10),2)</f>
        <v>35.47</v>
      </c>
      <c r="J359" s="100">
        <f t="shared" si="44"/>
        <v>0.22470000000000001</v>
      </c>
      <c r="K359" s="48">
        <f t="shared" si="38"/>
        <v>240.15</v>
      </c>
      <c r="L359" s="48">
        <f t="shared" si="39"/>
        <v>43.44</v>
      </c>
      <c r="M359" s="48">
        <f t="shared" si="40"/>
        <v>48030</v>
      </c>
      <c r="N359" s="48">
        <f t="shared" si="41"/>
        <v>8688</v>
      </c>
      <c r="O359" s="50">
        <f t="shared" si="42"/>
        <v>56718</v>
      </c>
      <c r="P359" s="50">
        <v>0</v>
      </c>
      <c r="Q359" s="76"/>
      <c r="R359" s="140">
        <f>IF((20*S9+20*S10)&gt;200,200,(20*S9+20*S10))</f>
        <v>200</v>
      </c>
      <c r="S359" s="79">
        <v>196.09</v>
      </c>
      <c r="T359" s="80">
        <v>35.47</v>
      </c>
    </row>
    <row r="360" spans="2:20" ht="98">
      <c r="B360" s="5" t="s">
        <v>866</v>
      </c>
      <c r="C360" s="45" t="s">
        <v>97</v>
      </c>
      <c r="D360" s="45" t="s">
        <v>867</v>
      </c>
      <c r="E360" s="6" t="s">
        <v>868</v>
      </c>
      <c r="F360" s="45" t="s">
        <v>104</v>
      </c>
      <c r="G360" s="46">
        <f t="shared" si="43"/>
        <v>100</v>
      </c>
      <c r="H360" s="46">
        <f>TRUNC(S360*(1-LOTE_02!$K$10),2)</f>
        <v>282.33</v>
      </c>
      <c r="I360" s="46">
        <f>TRUNC(T360*(1-LOTE_02!$K$10),2)</f>
        <v>75.349999999999994</v>
      </c>
      <c r="J360" s="100">
        <f t="shared" si="44"/>
        <v>0.22470000000000001</v>
      </c>
      <c r="K360" s="48">
        <f t="shared" si="38"/>
        <v>345.76</v>
      </c>
      <c r="L360" s="48">
        <f t="shared" si="39"/>
        <v>92.28</v>
      </c>
      <c r="M360" s="48">
        <f t="shared" si="40"/>
        <v>34576</v>
      </c>
      <c r="N360" s="48">
        <f t="shared" si="41"/>
        <v>9228</v>
      </c>
      <c r="O360" s="50">
        <f t="shared" si="42"/>
        <v>43804</v>
      </c>
      <c r="P360" s="50">
        <v>0</v>
      </c>
      <c r="Q360" s="76"/>
      <c r="R360" s="140">
        <f>IF((2*S9+2*S10)&gt;50,100,(2*S9+2*S10))</f>
        <v>100</v>
      </c>
      <c r="S360" s="79">
        <v>282.33</v>
      </c>
      <c r="T360" s="80">
        <v>75.349999999999994</v>
      </c>
    </row>
    <row r="361" spans="2:20" ht="56">
      <c r="B361" s="5" t="s">
        <v>869</v>
      </c>
      <c r="C361" s="45" t="s">
        <v>135</v>
      </c>
      <c r="D361" s="45">
        <v>97607</v>
      </c>
      <c r="E361" s="6" t="s">
        <v>870</v>
      </c>
      <c r="F361" s="45" t="s">
        <v>210</v>
      </c>
      <c r="G361" s="46">
        <f t="shared" si="43"/>
        <v>50</v>
      </c>
      <c r="H361" s="46">
        <f>TRUNC(S361*(1-LOTE_02!$K$10),2)</f>
        <v>82.69</v>
      </c>
      <c r="I361" s="46">
        <f>TRUNC(T361*(1-LOTE_02!$K$10),2)</f>
        <v>13.16</v>
      </c>
      <c r="J361" s="100">
        <f t="shared" si="44"/>
        <v>0.22470000000000001</v>
      </c>
      <c r="K361" s="48">
        <f t="shared" si="38"/>
        <v>101.27</v>
      </c>
      <c r="L361" s="48">
        <f t="shared" si="39"/>
        <v>16.11</v>
      </c>
      <c r="M361" s="48">
        <f t="shared" si="40"/>
        <v>5063.5</v>
      </c>
      <c r="N361" s="48">
        <f t="shared" si="41"/>
        <v>805.5</v>
      </c>
      <c r="O361" s="50">
        <f t="shared" si="42"/>
        <v>5869</v>
      </c>
      <c r="P361" s="50">
        <v>0</v>
      </c>
      <c r="Q361" s="76"/>
      <c r="R361" s="140">
        <f>IF((5*S9+5*S10)&gt;50,50,(5*S9+5*S10))</f>
        <v>50</v>
      </c>
      <c r="S361" s="79">
        <v>82.69</v>
      </c>
      <c r="T361" s="80">
        <v>13.16</v>
      </c>
    </row>
    <row r="362" spans="2:20" ht="28">
      <c r="B362" s="5" t="s">
        <v>871</v>
      </c>
      <c r="C362" s="45" t="s">
        <v>165</v>
      </c>
      <c r="D362" s="45" t="s">
        <v>872</v>
      </c>
      <c r="E362" s="6" t="s">
        <v>873</v>
      </c>
      <c r="F362" s="45" t="s">
        <v>559</v>
      </c>
      <c r="G362" s="46">
        <f t="shared" si="43"/>
        <v>50</v>
      </c>
      <c r="H362" s="46">
        <f>TRUNC(S362*(1-LOTE_02!$K$10),2)</f>
        <v>338.8</v>
      </c>
      <c r="I362" s="46">
        <f>TRUNC(T362*(1-LOTE_02!$K$10),2)</f>
        <v>47.83</v>
      </c>
      <c r="J362" s="100">
        <f t="shared" si="44"/>
        <v>0.22470000000000001</v>
      </c>
      <c r="K362" s="48">
        <f t="shared" si="38"/>
        <v>414.92</v>
      </c>
      <c r="L362" s="48">
        <f t="shared" si="39"/>
        <v>58.57</v>
      </c>
      <c r="M362" s="48">
        <f t="shared" si="40"/>
        <v>20746</v>
      </c>
      <c r="N362" s="48">
        <f t="shared" si="41"/>
        <v>2928.5</v>
      </c>
      <c r="O362" s="50">
        <f t="shared" si="42"/>
        <v>23674.5</v>
      </c>
      <c r="P362" s="50">
        <v>0</v>
      </c>
      <c r="Q362" s="76"/>
      <c r="R362" s="140">
        <f>IF((5*S9+5*S10)&gt;50,50,(5*S9+5*S10))</f>
        <v>50</v>
      </c>
      <c r="S362" s="79">
        <v>338.8</v>
      </c>
      <c r="T362" s="80">
        <v>47.83</v>
      </c>
    </row>
    <row r="363" spans="2:20" ht="42">
      <c r="B363" s="5" t="s">
        <v>874</v>
      </c>
      <c r="C363" s="45" t="s">
        <v>135</v>
      </c>
      <c r="D363" s="45">
        <v>100903</v>
      </c>
      <c r="E363" s="6" t="s">
        <v>875</v>
      </c>
      <c r="F363" s="45" t="s">
        <v>210</v>
      </c>
      <c r="G363" s="46">
        <f t="shared" si="43"/>
        <v>500</v>
      </c>
      <c r="H363" s="46">
        <f>TRUNC(S363*(1-LOTE_02!$K$10),2)</f>
        <v>23.88</v>
      </c>
      <c r="I363" s="46">
        <f>TRUNC(T363*(1-LOTE_02!$K$10),2)</f>
        <v>9.69</v>
      </c>
      <c r="J363" s="100">
        <f t="shared" si="44"/>
        <v>0.22470000000000001</v>
      </c>
      <c r="K363" s="48">
        <f t="shared" si="38"/>
        <v>29.24</v>
      </c>
      <c r="L363" s="48">
        <f t="shared" si="39"/>
        <v>11.86</v>
      </c>
      <c r="M363" s="48">
        <f t="shared" si="40"/>
        <v>14620</v>
      </c>
      <c r="N363" s="48">
        <f t="shared" si="41"/>
        <v>5930</v>
      </c>
      <c r="O363" s="50">
        <f t="shared" si="42"/>
        <v>20550</v>
      </c>
      <c r="P363" s="50">
        <v>0</v>
      </c>
      <c r="Q363" s="76"/>
      <c r="R363" s="140">
        <f>IF((100*S9+100*S10)&gt;500,500,(100*S9+100*S10))</f>
        <v>500</v>
      </c>
      <c r="S363" s="79">
        <v>23.880000000000003</v>
      </c>
      <c r="T363" s="80">
        <v>9.69</v>
      </c>
    </row>
    <row r="364" spans="2:20" ht="56">
      <c r="B364" s="5" t="s">
        <v>876</v>
      </c>
      <c r="C364" s="45" t="s">
        <v>135</v>
      </c>
      <c r="D364" s="45">
        <v>97599</v>
      </c>
      <c r="E364" s="6" t="s">
        <v>877</v>
      </c>
      <c r="F364" s="45" t="s">
        <v>210</v>
      </c>
      <c r="G364" s="46">
        <f t="shared" si="43"/>
        <v>100</v>
      </c>
      <c r="H364" s="46">
        <f>TRUNC(S364*(1-LOTE_02!$K$10),2)</f>
        <v>17.91</v>
      </c>
      <c r="I364" s="46">
        <f>TRUNC(T364*(1-LOTE_02!$K$10),2)</f>
        <v>3.79</v>
      </c>
      <c r="J364" s="100">
        <f t="shared" si="44"/>
        <v>0.22470000000000001</v>
      </c>
      <c r="K364" s="48">
        <f t="shared" si="38"/>
        <v>21.93</v>
      </c>
      <c r="L364" s="48">
        <f t="shared" si="39"/>
        <v>4.6399999999999997</v>
      </c>
      <c r="M364" s="48">
        <f t="shared" si="40"/>
        <v>2193</v>
      </c>
      <c r="N364" s="48">
        <f t="shared" si="41"/>
        <v>464</v>
      </c>
      <c r="O364" s="50">
        <f t="shared" si="42"/>
        <v>2657</v>
      </c>
      <c r="P364" s="50">
        <v>0</v>
      </c>
      <c r="Q364" s="76"/>
      <c r="R364" s="140">
        <f>IF((20*S9+20*S10)&gt;100,100,(20*S9+20*S10))</f>
        <v>100</v>
      </c>
      <c r="S364" s="79">
        <v>17.91</v>
      </c>
      <c r="T364" s="80">
        <v>3.79</v>
      </c>
    </row>
    <row r="365" spans="2:20" ht="28">
      <c r="B365" s="5" t="s">
        <v>878</v>
      </c>
      <c r="C365" s="45" t="s">
        <v>97</v>
      </c>
      <c r="D365" s="45" t="s">
        <v>879</v>
      </c>
      <c r="E365" s="6" t="s">
        <v>880</v>
      </c>
      <c r="F365" s="45" t="s">
        <v>881</v>
      </c>
      <c r="G365" s="46">
        <f t="shared" si="43"/>
        <v>2475</v>
      </c>
      <c r="H365" s="46">
        <f>TRUNC(S365*(1-LOTE_02!$K$10),2)</f>
        <v>119.38</v>
      </c>
      <c r="I365" s="46">
        <f>TRUNC(T365*(1-LOTE_02!$K$10),2)</f>
        <v>35.47</v>
      </c>
      <c r="J365" s="100">
        <f t="shared" si="44"/>
        <v>0.22470000000000001</v>
      </c>
      <c r="K365" s="48">
        <f t="shared" si="38"/>
        <v>146.19999999999999</v>
      </c>
      <c r="L365" s="48">
        <f t="shared" si="39"/>
        <v>43.44</v>
      </c>
      <c r="M365" s="48">
        <f t="shared" si="40"/>
        <v>361845</v>
      </c>
      <c r="N365" s="48">
        <f t="shared" si="41"/>
        <v>107514</v>
      </c>
      <c r="O365" s="50">
        <f t="shared" si="42"/>
        <v>469359</v>
      </c>
      <c r="P365" s="50">
        <v>0</v>
      </c>
      <c r="Q365" s="76"/>
      <c r="R365" s="141">
        <f>(6+6+3+2+2+6+4+2+2+4+6+6+6)*(S9+S10)</f>
        <v>2475</v>
      </c>
      <c r="S365" s="79">
        <v>119.38</v>
      </c>
      <c r="T365" s="80">
        <v>35.47</v>
      </c>
    </row>
    <row r="366" spans="2:20" ht="28">
      <c r="B366" s="5" t="s">
        <v>882</v>
      </c>
      <c r="C366" s="45" t="s">
        <v>97</v>
      </c>
      <c r="D366" s="45" t="s">
        <v>883</v>
      </c>
      <c r="E366" s="6" t="s">
        <v>884</v>
      </c>
      <c r="F366" s="45" t="s">
        <v>104</v>
      </c>
      <c r="G366" s="46">
        <f t="shared" si="43"/>
        <v>1485</v>
      </c>
      <c r="H366" s="46">
        <f>TRUNC(S366*(1-LOTE_02!$K$10),2)</f>
        <v>118.38</v>
      </c>
      <c r="I366" s="46">
        <f>TRUNC(T366*(1-LOTE_02!$K$10),2)</f>
        <v>35.47</v>
      </c>
      <c r="J366" s="100">
        <f t="shared" si="44"/>
        <v>0.22470000000000001</v>
      </c>
      <c r="K366" s="48">
        <f t="shared" si="38"/>
        <v>144.97</v>
      </c>
      <c r="L366" s="48">
        <f t="shared" si="39"/>
        <v>43.44</v>
      </c>
      <c r="M366" s="48">
        <f t="shared" si="40"/>
        <v>215280.45</v>
      </c>
      <c r="N366" s="48">
        <f t="shared" si="41"/>
        <v>64508.4</v>
      </c>
      <c r="O366" s="50">
        <f t="shared" si="42"/>
        <v>279788.84999999998</v>
      </c>
      <c r="P366" s="50">
        <v>0</v>
      </c>
      <c r="Q366" s="76"/>
      <c r="R366" s="141">
        <f>(3+9+14+7)*(S9+S10)</f>
        <v>1485</v>
      </c>
      <c r="S366" s="79">
        <v>118.38</v>
      </c>
      <c r="T366" s="80">
        <v>35.47</v>
      </c>
    </row>
    <row r="367" spans="2:20" ht="42">
      <c r="B367" s="5" t="s">
        <v>885</v>
      </c>
      <c r="C367" s="45" t="s">
        <v>97</v>
      </c>
      <c r="D367" s="45" t="s">
        <v>886</v>
      </c>
      <c r="E367" s="6" t="s">
        <v>887</v>
      </c>
      <c r="F367" s="45" t="s">
        <v>104</v>
      </c>
      <c r="G367" s="46">
        <f t="shared" si="43"/>
        <v>450</v>
      </c>
      <c r="H367" s="46">
        <f>TRUNC(S367*(1-LOTE_02!$K$10),2)</f>
        <v>118.38</v>
      </c>
      <c r="I367" s="46">
        <f>TRUNC(T367*(1-LOTE_02!$K$10),2)</f>
        <v>35.47</v>
      </c>
      <c r="J367" s="100">
        <f t="shared" si="44"/>
        <v>0.22470000000000001</v>
      </c>
      <c r="K367" s="48">
        <f t="shared" si="38"/>
        <v>144.97</v>
      </c>
      <c r="L367" s="48">
        <f t="shared" si="39"/>
        <v>43.44</v>
      </c>
      <c r="M367" s="48">
        <f t="shared" si="40"/>
        <v>65236.5</v>
      </c>
      <c r="N367" s="48">
        <f t="shared" si="41"/>
        <v>19548</v>
      </c>
      <c r="O367" s="50">
        <f t="shared" si="42"/>
        <v>84784.5</v>
      </c>
      <c r="P367" s="50">
        <v>0</v>
      </c>
      <c r="Q367" s="76"/>
      <c r="R367" s="141">
        <f>10*(S9+S10)</f>
        <v>450</v>
      </c>
      <c r="S367" s="79">
        <v>118.38</v>
      </c>
      <c r="T367" s="80">
        <v>35.47</v>
      </c>
    </row>
    <row r="368" spans="2:20" ht="28">
      <c r="B368" s="5" t="s">
        <v>888</v>
      </c>
      <c r="C368" s="45" t="s">
        <v>97</v>
      </c>
      <c r="D368" s="45" t="s">
        <v>889</v>
      </c>
      <c r="E368" s="6" t="s">
        <v>890</v>
      </c>
      <c r="F368" s="45" t="s">
        <v>104</v>
      </c>
      <c r="G368" s="46">
        <f t="shared" si="43"/>
        <v>900</v>
      </c>
      <c r="H368" s="46">
        <f>TRUNC(S368*(1-LOTE_02!$K$10),2)</f>
        <v>2036.75</v>
      </c>
      <c r="I368" s="46">
        <f>TRUNC(T368*(1-LOTE_02!$K$10),2)</f>
        <v>39.42</v>
      </c>
      <c r="J368" s="100">
        <f t="shared" si="44"/>
        <v>0.22470000000000001</v>
      </c>
      <c r="K368" s="48">
        <f t="shared" si="38"/>
        <v>2494.4</v>
      </c>
      <c r="L368" s="48">
        <f t="shared" si="39"/>
        <v>48.27</v>
      </c>
      <c r="M368" s="48">
        <f t="shared" si="40"/>
        <v>2244960</v>
      </c>
      <c r="N368" s="48">
        <f t="shared" si="41"/>
        <v>43443</v>
      </c>
      <c r="O368" s="50">
        <f t="shared" si="42"/>
        <v>2288403</v>
      </c>
      <c r="P368" s="50">
        <v>0</v>
      </c>
      <c r="Q368" s="76"/>
      <c r="R368" s="141">
        <f>20*(S9+S10)</f>
        <v>900</v>
      </c>
      <c r="S368" s="79">
        <v>2036.75</v>
      </c>
      <c r="T368" s="80">
        <v>39.42</v>
      </c>
    </row>
    <row r="369" spans="2:20" ht="28">
      <c r="B369" s="5" t="s">
        <v>891</v>
      </c>
      <c r="C369" s="45" t="s">
        <v>97</v>
      </c>
      <c r="D369" s="45" t="s">
        <v>892</v>
      </c>
      <c r="E369" s="6" t="s">
        <v>893</v>
      </c>
      <c r="F369" s="45" t="s">
        <v>104</v>
      </c>
      <c r="G369" s="46">
        <f t="shared" si="43"/>
        <v>540</v>
      </c>
      <c r="H369" s="46">
        <f>TRUNC(S369*(1-LOTE_02!$K$10),2)</f>
        <v>1900.07</v>
      </c>
      <c r="I369" s="46">
        <f>TRUNC(T369*(1-LOTE_02!$K$10),2)</f>
        <v>39.42</v>
      </c>
      <c r="J369" s="100">
        <f t="shared" si="44"/>
        <v>0.22470000000000001</v>
      </c>
      <c r="K369" s="48">
        <f t="shared" si="38"/>
        <v>2327.0100000000002</v>
      </c>
      <c r="L369" s="48">
        <f t="shared" si="39"/>
        <v>48.27</v>
      </c>
      <c r="M369" s="48">
        <f t="shared" si="40"/>
        <v>1256585.3999999999</v>
      </c>
      <c r="N369" s="48">
        <f t="shared" si="41"/>
        <v>26065.8</v>
      </c>
      <c r="O369" s="50">
        <f t="shared" si="42"/>
        <v>1282651.2</v>
      </c>
      <c r="P369" s="50">
        <v>0</v>
      </c>
      <c r="Q369" s="76"/>
      <c r="R369" s="141">
        <f>12*(S9+S10)</f>
        <v>540</v>
      </c>
      <c r="S369" s="79">
        <v>1900.07</v>
      </c>
      <c r="T369" s="80">
        <v>39.42</v>
      </c>
    </row>
    <row r="370" spans="2:20" ht="28">
      <c r="B370" s="5" t="s">
        <v>894</v>
      </c>
      <c r="C370" s="45" t="s">
        <v>97</v>
      </c>
      <c r="D370" s="45" t="s">
        <v>895</v>
      </c>
      <c r="E370" s="6" t="s">
        <v>896</v>
      </c>
      <c r="F370" s="45" t="s">
        <v>104</v>
      </c>
      <c r="G370" s="46">
        <f t="shared" si="43"/>
        <v>1440</v>
      </c>
      <c r="H370" s="46">
        <f>TRUNC(S370*(1-LOTE_02!$K$10),2)</f>
        <v>869.9</v>
      </c>
      <c r="I370" s="46">
        <f>TRUNC(T370*(1-LOTE_02!$K$10),2)</f>
        <v>39.42</v>
      </c>
      <c r="J370" s="100">
        <f t="shared" si="44"/>
        <v>0.22470000000000001</v>
      </c>
      <c r="K370" s="48">
        <f t="shared" si="38"/>
        <v>1065.3599999999999</v>
      </c>
      <c r="L370" s="48">
        <f t="shared" si="39"/>
        <v>48.27</v>
      </c>
      <c r="M370" s="48">
        <f t="shared" si="40"/>
        <v>1534118.4</v>
      </c>
      <c r="N370" s="48">
        <f t="shared" si="41"/>
        <v>69508.800000000003</v>
      </c>
      <c r="O370" s="50">
        <f t="shared" si="42"/>
        <v>1603627.2</v>
      </c>
      <c r="P370" s="50">
        <v>0</v>
      </c>
      <c r="Q370" s="76"/>
      <c r="R370" s="141">
        <f>(19+13)*(S9+S10)</f>
        <v>1440</v>
      </c>
      <c r="S370" s="79">
        <v>869.9</v>
      </c>
      <c r="T370" s="80">
        <v>39.42</v>
      </c>
    </row>
    <row r="371" spans="2:20" ht="56">
      <c r="B371" s="5" t="s">
        <v>897</v>
      </c>
      <c r="C371" s="45" t="s">
        <v>97</v>
      </c>
      <c r="D371" s="45" t="s">
        <v>898</v>
      </c>
      <c r="E371" s="6" t="s">
        <v>899</v>
      </c>
      <c r="F371" s="45" t="s">
        <v>104</v>
      </c>
      <c r="G371" s="46">
        <f t="shared" si="43"/>
        <v>645.75</v>
      </c>
      <c r="H371" s="46">
        <f>TRUNC(S371*(1-LOTE_02!$K$10),2)</f>
        <v>162.22999999999999</v>
      </c>
      <c r="I371" s="46">
        <f>TRUNC(T371*(1-LOTE_02!$K$10),2)</f>
        <v>43.36</v>
      </c>
      <c r="J371" s="100">
        <f t="shared" si="44"/>
        <v>0.22470000000000001</v>
      </c>
      <c r="K371" s="48">
        <f t="shared" si="38"/>
        <v>198.68</v>
      </c>
      <c r="L371" s="48">
        <f t="shared" si="39"/>
        <v>53.1</v>
      </c>
      <c r="M371" s="48">
        <f t="shared" si="40"/>
        <v>128297.61</v>
      </c>
      <c r="N371" s="48">
        <f t="shared" si="41"/>
        <v>34289.32</v>
      </c>
      <c r="O371" s="50">
        <f t="shared" si="42"/>
        <v>162586.93</v>
      </c>
      <c r="P371" s="50">
        <v>0</v>
      </c>
      <c r="Q371" s="76"/>
      <c r="R371" s="141">
        <f>(4+4.85+5.5)*(S9+S10)</f>
        <v>645.75</v>
      </c>
      <c r="S371" s="79">
        <v>162.22999999999999</v>
      </c>
      <c r="T371" s="80">
        <v>43.36</v>
      </c>
    </row>
    <row r="372" spans="2:20" ht="28">
      <c r="B372" s="5" t="s">
        <v>900</v>
      </c>
      <c r="C372" s="45" t="s">
        <v>97</v>
      </c>
      <c r="D372" s="45" t="s">
        <v>901</v>
      </c>
      <c r="E372" s="6" t="s">
        <v>902</v>
      </c>
      <c r="F372" s="45" t="s">
        <v>187</v>
      </c>
      <c r="G372" s="46">
        <f t="shared" si="43"/>
        <v>645.75</v>
      </c>
      <c r="H372" s="46">
        <f>TRUNC(S372*(1-LOTE_02!$K$10),2)</f>
        <v>59.46</v>
      </c>
      <c r="I372" s="46">
        <f>TRUNC(T372*(1-LOTE_02!$K$10),2)</f>
        <v>19.350000000000001</v>
      </c>
      <c r="J372" s="100">
        <f t="shared" si="44"/>
        <v>0.22470000000000001</v>
      </c>
      <c r="K372" s="48">
        <f t="shared" si="38"/>
        <v>72.819999999999993</v>
      </c>
      <c r="L372" s="48">
        <f t="shared" si="39"/>
        <v>23.69</v>
      </c>
      <c r="M372" s="48">
        <f t="shared" si="40"/>
        <v>47023.51</v>
      </c>
      <c r="N372" s="48">
        <f t="shared" si="41"/>
        <v>15297.81</v>
      </c>
      <c r="O372" s="50">
        <f t="shared" si="42"/>
        <v>62321.32</v>
      </c>
      <c r="P372" s="50">
        <v>0</v>
      </c>
      <c r="Q372" s="76"/>
      <c r="R372" s="141">
        <f>R371</f>
        <v>645.75</v>
      </c>
      <c r="S372" s="79">
        <v>59.46</v>
      </c>
      <c r="T372" s="80">
        <v>19.350000000000001</v>
      </c>
    </row>
    <row r="373" spans="2:20" ht="42">
      <c r="B373" s="5" t="s">
        <v>903</v>
      </c>
      <c r="C373" s="45" t="s">
        <v>97</v>
      </c>
      <c r="D373" s="45" t="s">
        <v>904</v>
      </c>
      <c r="E373" s="6" t="s">
        <v>905</v>
      </c>
      <c r="F373" s="45" t="s">
        <v>104</v>
      </c>
      <c r="G373" s="46">
        <f t="shared" si="43"/>
        <v>180</v>
      </c>
      <c r="H373" s="46">
        <f>TRUNC(S373*(1-LOTE_02!$K$10),2)</f>
        <v>263.14999999999998</v>
      </c>
      <c r="I373" s="46">
        <f>TRUNC(T373*(1-LOTE_02!$K$10),2)</f>
        <v>7.88</v>
      </c>
      <c r="J373" s="100">
        <f t="shared" si="44"/>
        <v>0.22470000000000001</v>
      </c>
      <c r="K373" s="48">
        <f t="shared" si="38"/>
        <v>322.27</v>
      </c>
      <c r="L373" s="48">
        <f t="shared" si="39"/>
        <v>9.65</v>
      </c>
      <c r="M373" s="48">
        <f t="shared" si="40"/>
        <v>58008.6</v>
      </c>
      <c r="N373" s="48">
        <f t="shared" si="41"/>
        <v>1737</v>
      </c>
      <c r="O373" s="50">
        <f t="shared" si="42"/>
        <v>59745.599999999999</v>
      </c>
      <c r="P373" s="50">
        <v>0</v>
      </c>
      <c r="Q373" s="76"/>
      <c r="R373" s="140">
        <f>4*S9+4*S10</f>
        <v>180</v>
      </c>
      <c r="S373" s="79">
        <v>263.14999999999998</v>
      </c>
      <c r="T373" s="80">
        <v>7.88</v>
      </c>
    </row>
    <row r="374" spans="2:20" ht="28">
      <c r="B374" s="5" t="s">
        <v>906</v>
      </c>
      <c r="C374" s="45" t="s">
        <v>97</v>
      </c>
      <c r="D374" s="45" t="s">
        <v>907</v>
      </c>
      <c r="E374" s="6" t="s">
        <v>908</v>
      </c>
      <c r="F374" s="45" t="s">
        <v>104</v>
      </c>
      <c r="G374" s="46">
        <f t="shared" si="43"/>
        <v>180</v>
      </c>
      <c r="H374" s="46">
        <f>TRUNC(S374*(1-LOTE_02!$K$10),2)</f>
        <v>236.15</v>
      </c>
      <c r="I374" s="46">
        <f>TRUNC(T374*(1-LOTE_02!$K$10),2)</f>
        <v>7.88</v>
      </c>
      <c r="J374" s="100">
        <f t="shared" si="44"/>
        <v>0.22470000000000001</v>
      </c>
      <c r="K374" s="48">
        <f t="shared" si="38"/>
        <v>289.20999999999998</v>
      </c>
      <c r="L374" s="48">
        <f t="shared" si="39"/>
        <v>9.65</v>
      </c>
      <c r="M374" s="48">
        <f t="shared" si="40"/>
        <v>52057.8</v>
      </c>
      <c r="N374" s="48">
        <f t="shared" si="41"/>
        <v>1737</v>
      </c>
      <c r="O374" s="50">
        <f t="shared" si="42"/>
        <v>53794.8</v>
      </c>
      <c r="P374" s="50">
        <v>0</v>
      </c>
      <c r="Q374" s="76"/>
      <c r="R374" s="140">
        <f>4*S9+4*S10</f>
        <v>180</v>
      </c>
      <c r="S374" s="79">
        <v>236.15</v>
      </c>
      <c r="T374" s="80">
        <v>7.88</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50">
        <v>0</v>
      </c>
      <c r="Q375" s="76"/>
      <c r="R375" s="154"/>
      <c r="S375" s="79" t="s">
        <v>22</v>
      </c>
      <c r="T375" s="80" t="s">
        <v>22</v>
      </c>
    </row>
    <row r="376" spans="2:20" ht="56">
      <c r="B376" s="5" t="s">
        <v>911</v>
      </c>
      <c r="C376" s="45" t="s">
        <v>135</v>
      </c>
      <c r="D376" s="45">
        <v>93661</v>
      </c>
      <c r="E376" s="6" t="s">
        <v>912</v>
      </c>
      <c r="F376" s="45" t="s">
        <v>210</v>
      </c>
      <c r="G376" s="46">
        <f t="shared" si="43"/>
        <v>90</v>
      </c>
      <c r="H376" s="46">
        <f>TRUNC(S376*(1-LOTE_02!$K$10),2)</f>
        <v>54.38</v>
      </c>
      <c r="I376" s="46">
        <f>TRUNC(T376*(1-LOTE_02!$K$10),2)</f>
        <v>2.78</v>
      </c>
      <c r="J376" s="100">
        <f t="shared" si="44"/>
        <v>0.22470000000000001</v>
      </c>
      <c r="K376" s="48">
        <f t="shared" si="38"/>
        <v>66.59</v>
      </c>
      <c r="L376" s="48">
        <f t="shared" si="39"/>
        <v>3.4</v>
      </c>
      <c r="M376" s="48">
        <f t="shared" si="40"/>
        <v>5993.1</v>
      </c>
      <c r="N376" s="48">
        <f t="shared" si="41"/>
        <v>306</v>
      </c>
      <c r="O376" s="50">
        <f t="shared" si="42"/>
        <v>6299.1</v>
      </c>
      <c r="P376" s="50">
        <v>0</v>
      </c>
      <c r="Q376" s="76"/>
      <c r="R376" s="140">
        <f>2*S9+2*S10</f>
        <v>90</v>
      </c>
      <c r="S376" s="79">
        <v>54.379999999999995</v>
      </c>
      <c r="T376" s="80">
        <v>2.78</v>
      </c>
    </row>
    <row r="377" spans="2:20" ht="56">
      <c r="B377" s="5" t="s">
        <v>913</v>
      </c>
      <c r="C377" s="45" t="s">
        <v>135</v>
      </c>
      <c r="D377" s="45">
        <v>93662</v>
      </c>
      <c r="E377" s="6" t="s">
        <v>914</v>
      </c>
      <c r="F377" s="45" t="s">
        <v>210</v>
      </c>
      <c r="G377" s="46">
        <f t="shared" si="43"/>
        <v>90</v>
      </c>
      <c r="H377" s="46">
        <f>TRUNC(S377*(1-LOTE_02!$K$10),2)</f>
        <v>55.45</v>
      </c>
      <c r="I377" s="46">
        <f>TRUNC(T377*(1-LOTE_02!$K$10),2)</f>
        <v>3.68</v>
      </c>
      <c r="J377" s="100">
        <f t="shared" si="44"/>
        <v>0.22470000000000001</v>
      </c>
      <c r="K377" s="48">
        <f t="shared" si="38"/>
        <v>67.900000000000006</v>
      </c>
      <c r="L377" s="48">
        <f t="shared" si="39"/>
        <v>4.5</v>
      </c>
      <c r="M377" s="48">
        <f t="shared" si="40"/>
        <v>6111</v>
      </c>
      <c r="N377" s="48">
        <f t="shared" si="41"/>
        <v>405</v>
      </c>
      <c r="O377" s="50">
        <f t="shared" si="42"/>
        <v>6516</v>
      </c>
      <c r="P377" s="50">
        <v>0</v>
      </c>
      <c r="Q377" s="76"/>
      <c r="R377" s="140">
        <f>2*S9+2*S10</f>
        <v>90</v>
      </c>
      <c r="S377" s="79">
        <v>55.45</v>
      </c>
      <c r="T377" s="80">
        <v>3.68</v>
      </c>
    </row>
    <row r="378" spans="2:20" ht="56">
      <c r="B378" s="5" t="s">
        <v>915</v>
      </c>
      <c r="C378" s="45" t="s">
        <v>135</v>
      </c>
      <c r="D378" s="45">
        <v>93663</v>
      </c>
      <c r="E378" s="6" t="s">
        <v>916</v>
      </c>
      <c r="F378" s="45" t="s">
        <v>210</v>
      </c>
      <c r="G378" s="46">
        <f t="shared" si="43"/>
        <v>50</v>
      </c>
      <c r="H378" s="46">
        <f>TRUNC(S378*(1-LOTE_02!$K$10),2)</f>
        <v>56.19</v>
      </c>
      <c r="I378" s="46">
        <f>TRUNC(T378*(1-LOTE_02!$K$10),2)</f>
        <v>5.03</v>
      </c>
      <c r="J378" s="100">
        <f t="shared" si="44"/>
        <v>0.22470000000000001</v>
      </c>
      <c r="K378" s="48">
        <f t="shared" si="38"/>
        <v>68.81</v>
      </c>
      <c r="L378" s="48">
        <f t="shared" si="39"/>
        <v>6.16</v>
      </c>
      <c r="M378" s="48">
        <f t="shared" si="40"/>
        <v>3440.5</v>
      </c>
      <c r="N378" s="48">
        <f t="shared" si="41"/>
        <v>308</v>
      </c>
      <c r="O378" s="50">
        <f t="shared" si="42"/>
        <v>3748.5</v>
      </c>
      <c r="P378" s="50">
        <v>0</v>
      </c>
      <c r="Q378" s="76"/>
      <c r="R378" s="140">
        <f>IF((10*S9+10*S10)&gt;50,50,(10*S9+10*S10))</f>
        <v>50</v>
      </c>
      <c r="S378" s="79">
        <v>56.19</v>
      </c>
      <c r="T378" s="80">
        <v>5.03</v>
      </c>
    </row>
    <row r="379" spans="2:20" ht="56">
      <c r="B379" s="5" t="s">
        <v>917</v>
      </c>
      <c r="C379" s="45" t="s">
        <v>135</v>
      </c>
      <c r="D379" s="45">
        <v>101896</v>
      </c>
      <c r="E379" s="6" t="s">
        <v>918</v>
      </c>
      <c r="F379" s="45" t="s">
        <v>210</v>
      </c>
      <c r="G379" s="46">
        <f t="shared" si="43"/>
        <v>5</v>
      </c>
      <c r="H379" s="46">
        <f>TRUNC(S379*(1-LOTE_02!$K$10),2)</f>
        <v>592.04</v>
      </c>
      <c r="I379" s="46">
        <f>TRUNC(T379*(1-LOTE_02!$K$10),2)</f>
        <v>48.21</v>
      </c>
      <c r="J379" s="100">
        <f t="shared" si="44"/>
        <v>0.22470000000000001</v>
      </c>
      <c r="K379" s="48">
        <f t="shared" si="38"/>
        <v>725.07</v>
      </c>
      <c r="L379" s="48">
        <f t="shared" si="39"/>
        <v>59.04</v>
      </c>
      <c r="M379" s="48">
        <f t="shared" si="40"/>
        <v>3625.35</v>
      </c>
      <c r="N379" s="48">
        <f t="shared" si="41"/>
        <v>295.2</v>
      </c>
      <c r="O379" s="50">
        <f t="shared" si="42"/>
        <v>3920.55</v>
      </c>
      <c r="P379" s="50">
        <v>0</v>
      </c>
      <c r="Q379" s="76"/>
      <c r="R379" s="140">
        <f>IF((1*S9+1*S10)&gt;5,5,(1*S9+1*S10))</f>
        <v>5</v>
      </c>
      <c r="S379" s="79">
        <v>592.04</v>
      </c>
      <c r="T379" s="80">
        <v>48.21</v>
      </c>
    </row>
    <row r="380" spans="2:20" ht="42">
      <c r="B380" s="5" t="s">
        <v>919</v>
      </c>
      <c r="C380" s="45" t="s">
        <v>165</v>
      </c>
      <c r="D380" s="45" t="s">
        <v>920</v>
      </c>
      <c r="E380" s="6" t="s">
        <v>921</v>
      </c>
      <c r="F380" s="45" t="s">
        <v>559</v>
      </c>
      <c r="G380" s="46">
        <f t="shared" si="43"/>
        <v>5</v>
      </c>
      <c r="H380" s="46">
        <f>TRUNC(S380*(1-LOTE_02!$K$10),2)</f>
        <v>1395.79</v>
      </c>
      <c r="I380" s="46">
        <f>TRUNC(T380*(1-LOTE_02!$K$10),2)</f>
        <v>63.77</v>
      </c>
      <c r="J380" s="100">
        <f t="shared" si="44"/>
        <v>0.22470000000000001</v>
      </c>
      <c r="K380" s="48">
        <f t="shared" si="38"/>
        <v>1709.42</v>
      </c>
      <c r="L380" s="48">
        <f t="shared" si="39"/>
        <v>78.09</v>
      </c>
      <c r="M380" s="48">
        <f t="shared" si="40"/>
        <v>8547.1</v>
      </c>
      <c r="N380" s="48">
        <f t="shared" si="41"/>
        <v>390.45</v>
      </c>
      <c r="O380" s="50">
        <f t="shared" si="42"/>
        <v>8937.5499999999993</v>
      </c>
      <c r="P380" s="50">
        <v>0</v>
      </c>
      <c r="Q380" s="76"/>
      <c r="R380" s="140">
        <f>IF((1*S9+1*S10)&gt;5,5,(1*S9+1*S10))</f>
        <v>5</v>
      </c>
      <c r="S380" s="79">
        <v>1395.79</v>
      </c>
      <c r="T380" s="80">
        <v>63.77</v>
      </c>
    </row>
    <row r="381" spans="2:20" ht="56">
      <c r="B381" s="5" t="s">
        <v>922</v>
      </c>
      <c r="C381" s="45" t="s">
        <v>97</v>
      </c>
      <c r="D381" s="45" t="s">
        <v>923</v>
      </c>
      <c r="E381" s="6" t="s">
        <v>924</v>
      </c>
      <c r="F381" s="45" t="s">
        <v>925</v>
      </c>
      <c r="G381" s="46">
        <f t="shared" si="43"/>
        <v>200</v>
      </c>
      <c r="H381" s="46">
        <f>TRUNC(S381*(1-LOTE_02!$K$10),2)</f>
        <v>53.25</v>
      </c>
      <c r="I381" s="46">
        <f>TRUNC(T381*(1-LOTE_02!$K$10),2)</f>
        <v>11.82</v>
      </c>
      <c r="J381" s="100">
        <f t="shared" si="44"/>
        <v>0.22470000000000001</v>
      </c>
      <c r="K381" s="48">
        <f t="shared" si="38"/>
        <v>65.209999999999994</v>
      </c>
      <c r="L381" s="48">
        <f t="shared" si="39"/>
        <v>14.47</v>
      </c>
      <c r="M381" s="48">
        <f t="shared" si="40"/>
        <v>13042</v>
      </c>
      <c r="N381" s="48">
        <f t="shared" si="41"/>
        <v>2894</v>
      </c>
      <c r="O381" s="50">
        <f t="shared" si="42"/>
        <v>15936</v>
      </c>
      <c r="P381" s="50">
        <v>0</v>
      </c>
      <c r="Q381" s="76"/>
      <c r="R381" s="140">
        <f>IF((20*S9+20*S10)&gt;200,200,(20*S9+20*S10))</f>
        <v>200</v>
      </c>
      <c r="S381" s="79">
        <v>53.25</v>
      </c>
      <c r="T381" s="80">
        <v>11.82</v>
      </c>
    </row>
    <row r="382" spans="2:20" ht="70">
      <c r="B382" s="5" t="s">
        <v>926</v>
      </c>
      <c r="C382" s="45" t="s">
        <v>135</v>
      </c>
      <c r="D382" s="45">
        <v>91867</v>
      </c>
      <c r="E382" s="6" t="s">
        <v>927</v>
      </c>
      <c r="F382" s="45" t="s">
        <v>187</v>
      </c>
      <c r="G382" s="46">
        <f t="shared" si="43"/>
        <v>500</v>
      </c>
      <c r="H382" s="46">
        <f>TRUNC(S382*(1-LOTE_02!$K$10),2)</f>
        <v>8.48</v>
      </c>
      <c r="I382" s="46">
        <f>TRUNC(T382*(1-LOTE_02!$K$10),2)</f>
        <v>3.63</v>
      </c>
      <c r="J382" s="100">
        <f t="shared" si="44"/>
        <v>0.22470000000000001</v>
      </c>
      <c r="K382" s="48">
        <f t="shared" si="38"/>
        <v>10.38</v>
      </c>
      <c r="L382" s="48">
        <f t="shared" si="39"/>
        <v>4.4400000000000004</v>
      </c>
      <c r="M382" s="48">
        <f t="shared" si="40"/>
        <v>5190</v>
      </c>
      <c r="N382" s="48">
        <f t="shared" si="41"/>
        <v>2220</v>
      </c>
      <c r="O382" s="50">
        <f t="shared" si="42"/>
        <v>7410</v>
      </c>
      <c r="P382" s="50">
        <v>0</v>
      </c>
      <c r="Q382" s="76"/>
      <c r="R382" s="140">
        <f>IF((50*S9+50*S10)&gt;500,500,(50*S9+50*S10))</f>
        <v>500</v>
      </c>
      <c r="S382" s="79">
        <v>8.48</v>
      </c>
      <c r="T382" s="80">
        <v>3.63</v>
      </c>
    </row>
    <row r="383" spans="2:20" ht="70">
      <c r="B383" s="5" t="s">
        <v>928</v>
      </c>
      <c r="C383" s="45" t="s">
        <v>135</v>
      </c>
      <c r="D383" s="45">
        <v>91864</v>
      </c>
      <c r="E383" s="6" t="s">
        <v>838</v>
      </c>
      <c r="F383" s="45" t="s">
        <v>187</v>
      </c>
      <c r="G383" s="46">
        <f t="shared" si="43"/>
        <v>100</v>
      </c>
      <c r="H383" s="46">
        <f>TRUNC(S383*(1-LOTE_02!$K$10),2)</f>
        <v>13.04</v>
      </c>
      <c r="I383" s="46">
        <f>TRUNC(T383*(1-LOTE_02!$K$10),2)</f>
        <v>5.35</v>
      </c>
      <c r="J383" s="100">
        <f t="shared" si="44"/>
        <v>0.22470000000000001</v>
      </c>
      <c r="K383" s="48">
        <f t="shared" si="38"/>
        <v>15.97</v>
      </c>
      <c r="L383" s="48">
        <f t="shared" si="39"/>
        <v>6.55</v>
      </c>
      <c r="M383" s="48">
        <f t="shared" si="40"/>
        <v>1597</v>
      </c>
      <c r="N383" s="48">
        <f t="shared" si="41"/>
        <v>655</v>
      </c>
      <c r="O383" s="50">
        <f t="shared" si="42"/>
        <v>2252</v>
      </c>
      <c r="P383" s="50">
        <v>0</v>
      </c>
      <c r="Q383" s="76"/>
      <c r="R383" s="140">
        <f>IF((20*S9+20*S10)&gt;100,100,(20*S9+20*S10))</f>
        <v>100</v>
      </c>
      <c r="S383" s="79">
        <v>13.040000000000001</v>
      </c>
      <c r="T383" s="80">
        <v>5.35</v>
      </c>
    </row>
    <row r="384" spans="2:20" ht="42">
      <c r="B384" s="5" t="s">
        <v>929</v>
      </c>
      <c r="C384" s="45" t="s">
        <v>165</v>
      </c>
      <c r="D384" s="45" t="s">
        <v>930</v>
      </c>
      <c r="E384" s="6" t="s">
        <v>931</v>
      </c>
      <c r="F384" s="45" t="s">
        <v>531</v>
      </c>
      <c r="G384" s="46">
        <f t="shared" si="43"/>
        <v>200</v>
      </c>
      <c r="H384" s="46">
        <f>TRUNC(S384*(1-LOTE_02!$K$10),2)</f>
        <v>46.69</v>
      </c>
      <c r="I384" s="46">
        <f>TRUNC(T384*(1-LOTE_02!$K$10),2)</f>
        <v>15.42</v>
      </c>
      <c r="J384" s="100">
        <f t="shared" si="44"/>
        <v>0.22470000000000001</v>
      </c>
      <c r="K384" s="48">
        <f t="shared" si="38"/>
        <v>57.18</v>
      </c>
      <c r="L384" s="48">
        <f t="shared" si="39"/>
        <v>18.88</v>
      </c>
      <c r="M384" s="48">
        <f t="shared" si="40"/>
        <v>11436</v>
      </c>
      <c r="N384" s="48">
        <f t="shared" si="41"/>
        <v>3776</v>
      </c>
      <c r="O384" s="50">
        <f t="shared" si="42"/>
        <v>15212</v>
      </c>
      <c r="P384" s="50">
        <v>0</v>
      </c>
      <c r="Q384" s="76"/>
      <c r="R384" s="140">
        <f>IF((20*S9+20*S10)&gt;200,200,(20*S9+20*S10))</f>
        <v>200</v>
      </c>
      <c r="S384" s="79">
        <v>46.69</v>
      </c>
      <c r="T384" s="80">
        <v>15.42</v>
      </c>
    </row>
    <row r="385" spans="2:20" ht="56">
      <c r="B385" s="5" t="s">
        <v>932</v>
      </c>
      <c r="C385" s="45" t="s">
        <v>135</v>
      </c>
      <c r="D385" s="45">
        <v>95778</v>
      </c>
      <c r="E385" s="6" t="s">
        <v>1814</v>
      </c>
      <c r="F385" s="45" t="s">
        <v>210</v>
      </c>
      <c r="G385" s="46">
        <f t="shared" si="43"/>
        <v>100</v>
      </c>
      <c r="H385" s="46">
        <f>TRUNC(S385*(1-LOTE_02!$K$10),2)</f>
        <v>22.6</v>
      </c>
      <c r="I385" s="46">
        <f>TRUNC(T385*(1-LOTE_02!$K$10),2)</f>
        <v>10.67</v>
      </c>
      <c r="J385" s="100">
        <f t="shared" si="44"/>
        <v>0.22470000000000001</v>
      </c>
      <c r="K385" s="48">
        <f t="shared" si="38"/>
        <v>27.67</v>
      </c>
      <c r="L385" s="48">
        <f t="shared" si="39"/>
        <v>13.06</v>
      </c>
      <c r="M385" s="48">
        <f t="shared" si="40"/>
        <v>2767</v>
      </c>
      <c r="N385" s="48">
        <f t="shared" si="41"/>
        <v>1306</v>
      </c>
      <c r="O385" s="50">
        <f t="shared" si="42"/>
        <v>4073</v>
      </c>
      <c r="P385" s="50">
        <v>0</v>
      </c>
      <c r="Q385" s="76"/>
      <c r="R385" s="140">
        <f>IF((10*S9+15*S10)&gt;100,100,(10*S9+15*S10))</f>
        <v>100</v>
      </c>
      <c r="S385" s="79">
        <v>22.6</v>
      </c>
      <c r="T385" s="80">
        <v>10.67</v>
      </c>
    </row>
    <row r="386" spans="2:20" ht="56">
      <c r="B386" s="5" t="s">
        <v>933</v>
      </c>
      <c r="C386" s="45" t="s">
        <v>135</v>
      </c>
      <c r="D386" s="45">
        <v>95780</v>
      </c>
      <c r="E386" s="6" t="s">
        <v>1815</v>
      </c>
      <c r="F386" s="45" t="s">
        <v>210</v>
      </c>
      <c r="G386" s="46">
        <f t="shared" si="43"/>
        <v>100</v>
      </c>
      <c r="H386" s="46">
        <f>TRUNC(S386*(1-LOTE_02!$K$10),2)</f>
        <v>24.12</v>
      </c>
      <c r="I386" s="46">
        <f>TRUNC(T386*(1-LOTE_02!$K$10),2)</f>
        <v>9.4</v>
      </c>
      <c r="J386" s="100">
        <f t="shared" si="44"/>
        <v>0.22470000000000001</v>
      </c>
      <c r="K386" s="48">
        <f t="shared" si="38"/>
        <v>29.53</v>
      </c>
      <c r="L386" s="48">
        <f t="shared" si="39"/>
        <v>11.51</v>
      </c>
      <c r="M386" s="48">
        <f t="shared" si="40"/>
        <v>2953</v>
      </c>
      <c r="N386" s="48">
        <f t="shared" si="41"/>
        <v>1151</v>
      </c>
      <c r="O386" s="50">
        <f t="shared" si="42"/>
        <v>4104</v>
      </c>
      <c r="P386" s="50">
        <v>0</v>
      </c>
      <c r="Q386" s="76"/>
      <c r="R386" s="140">
        <f>IF((10*S9+15*S10)&gt;100,100,(10*S9+15*S10))</f>
        <v>100</v>
      </c>
      <c r="S386" s="79">
        <v>24.120000000000005</v>
      </c>
      <c r="T386" s="80">
        <v>9.4</v>
      </c>
    </row>
    <row r="387" spans="2:20" ht="56">
      <c r="B387" s="5" t="s">
        <v>934</v>
      </c>
      <c r="C387" s="45" t="s">
        <v>135</v>
      </c>
      <c r="D387" s="45">
        <v>91944</v>
      </c>
      <c r="E387" s="6" t="s">
        <v>935</v>
      </c>
      <c r="F387" s="45" t="s">
        <v>210</v>
      </c>
      <c r="G387" s="46">
        <f t="shared" si="43"/>
        <v>100</v>
      </c>
      <c r="H387" s="46">
        <f>TRUNC(S387*(1-LOTE_02!$K$10),2)</f>
        <v>10.130000000000001</v>
      </c>
      <c r="I387" s="46">
        <f>TRUNC(T387*(1-LOTE_02!$K$10),2)</f>
        <v>6.45</v>
      </c>
      <c r="J387" s="100">
        <f t="shared" si="44"/>
        <v>0.22470000000000001</v>
      </c>
      <c r="K387" s="48">
        <f t="shared" si="38"/>
        <v>12.4</v>
      </c>
      <c r="L387" s="48">
        <f t="shared" si="39"/>
        <v>7.89</v>
      </c>
      <c r="M387" s="48">
        <f t="shared" si="40"/>
        <v>1240</v>
      </c>
      <c r="N387" s="48">
        <f t="shared" si="41"/>
        <v>789</v>
      </c>
      <c r="O387" s="50">
        <f t="shared" si="42"/>
        <v>2029</v>
      </c>
      <c r="P387" s="50">
        <v>0</v>
      </c>
      <c r="Q387" s="76"/>
      <c r="R387" s="140">
        <f>IF((10*S9+15*S10)&gt;100,100,(10*S9+15*S10))</f>
        <v>100</v>
      </c>
      <c r="S387" s="79">
        <v>10.129999999999999</v>
      </c>
      <c r="T387" s="80">
        <v>6.45</v>
      </c>
    </row>
    <row r="388" spans="2:20" ht="56">
      <c r="B388" s="5" t="s">
        <v>936</v>
      </c>
      <c r="C388" s="45" t="s">
        <v>135</v>
      </c>
      <c r="D388" s="45">
        <v>91926</v>
      </c>
      <c r="E388" s="6" t="s">
        <v>840</v>
      </c>
      <c r="F388" s="45" t="s">
        <v>187</v>
      </c>
      <c r="G388" s="46">
        <f t="shared" si="43"/>
        <v>12000</v>
      </c>
      <c r="H388" s="46">
        <f>TRUNC(S388*(1-LOTE_02!$K$10),2)</f>
        <v>4.43</v>
      </c>
      <c r="I388" s="46">
        <f>TRUNC(T388*(1-LOTE_02!$K$10),2)</f>
        <v>1.23</v>
      </c>
      <c r="J388" s="100">
        <f t="shared" si="44"/>
        <v>0.22470000000000001</v>
      </c>
      <c r="K388" s="48">
        <f t="shared" si="38"/>
        <v>5.42</v>
      </c>
      <c r="L388" s="48">
        <f t="shared" si="39"/>
        <v>1.5</v>
      </c>
      <c r="M388" s="48">
        <f t="shared" si="40"/>
        <v>65040</v>
      </c>
      <c r="N388" s="48">
        <f t="shared" si="41"/>
        <v>18000</v>
      </c>
      <c r="O388" s="50">
        <f t="shared" si="42"/>
        <v>83040</v>
      </c>
      <c r="P388" s="50">
        <v>0</v>
      </c>
      <c r="Q388" s="76"/>
      <c r="R388" s="140">
        <f>100*S9+400*S10</f>
        <v>12000</v>
      </c>
      <c r="S388" s="79">
        <v>4.43</v>
      </c>
      <c r="T388" s="80">
        <v>1.23</v>
      </c>
    </row>
    <row r="389" spans="2:20" ht="56">
      <c r="B389" s="5" t="s">
        <v>937</v>
      </c>
      <c r="C389" s="45" t="s">
        <v>135</v>
      </c>
      <c r="D389" s="45">
        <v>91928</v>
      </c>
      <c r="E389" s="6" t="s">
        <v>844</v>
      </c>
      <c r="F389" s="45" t="s">
        <v>187</v>
      </c>
      <c r="G389" s="46">
        <f t="shared" si="43"/>
        <v>7000</v>
      </c>
      <c r="H389" s="46">
        <f>TRUNC(S389*(1-LOTE_02!$K$10),2)</f>
        <v>7.11</v>
      </c>
      <c r="I389" s="46">
        <f>TRUNC(T389*(1-LOTE_02!$K$10),2)</f>
        <v>1.68</v>
      </c>
      <c r="J389" s="100">
        <f t="shared" si="44"/>
        <v>0.22470000000000001</v>
      </c>
      <c r="K389" s="48">
        <f t="shared" si="38"/>
        <v>8.6999999999999993</v>
      </c>
      <c r="L389" s="48">
        <f t="shared" si="39"/>
        <v>2.0499999999999998</v>
      </c>
      <c r="M389" s="48">
        <f t="shared" si="40"/>
        <v>60900</v>
      </c>
      <c r="N389" s="48">
        <f t="shared" si="41"/>
        <v>14350</v>
      </c>
      <c r="O389" s="50">
        <f t="shared" si="42"/>
        <v>75250</v>
      </c>
      <c r="P389" s="50">
        <v>0</v>
      </c>
      <c r="Q389" s="76"/>
      <c r="R389" s="140">
        <f>100*S9+200*S10</f>
        <v>7000</v>
      </c>
      <c r="S389" s="79">
        <v>7.1099999999999994</v>
      </c>
      <c r="T389" s="80">
        <v>1.68</v>
      </c>
    </row>
    <row r="390" spans="2:20" ht="56">
      <c r="B390" s="5" t="s">
        <v>938</v>
      </c>
      <c r="C390" s="45" t="s">
        <v>135</v>
      </c>
      <c r="D390" s="45">
        <v>91930</v>
      </c>
      <c r="E390" s="6" t="s">
        <v>939</v>
      </c>
      <c r="F390" s="45" t="s">
        <v>187</v>
      </c>
      <c r="G390" s="46">
        <f t="shared" si="43"/>
        <v>6000</v>
      </c>
      <c r="H390" s="46">
        <f>TRUNC(S390*(1-LOTE_02!$K$10),2)</f>
        <v>10.11</v>
      </c>
      <c r="I390" s="46">
        <f>TRUNC(T390*(1-LOTE_02!$K$10),2)</f>
        <v>2.21</v>
      </c>
      <c r="J390" s="100">
        <f t="shared" si="44"/>
        <v>0.22470000000000001</v>
      </c>
      <c r="K390" s="48">
        <f t="shared" si="38"/>
        <v>12.38</v>
      </c>
      <c r="L390" s="48">
        <f t="shared" si="39"/>
        <v>2.7</v>
      </c>
      <c r="M390" s="48">
        <f t="shared" si="40"/>
        <v>74280</v>
      </c>
      <c r="N390" s="48">
        <f t="shared" si="41"/>
        <v>16200</v>
      </c>
      <c r="O390" s="50">
        <f t="shared" si="42"/>
        <v>90480</v>
      </c>
      <c r="P390" s="50">
        <v>0</v>
      </c>
      <c r="Q390" s="76"/>
      <c r="R390" s="140">
        <f>50*S9+200*S10</f>
        <v>6000</v>
      </c>
      <c r="S390" s="79">
        <v>10.11</v>
      </c>
      <c r="T390" s="80">
        <v>2.21</v>
      </c>
    </row>
    <row r="391" spans="2:20" ht="42">
      <c r="B391" s="5" t="s">
        <v>940</v>
      </c>
      <c r="C391" s="45" t="s">
        <v>97</v>
      </c>
      <c r="D391" s="45" t="s">
        <v>904</v>
      </c>
      <c r="E391" s="6" t="s">
        <v>905</v>
      </c>
      <c r="F391" s="45" t="s">
        <v>104</v>
      </c>
      <c r="G391" s="46">
        <f t="shared" si="43"/>
        <v>180</v>
      </c>
      <c r="H391" s="46">
        <f>TRUNC(S391*(1-LOTE_02!$K$10),2)</f>
        <v>263.14999999999998</v>
      </c>
      <c r="I391" s="46">
        <f>TRUNC(T391*(1-LOTE_02!$K$10),2)</f>
        <v>7.88</v>
      </c>
      <c r="J391" s="100">
        <f t="shared" si="44"/>
        <v>0.22470000000000001</v>
      </c>
      <c r="K391" s="48">
        <f t="shared" si="38"/>
        <v>322.27</v>
      </c>
      <c r="L391" s="48">
        <f t="shared" si="39"/>
        <v>9.65</v>
      </c>
      <c r="M391" s="48">
        <f t="shared" si="40"/>
        <v>58008.6</v>
      </c>
      <c r="N391" s="48">
        <f t="shared" si="41"/>
        <v>1737</v>
      </c>
      <c r="O391" s="50">
        <f t="shared" si="42"/>
        <v>59745.599999999999</v>
      </c>
      <c r="P391" s="50">
        <v>0</v>
      </c>
      <c r="Q391" s="76"/>
      <c r="R391" s="140">
        <f>4*S9+4*S10</f>
        <v>180</v>
      </c>
      <c r="S391" s="79">
        <v>263.14999999999998</v>
      </c>
      <c r="T391" s="80">
        <v>7.88</v>
      </c>
    </row>
    <row r="392" spans="2:20" ht="28">
      <c r="B392" s="5" t="s">
        <v>941</v>
      </c>
      <c r="C392" s="45" t="s">
        <v>97</v>
      </c>
      <c r="D392" s="45" t="s">
        <v>907</v>
      </c>
      <c r="E392" s="6" t="s">
        <v>908</v>
      </c>
      <c r="F392" s="45" t="s">
        <v>104</v>
      </c>
      <c r="G392" s="46">
        <f t="shared" si="43"/>
        <v>90</v>
      </c>
      <c r="H392" s="46">
        <f>TRUNC(S392*(1-LOTE_02!$K$10),2)</f>
        <v>236.15</v>
      </c>
      <c r="I392" s="46">
        <f>TRUNC(T392*(1-LOTE_02!$K$10),2)</f>
        <v>7.88</v>
      </c>
      <c r="J392" s="100">
        <f t="shared" si="44"/>
        <v>0.22470000000000001</v>
      </c>
      <c r="K392" s="48">
        <f t="shared" si="38"/>
        <v>289.20999999999998</v>
      </c>
      <c r="L392" s="48">
        <f t="shared" si="39"/>
        <v>9.65</v>
      </c>
      <c r="M392" s="48">
        <f t="shared" si="40"/>
        <v>26028.9</v>
      </c>
      <c r="N392" s="48">
        <f t="shared" si="41"/>
        <v>868.5</v>
      </c>
      <c r="O392" s="50">
        <f t="shared" si="42"/>
        <v>26897.4</v>
      </c>
      <c r="P392" s="50">
        <v>0</v>
      </c>
      <c r="Q392" s="76"/>
      <c r="R392" s="140">
        <f>2*S9+2*S10</f>
        <v>90</v>
      </c>
      <c r="S392" s="79">
        <v>236.15</v>
      </c>
      <c r="T392" s="80">
        <v>7.88</v>
      </c>
    </row>
    <row r="393" spans="2:20" ht="42">
      <c r="B393" s="5" t="s">
        <v>942</v>
      </c>
      <c r="C393" s="45" t="s">
        <v>135</v>
      </c>
      <c r="D393" s="45">
        <v>101903</v>
      </c>
      <c r="E393" s="6" t="s">
        <v>943</v>
      </c>
      <c r="F393" s="45" t="s">
        <v>210</v>
      </c>
      <c r="G393" s="46">
        <f t="shared" si="43"/>
        <v>90</v>
      </c>
      <c r="H393" s="46">
        <f>TRUNC(S393*(1-LOTE_02!$K$10),2)</f>
        <v>310.55</v>
      </c>
      <c r="I393" s="46">
        <f>TRUNC(T393*(1-LOTE_02!$K$10),2)</f>
        <v>11.49</v>
      </c>
      <c r="J393" s="100">
        <f t="shared" si="44"/>
        <v>0.22470000000000001</v>
      </c>
      <c r="K393" s="48">
        <f t="shared" si="38"/>
        <v>380.33</v>
      </c>
      <c r="L393" s="48">
        <f t="shared" si="39"/>
        <v>14.07</v>
      </c>
      <c r="M393" s="48">
        <f t="shared" si="40"/>
        <v>34229.699999999997</v>
      </c>
      <c r="N393" s="48">
        <f t="shared" si="41"/>
        <v>1266.3</v>
      </c>
      <c r="O393" s="50">
        <f t="shared" si="42"/>
        <v>35496</v>
      </c>
      <c r="P393" s="50">
        <v>0</v>
      </c>
      <c r="Q393" s="76"/>
      <c r="R393" s="140">
        <f>2*S9+2*S10</f>
        <v>90</v>
      </c>
      <c r="S393" s="79">
        <v>310.55</v>
      </c>
      <c r="T393" s="80">
        <v>11.49</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50">
        <v>0</v>
      </c>
      <c r="Q394" s="76"/>
      <c r="R394" s="154"/>
      <c r="S394" s="79" t="s">
        <v>22</v>
      </c>
      <c r="T394" s="80" t="s">
        <v>22</v>
      </c>
    </row>
    <row r="395" spans="2:20" ht="56">
      <c r="B395" s="5" t="s">
        <v>946</v>
      </c>
      <c r="C395" s="45" t="s">
        <v>135</v>
      </c>
      <c r="D395" s="45">
        <v>96984</v>
      </c>
      <c r="E395" s="6" t="s">
        <v>947</v>
      </c>
      <c r="F395" s="45" t="s">
        <v>210</v>
      </c>
      <c r="G395" s="46">
        <f t="shared" si="43"/>
        <v>450</v>
      </c>
      <c r="H395" s="46">
        <f>TRUNC(S395*(1-LOTE_02!$K$10),2)</f>
        <v>39.83</v>
      </c>
      <c r="I395" s="46">
        <f>TRUNC(T395*(1-LOTE_02!$K$10),2)</f>
        <v>29.15</v>
      </c>
      <c r="J395" s="100">
        <f t="shared" si="44"/>
        <v>0.22470000000000001</v>
      </c>
      <c r="K395" s="48">
        <f t="shared" si="38"/>
        <v>48.77</v>
      </c>
      <c r="L395" s="48">
        <f t="shared" si="39"/>
        <v>35.700000000000003</v>
      </c>
      <c r="M395" s="48">
        <f t="shared" si="40"/>
        <v>21946.5</v>
      </c>
      <c r="N395" s="48">
        <f t="shared" si="41"/>
        <v>16065</v>
      </c>
      <c r="O395" s="50">
        <f t="shared" si="42"/>
        <v>38011.5</v>
      </c>
      <c r="P395" s="50">
        <v>0</v>
      </c>
      <c r="Q395" s="76"/>
      <c r="R395" s="140">
        <f>10*S9+10*S10</f>
        <v>450</v>
      </c>
      <c r="S395" s="79">
        <v>39.830000000000005</v>
      </c>
      <c r="T395" s="80">
        <v>29.15</v>
      </c>
    </row>
    <row r="396" spans="2:20" ht="42">
      <c r="B396" s="5" t="s">
        <v>948</v>
      </c>
      <c r="C396" s="45" t="s">
        <v>97</v>
      </c>
      <c r="D396" s="45" t="s">
        <v>949</v>
      </c>
      <c r="E396" s="6" t="s">
        <v>950</v>
      </c>
      <c r="F396" s="45" t="s">
        <v>104</v>
      </c>
      <c r="G396" s="46">
        <f t="shared" si="43"/>
        <v>270</v>
      </c>
      <c r="H396" s="46">
        <f>TRUNC(S396*(1-LOTE_02!$K$10),2)</f>
        <v>2.38</v>
      </c>
      <c r="I396" s="46">
        <f>TRUNC(T396*(1-LOTE_02!$K$10),2)</f>
        <v>0.98</v>
      </c>
      <c r="J396" s="100">
        <f t="shared" si="44"/>
        <v>0.22470000000000001</v>
      </c>
      <c r="K396" s="48">
        <f t="shared" si="38"/>
        <v>2.91</v>
      </c>
      <c r="L396" s="48">
        <f t="shared" si="39"/>
        <v>1.2</v>
      </c>
      <c r="M396" s="48">
        <f t="shared" si="40"/>
        <v>785.7</v>
      </c>
      <c r="N396" s="48">
        <f t="shared" si="41"/>
        <v>324</v>
      </c>
      <c r="O396" s="50">
        <f t="shared" si="42"/>
        <v>1109.7</v>
      </c>
      <c r="P396" s="50">
        <v>0</v>
      </c>
      <c r="Q396" s="76"/>
      <c r="R396" s="140">
        <f>6*S9+6*S10</f>
        <v>270</v>
      </c>
      <c r="S396" s="79">
        <v>2.38</v>
      </c>
      <c r="T396" s="80">
        <v>0.98</v>
      </c>
    </row>
    <row r="397" spans="2:20" ht="42">
      <c r="B397" s="5" t="s">
        <v>951</v>
      </c>
      <c r="C397" s="45" t="s">
        <v>135</v>
      </c>
      <c r="D397" s="45">
        <v>96985</v>
      </c>
      <c r="E397" s="6" t="s">
        <v>952</v>
      </c>
      <c r="F397" s="45" t="s">
        <v>210</v>
      </c>
      <c r="G397" s="46">
        <f t="shared" si="43"/>
        <v>450</v>
      </c>
      <c r="H397" s="46">
        <f>TRUNC(S397*(1-LOTE_02!$K$10),2)</f>
        <v>72.790000000000006</v>
      </c>
      <c r="I397" s="46">
        <f>TRUNC(T397*(1-LOTE_02!$K$10),2)</f>
        <v>9.08</v>
      </c>
      <c r="J397" s="100">
        <f t="shared" si="44"/>
        <v>0.22470000000000001</v>
      </c>
      <c r="K397" s="48">
        <f t="shared" si="38"/>
        <v>89.14</v>
      </c>
      <c r="L397" s="48">
        <f t="shared" si="39"/>
        <v>11.12</v>
      </c>
      <c r="M397" s="48">
        <f t="shared" si="40"/>
        <v>40113</v>
      </c>
      <c r="N397" s="48">
        <f t="shared" si="41"/>
        <v>5004</v>
      </c>
      <c r="O397" s="50">
        <f t="shared" si="42"/>
        <v>45117</v>
      </c>
      <c r="P397" s="50">
        <v>0</v>
      </c>
      <c r="Q397" s="76"/>
      <c r="R397" s="140">
        <f>10*S9+10*S10</f>
        <v>450</v>
      </c>
      <c r="S397" s="79">
        <v>72.790000000000006</v>
      </c>
      <c r="T397" s="80">
        <v>9.08</v>
      </c>
    </row>
    <row r="398" spans="2:20" ht="56">
      <c r="B398" s="5" t="s">
        <v>953</v>
      </c>
      <c r="C398" s="45" t="s">
        <v>135</v>
      </c>
      <c r="D398" s="45">
        <v>98111</v>
      </c>
      <c r="E398" s="6" t="s">
        <v>954</v>
      </c>
      <c r="F398" s="45" t="s">
        <v>210</v>
      </c>
      <c r="G398" s="46">
        <f t="shared" si="43"/>
        <v>135</v>
      </c>
      <c r="H398" s="46">
        <f>TRUNC(S398*(1-LOTE_02!$K$10),2)</f>
        <v>54.74</v>
      </c>
      <c r="I398" s="46">
        <f>TRUNC(T398*(1-LOTE_02!$K$10),2)</f>
        <v>6.08</v>
      </c>
      <c r="J398" s="100">
        <f t="shared" si="44"/>
        <v>0.22470000000000001</v>
      </c>
      <c r="K398" s="48">
        <f t="shared" si="38"/>
        <v>67.040000000000006</v>
      </c>
      <c r="L398" s="48">
        <f t="shared" si="39"/>
        <v>7.44</v>
      </c>
      <c r="M398" s="48">
        <f t="shared" si="40"/>
        <v>9050.4</v>
      </c>
      <c r="N398" s="48">
        <f t="shared" si="41"/>
        <v>1004.4</v>
      </c>
      <c r="O398" s="50">
        <f t="shared" si="42"/>
        <v>10054.799999999999</v>
      </c>
      <c r="P398" s="50">
        <v>0</v>
      </c>
      <c r="Q398" s="76"/>
      <c r="R398" s="140">
        <f>3*S9+3*S10</f>
        <v>135</v>
      </c>
      <c r="S398" s="79">
        <v>54.74</v>
      </c>
      <c r="T398" s="80">
        <v>6.08</v>
      </c>
    </row>
    <row r="399" spans="2:20" ht="28">
      <c r="B399" s="5" t="s">
        <v>955</v>
      </c>
      <c r="C399" s="45" t="s">
        <v>97</v>
      </c>
      <c r="D399" s="45" t="s">
        <v>956</v>
      </c>
      <c r="E399" s="6" t="s">
        <v>957</v>
      </c>
      <c r="F399" s="45" t="s">
        <v>187</v>
      </c>
      <c r="G399" s="46">
        <f t="shared" si="43"/>
        <v>2250</v>
      </c>
      <c r="H399" s="46">
        <f>TRUNC(S399*(1-LOTE_02!$K$10),2)</f>
        <v>74.83</v>
      </c>
      <c r="I399" s="46">
        <f>TRUNC(T399*(1-LOTE_02!$K$10),2)</f>
        <v>3.94</v>
      </c>
      <c r="J399" s="100">
        <f t="shared" si="44"/>
        <v>0.22470000000000001</v>
      </c>
      <c r="K399" s="48">
        <f t="shared" si="38"/>
        <v>91.64</v>
      </c>
      <c r="L399" s="48">
        <f t="shared" si="39"/>
        <v>4.82</v>
      </c>
      <c r="M399" s="48">
        <f t="shared" si="40"/>
        <v>206190</v>
      </c>
      <c r="N399" s="48">
        <f t="shared" si="41"/>
        <v>10845</v>
      </c>
      <c r="O399" s="50">
        <f t="shared" si="42"/>
        <v>217035</v>
      </c>
      <c r="P399" s="50">
        <v>0</v>
      </c>
      <c r="Q399" s="76"/>
      <c r="R399" s="140">
        <f>50*S9+50*S10</f>
        <v>2250</v>
      </c>
      <c r="S399" s="79">
        <v>74.83</v>
      </c>
      <c r="T399" s="80">
        <v>3.94</v>
      </c>
    </row>
    <row r="400" spans="2:20" ht="42">
      <c r="B400" s="5" t="s">
        <v>958</v>
      </c>
      <c r="C400" s="45" t="s">
        <v>135</v>
      </c>
      <c r="D400" s="45">
        <v>96977</v>
      </c>
      <c r="E400" s="6" t="s">
        <v>959</v>
      </c>
      <c r="F400" s="45" t="s">
        <v>187</v>
      </c>
      <c r="G400" s="46">
        <f t="shared" si="43"/>
        <v>2250</v>
      </c>
      <c r="H400" s="46">
        <f>TRUNC(S400*(1-LOTE_02!$K$10),2)</f>
        <v>76.930000000000007</v>
      </c>
      <c r="I400" s="46">
        <f>TRUNC(T400*(1-LOTE_02!$K$10),2)</f>
        <v>1.47</v>
      </c>
      <c r="J400" s="100">
        <f t="shared" si="44"/>
        <v>0.22470000000000001</v>
      </c>
      <c r="K400" s="48">
        <f t="shared" ref="K400:K463" si="45">TRUNC(H400*(1+J400),2)</f>
        <v>94.21</v>
      </c>
      <c r="L400" s="48">
        <f t="shared" ref="L400:L463" si="46">TRUNC(I400*(1+J400),2)</f>
        <v>1.8</v>
      </c>
      <c r="M400" s="48">
        <f t="shared" ref="M400:M463" si="47">TRUNC(K400*G400,2)</f>
        <v>211972.5</v>
      </c>
      <c r="N400" s="48">
        <f t="shared" ref="N400:N463" si="48">TRUNC(L400*G400,2)</f>
        <v>4050</v>
      </c>
      <c r="O400" s="50">
        <f t="shared" ref="O400:O463" si="49">TRUNC(M400+N400,2)</f>
        <v>216022.5</v>
      </c>
      <c r="P400" s="50">
        <v>0</v>
      </c>
      <c r="Q400" s="76"/>
      <c r="R400" s="140">
        <f>50*S9+50*S10</f>
        <v>2250</v>
      </c>
      <c r="S400" s="79">
        <v>76.930000000000007</v>
      </c>
      <c r="T400" s="80">
        <v>1.47</v>
      </c>
    </row>
    <row r="401" spans="2:20" ht="28">
      <c r="B401" s="5" t="s">
        <v>960</v>
      </c>
      <c r="C401" s="45" t="s">
        <v>97</v>
      </c>
      <c r="D401" s="45" t="s">
        <v>961</v>
      </c>
      <c r="E401" s="6" t="s">
        <v>962</v>
      </c>
      <c r="F401" s="45" t="s">
        <v>187</v>
      </c>
      <c r="G401" s="46">
        <f t="shared" si="43"/>
        <v>8100</v>
      </c>
      <c r="H401" s="46">
        <f>TRUNC(S401*(1-LOTE_02!$K$10),2)</f>
        <v>14.19</v>
      </c>
      <c r="I401" s="46">
        <f>TRUNC(T401*(1-LOTE_02!$K$10),2)</f>
        <v>4.07</v>
      </c>
      <c r="J401" s="100">
        <f t="shared" si="44"/>
        <v>0.22470000000000001</v>
      </c>
      <c r="K401" s="48">
        <f t="shared" si="45"/>
        <v>17.37</v>
      </c>
      <c r="L401" s="48">
        <f t="shared" si="46"/>
        <v>4.9800000000000004</v>
      </c>
      <c r="M401" s="48">
        <f t="shared" si="47"/>
        <v>140697</v>
      </c>
      <c r="N401" s="48">
        <f t="shared" si="48"/>
        <v>40338</v>
      </c>
      <c r="O401" s="50">
        <f t="shared" si="49"/>
        <v>181035</v>
      </c>
      <c r="P401" s="50">
        <v>0</v>
      </c>
      <c r="Q401" s="76"/>
      <c r="R401" s="140">
        <f>60*3*S9+180*S10</f>
        <v>8100</v>
      </c>
      <c r="S401" s="79">
        <v>14.19</v>
      </c>
      <c r="T401" s="80">
        <v>4.07</v>
      </c>
    </row>
    <row r="402" spans="2:20" ht="42">
      <c r="B402" s="5" t="s">
        <v>963</v>
      </c>
      <c r="C402" s="45" t="s">
        <v>97</v>
      </c>
      <c r="D402" s="45" t="s">
        <v>964</v>
      </c>
      <c r="E402" s="6" t="s">
        <v>965</v>
      </c>
      <c r="F402" s="45" t="s">
        <v>104</v>
      </c>
      <c r="G402" s="46">
        <f t="shared" ref="G402:G465" si="50">TRUNC(R402,2)</f>
        <v>225</v>
      </c>
      <c r="H402" s="46">
        <f>TRUNC(S402*(1-LOTE_02!$K$10),2)</f>
        <v>14.79</v>
      </c>
      <c r="I402" s="46">
        <f>TRUNC(T402*(1-LOTE_02!$K$10),2)</f>
        <v>1.86</v>
      </c>
      <c r="J402" s="100">
        <f t="shared" ref="J402:J465" si="51">$J$4</f>
        <v>0.22470000000000001</v>
      </c>
      <c r="K402" s="48">
        <f t="shared" si="45"/>
        <v>18.11</v>
      </c>
      <c r="L402" s="48">
        <f t="shared" si="46"/>
        <v>2.27</v>
      </c>
      <c r="M402" s="48">
        <f t="shared" si="47"/>
        <v>4074.75</v>
      </c>
      <c r="N402" s="48">
        <f t="shared" si="48"/>
        <v>510.75</v>
      </c>
      <c r="O402" s="50">
        <f t="shared" si="49"/>
        <v>4585.5</v>
      </c>
      <c r="P402" s="50">
        <v>0</v>
      </c>
      <c r="Q402" s="76"/>
      <c r="R402" s="140">
        <f>5*S9+5*S10</f>
        <v>225</v>
      </c>
      <c r="S402" s="79">
        <v>14.79</v>
      </c>
      <c r="T402" s="80">
        <v>1.86</v>
      </c>
    </row>
    <row r="403" spans="2:20" ht="28">
      <c r="B403" s="5" t="s">
        <v>966</v>
      </c>
      <c r="C403" s="45" t="s">
        <v>97</v>
      </c>
      <c r="D403" s="45" t="s">
        <v>967</v>
      </c>
      <c r="E403" s="6" t="s">
        <v>968</v>
      </c>
      <c r="F403" s="45" t="s">
        <v>104</v>
      </c>
      <c r="G403" s="46">
        <f t="shared" si="50"/>
        <v>450</v>
      </c>
      <c r="H403" s="46">
        <f>TRUNC(S403*(1-LOTE_02!$K$10),2)</f>
        <v>29.87</v>
      </c>
      <c r="I403" s="46">
        <f>TRUNC(T403*(1-LOTE_02!$K$10),2)</f>
        <v>31.53</v>
      </c>
      <c r="J403" s="100">
        <f t="shared" si="51"/>
        <v>0.22470000000000001</v>
      </c>
      <c r="K403" s="48">
        <f t="shared" si="45"/>
        <v>36.58</v>
      </c>
      <c r="L403" s="48">
        <f t="shared" si="46"/>
        <v>38.61</v>
      </c>
      <c r="M403" s="48">
        <f t="shared" si="47"/>
        <v>16461</v>
      </c>
      <c r="N403" s="48">
        <f t="shared" si="48"/>
        <v>17374.5</v>
      </c>
      <c r="O403" s="50">
        <f t="shared" si="49"/>
        <v>33835.5</v>
      </c>
      <c r="P403" s="50">
        <v>0</v>
      </c>
      <c r="Q403" s="76"/>
      <c r="R403" s="140">
        <f>10*S9+10*S10</f>
        <v>450</v>
      </c>
      <c r="S403" s="79">
        <v>29.87</v>
      </c>
      <c r="T403" s="80">
        <v>31.53</v>
      </c>
    </row>
    <row r="404" spans="2:20" ht="56">
      <c r="B404" s="5" t="s">
        <v>969</v>
      </c>
      <c r="C404" s="45" t="s">
        <v>97</v>
      </c>
      <c r="D404" s="45" t="s">
        <v>970</v>
      </c>
      <c r="E404" s="6" t="s">
        <v>971</v>
      </c>
      <c r="F404" s="45" t="s">
        <v>104</v>
      </c>
      <c r="G404" s="46">
        <f t="shared" si="50"/>
        <v>225</v>
      </c>
      <c r="H404" s="46">
        <f>TRUNC(S404*(1-LOTE_02!$K$10),2)</f>
        <v>113.52</v>
      </c>
      <c r="I404" s="46">
        <f>TRUNC(T404*(1-LOTE_02!$K$10),2)</f>
        <v>11.61</v>
      </c>
      <c r="J404" s="100">
        <f t="shared" si="51"/>
        <v>0.22470000000000001</v>
      </c>
      <c r="K404" s="48">
        <f t="shared" si="45"/>
        <v>139.02000000000001</v>
      </c>
      <c r="L404" s="48">
        <f t="shared" si="46"/>
        <v>14.21</v>
      </c>
      <c r="M404" s="48">
        <f t="shared" si="47"/>
        <v>31279.5</v>
      </c>
      <c r="N404" s="48">
        <f t="shared" si="48"/>
        <v>3197.25</v>
      </c>
      <c r="O404" s="50">
        <f t="shared" si="49"/>
        <v>34476.75</v>
      </c>
      <c r="P404" s="50">
        <v>0</v>
      </c>
      <c r="Q404" s="76"/>
      <c r="R404" s="140">
        <f>5*S9+5*S10</f>
        <v>225</v>
      </c>
      <c r="S404" s="79">
        <v>113.52</v>
      </c>
      <c r="T404" s="80">
        <v>11.61</v>
      </c>
    </row>
    <row r="405" spans="2:20" ht="56">
      <c r="B405" s="5" t="s">
        <v>972</v>
      </c>
      <c r="C405" s="45" t="s">
        <v>97</v>
      </c>
      <c r="D405" s="45" t="s">
        <v>973</v>
      </c>
      <c r="E405" s="6" t="s">
        <v>974</v>
      </c>
      <c r="F405" s="45" t="s">
        <v>104</v>
      </c>
      <c r="G405" s="46">
        <f t="shared" si="50"/>
        <v>45</v>
      </c>
      <c r="H405" s="46">
        <f>TRUNC(S405*(1-LOTE_02!$K$10),2)</f>
        <v>115.28</v>
      </c>
      <c r="I405" s="46">
        <f>TRUNC(T405*(1-LOTE_02!$K$10),2)</f>
        <v>259.86</v>
      </c>
      <c r="J405" s="100">
        <f t="shared" si="51"/>
        <v>0.22470000000000001</v>
      </c>
      <c r="K405" s="48">
        <f t="shared" si="45"/>
        <v>141.18</v>
      </c>
      <c r="L405" s="48">
        <f t="shared" si="46"/>
        <v>318.25</v>
      </c>
      <c r="M405" s="48">
        <f t="shared" si="47"/>
        <v>6353.1</v>
      </c>
      <c r="N405" s="48">
        <f t="shared" si="48"/>
        <v>14321.25</v>
      </c>
      <c r="O405" s="50">
        <f t="shared" si="49"/>
        <v>20674.349999999999</v>
      </c>
      <c r="P405" s="50">
        <v>0</v>
      </c>
      <c r="Q405" s="76"/>
      <c r="R405" s="140">
        <f>1*S9+1*S10</f>
        <v>45</v>
      </c>
      <c r="S405" s="79">
        <v>115.28</v>
      </c>
      <c r="T405" s="80">
        <v>259.86</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50">
        <v>0</v>
      </c>
      <c r="Q406" s="76"/>
      <c r="R406" s="154"/>
      <c r="S406" s="79" t="s">
        <v>22</v>
      </c>
      <c r="T406" s="80" t="s">
        <v>22</v>
      </c>
    </row>
    <row r="407" spans="2:20" ht="98">
      <c r="B407" s="5" t="s">
        <v>977</v>
      </c>
      <c r="C407" s="45" t="s">
        <v>97</v>
      </c>
      <c r="D407" s="45" t="s">
        <v>978</v>
      </c>
      <c r="E407" s="6" t="s">
        <v>979</v>
      </c>
      <c r="F407" s="45" t="s">
        <v>104</v>
      </c>
      <c r="G407" s="46">
        <f t="shared" si="50"/>
        <v>5</v>
      </c>
      <c r="H407" s="46">
        <f>TRUNC(S407*(1-LOTE_02!$K$10),2)</f>
        <v>3372.4</v>
      </c>
      <c r="I407" s="46">
        <f>TRUNC(T407*(1-LOTE_02!$K$10),2)</f>
        <v>473.04</v>
      </c>
      <c r="J407" s="100">
        <f t="shared" si="51"/>
        <v>0.22470000000000001</v>
      </c>
      <c r="K407" s="48">
        <f t="shared" si="45"/>
        <v>4130.17</v>
      </c>
      <c r="L407" s="48">
        <f t="shared" si="46"/>
        <v>579.33000000000004</v>
      </c>
      <c r="M407" s="48">
        <f t="shared" si="47"/>
        <v>20650.849999999999</v>
      </c>
      <c r="N407" s="48">
        <f t="shared" si="48"/>
        <v>2896.65</v>
      </c>
      <c r="O407" s="50">
        <f t="shared" si="49"/>
        <v>23547.5</v>
      </c>
      <c r="P407" s="50">
        <v>0</v>
      </c>
      <c r="Q407" s="76"/>
      <c r="R407" s="140">
        <f>IF((1*S9+1*S10)&gt;5,5,(1*S9+1*S10))</f>
        <v>5</v>
      </c>
      <c r="S407" s="79">
        <v>3372.4</v>
      </c>
      <c r="T407" s="80">
        <v>473.04</v>
      </c>
    </row>
    <row r="408" spans="2:20" ht="56">
      <c r="B408" s="5" t="s">
        <v>980</v>
      </c>
      <c r="C408" s="45" t="s">
        <v>97</v>
      </c>
      <c r="D408" s="45" t="s">
        <v>981</v>
      </c>
      <c r="E408" s="6" t="s">
        <v>982</v>
      </c>
      <c r="F408" s="45" t="s">
        <v>104</v>
      </c>
      <c r="G408" s="46">
        <f t="shared" si="50"/>
        <v>45</v>
      </c>
      <c r="H408" s="46">
        <f>TRUNC(S408*(1-LOTE_02!$K$10),2)</f>
        <v>166</v>
      </c>
      <c r="I408" s="46">
        <f>TRUNC(T408*(1-LOTE_02!$K$10),2)</f>
        <v>315.36</v>
      </c>
      <c r="J408" s="100">
        <f t="shared" si="51"/>
        <v>0.22470000000000001</v>
      </c>
      <c r="K408" s="48">
        <f t="shared" si="45"/>
        <v>203.3</v>
      </c>
      <c r="L408" s="48">
        <f t="shared" si="46"/>
        <v>386.22</v>
      </c>
      <c r="M408" s="48">
        <f t="shared" si="47"/>
        <v>9148.5</v>
      </c>
      <c r="N408" s="48">
        <f t="shared" si="48"/>
        <v>17379.900000000001</v>
      </c>
      <c r="O408" s="50">
        <f t="shared" si="49"/>
        <v>26528.400000000001</v>
      </c>
      <c r="P408" s="50">
        <v>0</v>
      </c>
      <c r="Q408" s="76"/>
      <c r="R408" s="140">
        <f>1*S9+1*S10</f>
        <v>45</v>
      </c>
      <c r="S408" s="79">
        <v>166</v>
      </c>
      <c r="T408" s="80">
        <v>315.36</v>
      </c>
    </row>
    <row r="409" spans="2:20" ht="28">
      <c r="B409" s="5" t="s">
        <v>983</v>
      </c>
      <c r="C409" s="45" t="s">
        <v>97</v>
      </c>
      <c r="D409" s="45" t="s">
        <v>984</v>
      </c>
      <c r="E409" s="6" t="s">
        <v>985</v>
      </c>
      <c r="F409" s="45" t="s">
        <v>104</v>
      </c>
      <c r="G409" s="46">
        <f t="shared" si="50"/>
        <v>10</v>
      </c>
      <c r="H409" s="46">
        <f>TRUNC(S409*(1-LOTE_02!$K$10),2)</f>
        <v>166</v>
      </c>
      <c r="I409" s="46">
        <f>TRUNC(T409*(1-LOTE_02!$K$10),2)</f>
        <v>315.36</v>
      </c>
      <c r="J409" s="100">
        <f t="shared" si="51"/>
        <v>0.22470000000000001</v>
      </c>
      <c r="K409" s="48">
        <f t="shared" si="45"/>
        <v>203.3</v>
      </c>
      <c r="L409" s="48">
        <f t="shared" si="46"/>
        <v>386.22</v>
      </c>
      <c r="M409" s="48">
        <f t="shared" si="47"/>
        <v>2033</v>
      </c>
      <c r="N409" s="48">
        <f t="shared" si="48"/>
        <v>3862.2</v>
      </c>
      <c r="O409" s="50">
        <f t="shared" si="49"/>
        <v>5895.2</v>
      </c>
      <c r="P409" s="50">
        <v>0</v>
      </c>
      <c r="Q409" s="76"/>
      <c r="R409" s="140">
        <f>IF((1*S9+1*S10)&gt;10,10,(1*S9+1*S10))</f>
        <v>10</v>
      </c>
      <c r="S409" s="79">
        <v>166</v>
      </c>
      <c r="T409" s="80">
        <v>315.36</v>
      </c>
    </row>
    <row r="410" spans="2:20" ht="28">
      <c r="B410" s="5" t="s">
        <v>986</v>
      </c>
      <c r="C410" s="45" t="s">
        <v>97</v>
      </c>
      <c r="D410" s="45" t="s">
        <v>987</v>
      </c>
      <c r="E410" s="6" t="s">
        <v>988</v>
      </c>
      <c r="F410" s="45" t="s">
        <v>104</v>
      </c>
      <c r="G410" s="46">
        <f t="shared" si="50"/>
        <v>225</v>
      </c>
      <c r="H410" s="46">
        <f>TRUNC(S410*(1-LOTE_02!$K$10),2)</f>
        <v>166.1</v>
      </c>
      <c r="I410" s="46">
        <f>TRUNC(T410*(1-LOTE_02!$K$10),2)</f>
        <v>4</v>
      </c>
      <c r="J410" s="100">
        <f t="shared" si="51"/>
        <v>0.22470000000000001</v>
      </c>
      <c r="K410" s="48">
        <f t="shared" si="45"/>
        <v>203.42</v>
      </c>
      <c r="L410" s="48">
        <f t="shared" si="46"/>
        <v>4.8899999999999997</v>
      </c>
      <c r="M410" s="48">
        <f t="shared" si="47"/>
        <v>45769.5</v>
      </c>
      <c r="N410" s="48">
        <f t="shared" si="48"/>
        <v>1100.25</v>
      </c>
      <c r="O410" s="50">
        <f t="shared" si="49"/>
        <v>46869.75</v>
      </c>
      <c r="P410" s="50">
        <v>0</v>
      </c>
      <c r="Q410" s="76"/>
      <c r="R410" s="140">
        <f>5*S9+5*S10</f>
        <v>225</v>
      </c>
      <c r="S410" s="79">
        <v>166.1</v>
      </c>
      <c r="T410" s="80">
        <v>4</v>
      </c>
    </row>
    <row r="411" spans="2:20" ht="28">
      <c r="B411" s="5" t="s">
        <v>989</v>
      </c>
      <c r="C411" s="45" t="s">
        <v>97</v>
      </c>
      <c r="D411" s="45" t="s">
        <v>990</v>
      </c>
      <c r="E411" s="6" t="s">
        <v>991</v>
      </c>
      <c r="F411" s="45" t="s">
        <v>104</v>
      </c>
      <c r="G411" s="46">
        <f t="shared" si="50"/>
        <v>225</v>
      </c>
      <c r="H411" s="46">
        <f>TRUNC(S411*(1-LOTE_02!$K$10),2)</f>
        <v>44.77</v>
      </c>
      <c r="I411" s="46">
        <f>TRUNC(T411*(1-LOTE_02!$K$10),2)</f>
        <v>31.36</v>
      </c>
      <c r="J411" s="100">
        <f t="shared" si="51"/>
        <v>0.22470000000000001</v>
      </c>
      <c r="K411" s="48">
        <f t="shared" si="45"/>
        <v>54.82</v>
      </c>
      <c r="L411" s="48">
        <f t="shared" si="46"/>
        <v>38.4</v>
      </c>
      <c r="M411" s="48">
        <f t="shared" si="47"/>
        <v>12334.5</v>
      </c>
      <c r="N411" s="48">
        <f t="shared" si="48"/>
        <v>8640</v>
      </c>
      <c r="O411" s="50">
        <f t="shared" si="49"/>
        <v>20974.5</v>
      </c>
      <c r="P411" s="50">
        <v>0</v>
      </c>
      <c r="Q411" s="76"/>
      <c r="R411" s="140">
        <f>5*S9+5*S10</f>
        <v>225</v>
      </c>
      <c r="S411" s="79">
        <v>44.77</v>
      </c>
      <c r="T411" s="80">
        <v>31.36</v>
      </c>
    </row>
    <row r="412" spans="2:20" ht="84">
      <c r="B412" s="5" t="s">
        <v>992</v>
      </c>
      <c r="C412" s="45" t="s">
        <v>135</v>
      </c>
      <c r="D412" s="45">
        <v>100561</v>
      </c>
      <c r="E412" s="6" t="s">
        <v>993</v>
      </c>
      <c r="F412" s="45" t="s">
        <v>210</v>
      </c>
      <c r="G412" s="46">
        <f t="shared" si="50"/>
        <v>10</v>
      </c>
      <c r="H412" s="46">
        <f>TRUNC(S412*(1-LOTE_02!$K$10),2)</f>
        <v>119.39</v>
      </c>
      <c r="I412" s="46">
        <f>TRUNC(T412*(1-LOTE_02!$K$10),2)</f>
        <v>30.31</v>
      </c>
      <c r="J412" s="100">
        <f t="shared" si="51"/>
        <v>0.22470000000000001</v>
      </c>
      <c r="K412" s="48">
        <f t="shared" si="45"/>
        <v>146.21</v>
      </c>
      <c r="L412" s="48">
        <f t="shared" si="46"/>
        <v>37.119999999999997</v>
      </c>
      <c r="M412" s="48">
        <f t="shared" si="47"/>
        <v>1462.1</v>
      </c>
      <c r="N412" s="48">
        <f t="shared" si="48"/>
        <v>371.2</v>
      </c>
      <c r="O412" s="50">
        <f t="shared" si="49"/>
        <v>1833.3</v>
      </c>
      <c r="P412" s="50">
        <v>0</v>
      </c>
      <c r="Q412" s="76"/>
      <c r="R412" s="140">
        <f>IF((1*S9+1*S10)&gt;10,10,(1*S9+1*S10))</f>
        <v>10</v>
      </c>
      <c r="S412" s="79">
        <v>119.38999999999999</v>
      </c>
      <c r="T412" s="80">
        <v>30.31</v>
      </c>
    </row>
    <row r="413" spans="2:20" ht="84">
      <c r="B413" s="5" t="s">
        <v>994</v>
      </c>
      <c r="C413" s="45" t="s">
        <v>135</v>
      </c>
      <c r="D413" s="45">
        <v>101875</v>
      </c>
      <c r="E413" s="6" t="s">
        <v>995</v>
      </c>
      <c r="F413" s="45" t="s">
        <v>210</v>
      </c>
      <c r="G413" s="46">
        <f t="shared" si="50"/>
        <v>10</v>
      </c>
      <c r="H413" s="46">
        <f>TRUNC(S413*(1-LOTE_02!$K$10),2)</f>
        <v>339.78</v>
      </c>
      <c r="I413" s="46">
        <f>TRUNC(T413*(1-LOTE_02!$K$10),2)</f>
        <v>53.21</v>
      </c>
      <c r="J413" s="100">
        <f t="shared" si="51"/>
        <v>0.22470000000000001</v>
      </c>
      <c r="K413" s="48">
        <f t="shared" si="45"/>
        <v>416.12</v>
      </c>
      <c r="L413" s="48">
        <f t="shared" si="46"/>
        <v>65.16</v>
      </c>
      <c r="M413" s="48">
        <f t="shared" si="47"/>
        <v>4161.2</v>
      </c>
      <c r="N413" s="48">
        <f t="shared" si="48"/>
        <v>651.6</v>
      </c>
      <c r="O413" s="50">
        <f t="shared" si="49"/>
        <v>4812.8</v>
      </c>
      <c r="P413" s="50">
        <v>0</v>
      </c>
      <c r="Q413" s="76"/>
      <c r="R413" s="140">
        <f>IF((1*S10+1*S9)&gt;10,10,(1*S10+1*S9))</f>
        <v>10</v>
      </c>
      <c r="S413" s="79">
        <v>339.78000000000003</v>
      </c>
      <c r="T413" s="80">
        <v>53.21</v>
      </c>
    </row>
    <row r="414" spans="2:20" ht="56">
      <c r="B414" s="5" t="s">
        <v>996</v>
      </c>
      <c r="C414" s="45" t="s">
        <v>97</v>
      </c>
      <c r="D414" s="45" t="s">
        <v>997</v>
      </c>
      <c r="E414" s="6" t="s">
        <v>998</v>
      </c>
      <c r="F414" s="45" t="s">
        <v>999</v>
      </c>
      <c r="G414" s="46">
        <f t="shared" si="50"/>
        <v>100</v>
      </c>
      <c r="H414" s="46">
        <f>TRUNC(S414*(1-LOTE_02!$K$10),2)</f>
        <v>421.98</v>
      </c>
      <c r="I414" s="46">
        <f>TRUNC(T414*(1-LOTE_02!$K$10),2)</f>
        <v>318.64999999999998</v>
      </c>
      <c r="J414" s="100">
        <f t="shared" si="51"/>
        <v>0.22470000000000001</v>
      </c>
      <c r="K414" s="48">
        <f t="shared" si="45"/>
        <v>516.79</v>
      </c>
      <c r="L414" s="48">
        <f t="shared" si="46"/>
        <v>390.25</v>
      </c>
      <c r="M414" s="48">
        <f t="shared" si="47"/>
        <v>51679</v>
      </c>
      <c r="N414" s="48">
        <f t="shared" si="48"/>
        <v>39025</v>
      </c>
      <c r="O414" s="50">
        <f t="shared" si="49"/>
        <v>90704</v>
      </c>
      <c r="P414" s="50">
        <v>0</v>
      </c>
      <c r="Q414" s="76"/>
      <c r="R414" s="140">
        <f>IF((5*S9+20*S10)&gt;100,100,(5*S9+20*S10))</f>
        <v>100</v>
      </c>
      <c r="S414" s="79">
        <v>421.98</v>
      </c>
      <c r="T414" s="80">
        <v>318.64999999999998</v>
      </c>
    </row>
    <row r="415" spans="2:20" ht="56">
      <c r="B415" s="5" t="s">
        <v>1000</v>
      </c>
      <c r="C415" s="45" t="s">
        <v>135</v>
      </c>
      <c r="D415" s="45">
        <v>98295</v>
      </c>
      <c r="E415" s="6" t="s">
        <v>1001</v>
      </c>
      <c r="F415" s="45" t="s">
        <v>187</v>
      </c>
      <c r="G415" s="46">
        <f t="shared" si="50"/>
        <v>15000</v>
      </c>
      <c r="H415" s="46">
        <f>TRUNC(S415*(1-LOTE_02!$K$10),2)</f>
        <v>7.27</v>
      </c>
      <c r="I415" s="46">
        <f>TRUNC(T415*(1-LOTE_02!$K$10),2)</f>
        <v>0.09</v>
      </c>
      <c r="J415" s="100">
        <f t="shared" si="51"/>
        <v>0.22470000000000001</v>
      </c>
      <c r="K415" s="48">
        <f t="shared" si="45"/>
        <v>8.9</v>
      </c>
      <c r="L415" s="48">
        <f t="shared" si="46"/>
        <v>0.11</v>
      </c>
      <c r="M415" s="48">
        <f t="shared" si="47"/>
        <v>133500</v>
      </c>
      <c r="N415" s="48">
        <f t="shared" si="48"/>
        <v>1650</v>
      </c>
      <c r="O415" s="50">
        <f t="shared" si="49"/>
        <v>135150</v>
      </c>
      <c r="P415" s="50">
        <v>0</v>
      </c>
      <c r="Q415" s="76"/>
      <c r="R415" s="140">
        <f>IF((500*S9+1000*S10)&gt;15000,15000,(500*S9+1000*S10))</f>
        <v>15000</v>
      </c>
      <c r="S415" s="79">
        <v>7.2700000000000005</v>
      </c>
      <c r="T415" s="80">
        <v>0.09</v>
      </c>
    </row>
    <row r="416" spans="2:20" ht="42">
      <c r="B416" s="5" t="s">
        <v>1002</v>
      </c>
      <c r="C416" s="45" t="s">
        <v>135</v>
      </c>
      <c r="D416" s="45">
        <v>98301</v>
      </c>
      <c r="E416" s="6" t="s">
        <v>1003</v>
      </c>
      <c r="F416" s="45" t="s">
        <v>210</v>
      </c>
      <c r="G416" s="46">
        <f t="shared" si="50"/>
        <v>225</v>
      </c>
      <c r="H416" s="46">
        <f>TRUNC(S416*(1-LOTE_02!$K$10),2)</f>
        <v>464.25</v>
      </c>
      <c r="I416" s="46">
        <f>TRUNC(T416*(1-LOTE_02!$K$10),2)</f>
        <v>232.39</v>
      </c>
      <c r="J416" s="100">
        <f t="shared" si="51"/>
        <v>0.22470000000000001</v>
      </c>
      <c r="K416" s="48">
        <f t="shared" si="45"/>
        <v>568.55999999999995</v>
      </c>
      <c r="L416" s="48">
        <f t="shared" si="46"/>
        <v>284.60000000000002</v>
      </c>
      <c r="M416" s="48">
        <f t="shared" si="47"/>
        <v>127926</v>
      </c>
      <c r="N416" s="48">
        <f t="shared" si="48"/>
        <v>64035</v>
      </c>
      <c r="O416" s="50">
        <f t="shared" si="49"/>
        <v>191961</v>
      </c>
      <c r="P416" s="50">
        <v>0</v>
      </c>
      <c r="Q416" s="76"/>
      <c r="R416" s="140">
        <f>5*S9+5*S10</f>
        <v>225</v>
      </c>
      <c r="S416" s="79">
        <v>464.25</v>
      </c>
      <c r="T416" s="80">
        <v>232.39</v>
      </c>
    </row>
    <row r="417" spans="2:20" ht="28">
      <c r="B417" s="5" t="s">
        <v>1004</v>
      </c>
      <c r="C417" s="45" t="s">
        <v>97</v>
      </c>
      <c r="D417" s="45" t="s">
        <v>1005</v>
      </c>
      <c r="E417" s="6" t="s">
        <v>1006</v>
      </c>
      <c r="F417" s="45" t="s">
        <v>104</v>
      </c>
      <c r="G417" s="46">
        <f t="shared" si="50"/>
        <v>2350</v>
      </c>
      <c r="H417" s="46">
        <f>TRUNC(S417*(1-LOTE_02!$K$10),2)</f>
        <v>30.83</v>
      </c>
      <c r="I417" s="46">
        <f>TRUNC(T417*(1-LOTE_02!$K$10),2)</f>
        <v>15.51</v>
      </c>
      <c r="J417" s="100">
        <f t="shared" si="51"/>
        <v>0.22470000000000001</v>
      </c>
      <c r="K417" s="48">
        <f t="shared" si="45"/>
        <v>37.75</v>
      </c>
      <c r="L417" s="48">
        <f t="shared" si="46"/>
        <v>18.989999999999998</v>
      </c>
      <c r="M417" s="48">
        <f t="shared" si="47"/>
        <v>88712.5</v>
      </c>
      <c r="N417" s="48">
        <f t="shared" si="48"/>
        <v>44626.5</v>
      </c>
      <c r="O417" s="50">
        <f t="shared" si="49"/>
        <v>133339</v>
      </c>
      <c r="P417" s="50">
        <v>0</v>
      </c>
      <c r="Q417" s="76"/>
      <c r="R417" s="140">
        <f>30*S9+70*S10</f>
        <v>2350</v>
      </c>
      <c r="S417" s="79">
        <v>30.83</v>
      </c>
      <c r="T417" s="80">
        <v>15.51</v>
      </c>
    </row>
    <row r="418" spans="2:20" ht="28">
      <c r="B418" s="5" t="s">
        <v>1007</v>
      </c>
      <c r="C418" s="45" t="s">
        <v>97</v>
      </c>
      <c r="D418" s="45" t="s">
        <v>1008</v>
      </c>
      <c r="E418" s="6" t="s">
        <v>1009</v>
      </c>
      <c r="F418" s="45" t="s">
        <v>104</v>
      </c>
      <c r="G418" s="46">
        <f t="shared" si="50"/>
        <v>2350</v>
      </c>
      <c r="H418" s="46">
        <f>TRUNC(S418*(1-LOTE_02!$K$10),2)</f>
        <v>53.84</v>
      </c>
      <c r="I418" s="46">
        <f>TRUNC(T418*(1-LOTE_02!$K$10),2)</f>
        <v>15.51</v>
      </c>
      <c r="J418" s="100">
        <f t="shared" si="51"/>
        <v>0.22470000000000001</v>
      </c>
      <c r="K418" s="48">
        <f t="shared" si="45"/>
        <v>65.930000000000007</v>
      </c>
      <c r="L418" s="48">
        <f t="shared" si="46"/>
        <v>18.989999999999998</v>
      </c>
      <c r="M418" s="48">
        <f t="shared" si="47"/>
        <v>154935.5</v>
      </c>
      <c r="N418" s="48">
        <f t="shared" si="48"/>
        <v>44626.5</v>
      </c>
      <c r="O418" s="50">
        <f t="shared" si="49"/>
        <v>199562</v>
      </c>
      <c r="P418" s="50">
        <v>0</v>
      </c>
      <c r="Q418" s="76"/>
      <c r="R418" s="140">
        <f>30*S9+70*S10</f>
        <v>2350</v>
      </c>
      <c r="S418" s="79">
        <v>53.84</v>
      </c>
      <c r="T418" s="80">
        <v>15.51</v>
      </c>
    </row>
    <row r="419" spans="2:20" ht="28">
      <c r="B419" s="5" t="s">
        <v>1010</v>
      </c>
      <c r="C419" s="45" t="s">
        <v>97</v>
      </c>
      <c r="D419" s="45" t="s">
        <v>1011</v>
      </c>
      <c r="E419" s="6" t="s">
        <v>1012</v>
      </c>
      <c r="F419" s="45" t="s">
        <v>999</v>
      </c>
      <c r="G419" s="46">
        <f t="shared" si="50"/>
        <v>900</v>
      </c>
      <c r="H419" s="46">
        <f>TRUNC(S419*(1-LOTE_02!$K$10),2)</f>
        <v>42.68</v>
      </c>
      <c r="I419" s="46">
        <f>TRUNC(T419*(1-LOTE_02!$K$10),2)</f>
        <v>0.45</v>
      </c>
      <c r="J419" s="100">
        <f t="shared" si="51"/>
        <v>0.22470000000000001</v>
      </c>
      <c r="K419" s="48">
        <f t="shared" si="45"/>
        <v>52.27</v>
      </c>
      <c r="L419" s="48">
        <f t="shared" si="46"/>
        <v>0.55000000000000004</v>
      </c>
      <c r="M419" s="48">
        <f t="shared" si="47"/>
        <v>47043</v>
      </c>
      <c r="N419" s="48">
        <f t="shared" si="48"/>
        <v>495</v>
      </c>
      <c r="O419" s="50">
        <f t="shared" si="49"/>
        <v>47538</v>
      </c>
      <c r="P419" s="50">
        <v>0</v>
      </c>
      <c r="Q419" s="76"/>
      <c r="R419" s="140">
        <f>20*S9+20*S10</f>
        <v>900</v>
      </c>
      <c r="S419" s="79">
        <v>42.68</v>
      </c>
      <c r="T419" s="80">
        <v>0.45</v>
      </c>
    </row>
    <row r="420" spans="2:20" ht="56">
      <c r="B420" s="5" t="s">
        <v>1013</v>
      </c>
      <c r="C420" s="45" t="s">
        <v>135</v>
      </c>
      <c r="D420" s="45">
        <v>98268</v>
      </c>
      <c r="E420" s="6" t="s">
        <v>1014</v>
      </c>
      <c r="F420" s="45" t="s">
        <v>187</v>
      </c>
      <c r="G420" s="46">
        <f t="shared" si="50"/>
        <v>1200</v>
      </c>
      <c r="H420" s="46">
        <f>TRUNC(S420*(1-LOTE_02!$K$10),2)</f>
        <v>16.059999999999999</v>
      </c>
      <c r="I420" s="46">
        <f>TRUNC(T420*(1-LOTE_02!$K$10),2)</f>
        <v>3.71</v>
      </c>
      <c r="J420" s="100">
        <f t="shared" si="51"/>
        <v>0.22470000000000001</v>
      </c>
      <c r="K420" s="48">
        <f t="shared" si="45"/>
        <v>19.66</v>
      </c>
      <c r="L420" s="48">
        <f t="shared" si="46"/>
        <v>4.54</v>
      </c>
      <c r="M420" s="48">
        <f t="shared" si="47"/>
        <v>23592</v>
      </c>
      <c r="N420" s="48">
        <f t="shared" si="48"/>
        <v>5448</v>
      </c>
      <c r="O420" s="50">
        <f t="shared" si="49"/>
        <v>29040</v>
      </c>
      <c r="P420" s="50">
        <v>0</v>
      </c>
      <c r="Q420" s="76"/>
      <c r="R420" s="140">
        <f>10*S9+40*S10</f>
        <v>1200</v>
      </c>
      <c r="S420" s="79">
        <v>16.059999999999999</v>
      </c>
      <c r="T420" s="80">
        <v>3.71</v>
      </c>
    </row>
    <row r="421" spans="2:20" ht="28">
      <c r="B421" s="5" t="s">
        <v>1015</v>
      </c>
      <c r="C421" s="45" t="s">
        <v>135</v>
      </c>
      <c r="D421" s="45">
        <v>98307</v>
      </c>
      <c r="E421" s="6" t="s">
        <v>1016</v>
      </c>
      <c r="F421" s="45" t="s">
        <v>210</v>
      </c>
      <c r="G421" s="46">
        <f t="shared" si="50"/>
        <v>2350</v>
      </c>
      <c r="H421" s="46">
        <f>TRUNC(S421*(1-LOTE_02!$K$10),2)</f>
        <v>46.64</v>
      </c>
      <c r="I421" s="46">
        <f>TRUNC(T421*(1-LOTE_02!$K$10),2)</f>
        <v>9.76</v>
      </c>
      <c r="J421" s="100">
        <f t="shared" si="51"/>
        <v>0.22470000000000001</v>
      </c>
      <c r="K421" s="48">
        <f t="shared" si="45"/>
        <v>57.12</v>
      </c>
      <c r="L421" s="48">
        <f t="shared" si="46"/>
        <v>11.95</v>
      </c>
      <c r="M421" s="48">
        <f t="shared" si="47"/>
        <v>134232</v>
      </c>
      <c r="N421" s="48">
        <f t="shared" si="48"/>
        <v>28082.5</v>
      </c>
      <c r="O421" s="50">
        <f t="shared" si="49"/>
        <v>162314.5</v>
      </c>
      <c r="P421" s="50">
        <v>0</v>
      </c>
      <c r="Q421" s="76"/>
      <c r="R421" s="140">
        <f>30*S9+70*S10</f>
        <v>2350</v>
      </c>
      <c r="S421" s="79">
        <v>46.64</v>
      </c>
      <c r="T421" s="80">
        <v>9.76</v>
      </c>
    </row>
    <row r="422" spans="2:20" ht="28">
      <c r="B422" s="5" t="s">
        <v>1017</v>
      </c>
      <c r="C422" s="45" t="s">
        <v>97</v>
      </c>
      <c r="D422" s="45" t="s">
        <v>1018</v>
      </c>
      <c r="E422" s="6" t="s">
        <v>1019</v>
      </c>
      <c r="F422" s="45" t="s">
        <v>104</v>
      </c>
      <c r="G422" s="46">
        <f t="shared" si="50"/>
        <v>225</v>
      </c>
      <c r="H422" s="46">
        <f>TRUNC(S422*(1-LOTE_02!$K$10),2)</f>
        <v>211.54</v>
      </c>
      <c r="I422" s="46">
        <f>TRUNC(T422*(1-LOTE_02!$K$10),2)</f>
        <v>8.01</v>
      </c>
      <c r="J422" s="100">
        <f t="shared" si="51"/>
        <v>0.22470000000000001</v>
      </c>
      <c r="K422" s="48">
        <f t="shared" si="45"/>
        <v>259.07</v>
      </c>
      <c r="L422" s="48">
        <f t="shared" si="46"/>
        <v>9.8000000000000007</v>
      </c>
      <c r="M422" s="48">
        <f t="shared" si="47"/>
        <v>58290.75</v>
      </c>
      <c r="N422" s="48">
        <f t="shared" si="48"/>
        <v>2205</v>
      </c>
      <c r="O422" s="50">
        <f t="shared" si="49"/>
        <v>60495.75</v>
      </c>
      <c r="P422" s="50">
        <v>0</v>
      </c>
      <c r="Q422" s="76"/>
      <c r="R422" s="140">
        <f>5*S9+5*S10</f>
        <v>225</v>
      </c>
      <c r="S422" s="79">
        <v>211.54</v>
      </c>
      <c r="T422" s="80">
        <v>8.01</v>
      </c>
    </row>
    <row r="423" spans="2:20" ht="56">
      <c r="B423" s="5" t="s">
        <v>1020</v>
      </c>
      <c r="C423" s="45" t="s">
        <v>135</v>
      </c>
      <c r="D423" s="45">
        <v>91941</v>
      </c>
      <c r="E423" s="6" t="s">
        <v>1021</v>
      </c>
      <c r="F423" s="45" t="s">
        <v>210</v>
      </c>
      <c r="G423" s="46">
        <f t="shared" si="50"/>
        <v>200</v>
      </c>
      <c r="H423" s="46">
        <f>TRUNC(S423*(1-LOTE_02!$K$10),2)</f>
        <v>7.04</v>
      </c>
      <c r="I423" s="46">
        <f>TRUNC(T423*(1-LOTE_02!$K$10),2)</f>
        <v>6.38</v>
      </c>
      <c r="J423" s="100">
        <f t="shared" si="51"/>
        <v>0.22470000000000001</v>
      </c>
      <c r="K423" s="48">
        <f t="shared" si="45"/>
        <v>8.6199999999999992</v>
      </c>
      <c r="L423" s="48">
        <f t="shared" si="46"/>
        <v>7.81</v>
      </c>
      <c r="M423" s="48">
        <f t="shared" si="47"/>
        <v>1724</v>
      </c>
      <c r="N423" s="48">
        <f t="shared" si="48"/>
        <v>1562</v>
      </c>
      <c r="O423" s="50">
        <f t="shared" si="49"/>
        <v>3286</v>
      </c>
      <c r="P423" s="50">
        <v>0</v>
      </c>
      <c r="Q423" s="76"/>
      <c r="R423" s="140">
        <f>IF((10*S9+50*S10)&gt;200,200,(10*S9+50*S10))</f>
        <v>200</v>
      </c>
      <c r="S423" s="79">
        <v>7.04</v>
      </c>
      <c r="T423" s="80">
        <v>6.38</v>
      </c>
    </row>
    <row r="424" spans="2:20" ht="56">
      <c r="B424" s="5" t="s">
        <v>1022</v>
      </c>
      <c r="C424" s="45" t="s">
        <v>135</v>
      </c>
      <c r="D424" s="45">
        <v>91944</v>
      </c>
      <c r="E424" s="6" t="s">
        <v>935</v>
      </c>
      <c r="F424" s="45" t="s">
        <v>210</v>
      </c>
      <c r="G424" s="46">
        <f t="shared" si="50"/>
        <v>200</v>
      </c>
      <c r="H424" s="46">
        <f>TRUNC(S424*(1-LOTE_02!$K$10),2)</f>
        <v>10.130000000000001</v>
      </c>
      <c r="I424" s="46">
        <f>TRUNC(T424*(1-LOTE_02!$K$10),2)</f>
        <v>6.45</v>
      </c>
      <c r="J424" s="100">
        <f t="shared" si="51"/>
        <v>0.22470000000000001</v>
      </c>
      <c r="K424" s="48">
        <f t="shared" si="45"/>
        <v>12.4</v>
      </c>
      <c r="L424" s="48">
        <f t="shared" si="46"/>
        <v>7.89</v>
      </c>
      <c r="M424" s="48">
        <f t="shared" si="47"/>
        <v>2480</v>
      </c>
      <c r="N424" s="48">
        <f t="shared" si="48"/>
        <v>1578</v>
      </c>
      <c r="O424" s="50">
        <f t="shared" si="49"/>
        <v>4058</v>
      </c>
      <c r="P424" s="50">
        <v>0</v>
      </c>
      <c r="Q424" s="76"/>
      <c r="R424" s="140">
        <f>IF((10*S9+50*S10)&gt;200,200,(10*S9+50*S10))</f>
        <v>200</v>
      </c>
      <c r="S424" s="79">
        <v>10.129999999999999</v>
      </c>
      <c r="T424" s="80">
        <v>6.45</v>
      </c>
    </row>
    <row r="425" spans="2:20" ht="70">
      <c r="B425" s="5" t="s">
        <v>1023</v>
      </c>
      <c r="C425" s="45" t="s">
        <v>135</v>
      </c>
      <c r="D425" s="45">
        <v>97887</v>
      </c>
      <c r="E425" s="6" t="s">
        <v>1024</v>
      </c>
      <c r="F425" s="45" t="s">
        <v>210</v>
      </c>
      <c r="G425" s="46">
        <f t="shared" si="50"/>
        <v>225</v>
      </c>
      <c r="H425" s="46">
        <f>TRUNC(S425*(1-LOTE_02!$K$10),2)</f>
        <v>196.95</v>
      </c>
      <c r="I425" s="46">
        <f>TRUNC(T425*(1-LOTE_02!$K$10),2)</f>
        <v>120.86</v>
      </c>
      <c r="J425" s="100">
        <f t="shared" si="51"/>
        <v>0.22470000000000001</v>
      </c>
      <c r="K425" s="48">
        <f t="shared" si="45"/>
        <v>241.2</v>
      </c>
      <c r="L425" s="48">
        <f t="shared" si="46"/>
        <v>148.01</v>
      </c>
      <c r="M425" s="48">
        <f t="shared" si="47"/>
        <v>54270</v>
      </c>
      <c r="N425" s="48">
        <f t="shared" si="48"/>
        <v>33302.25</v>
      </c>
      <c r="O425" s="50">
        <f t="shared" si="49"/>
        <v>87572.25</v>
      </c>
      <c r="P425" s="50">
        <v>0</v>
      </c>
      <c r="Q425" s="76"/>
      <c r="R425" s="140">
        <f>5*S9+5*S10</f>
        <v>225</v>
      </c>
      <c r="S425" s="79">
        <v>196.95</v>
      </c>
      <c r="T425" s="80">
        <v>120.86</v>
      </c>
    </row>
    <row r="426" spans="2:20" ht="70">
      <c r="B426" s="5" t="s">
        <v>1025</v>
      </c>
      <c r="C426" s="45" t="s">
        <v>135</v>
      </c>
      <c r="D426" s="45">
        <v>93009</v>
      </c>
      <c r="E426" s="6" t="s">
        <v>1026</v>
      </c>
      <c r="F426" s="45" t="s">
        <v>187</v>
      </c>
      <c r="G426" s="46">
        <f t="shared" si="50"/>
        <v>1450</v>
      </c>
      <c r="H426" s="46">
        <f>TRUNC(S426*(1-LOTE_02!$K$10),2)</f>
        <v>28.61</v>
      </c>
      <c r="I426" s="46">
        <f>TRUNC(T426*(1-LOTE_02!$K$10),2)</f>
        <v>4.9000000000000004</v>
      </c>
      <c r="J426" s="100">
        <f t="shared" si="51"/>
        <v>0.22470000000000001</v>
      </c>
      <c r="K426" s="48">
        <f t="shared" si="45"/>
        <v>35.03</v>
      </c>
      <c r="L426" s="48">
        <f t="shared" si="46"/>
        <v>6</v>
      </c>
      <c r="M426" s="48">
        <f t="shared" si="47"/>
        <v>50793.5</v>
      </c>
      <c r="N426" s="48">
        <f t="shared" si="48"/>
        <v>8700</v>
      </c>
      <c r="O426" s="50">
        <f t="shared" si="49"/>
        <v>59493.5</v>
      </c>
      <c r="P426" s="50">
        <v>0</v>
      </c>
      <c r="Q426" s="76"/>
      <c r="R426" s="140">
        <f>10*S9+50*S10</f>
        <v>1450</v>
      </c>
      <c r="S426" s="79">
        <v>28.61</v>
      </c>
      <c r="T426" s="80">
        <v>4.9000000000000004</v>
      </c>
    </row>
    <row r="427" spans="2:20" ht="42">
      <c r="B427" s="5" t="s">
        <v>1027</v>
      </c>
      <c r="C427" s="45" t="s">
        <v>165</v>
      </c>
      <c r="D427" s="45" t="s">
        <v>1028</v>
      </c>
      <c r="E427" s="6" t="s">
        <v>1029</v>
      </c>
      <c r="F427" s="45" t="s">
        <v>531</v>
      </c>
      <c r="G427" s="46">
        <f t="shared" si="50"/>
        <v>350</v>
      </c>
      <c r="H427" s="46">
        <f>TRUNC(S427*(1-LOTE_02!$K$10),2)</f>
        <v>21.87</v>
      </c>
      <c r="I427" s="46">
        <f>TRUNC(T427*(1-LOTE_02!$K$10),2)</f>
        <v>23.91</v>
      </c>
      <c r="J427" s="100">
        <f t="shared" si="51"/>
        <v>0.22470000000000001</v>
      </c>
      <c r="K427" s="48">
        <f t="shared" si="45"/>
        <v>26.78</v>
      </c>
      <c r="L427" s="48">
        <f t="shared" si="46"/>
        <v>29.28</v>
      </c>
      <c r="M427" s="48">
        <f t="shared" si="47"/>
        <v>9373</v>
      </c>
      <c r="N427" s="48">
        <f t="shared" si="48"/>
        <v>10248</v>
      </c>
      <c r="O427" s="50">
        <f t="shared" si="49"/>
        <v>19621</v>
      </c>
      <c r="P427" s="50">
        <v>0</v>
      </c>
      <c r="Q427" s="76"/>
      <c r="R427" s="140">
        <f>5*S9+10*S10</f>
        <v>350</v>
      </c>
      <c r="S427" s="79">
        <v>21.87</v>
      </c>
      <c r="T427" s="80">
        <v>23.91</v>
      </c>
    </row>
    <row r="428" spans="2:20" ht="70">
      <c r="B428" s="5" t="s">
        <v>1030</v>
      </c>
      <c r="C428" s="45" t="s">
        <v>135</v>
      </c>
      <c r="D428" s="45">
        <v>91864</v>
      </c>
      <c r="E428" s="6" t="s">
        <v>838</v>
      </c>
      <c r="F428" s="45" t="s">
        <v>187</v>
      </c>
      <c r="G428" s="46">
        <f t="shared" si="50"/>
        <v>1400</v>
      </c>
      <c r="H428" s="46">
        <f>TRUNC(S428*(1-LOTE_02!$K$10),2)</f>
        <v>13.04</v>
      </c>
      <c r="I428" s="46">
        <f>TRUNC(T428*(1-LOTE_02!$K$10),2)</f>
        <v>5.35</v>
      </c>
      <c r="J428" s="100">
        <f t="shared" si="51"/>
        <v>0.22470000000000001</v>
      </c>
      <c r="K428" s="48">
        <f t="shared" si="45"/>
        <v>15.97</v>
      </c>
      <c r="L428" s="48">
        <f t="shared" si="46"/>
        <v>6.55</v>
      </c>
      <c r="M428" s="48">
        <f t="shared" si="47"/>
        <v>22358</v>
      </c>
      <c r="N428" s="48">
        <f t="shared" si="48"/>
        <v>9170</v>
      </c>
      <c r="O428" s="50">
        <f t="shared" si="49"/>
        <v>31528</v>
      </c>
      <c r="P428" s="50">
        <v>0</v>
      </c>
      <c r="Q428" s="76"/>
      <c r="R428" s="140">
        <f>20*S9+40*S10</f>
        <v>1400</v>
      </c>
      <c r="S428" s="79">
        <v>13.040000000000001</v>
      </c>
      <c r="T428" s="80">
        <v>5.35</v>
      </c>
    </row>
    <row r="429" spans="2:20" ht="70">
      <c r="B429" s="5" t="s">
        <v>1031</v>
      </c>
      <c r="C429" s="45" t="s">
        <v>135</v>
      </c>
      <c r="D429" s="45">
        <v>91867</v>
      </c>
      <c r="E429" s="6" t="s">
        <v>927</v>
      </c>
      <c r="F429" s="45" t="s">
        <v>187</v>
      </c>
      <c r="G429" s="46">
        <f t="shared" si="50"/>
        <v>225</v>
      </c>
      <c r="H429" s="46">
        <f>TRUNC(S429*(1-LOTE_02!$K$10),2)</f>
        <v>8.48</v>
      </c>
      <c r="I429" s="46">
        <f>TRUNC(T429*(1-LOTE_02!$K$10),2)</f>
        <v>3.63</v>
      </c>
      <c r="J429" s="100">
        <f t="shared" si="51"/>
        <v>0.22470000000000001</v>
      </c>
      <c r="K429" s="48">
        <f t="shared" si="45"/>
        <v>10.38</v>
      </c>
      <c r="L429" s="48">
        <f t="shared" si="46"/>
        <v>4.4400000000000004</v>
      </c>
      <c r="M429" s="48">
        <f t="shared" si="47"/>
        <v>2335.5</v>
      </c>
      <c r="N429" s="48">
        <f t="shared" si="48"/>
        <v>999</v>
      </c>
      <c r="O429" s="50">
        <f t="shared" si="49"/>
        <v>3334.5</v>
      </c>
      <c r="P429" s="50">
        <v>0</v>
      </c>
      <c r="Q429" s="76"/>
      <c r="R429" s="140">
        <f>5*S9+5*S10</f>
        <v>225</v>
      </c>
      <c r="S429" s="79">
        <v>8.48</v>
      </c>
      <c r="T429" s="80">
        <v>3.63</v>
      </c>
    </row>
    <row r="430" spans="2:20" ht="42">
      <c r="B430" s="5" t="s">
        <v>1032</v>
      </c>
      <c r="C430" s="45" t="s">
        <v>165</v>
      </c>
      <c r="D430" s="45" t="s">
        <v>1033</v>
      </c>
      <c r="E430" s="6" t="s">
        <v>1034</v>
      </c>
      <c r="F430" s="45" t="s">
        <v>531</v>
      </c>
      <c r="G430" s="46">
        <f>IF($S$11=0,0,TRUNC(R430,2))</f>
        <v>735</v>
      </c>
      <c r="H430" s="46">
        <f>TRUNC(S430*(1-LOTE_02!$K$10),2)</f>
        <v>25.9</v>
      </c>
      <c r="I430" s="46">
        <f>TRUNC(T430*(1-LOTE_02!$K$10),2)</f>
        <v>15.94</v>
      </c>
      <c r="J430" s="100">
        <f t="shared" si="51"/>
        <v>0.22470000000000001</v>
      </c>
      <c r="K430" s="48">
        <f t="shared" si="45"/>
        <v>31.71</v>
      </c>
      <c r="L430" s="48">
        <f t="shared" si="46"/>
        <v>19.52</v>
      </c>
      <c r="M430" s="48">
        <f t="shared" si="47"/>
        <v>23306.85</v>
      </c>
      <c r="N430" s="48">
        <f t="shared" si="48"/>
        <v>14347.2</v>
      </c>
      <c r="O430" s="50">
        <f t="shared" si="49"/>
        <v>37654.050000000003</v>
      </c>
      <c r="P430" s="50">
        <v>0</v>
      </c>
      <c r="Q430" s="76"/>
      <c r="R430" s="140">
        <f>5*S9+25*S10+10</f>
        <v>735</v>
      </c>
      <c r="S430" s="79">
        <v>25.9</v>
      </c>
      <c r="T430" s="80">
        <v>15.94</v>
      </c>
    </row>
    <row r="431" spans="2:20" ht="42">
      <c r="B431" s="5" t="s">
        <v>1035</v>
      </c>
      <c r="C431" s="45" t="s">
        <v>165</v>
      </c>
      <c r="D431" s="45" t="s">
        <v>1036</v>
      </c>
      <c r="E431" s="6" t="s">
        <v>1037</v>
      </c>
      <c r="F431" s="45" t="s">
        <v>531</v>
      </c>
      <c r="G431" s="46">
        <f t="shared" si="50"/>
        <v>350</v>
      </c>
      <c r="H431" s="46">
        <f>TRUNC(S431*(1-LOTE_02!$K$10),2)</f>
        <v>19.43</v>
      </c>
      <c r="I431" s="46">
        <f>TRUNC(T431*(1-LOTE_02!$K$10),2)</f>
        <v>15.94</v>
      </c>
      <c r="J431" s="100">
        <f t="shared" si="51"/>
        <v>0.22470000000000001</v>
      </c>
      <c r="K431" s="48">
        <f t="shared" si="45"/>
        <v>23.79</v>
      </c>
      <c r="L431" s="48">
        <f t="shared" si="46"/>
        <v>19.52</v>
      </c>
      <c r="M431" s="48">
        <f t="shared" si="47"/>
        <v>8326.5</v>
      </c>
      <c r="N431" s="48">
        <f t="shared" si="48"/>
        <v>6832</v>
      </c>
      <c r="O431" s="50">
        <f t="shared" si="49"/>
        <v>15158.5</v>
      </c>
      <c r="P431" s="50">
        <v>0</v>
      </c>
      <c r="Q431" s="76"/>
      <c r="R431" s="140">
        <f>5*S9+10*S10</f>
        <v>350</v>
      </c>
      <c r="S431" s="79">
        <v>19.43</v>
      </c>
      <c r="T431" s="80">
        <v>15.94</v>
      </c>
    </row>
    <row r="432" spans="2:20" ht="56">
      <c r="B432" s="5" t="s">
        <v>1038</v>
      </c>
      <c r="C432" s="45" t="s">
        <v>97</v>
      </c>
      <c r="D432" s="45" t="s">
        <v>1039</v>
      </c>
      <c r="E432" s="6" t="s">
        <v>1040</v>
      </c>
      <c r="F432" s="45" t="s">
        <v>925</v>
      </c>
      <c r="G432" s="46">
        <f t="shared" si="50"/>
        <v>600</v>
      </c>
      <c r="H432" s="46">
        <f>TRUNC(S432*(1-LOTE_02!$K$10),2)</f>
        <v>36.369999999999997</v>
      </c>
      <c r="I432" s="46">
        <f>TRUNC(T432*(1-LOTE_02!$K$10),2)</f>
        <v>19.71</v>
      </c>
      <c r="J432" s="100">
        <f t="shared" si="51"/>
        <v>0.22470000000000001</v>
      </c>
      <c r="K432" s="48">
        <f t="shared" si="45"/>
        <v>44.54</v>
      </c>
      <c r="L432" s="48">
        <f t="shared" si="46"/>
        <v>24.13</v>
      </c>
      <c r="M432" s="48">
        <f t="shared" si="47"/>
        <v>26724</v>
      </c>
      <c r="N432" s="48">
        <f t="shared" si="48"/>
        <v>14478</v>
      </c>
      <c r="O432" s="50">
        <f t="shared" si="49"/>
        <v>41202</v>
      </c>
      <c r="P432" s="50">
        <v>0</v>
      </c>
      <c r="Q432" s="76"/>
      <c r="R432" s="140">
        <f>5*S9+20*S10</f>
        <v>600</v>
      </c>
      <c r="S432" s="79">
        <v>36.369999999999997</v>
      </c>
      <c r="T432" s="80">
        <v>19.71</v>
      </c>
    </row>
    <row r="433" spans="2:20" ht="42">
      <c r="B433" s="5" t="s">
        <v>1041</v>
      </c>
      <c r="C433" s="45" t="s">
        <v>165</v>
      </c>
      <c r="D433" s="45" t="s">
        <v>1042</v>
      </c>
      <c r="E433" s="6" t="s">
        <v>1043</v>
      </c>
      <c r="F433" s="45" t="s">
        <v>531</v>
      </c>
      <c r="G433" s="46">
        <f t="shared" si="50"/>
        <v>225</v>
      </c>
      <c r="H433" s="46">
        <f>TRUNC(S433*(1-LOTE_02!$K$10),2)</f>
        <v>46.68</v>
      </c>
      <c r="I433" s="46">
        <f>TRUNC(T433*(1-LOTE_02!$K$10),2)</f>
        <v>15.42</v>
      </c>
      <c r="J433" s="100">
        <f t="shared" si="51"/>
        <v>0.22470000000000001</v>
      </c>
      <c r="K433" s="48">
        <f t="shared" si="45"/>
        <v>57.16</v>
      </c>
      <c r="L433" s="48">
        <f t="shared" si="46"/>
        <v>18.88</v>
      </c>
      <c r="M433" s="48">
        <f t="shared" si="47"/>
        <v>12861</v>
      </c>
      <c r="N433" s="48">
        <f t="shared" si="48"/>
        <v>4248</v>
      </c>
      <c r="O433" s="50">
        <f t="shared" si="49"/>
        <v>17109</v>
      </c>
      <c r="P433" s="50">
        <v>0</v>
      </c>
      <c r="Q433" s="76"/>
      <c r="R433" s="140">
        <f>5*S9+5*S10</f>
        <v>225</v>
      </c>
      <c r="S433" s="79">
        <v>46.68</v>
      </c>
      <c r="T433" s="80">
        <v>15.42</v>
      </c>
    </row>
    <row r="434" spans="2:20" ht="28">
      <c r="B434" s="5" t="s">
        <v>1044</v>
      </c>
      <c r="C434" s="45" t="s">
        <v>97</v>
      </c>
      <c r="D434" s="45" t="s">
        <v>1045</v>
      </c>
      <c r="E434" s="6" t="s">
        <v>1046</v>
      </c>
      <c r="F434" s="45" t="s">
        <v>187</v>
      </c>
      <c r="G434" s="46">
        <f t="shared" si="50"/>
        <v>1350</v>
      </c>
      <c r="H434" s="46">
        <f>TRUNC(S434*(1-LOTE_02!$K$10),2)</f>
        <v>58.1</v>
      </c>
      <c r="I434" s="46">
        <f>TRUNC(T434*(1-LOTE_02!$K$10),2)</f>
        <v>30.05</v>
      </c>
      <c r="J434" s="100">
        <f t="shared" si="51"/>
        <v>0.22470000000000001</v>
      </c>
      <c r="K434" s="48">
        <f t="shared" si="45"/>
        <v>71.150000000000006</v>
      </c>
      <c r="L434" s="48">
        <f t="shared" si="46"/>
        <v>36.799999999999997</v>
      </c>
      <c r="M434" s="48">
        <f t="shared" si="47"/>
        <v>96052.5</v>
      </c>
      <c r="N434" s="48">
        <f t="shared" si="48"/>
        <v>49680</v>
      </c>
      <c r="O434" s="50">
        <f t="shared" si="49"/>
        <v>145732.5</v>
      </c>
      <c r="P434" s="50">
        <v>0</v>
      </c>
      <c r="Q434" s="76"/>
      <c r="R434" s="140">
        <f>30*S9+30*S10</f>
        <v>1350</v>
      </c>
      <c r="S434" s="79">
        <v>58.1</v>
      </c>
      <c r="T434" s="80">
        <v>30.05</v>
      </c>
    </row>
    <row r="435" spans="2:20">
      <c r="B435" s="5" t="s">
        <v>1047</v>
      </c>
      <c r="C435" s="45" t="s">
        <v>97</v>
      </c>
      <c r="D435" s="45" t="s">
        <v>1048</v>
      </c>
      <c r="E435" s="6" t="s">
        <v>1049</v>
      </c>
      <c r="F435" s="45" t="s">
        <v>104</v>
      </c>
      <c r="G435" s="46">
        <f t="shared" si="50"/>
        <v>225</v>
      </c>
      <c r="H435" s="46">
        <f>TRUNC(S435*(1-LOTE_02!$K$10),2)</f>
        <v>106.98</v>
      </c>
      <c r="I435" s="46">
        <f>TRUNC(T435*(1-LOTE_02!$K$10),2)</f>
        <v>9.42</v>
      </c>
      <c r="J435" s="100">
        <f t="shared" si="51"/>
        <v>0.22470000000000001</v>
      </c>
      <c r="K435" s="48">
        <f t="shared" si="45"/>
        <v>131.01</v>
      </c>
      <c r="L435" s="48">
        <f t="shared" si="46"/>
        <v>11.53</v>
      </c>
      <c r="M435" s="48">
        <f t="shared" si="47"/>
        <v>29477.25</v>
      </c>
      <c r="N435" s="48">
        <f t="shared" si="48"/>
        <v>2594.25</v>
      </c>
      <c r="O435" s="50">
        <f t="shared" si="49"/>
        <v>32071.5</v>
      </c>
      <c r="P435" s="50">
        <v>0</v>
      </c>
      <c r="Q435" s="76"/>
      <c r="R435" s="140">
        <f>5*S9+5*S10</f>
        <v>225</v>
      </c>
      <c r="S435" s="79">
        <v>106.98</v>
      </c>
      <c r="T435" s="80">
        <v>9.42</v>
      </c>
    </row>
    <row r="436" spans="2:20">
      <c r="B436" s="5" t="s">
        <v>1050</v>
      </c>
      <c r="C436" s="45" t="s">
        <v>97</v>
      </c>
      <c r="D436" s="45" t="s">
        <v>1051</v>
      </c>
      <c r="E436" s="6" t="s">
        <v>1052</v>
      </c>
      <c r="F436" s="45" t="s">
        <v>104</v>
      </c>
      <c r="G436" s="46">
        <f t="shared" si="50"/>
        <v>225</v>
      </c>
      <c r="H436" s="46">
        <f>TRUNC(S436*(1-LOTE_02!$K$10),2)</f>
        <v>22.48</v>
      </c>
      <c r="I436" s="46">
        <f>TRUNC(T436*(1-LOTE_02!$K$10),2)</f>
        <v>9.42</v>
      </c>
      <c r="J436" s="100">
        <f t="shared" si="51"/>
        <v>0.22470000000000001</v>
      </c>
      <c r="K436" s="48">
        <f t="shared" si="45"/>
        <v>27.53</v>
      </c>
      <c r="L436" s="48">
        <f t="shared" si="46"/>
        <v>11.53</v>
      </c>
      <c r="M436" s="48">
        <f t="shared" si="47"/>
        <v>6194.25</v>
      </c>
      <c r="N436" s="48">
        <f t="shared" si="48"/>
        <v>2594.25</v>
      </c>
      <c r="O436" s="50">
        <f t="shared" si="49"/>
        <v>8788.5</v>
      </c>
      <c r="P436" s="50">
        <v>0</v>
      </c>
      <c r="Q436" s="76"/>
      <c r="R436" s="140">
        <f>5*S9+5*S10</f>
        <v>225</v>
      </c>
      <c r="S436" s="79">
        <v>22.48</v>
      </c>
      <c r="T436" s="80">
        <v>9.42</v>
      </c>
    </row>
    <row r="437" spans="2:20">
      <c r="B437" s="5" t="s">
        <v>1053</v>
      </c>
      <c r="C437" s="45" t="s">
        <v>97</v>
      </c>
      <c r="D437" s="45" t="s">
        <v>1054</v>
      </c>
      <c r="E437" s="6" t="s">
        <v>1055</v>
      </c>
      <c r="F437" s="45" t="s">
        <v>104</v>
      </c>
      <c r="G437" s="46">
        <f t="shared" si="50"/>
        <v>225</v>
      </c>
      <c r="H437" s="46">
        <f>TRUNC(S437*(1-LOTE_02!$K$10),2)</f>
        <v>101.56</v>
      </c>
      <c r="I437" s="46">
        <f>TRUNC(T437*(1-LOTE_02!$K$10),2)</f>
        <v>9.42</v>
      </c>
      <c r="J437" s="100">
        <f t="shared" si="51"/>
        <v>0.22470000000000001</v>
      </c>
      <c r="K437" s="48">
        <f t="shared" si="45"/>
        <v>124.38</v>
      </c>
      <c r="L437" s="48">
        <f t="shared" si="46"/>
        <v>11.53</v>
      </c>
      <c r="M437" s="48">
        <f t="shared" si="47"/>
        <v>27985.5</v>
      </c>
      <c r="N437" s="48">
        <f t="shared" si="48"/>
        <v>2594.25</v>
      </c>
      <c r="O437" s="50">
        <f t="shared" si="49"/>
        <v>30579.75</v>
      </c>
      <c r="P437" s="50">
        <v>0</v>
      </c>
      <c r="Q437" s="76"/>
      <c r="R437" s="140">
        <f>5*S9+5*S10</f>
        <v>225</v>
      </c>
      <c r="S437" s="79">
        <v>101.56</v>
      </c>
      <c r="T437" s="80">
        <v>9.42</v>
      </c>
    </row>
    <row r="438" spans="2:20">
      <c r="B438" s="5" t="s">
        <v>1056</v>
      </c>
      <c r="C438" s="45" t="s">
        <v>97</v>
      </c>
      <c r="D438" s="45" t="s">
        <v>1057</v>
      </c>
      <c r="E438" s="6" t="s">
        <v>1058</v>
      </c>
      <c r="F438" s="45" t="s">
        <v>1059</v>
      </c>
      <c r="G438" s="46">
        <f t="shared" si="50"/>
        <v>165</v>
      </c>
      <c r="H438" s="46">
        <f>TRUNC(S438*(1-LOTE_02!$K$10),2)</f>
        <v>27.96</v>
      </c>
      <c r="I438" s="46">
        <f>TRUNC(T438*(1-LOTE_02!$K$10),2)</f>
        <v>7.88</v>
      </c>
      <c r="J438" s="100">
        <f t="shared" si="51"/>
        <v>0.22470000000000001</v>
      </c>
      <c r="K438" s="48">
        <f t="shared" si="45"/>
        <v>34.24</v>
      </c>
      <c r="L438" s="48">
        <f t="shared" si="46"/>
        <v>9.65</v>
      </c>
      <c r="M438" s="48">
        <f t="shared" si="47"/>
        <v>5649.6</v>
      </c>
      <c r="N438" s="48">
        <f t="shared" si="48"/>
        <v>1592.25</v>
      </c>
      <c r="O438" s="50">
        <f t="shared" si="49"/>
        <v>7241.85</v>
      </c>
      <c r="P438" s="50">
        <v>0</v>
      </c>
      <c r="Q438" s="76"/>
      <c r="R438" s="140">
        <f>2*S9+5*S10</f>
        <v>165</v>
      </c>
      <c r="S438" s="79">
        <v>27.96</v>
      </c>
      <c r="T438" s="80">
        <v>7.88</v>
      </c>
    </row>
    <row r="439" spans="2:20" ht="28">
      <c r="B439" s="5" t="s">
        <v>1060</v>
      </c>
      <c r="C439" s="45" t="s">
        <v>97</v>
      </c>
      <c r="D439" s="45" t="s">
        <v>1061</v>
      </c>
      <c r="E439" s="6" t="s">
        <v>1062</v>
      </c>
      <c r="F439" s="45" t="s">
        <v>104</v>
      </c>
      <c r="G439" s="46">
        <f t="shared" si="50"/>
        <v>900</v>
      </c>
      <c r="H439" s="46">
        <f>TRUNC(S439*(1-LOTE_02!$K$10),2)</f>
        <v>53.09</v>
      </c>
      <c r="I439" s="46">
        <f>TRUNC(T439*(1-LOTE_02!$K$10),2)</f>
        <v>31.03</v>
      </c>
      <c r="J439" s="100">
        <f t="shared" si="51"/>
        <v>0.22470000000000001</v>
      </c>
      <c r="K439" s="48">
        <f t="shared" si="45"/>
        <v>65.010000000000005</v>
      </c>
      <c r="L439" s="48">
        <f t="shared" si="46"/>
        <v>38</v>
      </c>
      <c r="M439" s="48">
        <f t="shared" si="47"/>
        <v>58509</v>
      </c>
      <c r="N439" s="48">
        <f t="shared" si="48"/>
        <v>34200</v>
      </c>
      <c r="O439" s="50">
        <f t="shared" si="49"/>
        <v>92709</v>
      </c>
      <c r="P439" s="50">
        <v>0</v>
      </c>
      <c r="Q439" s="76"/>
      <c r="R439" s="140">
        <f>20*S9+20*S10</f>
        <v>900</v>
      </c>
      <c r="S439" s="79">
        <v>53.09</v>
      </c>
      <c r="T439" s="80">
        <v>31.03</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50">
        <v>0</v>
      </c>
      <c r="Q440" s="76"/>
      <c r="R440" s="154"/>
      <c r="S440" s="79" t="s">
        <v>22</v>
      </c>
      <c r="T440" s="80" t="s">
        <v>22</v>
      </c>
    </row>
    <row r="441" spans="2:20" ht="84">
      <c r="B441" s="5" t="s">
        <v>1065</v>
      </c>
      <c r="C441" s="45" t="s">
        <v>135</v>
      </c>
      <c r="D441" s="45">
        <v>101878</v>
      </c>
      <c r="E441" s="6" t="s">
        <v>1066</v>
      </c>
      <c r="F441" s="45" t="s">
        <v>210</v>
      </c>
      <c r="G441" s="46">
        <f t="shared" si="50"/>
        <v>10</v>
      </c>
      <c r="H441" s="46">
        <f>TRUNC(S441*(1-LOTE_02!$K$10),2)</f>
        <v>388.71</v>
      </c>
      <c r="I441" s="46">
        <f>TRUNC(T441*(1-LOTE_02!$K$10),2)</f>
        <v>10.86</v>
      </c>
      <c r="J441" s="100">
        <f t="shared" si="51"/>
        <v>0.22470000000000001</v>
      </c>
      <c r="K441" s="48">
        <f t="shared" si="45"/>
        <v>476.05</v>
      </c>
      <c r="L441" s="48">
        <f t="shared" si="46"/>
        <v>13.3</v>
      </c>
      <c r="M441" s="48">
        <f t="shared" si="47"/>
        <v>4760.5</v>
      </c>
      <c r="N441" s="48">
        <f t="shared" si="48"/>
        <v>133</v>
      </c>
      <c r="O441" s="50">
        <f t="shared" si="49"/>
        <v>4893.5</v>
      </c>
      <c r="P441" s="50">
        <v>0</v>
      </c>
      <c r="Q441" s="76"/>
      <c r="R441" s="140">
        <f>IF((1*S9+1*S10)&gt;10,10,(1*S9+1*S10))</f>
        <v>10</v>
      </c>
      <c r="S441" s="79">
        <v>388.71</v>
      </c>
      <c r="T441" s="80">
        <v>10.86</v>
      </c>
    </row>
    <row r="442" spans="2:20" ht="84">
      <c r="B442" s="5" t="s">
        <v>1067</v>
      </c>
      <c r="C442" s="45" t="s">
        <v>135</v>
      </c>
      <c r="D442" s="45">
        <v>101879</v>
      </c>
      <c r="E442" s="6" t="s">
        <v>1068</v>
      </c>
      <c r="F442" s="45" t="s">
        <v>210</v>
      </c>
      <c r="G442" s="46">
        <f t="shared" si="50"/>
        <v>10</v>
      </c>
      <c r="H442" s="46">
        <f>TRUNC(S442*(1-LOTE_02!$K$10),2)</f>
        <v>486.14</v>
      </c>
      <c r="I442" s="46">
        <f>TRUNC(T442*(1-LOTE_02!$K$10),2)</f>
        <v>60.57</v>
      </c>
      <c r="J442" s="100">
        <f t="shared" si="51"/>
        <v>0.22470000000000001</v>
      </c>
      <c r="K442" s="48">
        <f t="shared" si="45"/>
        <v>595.37</v>
      </c>
      <c r="L442" s="48">
        <f t="shared" si="46"/>
        <v>74.180000000000007</v>
      </c>
      <c r="M442" s="48">
        <f t="shared" si="47"/>
        <v>5953.7</v>
      </c>
      <c r="N442" s="48">
        <f t="shared" si="48"/>
        <v>741.8</v>
      </c>
      <c r="O442" s="50">
        <f t="shared" si="49"/>
        <v>6695.5</v>
      </c>
      <c r="P442" s="50">
        <v>0</v>
      </c>
      <c r="Q442" s="76"/>
      <c r="R442" s="140">
        <f>IF((1*S9+1*S10)&gt;10,10,(1*S9+1*S10))</f>
        <v>10</v>
      </c>
      <c r="S442" s="79">
        <v>486.14000000000004</v>
      </c>
      <c r="T442" s="80">
        <v>60.57</v>
      </c>
    </row>
    <row r="443" spans="2:20" ht="84">
      <c r="B443" s="5" t="s">
        <v>1069</v>
      </c>
      <c r="C443" s="45" t="s">
        <v>135</v>
      </c>
      <c r="D443" s="45">
        <v>101880</v>
      </c>
      <c r="E443" s="6" t="s">
        <v>1070</v>
      </c>
      <c r="F443" s="45" t="s">
        <v>210</v>
      </c>
      <c r="G443" s="46">
        <f t="shared" si="50"/>
        <v>10</v>
      </c>
      <c r="H443" s="46">
        <f>TRUNC(S443*(1-LOTE_02!$K$10),2)</f>
        <v>563.11</v>
      </c>
      <c r="I443" s="46">
        <f>TRUNC(T443*(1-LOTE_02!$K$10),2)</f>
        <v>74.83</v>
      </c>
      <c r="J443" s="100">
        <f t="shared" si="51"/>
        <v>0.22470000000000001</v>
      </c>
      <c r="K443" s="48">
        <f t="shared" si="45"/>
        <v>689.64</v>
      </c>
      <c r="L443" s="48">
        <f t="shared" si="46"/>
        <v>91.64</v>
      </c>
      <c r="M443" s="48">
        <f t="shared" si="47"/>
        <v>6896.4</v>
      </c>
      <c r="N443" s="48">
        <f t="shared" si="48"/>
        <v>916.4</v>
      </c>
      <c r="O443" s="50">
        <f t="shared" si="49"/>
        <v>7812.8</v>
      </c>
      <c r="P443" s="50">
        <v>0</v>
      </c>
      <c r="Q443" s="76"/>
      <c r="R443" s="140">
        <f>IF((1*S9+1*S10)&gt;10,10,(1*S9+1*S10))</f>
        <v>10</v>
      </c>
      <c r="S443" s="79">
        <v>563.11</v>
      </c>
      <c r="T443" s="80">
        <v>74.83</v>
      </c>
    </row>
    <row r="444" spans="2:20" ht="84">
      <c r="B444" s="5" t="s">
        <v>1071</v>
      </c>
      <c r="C444" s="45" t="s">
        <v>135</v>
      </c>
      <c r="D444" s="45">
        <v>101882</v>
      </c>
      <c r="E444" s="6" t="s">
        <v>1072</v>
      </c>
      <c r="F444" s="45" t="s">
        <v>210</v>
      </c>
      <c r="G444" s="46">
        <f t="shared" si="50"/>
        <v>10</v>
      </c>
      <c r="H444" s="46">
        <f>TRUNC(S444*(1-LOTE_02!$K$10),2)</f>
        <v>1114.67</v>
      </c>
      <c r="I444" s="46">
        <f>TRUNC(T444*(1-LOTE_02!$K$10),2)</f>
        <v>73.8</v>
      </c>
      <c r="J444" s="100">
        <f t="shared" si="51"/>
        <v>0.22470000000000001</v>
      </c>
      <c r="K444" s="48">
        <f t="shared" si="45"/>
        <v>1365.13</v>
      </c>
      <c r="L444" s="48">
        <f t="shared" si="46"/>
        <v>90.38</v>
      </c>
      <c r="M444" s="48">
        <f t="shared" si="47"/>
        <v>13651.3</v>
      </c>
      <c r="N444" s="48">
        <f t="shared" si="48"/>
        <v>903.8</v>
      </c>
      <c r="O444" s="50">
        <f t="shared" si="49"/>
        <v>14555.1</v>
      </c>
      <c r="P444" s="50">
        <v>0</v>
      </c>
      <c r="Q444" s="76"/>
      <c r="R444" s="140">
        <f>IF((1*S9+1*S10)&gt;10,10,(1*S9+1*S10))</f>
        <v>10</v>
      </c>
      <c r="S444" s="79">
        <v>1114.67</v>
      </c>
      <c r="T444" s="80">
        <v>73.8</v>
      </c>
    </row>
    <row r="445" spans="2:20" ht="84">
      <c r="B445" s="5" t="s">
        <v>1073</v>
      </c>
      <c r="C445" s="45" t="s">
        <v>135</v>
      </c>
      <c r="D445" s="45">
        <v>101881</v>
      </c>
      <c r="E445" s="6" t="s">
        <v>1074</v>
      </c>
      <c r="F445" s="45" t="s">
        <v>210</v>
      </c>
      <c r="G445" s="46">
        <f t="shared" si="50"/>
        <v>10</v>
      </c>
      <c r="H445" s="46">
        <f>TRUNC(S445*(1-LOTE_02!$K$10),2)</f>
        <v>795.32</v>
      </c>
      <c r="I445" s="46">
        <f>TRUNC(T445*(1-LOTE_02!$K$10),2)</f>
        <v>74.83</v>
      </c>
      <c r="J445" s="100">
        <f t="shared" si="51"/>
        <v>0.22470000000000001</v>
      </c>
      <c r="K445" s="48">
        <f t="shared" si="45"/>
        <v>974.02</v>
      </c>
      <c r="L445" s="48">
        <f t="shared" si="46"/>
        <v>91.64</v>
      </c>
      <c r="M445" s="48">
        <f t="shared" si="47"/>
        <v>9740.2000000000007</v>
      </c>
      <c r="N445" s="48">
        <f t="shared" si="48"/>
        <v>916.4</v>
      </c>
      <c r="O445" s="50">
        <f t="shared" si="49"/>
        <v>10656.6</v>
      </c>
      <c r="P445" s="50">
        <v>0</v>
      </c>
      <c r="Q445" s="76"/>
      <c r="R445" s="140">
        <f>IF((1*S9+1*S10)&gt;10,10,(1*S9+1*S10))</f>
        <v>10</v>
      </c>
      <c r="S445" s="79">
        <v>795.31999999999994</v>
      </c>
      <c r="T445" s="80">
        <v>74.83</v>
      </c>
    </row>
    <row r="446" spans="2:20" ht="56">
      <c r="B446" s="5" t="s">
        <v>1075</v>
      </c>
      <c r="C446" s="45" t="s">
        <v>135</v>
      </c>
      <c r="D446" s="45">
        <v>93653</v>
      </c>
      <c r="E446" s="6" t="s">
        <v>1076</v>
      </c>
      <c r="F446" s="45" t="s">
        <v>210</v>
      </c>
      <c r="G446" s="46">
        <f t="shared" si="50"/>
        <v>950</v>
      </c>
      <c r="H446" s="46">
        <f>TRUNC(S446*(1-LOTE_02!$K$10),2)</f>
        <v>10.61</v>
      </c>
      <c r="I446" s="46">
        <f>TRUNC(T446*(1-LOTE_02!$K$10),2)</f>
        <v>1.39</v>
      </c>
      <c r="J446" s="100">
        <f t="shared" si="51"/>
        <v>0.22470000000000001</v>
      </c>
      <c r="K446" s="48">
        <f t="shared" si="45"/>
        <v>12.99</v>
      </c>
      <c r="L446" s="48">
        <f t="shared" si="46"/>
        <v>1.7</v>
      </c>
      <c r="M446" s="48">
        <f t="shared" si="47"/>
        <v>12340.5</v>
      </c>
      <c r="N446" s="48">
        <f t="shared" si="48"/>
        <v>1615</v>
      </c>
      <c r="O446" s="50">
        <f t="shared" si="49"/>
        <v>13955.5</v>
      </c>
      <c r="P446" s="50">
        <v>0</v>
      </c>
      <c r="Q446" s="76"/>
      <c r="R446" s="140">
        <f>10*S9+30*S10</f>
        <v>950</v>
      </c>
      <c r="S446" s="79">
        <v>10.61</v>
      </c>
      <c r="T446" s="80">
        <v>1.39</v>
      </c>
    </row>
    <row r="447" spans="2:20" ht="56">
      <c r="B447" s="5" t="s">
        <v>1077</v>
      </c>
      <c r="C447" s="45" t="s">
        <v>135</v>
      </c>
      <c r="D447" s="45">
        <v>93654</v>
      </c>
      <c r="E447" s="6" t="s">
        <v>1078</v>
      </c>
      <c r="F447" s="45" t="s">
        <v>210</v>
      </c>
      <c r="G447" s="46">
        <f t="shared" si="50"/>
        <v>950</v>
      </c>
      <c r="H447" s="46">
        <f>TRUNC(S447*(1-LOTE_02!$K$10),2)</f>
        <v>10.61</v>
      </c>
      <c r="I447" s="46">
        <f>TRUNC(T447*(1-LOTE_02!$K$10),2)</f>
        <v>1.39</v>
      </c>
      <c r="J447" s="100">
        <f t="shared" si="51"/>
        <v>0.22470000000000001</v>
      </c>
      <c r="K447" s="48">
        <f t="shared" si="45"/>
        <v>12.99</v>
      </c>
      <c r="L447" s="48">
        <f t="shared" si="46"/>
        <v>1.7</v>
      </c>
      <c r="M447" s="48">
        <f t="shared" si="47"/>
        <v>12340.5</v>
      </c>
      <c r="N447" s="48">
        <f t="shared" si="48"/>
        <v>1615</v>
      </c>
      <c r="O447" s="50">
        <f t="shared" si="49"/>
        <v>13955.5</v>
      </c>
      <c r="P447" s="50">
        <v>0</v>
      </c>
      <c r="Q447" s="76"/>
      <c r="R447" s="140">
        <f>10*S9+30*S10</f>
        <v>950</v>
      </c>
      <c r="S447" s="79">
        <v>10.61</v>
      </c>
      <c r="T447" s="80">
        <v>1.39</v>
      </c>
    </row>
    <row r="448" spans="2:20" ht="56">
      <c r="B448" s="5" t="s">
        <v>1079</v>
      </c>
      <c r="C448" s="45" t="s">
        <v>135</v>
      </c>
      <c r="D448" s="45">
        <v>93655</v>
      </c>
      <c r="E448" s="6" t="s">
        <v>1080</v>
      </c>
      <c r="F448" s="45" t="s">
        <v>210</v>
      </c>
      <c r="G448" s="46">
        <f t="shared" si="50"/>
        <v>225</v>
      </c>
      <c r="H448" s="46">
        <f>TRUNC(S448*(1-LOTE_02!$K$10),2)</f>
        <v>11.15</v>
      </c>
      <c r="I448" s="46">
        <f>TRUNC(T448*(1-LOTE_02!$K$10),2)</f>
        <v>1.84</v>
      </c>
      <c r="J448" s="100">
        <f t="shared" si="51"/>
        <v>0.22470000000000001</v>
      </c>
      <c r="K448" s="48">
        <f t="shared" si="45"/>
        <v>13.65</v>
      </c>
      <c r="L448" s="48">
        <f t="shared" si="46"/>
        <v>2.25</v>
      </c>
      <c r="M448" s="48">
        <f t="shared" si="47"/>
        <v>3071.25</v>
      </c>
      <c r="N448" s="48">
        <f t="shared" si="48"/>
        <v>506.25</v>
      </c>
      <c r="O448" s="50">
        <f t="shared" si="49"/>
        <v>3577.5</v>
      </c>
      <c r="P448" s="50">
        <v>0</v>
      </c>
      <c r="Q448" s="76"/>
      <c r="R448" s="140">
        <f>5*S9+5*S10</f>
        <v>225</v>
      </c>
      <c r="S448" s="79">
        <v>11.15</v>
      </c>
      <c r="T448" s="80">
        <v>1.84</v>
      </c>
    </row>
    <row r="449" spans="2:20" ht="56">
      <c r="B449" s="5" t="s">
        <v>1081</v>
      </c>
      <c r="C449" s="45" t="s">
        <v>135</v>
      </c>
      <c r="D449" s="45">
        <v>93661</v>
      </c>
      <c r="E449" s="6" t="s">
        <v>912</v>
      </c>
      <c r="F449" s="45" t="s">
        <v>210</v>
      </c>
      <c r="G449" s="46">
        <f t="shared" si="50"/>
        <v>45</v>
      </c>
      <c r="H449" s="46">
        <f>TRUNC(S449*(1-LOTE_02!$K$10),2)</f>
        <v>54.38</v>
      </c>
      <c r="I449" s="46">
        <f>TRUNC(T449*(1-LOTE_02!$K$10),2)</f>
        <v>2.78</v>
      </c>
      <c r="J449" s="100">
        <f t="shared" si="51"/>
        <v>0.22470000000000001</v>
      </c>
      <c r="K449" s="48">
        <f t="shared" si="45"/>
        <v>66.59</v>
      </c>
      <c r="L449" s="48">
        <f t="shared" si="46"/>
        <v>3.4</v>
      </c>
      <c r="M449" s="48">
        <f t="shared" si="47"/>
        <v>2996.55</v>
      </c>
      <c r="N449" s="48">
        <f t="shared" si="48"/>
        <v>153</v>
      </c>
      <c r="O449" s="50">
        <f t="shared" si="49"/>
        <v>3149.55</v>
      </c>
      <c r="P449" s="50">
        <v>0</v>
      </c>
      <c r="Q449" s="76"/>
      <c r="R449" s="140">
        <f>1*S9+1*S10</f>
        <v>45</v>
      </c>
      <c r="S449" s="79">
        <v>54.379999999999995</v>
      </c>
      <c r="T449" s="80">
        <v>2.78</v>
      </c>
    </row>
    <row r="450" spans="2:20" ht="56">
      <c r="B450" s="5" t="s">
        <v>1082</v>
      </c>
      <c r="C450" s="45" t="s">
        <v>135</v>
      </c>
      <c r="D450" s="45">
        <v>93666</v>
      </c>
      <c r="E450" s="6" t="s">
        <v>1083</v>
      </c>
      <c r="F450" s="45" t="s">
        <v>210</v>
      </c>
      <c r="G450" s="46">
        <f t="shared" si="50"/>
        <v>45</v>
      </c>
      <c r="H450" s="46">
        <f>TRUNC(S450*(1-LOTE_02!$K$10),2)</f>
        <v>61.55</v>
      </c>
      <c r="I450" s="46">
        <f>TRUNC(T450*(1-LOTE_02!$K$10),2)</f>
        <v>13.97</v>
      </c>
      <c r="J450" s="100">
        <f t="shared" si="51"/>
        <v>0.22470000000000001</v>
      </c>
      <c r="K450" s="48">
        <f t="shared" si="45"/>
        <v>75.38</v>
      </c>
      <c r="L450" s="48">
        <f t="shared" si="46"/>
        <v>17.100000000000001</v>
      </c>
      <c r="M450" s="48">
        <f t="shared" si="47"/>
        <v>3392.1</v>
      </c>
      <c r="N450" s="48">
        <f t="shared" si="48"/>
        <v>769.5</v>
      </c>
      <c r="O450" s="50">
        <f t="shared" si="49"/>
        <v>4161.6000000000004</v>
      </c>
      <c r="P450" s="50">
        <v>0</v>
      </c>
      <c r="Q450" s="76"/>
      <c r="R450" s="140">
        <f>1*S9+1*S10</f>
        <v>45</v>
      </c>
      <c r="S450" s="79">
        <v>61.55</v>
      </c>
      <c r="T450" s="80">
        <v>13.97</v>
      </c>
    </row>
    <row r="451" spans="2:20" ht="56">
      <c r="B451" s="5" t="s">
        <v>1084</v>
      </c>
      <c r="C451" s="45" t="s">
        <v>135</v>
      </c>
      <c r="D451" s="45">
        <v>93672</v>
      </c>
      <c r="E451" s="6" t="s">
        <v>1085</v>
      </c>
      <c r="F451" s="45" t="s">
        <v>210</v>
      </c>
      <c r="G451" s="46">
        <f t="shared" si="50"/>
        <v>45</v>
      </c>
      <c r="H451" s="46">
        <f>TRUNC(S451*(1-LOTE_02!$K$10),2)</f>
        <v>75.430000000000007</v>
      </c>
      <c r="I451" s="46">
        <f>TRUNC(T451*(1-LOTE_02!$K$10),2)</f>
        <v>15.1</v>
      </c>
      <c r="J451" s="100">
        <f t="shared" si="51"/>
        <v>0.22470000000000001</v>
      </c>
      <c r="K451" s="48">
        <f t="shared" si="45"/>
        <v>92.37</v>
      </c>
      <c r="L451" s="48">
        <f t="shared" si="46"/>
        <v>18.489999999999998</v>
      </c>
      <c r="M451" s="48">
        <f t="shared" si="47"/>
        <v>4156.6499999999996</v>
      </c>
      <c r="N451" s="48">
        <f t="shared" si="48"/>
        <v>832.05</v>
      </c>
      <c r="O451" s="50">
        <f t="shared" si="49"/>
        <v>4988.7</v>
      </c>
      <c r="P451" s="50">
        <v>0</v>
      </c>
      <c r="Q451" s="76"/>
      <c r="R451" s="140">
        <f>1*S9+1*S10</f>
        <v>45</v>
      </c>
      <c r="S451" s="79">
        <v>75.430000000000007</v>
      </c>
      <c r="T451" s="80">
        <v>15.1</v>
      </c>
    </row>
    <row r="452" spans="2:20" ht="56">
      <c r="B452" s="5" t="s">
        <v>1086</v>
      </c>
      <c r="C452" s="45" t="s">
        <v>135</v>
      </c>
      <c r="D452" s="45">
        <v>101894</v>
      </c>
      <c r="E452" s="6" t="s">
        <v>1087</v>
      </c>
      <c r="F452" s="45" t="s">
        <v>210</v>
      </c>
      <c r="G452" s="46">
        <f t="shared" si="50"/>
        <v>45</v>
      </c>
      <c r="H452" s="46">
        <f>TRUNC(S452*(1-LOTE_02!$K$10),2)</f>
        <v>132.4</v>
      </c>
      <c r="I452" s="46">
        <f>TRUNC(T452*(1-LOTE_02!$K$10),2)</f>
        <v>28.76</v>
      </c>
      <c r="J452" s="100">
        <f t="shared" si="51"/>
        <v>0.22470000000000001</v>
      </c>
      <c r="K452" s="48">
        <f t="shared" si="45"/>
        <v>162.15</v>
      </c>
      <c r="L452" s="48">
        <f t="shared" si="46"/>
        <v>35.22</v>
      </c>
      <c r="M452" s="48">
        <f t="shared" si="47"/>
        <v>7296.75</v>
      </c>
      <c r="N452" s="48">
        <f t="shared" si="48"/>
        <v>1584.9</v>
      </c>
      <c r="O452" s="50">
        <f t="shared" si="49"/>
        <v>8881.65</v>
      </c>
      <c r="P452" s="50">
        <v>0</v>
      </c>
      <c r="Q452" s="76"/>
      <c r="R452" s="140">
        <f>1*S9+1*S10</f>
        <v>45</v>
      </c>
      <c r="S452" s="79">
        <v>132.4</v>
      </c>
      <c r="T452" s="80">
        <v>28.76</v>
      </c>
    </row>
    <row r="453" spans="2:20" ht="56">
      <c r="B453" s="5" t="s">
        <v>1088</v>
      </c>
      <c r="C453" s="45" t="s">
        <v>135</v>
      </c>
      <c r="D453" s="45">
        <v>91932</v>
      </c>
      <c r="E453" s="6" t="s">
        <v>1089</v>
      </c>
      <c r="F453" s="45" t="s">
        <v>187</v>
      </c>
      <c r="G453" s="46">
        <f t="shared" si="50"/>
        <v>1150</v>
      </c>
      <c r="H453" s="46">
        <f>TRUNC(S453*(1-LOTE_02!$K$10),2)</f>
        <v>18.86</v>
      </c>
      <c r="I453" s="46">
        <f>TRUNC(T453*(1-LOTE_02!$K$10),2)</f>
        <v>3.32</v>
      </c>
      <c r="J453" s="100">
        <f t="shared" si="51"/>
        <v>0.22470000000000001</v>
      </c>
      <c r="K453" s="48">
        <f t="shared" si="45"/>
        <v>23.09</v>
      </c>
      <c r="L453" s="48">
        <f t="shared" si="46"/>
        <v>4.0599999999999996</v>
      </c>
      <c r="M453" s="48">
        <f t="shared" si="47"/>
        <v>26553.5</v>
      </c>
      <c r="N453" s="48">
        <f t="shared" si="48"/>
        <v>4669</v>
      </c>
      <c r="O453" s="50">
        <f t="shared" si="49"/>
        <v>31222.5</v>
      </c>
      <c r="P453" s="50">
        <v>0</v>
      </c>
      <c r="Q453" s="76"/>
      <c r="R453" s="140">
        <f>20*S9+30*S10</f>
        <v>1150</v>
      </c>
      <c r="S453" s="79">
        <v>18.86</v>
      </c>
      <c r="T453" s="80">
        <v>3.32</v>
      </c>
    </row>
    <row r="454" spans="2:20" ht="56">
      <c r="B454" s="5" t="s">
        <v>1090</v>
      </c>
      <c r="C454" s="45" t="s">
        <v>135</v>
      </c>
      <c r="D454" s="45">
        <v>91928</v>
      </c>
      <c r="E454" s="6" t="s">
        <v>844</v>
      </c>
      <c r="F454" s="45" t="s">
        <v>187</v>
      </c>
      <c r="G454" s="46">
        <f t="shared" si="50"/>
        <v>1150</v>
      </c>
      <c r="H454" s="46">
        <f>TRUNC(S454*(1-LOTE_02!$K$10),2)</f>
        <v>7.11</v>
      </c>
      <c r="I454" s="46">
        <f>TRUNC(T454*(1-LOTE_02!$K$10),2)</f>
        <v>1.68</v>
      </c>
      <c r="J454" s="100">
        <f t="shared" si="51"/>
        <v>0.22470000000000001</v>
      </c>
      <c r="K454" s="48">
        <f t="shared" si="45"/>
        <v>8.6999999999999993</v>
      </c>
      <c r="L454" s="48">
        <f t="shared" si="46"/>
        <v>2.0499999999999998</v>
      </c>
      <c r="M454" s="48">
        <f t="shared" si="47"/>
        <v>10005</v>
      </c>
      <c r="N454" s="48">
        <f t="shared" si="48"/>
        <v>2357.5</v>
      </c>
      <c r="O454" s="50">
        <f t="shared" si="49"/>
        <v>12362.5</v>
      </c>
      <c r="P454" s="50">
        <v>0</v>
      </c>
      <c r="Q454" s="76"/>
      <c r="R454" s="140">
        <f>20*S9+30*S10</f>
        <v>1150</v>
      </c>
      <c r="S454" s="79">
        <v>7.1099999999999994</v>
      </c>
      <c r="T454" s="80">
        <v>1.68</v>
      </c>
    </row>
    <row r="455" spans="2:20" ht="56">
      <c r="B455" s="5" t="s">
        <v>1091</v>
      </c>
      <c r="C455" s="45" t="s">
        <v>135</v>
      </c>
      <c r="D455" s="45">
        <v>91926</v>
      </c>
      <c r="E455" s="6" t="s">
        <v>840</v>
      </c>
      <c r="F455" s="45" t="s">
        <v>187</v>
      </c>
      <c r="G455" s="46">
        <f t="shared" si="50"/>
        <v>29000</v>
      </c>
      <c r="H455" s="46">
        <f>TRUNC(S455*(1-LOTE_02!$K$10),2)</f>
        <v>4.43</v>
      </c>
      <c r="I455" s="46">
        <f>TRUNC(T455*(1-LOTE_02!$K$10),2)</f>
        <v>1.23</v>
      </c>
      <c r="J455" s="100">
        <f t="shared" si="51"/>
        <v>0.22470000000000001</v>
      </c>
      <c r="K455" s="48">
        <f t="shared" si="45"/>
        <v>5.42</v>
      </c>
      <c r="L455" s="48">
        <f t="shared" si="46"/>
        <v>1.5</v>
      </c>
      <c r="M455" s="48">
        <f t="shared" si="47"/>
        <v>157180</v>
      </c>
      <c r="N455" s="48">
        <f t="shared" si="48"/>
        <v>43500</v>
      </c>
      <c r="O455" s="50">
        <f t="shared" si="49"/>
        <v>200680</v>
      </c>
      <c r="P455" s="50">
        <v>0</v>
      </c>
      <c r="Q455" s="76"/>
      <c r="R455" s="140">
        <f>1000*S10+200*S9</f>
        <v>29000</v>
      </c>
      <c r="S455" s="79">
        <v>4.43</v>
      </c>
      <c r="T455" s="80">
        <v>1.23</v>
      </c>
    </row>
    <row r="456" spans="2:20" ht="56">
      <c r="B456" s="5" t="s">
        <v>1092</v>
      </c>
      <c r="C456" s="45" t="s">
        <v>135</v>
      </c>
      <c r="D456" s="45">
        <v>91927</v>
      </c>
      <c r="E456" s="6" t="s">
        <v>1093</v>
      </c>
      <c r="F456" s="45" t="s">
        <v>187</v>
      </c>
      <c r="G456" s="46">
        <f t="shared" si="50"/>
        <v>29000</v>
      </c>
      <c r="H456" s="46">
        <f>TRUNC(S456*(1-LOTE_02!$K$10),2)</f>
        <v>5.14</v>
      </c>
      <c r="I456" s="46">
        <f>TRUNC(T456*(1-LOTE_02!$K$10),2)</f>
        <v>1.24</v>
      </c>
      <c r="J456" s="100">
        <f t="shared" si="51"/>
        <v>0.22470000000000001</v>
      </c>
      <c r="K456" s="48">
        <f t="shared" si="45"/>
        <v>6.29</v>
      </c>
      <c r="L456" s="48">
        <f t="shared" si="46"/>
        <v>1.51</v>
      </c>
      <c r="M456" s="48">
        <f t="shared" si="47"/>
        <v>182410</v>
      </c>
      <c r="N456" s="48">
        <f t="shared" si="48"/>
        <v>43790</v>
      </c>
      <c r="O456" s="50">
        <f t="shared" si="49"/>
        <v>226200</v>
      </c>
      <c r="P456" s="50">
        <v>0</v>
      </c>
      <c r="Q456" s="76"/>
      <c r="R456" s="140">
        <f>1000*S10+200*S9</f>
        <v>29000</v>
      </c>
      <c r="S456" s="79">
        <v>5.14</v>
      </c>
      <c r="T456" s="80">
        <v>1.24</v>
      </c>
    </row>
    <row r="457" spans="2:20" ht="28">
      <c r="B457" s="5" t="s">
        <v>1094</v>
      </c>
      <c r="C457" s="45" t="s">
        <v>97</v>
      </c>
      <c r="D457" s="45" t="s">
        <v>1095</v>
      </c>
      <c r="E457" s="6" t="s">
        <v>1096</v>
      </c>
      <c r="F457" s="45" t="s">
        <v>104</v>
      </c>
      <c r="G457" s="46">
        <f t="shared" si="50"/>
        <v>10</v>
      </c>
      <c r="H457" s="46">
        <f>TRUNC(S457*(1-LOTE_02!$K$10),2)</f>
        <v>24.9</v>
      </c>
      <c r="I457" s="46">
        <f>TRUNC(T457*(1-LOTE_02!$K$10),2)</f>
        <v>47.3</v>
      </c>
      <c r="J457" s="100">
        <f t="shared" si="51"/>
        <v>0.22470000000000001</v>
      </c>
      <c r="K457" s="48">
        <f t="shared" si="45"/>
        <v>30.49</v>
      </c>
      <c r="L457" s="48">
        <f t="shared" si="46"/>
        <v>57.92</v>
      </c>
      <c r="M457" s="48">
        <f t="shared" si="47"/>
        <v>304.89999999999998</v>
      </c>
      <c r="N457" s="48">
        <f t="shared" si="48"/>
        <v>579.20000000000005</v>
      </c>
      <c r="O457" s="50">
        <f t="shared" si="49"/>
        <v>884.1</v>
      </c>
      <c r="P457" s="50">
        <v>0</v>
      </c>
      <c r="Q457" s="76"/>
      <c r="R457" s="140">
        <f>IF((1*S9+1*S10)&gt;10,10,(1*S9+1*S10))</f>
        <v>10</v>
      </c>
      <c r="S457" s="79">
        <v>24.9</v>
      </c>
      <c r="T457" s="80">
        <v>47.3</v>
      </c>
    </row>
    <row r="458" spans="2:20" ht="42">
      <c r="B458" s="5" t="s">
        <v>1097</v>
      </c>
      <c r="C458" s="45" t="s">
        <v>165</v>
      </c>
      <c r="D458" s="45" t="s">
        <v>1098</v>
      </c>
      <c r="E458" s="6" t="s">
        <v>1099</v>
      </c>
      <c r="F458" s="45" t="s">
        <v>559</v>
      </c>
      <c r="G458" s="46">
        <f t="shared" si="50"/>
        <v>10</v>
      </c>
      <c r="H458" s="46">
        <f>TRUNC(S458*(1-LOTE_02!$K$10),2)</f>
        <v>266.07</v>
      </c>
      <c r="I458" s="46">
        <f>TRUNC(T458*(1-LOTE_02!$K$10),2)</f>
        <v>98.84</v>
      </c>
      <c r="J458" s="100">
        <f t="shared" si="51"/>
        <v>0.22470000000000001</v>
      </c>
      <c r="K458" s="48">
        <f t="shared" si="45"/>
        <v>325.85000000000002</v>
      </c>
      <c r="L458" s="48">
        <f t="shared" si="46"/>
        <v>121.04</v>
      </c>
      <c r="M458" s="48">
        <f t="shared" si="47"/>
        <v>3258.5</v>
      </c>
      <c r="N458" s="48">
        <f t="shared" si="48"/>
        <v>1210.4000000000001</v>
      </c>
      <c r="O458" s="50">
        <f t="shared" si="49"/>
        <v>4468.8999999999996</v>
      </c>
      <c r="P458" s="50">
        <v>0</v>
      </c>
      <c r="Q458" s="76"/>
      <c r="R458" s="140">
        <f>IF((1*S9+1*S10)&gt;10,10,(1*S9+1*S10))</f>
        <v>10</v>
      </c>
      <c r="S458" s="79">
        <v>266.07</v>
      </c>
      <c r="T458" s="80">
        <v>98.84</v>
      </c>
    </row>
    <row r="459" spans="2:20" ht="42">
      <c r="B459" s="5" t="s">
        <v>1100</v>
      </c>
      <c r="C459" s="45" t="s">
        <v>165</v>
      </c>
      <c r="D459" s="45" t="s">
        <v>1101</v>
      </c>
      <c r="E459" s="6" t="s">
        <v>1102</v>
      </c>
      <c r="F459" s="45" t="s">
        <v>559</v>
      </c>
      <c r="G459" s="46">
        <f t="shared" si="50"/>
        <v>10</v>
      </c>
      <c r="H459" s="46">
        <f>TRUNC(S459*(1-LOTE_02!$K$10),2)</f>
        <v>192.55</v>
      </c>
      <c r="I459" s="46">
        <f>TRUNC(T459*(1-LOTE_02!$K$10),2)</f>
        <v>92.47</v>
      </c>
      <c r="J459" s="100">
        <f t="shared" si="51"/>
        <v>0.22470000000000001</v>
      </c>
      <c r="K459" s="48">
        <f t="shared" si="45"/>
        <v>235.81</v>
      </c>
      <c r="L459" s="48">
        <f t="shared" si="46"/>
        <v>113.24</v>
      </c>
      <c r="M459" s="48">
        <f t="shared" si="47"/>
        <v>2358.1</v>
      </c>
      <c r="N459" s="48">
        <f t="shared" si="48"/>
        <v>1132.4000000000001</v>
      </c>
      <c r="O459" s="50">
        <f t="shared" si="49"/>
        <v>3490.5</v>
      </c>
      <c r="P459" s="50">
        <v>0</v>
      </c>
      <c r="Q459" s="76"/>
      <c r="R459" s="140">
        <f>IF((1*S9+1*S10)&gt;10,10,(1*S9+1*S10))</f>
        <v>10</v>
      </c>
      <c r="S459" s="79">
        <v>192.55</v>
      </c>
      <c r="T459" s="80">
        <v>92.47</v>
      </c>
    </row>
    <row r="460" spans="2:20" ht="42">
      <c r="B460" s="5" t="s">
        <v>1103</v>
      </c>
      <c r="C460" s="45" t="s">
        <v>165</v>
      </c>
      <c r="D460" s="45" t="s">
        <v>1104</v>
      </c>
      <c r="E460" s="6" t="s">
        <v>1105</v>
      </c>
      <c r="F460" s="45" t="s">
        <v>559</v>
      </c>
      <c r="G460" s="46">
        <f t="shared" si="50"/>
        <v>10</v>
      </c>
      <c r="H460" s="46">
        <f>TRUNC(S460*(1-LOTE_02!$K$10),2)</f>
        <v>102.97</v>
      </c>
      <c r="I460" s="46">
        <f>TRUNC(T460*(1-LOTE_02!$K$10),2)</f>
        <v>82.9</v>
      </c>
      <c r="J460" s="100">
        <f t="shared" si="51"/>
        <v>0.22470000000000001</v>
      </c>
      <c r="K460" s="48">
        <f t="shared" si="45"/>
        <v>126.1</v>
      </c>
      <c r="L460" s="48">
        <f t="shared" si="46"/>
        <v>101.52</v>
      </c>
      <c r="M460" s="48">
        <f t="shared" si="47"/>
        <v>1261</v>
      </c>
      <c r="N460" s="48">
        <f t="shared" si="48"/>
        <v>1015.2</v>
      </c>
      <c r="O460" s="50">
        <f t="shared" si="49"/>
        <v>2276.1999999999998</v>
      </c>
      <c r="P460" s="50">
        <v>0</v>
      </c>
      <c r="Q460" s="76"/>
      <c r="R460" s="140">
        <f>IF((1*S9+1*S10)&gt;10,10,(1*S9+1*S10))</f>
        <v>10</v>
      </c>
      <c r="S460" s="79">
        <v>102.97</v>
      </c>
      <c r="T460" s="80">
        <v>82.9</v>
      </c>
    </row>
    <row r="461" spans="2:20" ht="28">
      <c r="B461" s="5" t="s">
        <v>1106</v>
      </c>
      <c r="C461" s="45" t="s">
        <v>97</v>
      </c>
      <c r="D461" s="45" t="s">
        <v>1107</v>
      </c>
      <c r="E461" s="6" t="s">
        <v>1108</v>
      </c>
      <c r="F461" s="45" t="s">
        <v>104</v>
      </c>
      <c r="G461" s="46">
        <f t="shared" si="50"/>
        <v>45</v>
      </c>
      <c r="H461" s="46">
        <f>TRUNC(S461*(1-LOTE_02!$K$10),2)</f>
        <v>200.9</v>
      </c>
      <c r="I461" s="46">
        <f>TRUNC(T461*(1-LOTE_02!$K$10),2)</f>
        <v>11.82</v>
      </c>
      <c r="J461" s="100">
        <f t="shared" si="51"/>
        <v>0.22470000000000001</v>
      </c>
      <c r="K461" s="48">
        <f t="shared" si="45"/>
        <v>246.04</v>
      </c>
      <c r="L461" s="48">
        <f t="shared" si="46"/>
        <v>14.47</v>
      </c>
      <c r="M461" s="48">
        <f t="shared" si="47"/>
        <v>11071.8</v>
      </c>
      <c r="N461" s="48">
        <f t="shared" si="48"/>
        <v>651.15</v>
      </c>
      <c r="O461" s="50">
        <f t="shared" si="49"/>
        <v>11722.95</v>
      </c>
      <c r="P461" s="50">
        <v>0</v>
      </c>
      <c r="Q461" s="76"/>
      <c r="R461" s="140">
        <f>1*S9+1*S10</f>
        <v>45</v>
      </c>
      <c r="S461" s="79">
        <v>200.9</v>
      </c>
      <c r="T461" s="80">
        <v>11.82</v>
      </c>
    </row>
    <row r="462" spans="2:20" ht="42">
      <c r="B462" s="5" t="s">
        <v>1109</v>
      </c>
      <c r="C462" s="45" t="s">
        <v>97</v>
      </c>
      <c r="D462" s="45" t="s">
        <v>1110</v>
      </c>
      <c r="E462" s="6" t="s">
        <v>1111</v>
      </c>
      <c r="F462" s="45" t="s">
        <v>104</v>
      </c>
      <c r="G462" s="46">
        <f t="shared" si="50"/>
        <v>50</v>
      </c>
      <c r="H462" s="46">
        <f>TRUNC(S462*(1-LOTE_02!$K$10),2)</f>
        <v>105.98</v>
      </c>
      <c r="I462" s="46">
        <f>TRUNC(T462*(1-LOTE_02!$K$10),2)</f>
        <v>19.71</v>
      </c>
      <c r="J462" s="100">
        <f t="shared" si="51"/>
        <v>0.22470000000000001</v>
      </c>
      <c r="K462" s="48">
        <f t="shared" si="45"/>
        <v>129.79</v>
      </c>
      <c r="L462" s="48">
        <f t="shared" si="46"/>
        <v>24.13</v>
      </c>
      <c r="M462" s="48">
        <f t="shared" si="47"/>
        <v>6489.5</v>
      </c>
      <c r="N462" s="48">
        <f t="shared" si="48"/>
        <v>1206.5</v>
      </c>
      <c r="O462" s="50">
        <f t="shared" si="49"/>
        <v>7696</v>
      </c>
      <c r="P462" s="50">
        <v>0</v>
      </c>
      <c r="Q462" s="76"/>
      <c r="R462" s="140">
        <f>IF((2*S9+4*S10)&gt;50,50,(2*S9+4*S10))</f>
        <v>50</v>
      </c>
      <c r="S462" s="79">
        <v>105.98</v>
      </c>
      <c r="T462" s="80">
        <v>19.71</v>
      </c>
    </row>
    <row r="463" spans="2:20" ht="42">
      <c r="B463" s="5" t="s">
        <v>1112</v>
      </c>
      <c r="C463" s="45" t="s">
        <v>97</v>
      </c>
      <c r="D463" s="45" t="s">
        <v>1113</v>
      </c>
      <c r="E463" s="6" t="s">
        <v>1114</v>
      </c>
      <c r="F463" s="45" t="s">
        <v>104</v>
      </c>
      <c r="G463" s="46">
        <f t="shared" si="50"/>
        <v>45</v>
      </c>
      <c r="H463" s="46">
        <f>TRUNC(S463*(1-LOTE_02!$K$10),2)</f>
        <v>275.37</v>
      </c>
      <c r="I463" s="46">
        <f>TRUNC(T463*(1-LOTE_02!$K$10),2)</f>
        <v>19.71</v>
      </c>
      <c r="J463" s="100">
        <f t="shared" si="51"/>
        <v>0.22470000000000001</v>
      </c>
      <c r="K463" s="48">
        <f t="shared" si="45"/>
        <v>337.24</v>
      </c>
      <c r="L463" s="48">
        <f t="shared" si="46"/>
        <v>24.13</v>
      </c>
      <c r="M463" s="48">
        <f t="shared" si="47"/>
        <v>15175.8</v>
      </c>
      <c r="N463" s="48">
        <f t="shared" si="48"/>
        <v>1085.8499999999999</v>
      </c>
      <c r="O463" s="50">
        <f t="shared" si="49"/>
        <v>16261.65</v>
      </c>
      <c r="P463" s="50">
        <v>0</v>
      </c>
      <c r="Q463" s="76"/>
      <c r="R463" s="140">
        <f>1*S9+1*S10</f>
        <v>45</v>
      </c>
      <c r="S463" s="79">
        <v>275.37</v>
      </c>
      <c r="T463" s="80">
        <v>19.71</v>
      </c>
    </row>
    <row r="464" spans="2:20" ht="42">
      <c r="B464" s="5" t="s">
        <v>1115</v>
      </c>
      <c r="C464" s="45" t="s">
        <v>97</v>
      </c>
      <c r="D464" s="45" t="s">
        <v>1116</v>
      </c>
      <c r="E464" s="6" t="s">
        <v>1117</v>
      </c>
      <c r="F464" s="45" t="s">
        <v>104</v>
      </c>
      <c r="G464" s="46">
        <f t="shared" si="50"/>
        <v>45</v>
      </c>
      <c r="H464" s="46">
        <f>TRUNC(S464*(1-LOTE_02!$K$10),2)</f>
        <v>243.95</v>
      </c>
      <c r="I464" s="46">
        <f>TRUNC(T464*(1-LOTE_02!$K$10),2)</f>
        <v>13.79</v>
      </c>
      <c r="J464" s="100">
        <f t="shared" si="51"/>
        <v>0.22470000000000001</v>
      </c>
      <c r="K464" s="48">
        <f t="shared" ref="K464:K527" si="52">TRUNC(H464*(1+J464),2)</f>
        <v>298.76</v>
      </c>
      <c r="L464" s="48">
        <f t="shared" ref="L464:L527" si="53">TRUNC(I464*(1+J464),2)</f>
        <v>16.88</v>
      </c>
      <c r="M464" s="48">
        <f t="shared" ref="M464:M527" si="54">TRUNC(K464*G464,2)</f>
        <v>13444.2</v>
      </c>
      <c r="N464" s="48">
        <f t="shared" ref="N464:N527" si="55">TRUNC(L464*G464,2)</f>
        <v>759.6</v>
      </c>
      <c r="O464" s="50">
        <f t="shared" ref="O464:O527" si="56">TRUNC(M464+N464,2)</f>
        <v>14203.8</v>
      </c>
      <c r="P464" s="50">
        <v>0</v>
      </c>
      <c r="Q464" s="76"/>
      <c r="R464" s="140">
        <f>1*S9+1*S10</f>
        <v>45</v>
      </c>
      <c r="S464" s="79">
        <v>243.95</v>
      </c>
      <c r="T464" s="80">
        <v>13.79</v>
      </c>
    </row>
    <row r="465" spans="2:20">
      <c r="B465" s="5" t="s">
        <v>1118</v>
      </c>
      <c r="C465" s="45" t="s">
        <v>97</v>
      </c>
      <c r="D465" s="45" t="s">
        <v>1119</v>
      </c>
      <c r="E465" s="6" t="s">
        <v>1120</v>
      </c>
      <c r="F465" s="45" t="s">
        <v>104</v>
      </c>
      <c r="G465" s="46">
        <f t="shared" si="50"/>
        <v>45</v>
      </c>
      <c r="H465" s="46">
        <f>TRUNC(S465*(1-LOTE_02!$K$10),2)</f>
        <v>132.26</v>
      </c>
      <c r="I465" s="46">
        <f>TRUNC(T465*(1-LOTE_02!$K$10),2)</f>
        <v>13.79</v>
      </c>
      <c r="J465" s="100">
        <f t="shared" si="51"/>
        <v>0.22470000000000001</v>
      </c>
      <c r="K465" s="48">
        <f t="shared" si="52"/>
        <v>161.97</v>
      </c>
      <c r="L465" s="48">
        <f t="shared" si="53"/>
        <v>16.88</v>
      </c>
      <c r="M465" s="48">
        <f t="shared" si="54"/>
        <v>7288.65</v>
      </c>
      <c r="N465" s="48">
        <f t="shared" si="55"/>
        <v>759.6</v>
      </c>
      <c r="O465" s="50">
        <f t="shared" si="56"/>
        <v>8048.25</v>
      </c>
      <c r="P465" s="50">
        <v>0</v>
      </c>
      <c r="Q465" s="76"/>
      <c r="R465" s="140">
        <f>1*S9+1*S10</f>
        <v>45</v>
      </c>
      <c r="S465" s="79">
        <v>132.26</v>
      </c>
      <c r="T465" s="80">
        <v>13.79</v>
      </c>
    </row>
    <row r="466" spans="2:20">
      <c r="B466" s="5" t="s">
        <v>1121</v>
      </c>
      <c r="C466" s="45" t="s">
        <v>97</v>
      </c>
      <c r="D466" s="45" t="s">
        <v>1122</v>
      </c>
      <c r="E466" s="6" t="s">
        <v>1123</v>
      </c>
      <c r="F466" s="45" t="s">
        <v>104</v>
      </c>
      <c r="G466" s="46">
        <f t="shared" ref="G466:G529" si="57">TRUNC(R466,2)</f>
        <v>45</v>
      </c>
      <c r="H466" s="46">
        <f>TRUNC(S466*(1-LOTE_02!$K$10),2)</f>
        <v>351.09</v>
      </c>
      <c r="I466" s="46">
        <f>TRUNC(T466*(1-LOTE_02!$K$10),2)</f>
        <v>36.26</v>
      </c>
      <c r="J466" s="100">
        <f t="shared" ref="J466:J529" si="58">$J$4</f>
        <v>0.22470000000000001</v>
      </c>
      <c r="K466" s="48">
        <f t="shared" si="52"/>
        <v>429.97</v>
      </c>
      <c r="L466" s="48">
        <f t="shared" si="53"/>
        <v>44.4</v>
      </c>
      <c r="M466" s="48">
        <f t="shared" si="54"/>
        <v>19348.650000000001</v>
      </c>
      <c r="N466" s="48">
        <f t="shared" si="55"/>
        <v>1998</v>
      </c>
      <c r="O466" s="50">
        <f t="shared" si="56"/>
        <v>21346.65</v>
      </c>
      <c r="P466" s="50">
        <v>0</v>
      </c>
      <c r="Q466" s="76"/>
      <c r="R466" s="140">
        <f>1*S9+1*S10</f>
        <v>45</v>
      </c>
      <c r="S466" s="79">
        <v>351.09</v>
      </c>
      <c r="T466" s="80">
        <v>36.26</v>
      </c>
    </row>
    <row r="467" spans="2:20" ht="56">
      <c r="B467" s="5" t="s">
        <v>1124</v>
      </c>
      <c r="C467" s="45" t="s">
        <v>97</v>
      </c>
      <c r="D467" s="45" t="s">
        <v>1039</v>
      </c>
      <c r="E467" s="6" t="s">
        <v>1040</v>
      </c>
      <c r="F467" s="45" t="s">
        <v>925</v>
      </c>
      <c r="G467" s="46">
        <f t="shared" si="57"/>
        <v>2250</v>
      </c>
      <c r="H467" s="46">
        <f>TRUNC(S467*(1-LOTE_02!$K$10),2)</f>
        <v>36.369999999999997</v>
      </c>
      <c r="I467" s="46">
        <f>TRUNC(T467*(1-LOTE_02!$K$10),2)</f>
        <v>19.71</v>
      </c>
      <c r="J467" s="100">
        <f t="shared" si="58"/>
        <v>0.22470000000000001</v>
      </c>
      <c r="K467" s="48">
        <f t="shared" si="52"/>
        <v>44.54</v>
      </c>
      <c r="L467" s="48">
        <f t="shared" si="53"/>
        <v>24.13</v>
      </c>
      <c r="M467" s="48">
        <f t="shared" si="54"/>
        <v>100215</v>
      </c>
      <c r="N467" s="48">
        <f t="shared" si="55"/>
        <v>54292.5</v>
      </c>
      <c r="O467" s="50">
        <f t="shared" si="56"/>
        <v>154507.5</v>
      </c>
      <c r="P467" s="50">
        <v>0</v>
      </c>
      <c r="Q467" s="76"/>
      <c r="R467" s="140">
        <f>50*S9+50*S10</f>
        <v>2250</v>
      </c>
      <c r="S467" s="79">
        <v>36.369999999999997</v>
      </c>
      <c r="T467" s="80">
        <v>19.71</v>
      </c>
    </row>
    <row r="468" spans="2:20" ht="70">
      <c r="B468" s="5" t="s">
        <v>1125</v>
      </c>
      <c r="C468" s="45" t="s">
        <v>135</v>
      </c>
      <c r="D468" s="45">
        <v>91867</v>
      </c>
      <c r="E468" s="6" t="s">
        <v>927</v>
      </c>
      <c r="F468" s="45" t="s">
        <v>187</v>
      </c>
      <c r="G468" s="46">
        <f t="shared" si="57"/>
        <v>2250</v>
      </c>
      <c r="H468" s="46">
        <f>TRUNC(S468*(1-LOTE_02!$K$10),2)</f>
        <v>8.48</v>
      </c>
      <c r="I468" s="46">
        <f>TRUNC(T468*(1-LOTE_02!$K$10),2)</f>
        <v>3.63</v>
      </c>
      <c r="J468" s="100">
        <f t="shared" si="58"/>
        <v>0.22470000000000001</v>
      </c>
      <c r="K468" s="48">
        <f t="shared" si="52"/>
        <v>10.38</v>
      </c>
      <c r="L468" s="48">
        <f t="shared" si="53"/>
        <v>4.4400000000000004</v>
      </c>
      <c r="M468" s="48">
        <f t="shared" si="54"/>
        <v>23355</v>
      </c>
      <c r="N468" s="48">
        <f t="shared" si="55"/>
        <v>9990</v>
      </c>
      <c r="O468" s="50">
        <f t="shared" si="56"/>
        <v>33345</v>
      </c>
      <c r="P468" s="50">
        <v>0</v>
      </c>
      <c r="Q468" s="76"/>
      <c r="R468" s="140">
        <f>50*S9+50*S10</f>
        <v>2250</v>
      </c>
      <c r="S468" s="79">
        <v>8.48</v>
      </c>
      <c r="T468" s="80">
        <v>3.63</v>
      </c>
    </row>
    <row r="469" spans="2:20" ht="70">
      <c r="B469" s="5" t="s">
        <v>1126</v>
      </c>
      <c r="C469" s="45" t="s">
        <v>135</v>
      </c>
      <c r="D469" s="45">
        <v>91864</v>
      </c>
      <c r="E469" s="6" t="s">
        <v>838</v>
      </c>
      <c r="F469" s="45" t="s">
        <v>187</v>
      </c>
      <c r="G469" s="46">
        <f t="shared" si="57"/>
        <v>225</v>
      </c>
      <c r="H469" s="46">
        <f>TRUNC(S469*(1-LOTE_02!$K$10),2)</f>
        <v>13.04</v>
      </c>
      <c r="I469" s="46">
        <f>TRUNC(T469*(1-LOTE_02!$K$10),2)</f>
        <v>5.35</v>
      </c>
      <c r="J469" s="100">
        <f t="shared" si="58"/>
        <v>0.22470000000000001</v>
      </c>
      <c r="K469" s="48">
        <f t="shared" si="52"/>
        <v>15.97</v>
      </c>
      <c r="L469" s="48">
        <f t="shared" si="53"/>
        <v>6.55</v>
      </c>
      <c r="M469" s="48">
        <f t="shared" si="54"/>
        <v>3593.25</v>
      </c>
      <c r="N469" s="48">
        <f t="shared" si="55"/>
        <v>1473.75</v>
      </c>
      <c r="O469" s="50">
        <f t="shared" si="56"/>
        <v>5067</v>
      </c>
      <c r="P469" s="50">
        <v>0</v>
      </c>
      <c r="Q469" s="76"/>
      <c r="R469" s="140">
        <f>5*S9+5*S10</f>
        <v>225</v>
      </c>
      <c r="S469" s="79">
        <v>13.040000000000001</v>
      </c>
      <c r="T469" s="80">
        <v>5.35</v>
      </c>
    </row>
    <row r="470" spans="2:20" ht="42">
      <c r="B470" s="5" t="s">
        <v>1127</v>
      </c>
      <c r="C470" s="45" t="s">
        <v>165</v>
      </c>
      <c r="D470" s="45" t="s">
        <v>1036</v>
      </c>
      <c r="E470" s="6" t="s">
        <v>1037</v>
      </c>
      <c r="F470" s="45" t="s">
        <v>531</v>
      </c>
      <c r="G470" s="46">
        <f t="shared" si="57"/>
        <v>225</v>
      </c>
      <c r="H470" s="46">
        <f>TRUNC(S470*(1-LOTE_02!$K$10),2)</f>
        <v>19.43</v>
      </c>
      <c r="I470" s="46">
        <f>TRUNC(T470*(1-LOTE_02!$K$10),2)</f>
        <v>15.94</v>
      </c>
      <c r="J470" s="100">
        <f t="shared" si="58"/>
        <v>0.22470000000000001</v>
      </c>
      <c r="K470" s="48">
        <f t="shared" si="52"/>
        <v>23.79</v>
      </c>
      <c r="L470" s="48">
        <f t="shared" si="53"/>
        <v>19.52</v>
      </c>
      <c r="M470" s="48">
        <f t="shared" si="54"/>
        <v>5352.75</v>
      </c>
      <c r="N470" s="48">
        <f t="shared" si="55"/>
        <v>4392</v>
      </c>
      <c r="O470" s="50">
        <f t="shared" si="56"/>
        <v>9744.75</v>
      </c>
      <c r="P470" s="50">
        <v>0</v>
      </c>
      <c r="Q470" s="76"/>
      <c r="R470" s="140">
        <f>5*S9+5*S10</f>
        <v>225</v>
      </c>
      <c r="S470" s="79">
        <v>19.43</v>
      </c>
      <c r="T470" s="80">
        <v>15.94</v>
      </c>
    </row>
    <row r="471" spans="2:20" ht="28">
      <c r="B471" s="5" t="s">
        <v>1128</v>
      </c>
      <c r="C471" s="45" t="s">
        <v>165</v>
      </c>
      <c r="D471" s="45" t="s">
        <v>1129</v>
      </c>
      <c r="E471" s="6" t="s">
        <v>1130</v>
      </c>
      <c r="F471" s="45" t="s">
        <v>531</v>
      </c>
      <c r="G471" s="46">
        <f t="shared" si="57"/>
        <v>450</v>
      </c>
      <c r="H471" s="46">
        <f>TRUNC(S471*(1-LOTE_02!$K$10),2)</f>
        <v>54.46</v>
      </c>
      <c r="I471" s="46">
        <f>TRUNC(T471*(1-LOTE_02!$K$10),2)</f>
        <v>5.74</v>
      </c>
      <c r="J471" s="100">
        <f t="shared" si="58"/>
        <v>0.22470000000000001</v>
      </c>
      <c r="K471" s="48">
        <f t="shared" si="52"/>
        <v>66.69</v>
      </c>
      <c r="L471" s="48">
        <f t="shared" si="53"/>
        <v>7.02</v>
      </c>
      <c r="M471" s="48">
        <f t="shared" si="54"/>
        <v>30010.5</v>
      </c>
      <c r="N471" s="48">
        <f t="shared" si="55"/>
        <v>3159</v>
      </c>
      <c r="O471" s="50">
        <f t="shared" si="56"/>
        <v>33169.5</v>
      </c>
      <c r="P471" s="50">
        <v>0</v>
      </c>
      <c r="Q471" s="76"/>
      <c r="R471" s="140">
        <f>10*S9+10*S10</f>
        <v>450</v>
      </c>
      <c r="S471" s="79">
        <v>54.46</v>
      </c>
      <c r="T471" s="80">
        <v>5.74</v>
      </c>
    </row>
    <row r="472" spans="2:20" ht="28">
      <c r="B472" s="5" t="s">
        <v>1131</v>
      </c>
      <c r="C472" s="45" t="s">
        <v>97</v>
      </c>
      <c r="D472" s="45" t="s">
        <v>1132</v>
      </c>
      <c r="E472" s="6" t="s">
        <v>1133</v>
      </c>
      <c r="F472" s="45" t="s">
        <v>187</v>
      </c>
      <c r="G472" s="46">
        <f t="shared" si="57"/>
        <v>450</v>
      </c>
      <c r="H472" s="46">
        <f>TRUNC(S472*(1-LOTE_02!$K$10),2)</f>
        <v>11.11</v>
      </c>
      <c r="I472" s="46">
        <f>TRUNC(T472*(1-LOTE_02!$K$10),2)</f>
        <v>1.57</v>
      </c>
      <c r="J472" s="100">
        <f t="shared" si="58"/>
        <v>0.22470000000000001</v>
      </c>
      <c r="K472" s="48">
        <f t="shared" si="52"/>
        <v>13.6</v>
      </c>
      <c r="L472" s="48">
        <f t="shared" si="53"/>
        <v>1.92</v>
      </c>
      <c r="M472" s="48">
        <f t="shared" si="54"/>
        <v>6120</v>
      </c>
      <c r="N472" s="48">
        <f t="shared" si="55"/>
        <v>864</v>
      </c>
      <c r="O472" s="50">
        <f t="shared" si="56"/>
        <v>6984</v>
      </c>
      <c r="P472" s="50">
        <v>0</v>
      </c>
      <c r="Q472" s="76"/>
      <c r="R472" s="140">
        <f>10*S9+10*S10</f>
        <v>450</v>
      </c>
      <c r="S472" s="79">
        <v>11.11</v>
      </c>
      <c r="T472" s="80">
        <v>1.57</v>
      </c>
    </row>
    <row r="473" spans="2:20" ht="56">
      <c r="B473" s="5" t="s">
        <v>1134</v>
      </c>
      <c r="C473" s="45" t="s">
        <v>135</v>
      </c>
      <c r="D473" s="45">
        <v>95778</v>
      </c>
      <c r="E473" s="6" t="s">
        <v>1814</v>
      </c>
      <c r="F473" s="45" t="s">
        <v>210</v>
      </c>
      <c r="G473" s="46">
        <f t="shared" si="57"/>
        <v>225</v>
      </c>
      <c r="H473" s="46">
        <f>TRUNC(S473*(1-LOTE_02!$K$10),2)</f>
        <v>22.6</v>
      </c>
      <c r="I473" s="46">
        <f>TRUNC(T473*(1-LOTE_02!$K$10),2)</f>
        <v>10.67</v>
      </c>
      <c r="J473" s="100">
        <f t="shared" si="58"/>
        <v>0.22470000000000001</v>
      </c>
      <c r="K473" s="48">
        <f t="shared" si="52"/>
        <v>27.67</v>
      </c>
      <c r="L473" s="48">
        <f t="shared" si="53"/>
        <v>13.06</v>
      </c>
      <c r="M473" s="48">
        <f t="shared" si="54"/>
        <v>6225.75</v>
      </c>
      <c r="N473" s="48">
        <f t="shared" si="55"/>
        <v>2938.5</v>
      </c>
      <c r="O473" s="50">
        <f t="shared" si="56"/>
        <v>9164.25</v>
      </c>
      <c r="P473" s="50">
        <v>0</v>
      </c>
      <c r="Q473" s="76"/>
      <c r="R473" s="140">
        <f>5*S9+5*S10</f>
        <v>225</v>
      </c>
      <c r="S473" s="79">
        <v>22.6</v>
      </c>
      <c r="T473" s="80">
        <v>10.67</v>
      </c>
    </row>
    <row r="474" spans="2:20" ht="56">
      <c r="B474" s="5" t="s">
        <v>1135</v>
      </c>
      <c r="C474" s="45" t="s">
        <v>135</v>
      </c>
      <c r="D474" s="45">
        <v>91941</v>
      </c>
      <c r="E474" s="6" t="s">
        <v>1021</v>
      </c>
      <c r="F474" s="45" t="s">
        <v>210</v>
      </c>
      <c r="G474" s="46">
        <f t="shared" si="57"/>
        <v>225</v>
      </c>
      <c r="H474" s="46">
        <f>TRUNC(S474*(1-LOTE_02!$K$10),2)</f>
        <v>7.04</v>
      </c>
      <c r="I474" s="46">
        <f>TRUNC(T474*(1-LOTE_02!$K$10),2)</f>
        <v>6.38</v>
      </c>
      <c r="J474" s="100">
        <f t="shared" si="58"/>
        <v>0.22470000000000001</v>
      </c>
      <c r="K474" s="48">
        <f t="shared" si="52"/>
        <v>8.6199999999999992</v>
      </c>
      <c r="L474" s="48">
        <f t="shared" si="53"/>
        <v>7.81</v>
      </c>
      <c r="M474" s="48">
        <f t="shared" si="54"/>
        <v>1939.5</v>
      </c>
      <c r="N474" s="48">
        <f t="shared" si="55"/>
        <v>1757.25</v>
      </c>
      <c r="O474" s="50">
        <f t="shared" si="56"/>
        <v>3696.75</v>
      </c>
      <c r="P474" s="50">
        <v>0</v>
      </c>
      <c r="Q474" s="76"/>
      <c r="R474" s="140">
        <f>5*S9+5*S10</f>
        <v>225</v>
      </c>
      <c r="S474" s="79">
        <v>7.04</v>
      </c>
      <c r="T474" s="80">
        <v>6.38</v>
      </c>
    </row>
    <row r="475" spans="2:20" ht="56">
      <c r="B475" s="5" t="s">
        <v>1136</v>
      </c>
      <c r="C475" s="45" t="s">
        <v>135</v>
      </c>
      <c r="D475" s="45">
        <v>91944</v>
      </c>
      <c r="E475" s="6" t="s">
        <v>935</v>
      </c>
      <c r="F475" s="45" t="s">
        <v>210</v>
      </c>
      <c r="G475" s="46">
        <f t="shared" si="57"/>
        <v>225</v>
      </c>
      <c r="H475" s="46">
        <f>TRUNC(S475*(1-LOTE_02!$K$10),2)</f>
        <v>10.130000000000001</v>
      </c>
      <c r="I475" s="46">
        <f>TRUNC(T475*(1-LOTE_02!$K$10),2)</f>
        <v>6.45</v>
      </c>
      <c r="J475" s="100">
        <f t="shared" si="58"/>
        <v>0.22470000000000001</v>
      </c>
      <c r="K475" s="48">
        <f t="shared" si="52"/>
        <v>12.4</v>
      </c>
      <c r="L475" s="48">
        <f t="shared" si="53"/>
        <v>7.89</v>
      </c>
      <c r="M475" s="48">
        <f t="shared" si="54"/>
        <v>2790</v>
      </c>
      <c r="N475" s="48">
        <f t="shared" si="55"/>
        <v>1775.25</v>
      </c>
      <c r="O475" s="50">
        <f t="shared" si="56"/>
        <v>4565.25</v>
      </c>
      <c r="P475" s="50">
        <v>0</v>
      </c>
      <c r="Q475" s="76"/>
      <c r="R475" s="140">
        <f>10*S9+1*S10</f>
        <v>225</v>
      </c>
      <c r="S475" s="79">
        <v>10.129999999999999</v>
      </c>
      <c r="T475" s="80">
        <v>6.45</v>
      </c>
    </row>
    <row r="476" spans="2:20" ht="56">
      <c r="B476" s="5" t="s">
        <v>1137</v>
      </c>
      <c r="C476" s="45" t="s">
        <v>135</v>
      </c>
      <c r="D476" s="45">
        <v>92000</v>
      </c>
      <c r="E476" s="6" t="s">
        <v>856</v>
      </c>
      <c r="F476" s="45" t="s">
        <v>210</v>
      </c>
      <c r="G476" s="46">
        <f t="shared" si="57"/>
        <v>900</v>
      </c>
      <c r="H476" s="46">
        <f>TRUNC(S476*(1-LOTE_02!$K$10),2)</f>
        <v>19.39</v>
      </c>
      <c r="I476" s="46">
        <f>TRUNC(T476*(1-LOTE_02!$K$10),2)</f>
        <v>14.49</v>
      </c>
      <c r="J476" s="100">
        <f t="shared" si="58"/>
        <v>0.22470000000000001</v>
      </c>
      <c r="K476" s="48">
        <f t="shared" si="52"/>
        <v>23.74</v>
      </c>
      <c r="L476" s="48">
        <f t="shared" si="53"/>
        <v>17.739999999999998</v>
      </c>
      <c r="M476" s="48">
        <f t="shared" si="54"/>
        <v>21366</v>
      </c>
      <c r="N476" s="48">
        <f t="shared" si="55"/>
        <v>15966</v>
      </c>
      <c r="O476" s="50">
        <f t="shared" si="56"/>
        <v>37332</v>
      </c>
      <c r="P476" s="50">
        <v>0</v>
      </c>
      <c r="Q476" s="76"/>
      <c r="R476" s="140">
        <f>20*S9+20*S10</f>
        <v>900</v>
      </c>
      <c r="S476" s="79">
        <v>19.39</v>
      </c>
      <c r="T476" s="80">
        <v>14.49</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50">
        <v>0</v>
      </c>
      <c r="Q477" s="76"/>
      <c r="R477" s="154"/>
      <c r="S477" s="79" t="s">
        <v>22</v>
      </c>
      <c r="T477" s="80" t="s">
        <v>22</v>
      </c>
    </row>
    <row r="478" spans="2:20" ht="56">
      <c r="B478" s="5" t="s">
        <v>1139</v>
      </c>
      <c r="C478" s="45" t="s">
        <v>97</v>
      </c>
      <c r="D478" s="45" t="s">
        <v>1140</v>
      </c>
      <c r="E478" s="6" t="s">
        <v>1141</v>
      </c>
      <c r="F478" s="45" t="s">
        <v>104</v>
      </c>
      <c r="G478" s="46">
        <f t="shared" si="57"/>
        <v>45</v>
      </c>
      <c r="H478" s="46">
        <f>TRUNC(S478*(1-LOTE_02!$K$10),2)</f>
        <v>192.05</v>
      </c>
      <c r="I478" s="46">
        <f>TRUNC(T478*(1-LOTE_02!$K$10),2)</f>
        <v>260.17</v>
      </c>
      <c r="J478" s="100">
        <f t="shared" si="58"/>
        <v>0.22470000000000001</v>
      </c>
      <c r="K478" s="48">
        <f t="shared" si="52"/>
        <v>235.2</v>
      </c>
      <c r="L478" s="48">
        <f t="shared" si="53"/>
        <v>318.63</v>
      </c>
      <c r="M478" s="48">
        <f t="shared" si="54"/>
        <v>10584</v>
      </c>
      <c r="N478" s="48">
        <f t="shared" si="55"/>
        <v>14338.35</v>
      </c>
      <c r="O478" s="50">
        <f t="shared" si="56"/>
        <v>24922.35</v>
      </c>
      <c r="P478" s="50">
        <v>0</v>
      </c>
      <c r="Q478" s="76"/>
      <c r="R478" s="140">
        <f>1*S9+1*S10</f>
        <v>45</v>
      </c>
      <c r="S478" s="79">
        <v>192.05</v>
      </c>
      <c r="T478" s="80">
        <v>260.17</v>
      </c>
    </row>
    <row r="479" spans="2:20" ht="28">
      <c r="B479" s="5" t="s">
        <v>1142</v>
      </c>
      <c r="C479" s="45" t="s">
        <v>97</v>
      </c>
      <c r="D479" s="45" t="s">
        <v>1143</v>
      </c>
      <c r="E479" s="6" t="s">
        <v>1144</v>
      </c>
      <c r="F479" s="45" t="s">
        <v>104</v>
      </c>
      <c r="G479" s="46">
        <f t="shared" si="57"/>
        <v>10</v>
      </c>
      <c r="H479" s="46">
        <f>TRUNC(S479*(1-LOTE_02!$K$10),2)</f>
        <v>20.75</v>
      </c>
      <c r="I479" s="46">
        <f>TRUNC(T479*(1-LOTE_02!$K$10),2)</f>
        <v>39.42</v>
      </c>
      <c r="J479" s="100">
        <f t="shared" si="58"/>
        <v>0.22470000000000001</v>
      </c>
      <c r="K479" s="48">
        <f t="shared" si="52"/>
        <v>25.41</v>
      </c>
      <c r="L479" s="48">
        <f t="shared" si="53"/>
        <v>48.27</v>
      </c>
      <c r="M479" s="48">
        <f t="shared" si="54"/>
        <v>254.1</v>
      </c>
      <c r="N479" s="48">
        <f t="shared" si="55"/>
        <v>482.7</v>
      </c>
      <c r="O479" s="50">
        <f t="shared" si="56"/>
        <v>736.8</v>
      </c>
      <c r="P479" s="50">
        <v>0</v>
      </c>
      <c r="Q479" s="76"/>
      <c r="R479" s="140">
        <f>IF((1*S9+1*S10)&gt;10,10,(1*S9+1*S10))</f>
        <v>10</v>
      </c>
      <c r="S479" s="79">
        <v>20.75</v>
      </c>
      <c r="T479" s="80">
        <v>39.42</v>
      </c>
    </row>
    <row r="480" spans="2:20">
      <c r="B480" s="5" t="s">
        <v>1145</v>
      </c>
      <c r="C480" s="45" t="s">
        <v>97</v>
      </c>
      <c r="D480" s="45" t="s">
        <v>1146</v>
      </c>
      <c r="E480" s="6" t="s">
        <v>1147</v>
      </c>
      <c r="F480" s="45" t="s">
        <v>104</v>
      </c>
      <c r="G480" s="46">
        <f t="shared" si="57"/>
        <v>10</v>
      </c>
      <c r="H480" s="46">
        <f>TRUNC(S480*(1-LOTE_02!$K$10),2)</f>
        <v>166</v>
      </c>
      <c r="I480" s="46">
        <f>TRUNC(T480*(1-LOTE_02!$K$10),2)</f>
        <v>315.36</v>
      </c>
      <c r="J480" s="100">
        <f t="shared" si="58"/>
        <v>0.22470000000000001</v>
      </c>
      <c r="K480" s="48">
        <f t="shared" si="52"/>
        <v>203.3</v>
      </c>
      <c r="L480" s="48">
        <f t="shared" si="53"/>
        <v>386.22</v>
      </c>
      <c r="M480" s="48">
        <f t="shared" si="54"/>
        <v>2033</v>
      </c>
      <c r="N480" s="48">
        <f t="shared" si="55"/>
        <v>3862.2</v>
      </c>
      <c r="O480" s="50">
        <f t="shared" si="56"/>
        <v>5895.2</v>
      </c>
      <c r="P480" s="50">
        <v>0</v>
      </c>
      <c r="Q480" s="76"/>
      <c r="R480" s="140">
        <f>IF((1*S9+1*S10)&gt;10,10,(1*S9+1*S10))</f>
        <v>10</v>
      </c>
      <c r="S480" s="79">
        <v>166</v>
      </c>
      <c r="T480" s="80">
        <v>315.36</v>
      </c>
    </row>
    <row r="481" spans="2:20" ht="28">
      <c r="B481" s="5" t="s">
        <v>1148</v>
      </c>
      <c r="C481" s="45" t="s">
        <v>97</v>
      </c>
      <c r="D481" s="45" t="s">
        <v>1149</v>
      </c>
      <c r="E481" s="6" t="s">
        <v>1150</v>
      </c>
      <c r="F481" s="45" t="s">
        <v>104</v>
      </c>
      <c r="G481" s="46">
        <f t="shared" si="57"/>
        <v>10</v>
      </c>
      <c r="H481" s="46">
        <f>TRUNC(S481*(1-LOTE_02!$K$10),2)</f>
        <v>252.32</v>
      </c>
      <c r="I481" s="46">
        <f>TRUNC(T481*(1-LOTE_02!$K$10),2)</f>
        <v>527.44000000000005</v>
      </c>
      <c r="J481" s="100">
        <f t="shared" si="58"/>
        <v>0.22470000000000001</v>
      </c>
      <c r="K481" s="48">
        <f t="shared" si="52"/>
        <v>309.01</v>
      </c>
      <c r="L481" s="48">
        <f t="shared" si="53"/>
        <v>645.95000000000005</v>
      </c>
      <c r="M481" s="48">
        <f t="shared" si="54"/>
        <v>3090.1</v>
      </c>
      <c r="N481" s="48">
        <f t="shared" si="55"/>
        <v>6459.5</v>
      </c>
      <c r="O481" s="50">
        <f t="shared" si="56"/>
        <v>9549.6</v>
      </c>
      <c r="P481" s="50">
        <v>0</v>
      </c>
      <c r="Q481" s="76"/>
      <c r="R481" s="140">
        <f>IF((1*S9+1*S10)&gt;10,10,(1*S9+1*S10))</f>
        <v>10</v>
      </c>
      <c r="S481" s="79">
        <v>252.32</v>
      </c>
      <c r="T481" s="80">
        <v>527.44000000000005</v>
      </c>
    </row>
    <row r="482" spans="2:20">
      <c r="B482" s="5" t="s">
        <v>1151</v>
      </c>
      <c r="C482" s="45" t="s">
        <v>97</v>
      </c>
      <c r="D482" s="45" t="s">
        <v>1152</v>
      </c>
      <c r="E482" s="6" t="s">
        <v>1153</v>
      </c>
      <c r="F482" s="45" t="s">
        <v>104</v>
      </c>
      <c r="G482" s="46">
        <f t="shared" si="57"/>
        <v>10</v>
      </c>
      <c r="H482" s="46">
        <f>TRUNC(S482*(1-LOTE_02!$K$10),2)</f>
        <v>41.5</v>
      </c>
      <c r="I482" s="46">
        <f>TRUNC(T482*(1-LOTE_02!$K$10),2)</f>
        <v>78.84</v>
      </c>
      <c r="J482" s="100">
        <f t="shared" si="58"/>
        <v>0.22470000000000001</v>
      </c>
      <c r="K482" s="48">
        <f t="shared" si="52"/>
        <v>50.82</v>
      </c>
      <c r="L482" s="48">
        <f t="shared" si="53"/>
        <v>96.55</v>
      </c>
      <c r="M482" s="48">
        <f t="shared" si="54"/>
        <v>508.2</v>
      </c>
      <c r="N482" s="48">
        <f t="shared" si="55"/>
        <v>965.5</v>
      </c>
      <c r="O482" s="50">
        <f t="shared" si="56"/>
        <v>1473.7</v>
      </c>
      <c r="P482" s="50">
        <v>0</v>
      </c>
      <c r="Q482" s="76"/>
      <c r="R482" s="140">
        <f>IF((1*S9+1*S10)&gt;10,10,(1*S9+1*S10))</f>
        <v>10</v>
      </c>
      <c r="S482" s="79">
        <v>41.5</v>
      </c>
      <c r="T482" s="80">
        <v>78.84</v>
      </c>
    </row>
    <row r="483" spans="2:20" ht="56">
      <c r="B483" s="5" t="s">
        <v>1154</v>
      </c>
      <c r="C483" s="45" t="s">
        <v>97</v>
      </c>
      <c r="D483" s="45" t="s">
        <v>1155</v>
      </c>
      <c r="E483" s="6" t="s">
        <v>1156</v>
      </c>
      <c r="F483" s="45" t="s">
        <v>104</v>
      </c>
      <c r="G483" s="46">
        <f t="shared" si="57"/>
        <v>10</v>
      </c>
      <c r="H483" s="46">
        <f>TRUNC(S483*(1-LOTE_02!$K$10),2)</f>
        <v>176.37</v>
      </c>
      <c r="I483" s="46">
        <f>TRUNC(T483*(1-LOTE_02!$K$10),2)</f>
        <v>335.07</v>
      </c>
      <c r="J483" s="100">
        <f t="shared" si="58"/>
        <v>0.22470000000000001</v>
      </c>
      <c r="K483" s="48">
        <f t="shared" si="52"/>
        <v>216</v>
      </c>
      <c r="L483" s="48">
        <f t="shared" si="53"/>
        <v>410.36</v>
      </c>
      <c r="M483" s="48">
        <f t="shared" si="54"/>
        <v>2160</v>
      </c>
      <c r="N483" s="48">
        <f t="shared" si="55"/>
        <v>4103.6000000000004</v>
      </c>
      <c r="O483" s="50">
        <f t="shared" si="56"/>
        <v>6263.6</v>
      </c>
      <c r="P483" s="50">
        <v>0</v>
      </c>
      <c r="Q483" s="76"/>
      <c r="R483" s="140">
        <f>IF((1*S9+1*S10)&gt;10,10,(1*S9+1*S10))</f>
        <v>10</v>
      </c>
      <c r="S483" s="79">
        <v>176.37</v>
      </c>
      <c r="T483" s="80">
        <v>335.07</v>
      </c>
    </row>
    <row r="484" spans="2:20" ht="56">
      <c r="B484" s="5" t="s">
        <v>1157</v>
      </c>
      <c r="C484" s="45" t="s">
        <v>97</v>
      </c>
      <c r="D484" s="45" t="s">
        <v>1158</v>
      </c>
      <c r="E484" s="6" t="s">
        <v>1159</v>
      </c>
      <c r="F484" s="45" t="s">
        <v>104</v>
      </c>
      <c r="G484" s="46">
        <f t="shared" si="57"/>
        <v>10</v>
      </c>
      <c r="H484" s="46">
        <f>TRUNC(S484*(1-LOTE_02!$K$10),2)</f>
        <v>2264.52</v>
      </c>
      <c r="I484" s="46">
        <f>TRUNC(T484*(1-LOTE_02!$K$10),2)</f>
        <v>4791.96</v>
      </c>
      <c r="J484" s="100">
        <f t="shared" si="58"/>
        <v>0.22470000000000001</v>
      </c>
      <c r="K484" s="48">
        <f t="shared" si="52"/>
        <v>2773.35</v>
      </c>
      <c r="L484" s="48">
        <f t="shared" si="53"/>
        <v>5868.71</v>
      </c>
      <c r="M484" s="48">
        <f t="shared" si="54"/>
        <v>27733.5</v>
      </c>
      <c r="N484" s="48">
        <f t="shared" si="55"/>
        <v>58687.1</v>
      </c>
      <c r="O484" s="50">
        <f t="shared" si="56"/>
        <v>86420.6</v>
      </c>
      <c r="P484" s="50">
        <v>0</v>
      </c>
      <c r="Q484" s="76"/>
      <c r="R484" s="140">
        <f>IF((1*S9+1*S10)&gt;10,10,(1*S9+1*S10))</f>
        <v>10</v>
      </c>
      <c r="S484" s="79">
        <v>2264.52</v>
      </c>
      <c r="T484" s="80">
        <v>4791.96</v>
      </c>
    </row>
    <row r="485" spans="2:20" ht="70">
      <c r="B485" s="5" t="s">
        <v>1160</v>
      </c>
      <c r="C485" s="45" t="s">
        <v>97</v>
      </c>
      <c r="D485" s="45" t="s">
        <v>1161</v>
      </c>
      <c r="E485" s="6" t="s">
        <v>1162</v>
      </c>
      <c r="F485" s="45" t="s">
        <v>104</v>
      </c>
      <c r="G485" s="46">
        <f t="shared" si="57"/>
        <v>10</v>
      </c>
      <c r="H485" s="46">
        <f>TRUNC(S485*(1-LOTE_02!$K$10),2)</f>
        <v>2099.0300000000002</v>
      </c>
      <c r="I485" s="46">
        <f>TRUNC(T485*(1-LOTE_02!$K$10),2)</f>
        <v>1068.54</v>
      </c>
      <c r="J485" s="100">
        <f t="shared" si="58"/>
        <v>0.22470000000000001</v>
      </c>
      <c r="K485" s="48">
        <f t="shared" si="52"/>
        <v>2570.6799999999998</v>
      </c>
      <c r="L485" s="48">
        <f t="shared" si="53"/>
        <v>1308.6400000000001</v>
      </c>
      <c r="M485" s="48">
        <f t="shared" si="54"/>
        <v>25706.799999999999</v>
      </c>
      <c r="N485" s="48">
        <f t="shared" si="55"/>
        <v>13086.4</v>
      </c>
      <c r="O485" s="50">
        <f t="shared" si="56"/>
        <v>38793.199999999997</v>
      </c>
      <c r="P485" s="50">
        <v>0</v>
      </c>
      <c r="Q485" s="76"/>
      <c r="R485" s="140">
        <f>IF((1*S9+1*S10)&gt;10,10,(1*S9+1*S10))</f>
        <v>10</v>
      </c>
      <c r="S485" s="79">
        <v>2099.0300000000002</v>
      </c>
      <c r="T485" s="80">
        <v>1068.54</v>
      </c>
    </row>
    <row r="486" spans="2:20" ht="28">
      <c r="B486" s="5" t="s">
        <v>1163</v>
      </c>
      <c r="C486" s="45" t="s">
        <v>97</v>
      </c>
      <c r="D486" s="45" t="s">
        <v>1164</v>
      </c>
      <c r="E486" s="6" t="s">
        <v>1165</v>
      </c>
      <c r="F486" s="45" t="s">
        <v>104</v>
      </c>
      <c r="G486" s="46">
        <f t="shared" si="57"/>
        <v>720</v>
      </c>
      <c r="H486" s="46">
        <f>TRUNC(S486*(1-LOTE_02!$K$10),2)</f>
        <v>165.17</v>
      </c>
      <c r="I486" s="46">
        <f>TRUNC(T486*(1-LOTE_02!$K$10),2)</f>
        <v>12.93</v>
      </c>
      <c r="J486" s="100">
        <f t="shared" si="58"/>
        <v>0.22470000000000001</v>
      </c>
      <c r="K486" s="48">
        <f t="shared" si="52"/>
        <v>202.28</v>
      </c>
      <c r="L486" s="48">
        <f t="shared" si="53"/>
        <v>15.83</v>
      </c>
      <c r="M486" s="48">
        <f t="shared" si="54"/>
        <v>145641.60000000001</v>
      </c>
      <c r="N486" s="48">
        <f t="shared" si="55"/>
        <v>11397.6</v>
      </c>
      <c r="O486" s="50">
        <f t="shared" si="56"/>
        <v>157039.20000000001</v>
      </c>
      <c r="P486" s="50">
        <v>0</v>
      </c>
      <c r="Q486" s="76"/>
      <c r="R486" s="140">
        <f>16*S10+16*S9</f>
        <v>720</v>
      </c>
      <c r="S486" s="79">
        <v>165.17</v>
      </c>
      <c r="T486" s="80">
        <v>12.93</v>
      </c>
    </row>
    <row r="487" spans="2:20" ht="28">
      <c r="B487" s="5" t="s">
        <v>1166</v>
      </c>
      <c r="C487" s="45" t="s">
        <v>97</v>
      </c>
      <c r="D487" s="45" t="s">
        <v>1167</v>
      </c>
      <c r="E487" s="6" t="s">
        <v>1168</v>
      </c>
      <c r="F487" s="45" t="s">
        <v>104</v>
      </c>
      <c r="G487" s="46">
        <f t="shared" si="57"/>
        <v>720</v>
      </c>
      <c r="H487" s="46">
        <f>TRUNC(S487*(1-LOTE_02!$K$10),2)</f>
        <v>180.77</v>
      </c>
      <c r="I487" s="46">
        <f>TRUNC(T487*(1-LOTE_02!$K$10),2)</f>
        <v>12.93</v>
      </c>
      <c r="J487" s="100">
        <f t="shared" si="58"/>
        <v>0.22470000000000001</v>
      </c>
      <c r="K487" s="48">
        <f t="shared" si="52"/>
        <v>221.38</v>
      </c>
      <c r="L487" s="48">
        <f t="shared" si="53"/>
        <v>15.83</v>
      </c>
      <c r="M487" s="48">
        <f t="shared" si="54"/>
        <v>159393.60000000001</v>
      </c>
      <c r="N487" s="48">
        <f t="shared" si="55"/>
        <v>11397.6</v>
      </c>
      <c r="O487" s="50">
        <f t="shared" si="56"/>
        <v>170791.2</v>
      </c>
      <c r="P487" s="50">
        <v>0</v>
      </c>
      <c r="Q487" s="76"/>
      <c r="R487" s="140">
        <f>16*S10+16*S9</f>
        <v>720</v>
      </c>
      <c r="S487" s="79">
        <v>180.77</v>
      </c>
      <c r="T487" s="80">
        <v>12.93</v>
      </c>
    </row>
    <row r="488" spans="2:20" ht="28">
      <c r="B488" s="5" t="s">
        <v>1169</v>
      </c>
      <c r="C488" s="45" t="s">
        <v>97</v>
      </c>
      <c r="D488" s="45" t="s">
        <v>1170</v>
      </c>
      <c r="E488" s="6" t="s">
        <v>1171</v>
      </c>
      <c r="F488" s="45" t="s">
        <v>104</v>
      </c>
      <c r="G488" s="46">
        <f t="shared" si="57"/>
        <v>720</v>
      </c>
      <c r="H488" s="46">
        <f>TRUNC(S488*(1-LOTE_02!$K$10),2)</f>
        <v>334.27</v>
      </c>
      <c r="I488" s="46">
        <f>TRUNC(T488*(1-LOTE_02!$K$10),2)</f>
        <v>12.93</v>
      </c>
      <c r="J488" s="100">
        <f t="shared" si="58"/>
        <v>0.22470000000000001</v>
      </c>
      <c r="K488" s="48">
        <f t="shared" si="52"/>
        <v>409.38</v>
      </c>
      <c r="L488" s="48">
        <f t="shared" si="53"/>
        <v>15.83</v>
      </c>
      <c r="M488" s="48">
        <f t="shared" si="54"/>
        <v>294753.59999999998</v>
      </c>
      <c r="N488" s="48">
        <f t="shared" si="55"/>
        <v>11397.6</v>
      </c>
      <c r="O488" s="50">
        <f t="shared" si="56"/>
        <v>306151.2</v>
      </c>
      <c r="P488" s="50">
        <v>0</v>
      </c>
      <c r="Q488" s="76"/>
      <c r="R488" s="140">
        <f>16*S10+16*S9</f>
        <v>720</v>
      </c>
      <c r="S488" s="79">
        <v>334.27</v>
      </c>
      <c r="T488" s="80">
        <v>12.93</v>
      </c>
    </row>
    <row r="489" spans="2:20" ht="56">
      <c r="B489" s="5" t="s">
        <v>1172</v>
      </c>
      <c r="C489" s="45" t="s">
        <v>97</v>
      </c>
      <c r="D489" s="45" t="s">
        <v>1173</v>
      </c>
      <c r="E489" s="6" t="s">
        <v>1174</v>
      </c>
      <c r="F489" s="45" t="s">
        <v>104</v>
      </c>
      <c r="G489" s="46">
        <f t="shared" si="57"/>
        <v>45</v>
      </c>
      <c r="H489" s="46">
        <f>TRUNC(S489*(1-LOTE_02!$K$10),2)</f>
        <v>766.24</v>
      </c>
      <c r="I489" s="46">
        <f>TRUNC(T489*(1-LOTE_02!$K$10),2)</f>
        <v>129.30000000000001</v>
      </c>
      <c r="J489" s="100">
        <f t="shared" si="58"/>
        <v>0.22470000000000001</v>
      </c>
      <c r="K489" s="48">
        <f t="shared" si="52"/>
        <v>938.41</v>
      </c>
      <c r="L489" s="48">
        <f t="shared" si="53"/>
        <v>158.35</v>
      </c>
      <c r="M489" s="48">
        <f t="shared" si="54"/>
        <v>42228.45</v>
      </c>
      <c r="N489" s="48">
        <f t="shared" si="55"/>
        <v>7125.75</v>
      </c>
      <c r="O489" s="50">
        <f t="shared" si="56"/>
        <v>49354.2</v>
      </c>
      <c r="P489" s="50">
        <v>0</v>
      </c>
      <c r="Q489" s="76"/>
      <c r="R489" s="140">
        <f>S10+S9</f>
        <v>45</v>
      </c>
      <c r="S489" s="79">
        <v>766.24</v>
      </c>
      <c r="T489" s="80">
        <v>129.30000000000001</v>
      </c>
    </row>
    <row r="490" spans="2:20" ht="56">
      <c r="B490" s="5" t="s">
        <v>1175</v>
      </c>
      <c r="C490" s="45" t="s">
        <v>97</v>
      </c>
      <c r="D490" s="45" t="s">
        <v>1176</v>
      </c>
      <c r="E490" s="6" t="s">
        <v>1177</v>
      </c>
      <c r="F490" s="45" t="s">
        <v>104</v>
      </c>
      <c r="G490" s="46">
        <f t="shared" si="57"/>
        <v>45</v>
      </c>
      <c r="H490" s="46">
        <f>TRUNC(S490*(1-LOTE_02!$K$10),2)</f>
        <v>2018.64</v>
      </c>
      <c r="I490" s="46">
        <f>TRUNC(T490*(1-LOTE_02!$K$10),2)</f>
        <v>413.76</v>
      </c>
      <c r="J490" s="100">
        <f t="shared" si="58"/>
        <v>0.22470000000000001</v>
      </c>
      <c r="K490" s="48">
        <f t="shared" si="52"/>
        <v>2472.2199999999998</v>
      </c>
      <c r="L490" s="48">
        <f t="shared" si="53"/>
        <v>506.73</v>
      </c>
      <c r="M490" s="48">
        <f t="shared" si="54"/>
        <v>111249.9</v>
      </c>
      <c r="N490" s="48">
        <f t="shared" si="55"/>
        <v>22802.85</v>
      </c>
      <c r="O490" s="50">
        <f t="shared" si="56"/>
        <v>134052.75</v>
      </c>
      <c r="P490" s="50">
        <v>0</v>
      </c>
      <c r="Q490" s="76"/>
      <c r="R490" s="140">
        <f>S10+S9</f>
        <v>45</v>
      </c>
      <c r="S490" s="79">
        <v>2018.64</v>
      </c>
      <c r="T490" s="80">
        <v>413.76</v>
      </c>
    </row>
    <row r="491" spans="2:20" ht="56">
      <c r="B491" s="5" t="s">
        <v>1178</v>
      </c>
      <c r="C491" s="45" t="s">
        <v>97</v>
      </c>
      <c r="D491" s="45" t="s">
        <v>1179</v>
      </c>
      <c r="E491" s="6" t="s">
        <v>1180</v>
      </c>
      <c r="F491" s="45" t="s">
        <v>104</v>
      </c>
      <c r="G491" s="46">
        <f t="shared" si="57"/>
        <v>45</v>
      </c>
      <c r="H491" s="46">
        <f>TRUNC(S491*(1-LOTE_02!$K$10),2)</f>
        <v>2268.64</v>
      </c>
      <c r="I491" s="46">
        <f>TRUNC(T491*(1-LOTE_02!$K$10),2)</f>
        <v>413.76</v>
      </c>
      <c r="J491" s="100">
        <f t="shared" si="58"/>
        <v>0.22470000000000001</v>
      </c>
      <c r="K491" s="48">
        <f t="shared" si="52"/>
        <v>2778.4</v>
      </c>
      <c r="L491" s="48">
        <f t="shared" si="53"/>
        <v>506.73</v>
      </c>
      <c r="M491" s="48">
        <f t="shared" si="54"/>
        <v>125028</v>
      </c>
      <c r="N491" s="48">
        <f t="shared" si="55"/>
        <v>22802.85</v>
      </c>
      <c r="O491" s="50">
        <f t="shared" si="56"/>
        <v>147830.85</v>
      </c>
      <c r="P491" s="50">
        <v>0</v>
      </c>
      <c r="Q491" s="76"/>
      <c r="R491" s="140">
        <f>S10+S9</f>
        <v>45</v>
      </c>
      <c r="S491" s="79">
        <v>2268.64</v>
      </c>
      <c r="T491" s="80">
        <v>413.76</v>
      </c>
    </row>
    <row r="492" spans="2:20" ht="56">
      <c r="B492" s="5" t="s">
        <v>1181</v>
      </c>
      <c r="C492" s="45" t="s">
        <v>97</v>
      </c>
      <c r="D492" s="45" t="s">
        <v>1182</v>
      </c>
      <c r="E492" s="6" t="s">
        <v>1183</v>
      </c>
      <c r="F492" s="45" t="s">
        <v>104</v>
      </c>
      <c r="G492" s="46">
        <f t="shared" si="57"/>
        <v>45</v>
      </c>
      <c r="H492" s="46">
        <f>TRUNC(S492*(1-LOTE_02!$K$10),2)</f>
        <v>3760.8</v>
      </c>
      <c r="I492" s="46">
        <f>TRUNC(T492*(1-LOTE_02!$K$10),2)</f>
        <v>517.20000000000005</v>
      </c>
      <c r="J492" s="100">
        <f t="shared" si="58"/>
        <v>0.22470000000000001</v>
      </c>
      <c r="K492" s="48">
        <f t="shared" si="52"/>
        <v>4605.8500000000004</v>
      </c>
      <c r="L492" s="48">
        <f t="shared" si="53"/>
        <v>633.41</v>
      </c>
      <c r="M492" s="48">
        <f t="shared" si="54"/>
        <v>207263.25</v>
      </c>
      <c r="N492" s="48">
        <f t="shared" si="55"/>
        <v>28503.45</v>
      </c>
      <c r="O492" s="50">
        <f t="shared" si="56"/>
        <v>235766.7</v>
      </c>
      <c r="P492" s="50">
        <v>0</v>
      </c>
      <c r="Q492" s="76"/>
      <c r="R492" s="140">
        <f>S10+S9</f>
        <v>45</v>
      </c>
      <c r="S492" s="79">
        <v>3760.8</v>
      </c>
      <c r="T492" s="80">
        <v>517.20000000000005</v>
      </c>
    </row>
    <row r="493" spans="2:20" ht="56">
      <c r="B493" s="5" t="s">
        <v>1184</v>
      </c>
      <c r="C493" s="45" t="s">
        <v>97</v>
      </c>
      <c r="D493" s="45" t="s">
        <v>1185</v>
      </c>
      <c r="E493" s="6" t="s">
        <v>1186</v>
      </c>
      <c r="F493" s="45" t="s">
        <v>104</v>
      </c>
      <c r="G493" s="46">
        <f t="shared" si="57"/>
        <v>45</v>
      </c>
      <c r="H493" s="46">
        <f>TRUNC(S493*(1-LOTE_02!$K$10),2)</f>
        <v>4060.8</v>
      </c>
      <c r="I493" s="46">
        <f>TRUNC(T493*(1-LOTE_02!$K$10),2)</f>
        <v>517.20000000000005</v>
      </c>
      <c r="J493" s="100">
        <f t="shared" si="58"/>
        <v>0.22470000000000001</v>
      </c>
      <c r="K493" s="48">
        <f t="shared" si="52"/>
        <v>4973.26</v>
      </c>
      <c r="L493" s="48">
        <f t="shared" si="53"/>
        <v>633.41</v>
      </c>
      <c r="M493" s="48">
        <f t="shared" si="54"/>
        <v>223796.7</v>
      </c>
      <c r="N493" s="48">
        <f t="shared" si="55"/>
        <v>28503.45</v>
      </c>
      <c r="O493" s="50">
        <f t="shared" si="56"/>
        <v>252300.15</v>
      </c>
      <c r="P493" s="50">
        <v>0</v>
      </c>
      <c r="Q493" s="76"/>
      <c r="R493" s="140">
        <f>S10+S9</f>
        <v>45</v>
      </c>
      <c r="S493" s="79">
        <v>4060.8</v>
      </c>
      <c r="T493" s="80">
        <v>517.20000000000005</v>
      </c>
    </row>
    <row r="494" spans="2:20" ht="28">
      <c r="B494" s="5" t="s">
        <v>1187</v>
      </c>
      <c r="C494" s="45" t="s">
        <v>97</v>
      </c>
      <c r="D494" s="45" t="s">
        <v>1188</v>
      </c>
      <c r="E494" s="6" t="s">
        <v>1189</v>
      </c>
      <c r="F494" s="45" t="s">
        <v>104</v>
      </c>
      <c r="G494" s="46">
        <f t="shared" si="57"/>
        <v>225</v>
      </c>
      <c r="H494" s="46">
        <f>TRUNC(S494*(1-LOTE_02!$K$10),2)</f>
        <v>33.880000000000003</v>
      </c>
      <c r="I494" s="46">
        <f>TRUNC(T494*(1-LOTE_02!$K$10),2)</f>
        <v>31.03</v>
      </c>
      <c r="J494" s="100">
        <f t="shared" si="58"/>
        <v>0.22470000000000001</v>
      </c>
      <c r="K494" s="48">
        <f t="shared" si="52"/>
        <v>41.49</v>
      </c>
      <c r="L494" s="48">
        <f t="shared" si="53"/>
        <v>38</v>
      </c>
      <c r="M494" s="48">
        <f t="shared" si="54"/>
        <v>9335.25</v>
      </c>
      <c r="N494" s="48">
        <f t="shared" si="55"/>
        <v>8550</v>
      </c>
      <c r="O494" s="50">
        <f t="shared" si="56"/>
        <v>17885.25</v>
      </c>
      <c r="P494" s="50">
        <v>0</v>
      </c>
      <c r="Q494" s="76"/>
      <c r="R494" s="140">
        <f>5*S9+5*S10</f>
        <v>225</v>
      </c>
      <c r="S494" s="79">
        <v>33.880000000000003</v>
      </c>
      <c r="T494" s="80">
        <v>31.03</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1017151.3700000002</v>
      </c>
      <c r="Q495" s="76"/>
      <c r="R495" s="154"/>
      <c r="S495" s="79" t="s">
        <v>22</v>
      </c>
      <c r="T495" s="80" t="s">
        <v>22</v>
      </c>
    </row>
    <row r="496" spans="2:20" ht="42">
      <c r="B496" s="5" t="s">
        <v>1190</v>
      </c>
      <c r="C496" s="45" t="s">
        <v>135</v>
      </c>
      <c r="D496" s="45">
        <v>90447</v>
      </c>
      <c r="E496" s="6" t="s">
        <v>1191</v>
      </c>
      <c r="F496" s="45" t="s">
        <v>187</v>
      </c>
      <c r="G496" s="46">
        <f t="shared" si="57"/>
        <v>2250</v>
      </c>
      <c r="H496" s="46">
        <f>TRUNC(S496*(1-LOTE_02!$K$10),2)</f>
        <v>3.17</v>
      </c>
      <c r="I496" s="46">
        <f>TRUNC(T496*(1-LOTE_02!$K$10),2)</f>
        <v>6.45</v>
      </c>
      <c r="J496" s="100">
        <f t="shared" si="58"/>
        <v>0.22470000000000001</v>
      </c>
      <c r="K496" s="48">
        <f t="shared" si="52"/>
        <v>3.88</v>
      </c>
      <c r="L496" s="48">
        <f t="shared" si="53"/>
        <v>7.89</v>
      </c>
      <c r="M496" s="48">
        <f t="shared" si="54"/>
        <v>8730</v>
      </c>
      <c r="N496" s="48">
        <f t="shared" si="55"/>
        <v>17752.5</v>
      </c>
      <c r="O496" s="50">
        <f t="shared" si="56"/>
        <v>26482.5</v>
      </c>
      <c r="P496" s="50">
        <v>0</v>
      </c>
      <c r="Q496" s="76"/>
      <c r="R496" s="140">
        <f>50*S9+50*S10</f>
        <v>2250</v>
      </c>
      <c r="S496" s="79">
        <v>3.169999999999999</v>
      </c>
      <c r="T496" s="80">
        <v>6.45</v>
      </c>
    </row>
    <row r="497" spans="2:20" ht="70">
      <c r="B497" s="5" t="s">
        <v>1192</v>
      </c>
      <c r="C497" s="45" t="s">
        <v>135</v>
      </c>
      <c r="D497" s="45">
        <v>91222</v>
      </c>
      <c r="E497" s="6" t="s">
        <v>1193</v>
      </c>
      <c r="F497" s="45" t="s">
        <v>187</v>
      </c>
      <c r="G497" s="46">
        <f t="shared" si="57"/>
        <v>200</v>
      </c>
      <c r="H497" s="46">
        <f>TRUNC(S497*(1-LOTE_02!$K$10),2)</f>
        <v>3.3</v>
      </c>
      <c r="I497" s="46">
        <f>TRUNC(T497*(1-LOTE_02!$K$10),2)</f>
        <v>7.06</v>
      </c>
      <c r="J497" s="100">
        <f t="shared" si="58"/>
        <v>0.22470000000000001</v>
      </c>
      <c r="K497" s="48">
        <f t="shared" si="52"/>
        <v>4.04</v>
      </c>
      <c r="L497" s="48">
        <f t="shared" si="53"/>
        <v>8.64</v>
      </c>
      <c r="M497" s="48">
        <f t="shared" si="54"/>
        <v>808</v>
      </c>
      <c r="N497" s="48">
        <f t="shared" si="55"/>
        <v>1728</v>
      </c>
      <c r="O497" s="50">
        <f t="shared" si="56"/>
        <v>2536</v>
      </c>
      <c r="P497" s="50">
        <v>0</v>
      </c>
      <c r="Q497" s="76"/>
      <c r="R497" s="140">
        <f>IF((5*S9+30*S10)&gt;200,200,(5*S9+30*S10))</f>
        <v>200</v>
      </c>
      <c r="S497" s="79">
        <v>3.3</v>
      </c>
      <c r="T497" s="80">
        <v>7.06</v>
      </c>
    </row>
    <row r="498" spans="2:20" ht="84">
      <c r="B498" s="5" t="s">
        <v>1194</v>
      </c>
      <c r="C498" s="45" t="s">
        <v>135</v>
      </c>
      <c r="D498" s="45">
        <v>90445</v>
      </c>
      <c r="E498" s="6" t="s">
        <v>1195</v>
      </c>
      <c r="F498" s="45" t="s">
        <v>187</v>
      </c>
      <c r="G498" s="46">
        <f t="shared" si="57"/>
        <v>100</v>
      </c>
      <c r="H498" s="46">
        <f>TRUNC(S498*(1-LOTE_02!$K$10),2)</f>
        <v>7.39</v>
      </c>
      <c r="I498" s="46">
        <f>TRUNC(T498*(1-LOTE_02!$K$10),2)</f>
        <v>10.44</v>
      </c>
      <c r="J498" s="100">
        <f t="shared" si="58"/>
        <v>0.22470000000000001</v>
      </c>
      <c r="K498" s="48">
        <f t="shared" si="52"/>
        <v>9.0500000000000007</v>
      </c>
      <c r="L498" s="48">
        <f t="shared" si="53"/>
        <v>12.78</v>
      </c>
      <c r="M498" s="48">
        <f t="shared" si="54"/>
        <v>905</v>
      </c>
      <c r="N498" s="48">
        <f t="shared" si="55"/>
        <v>1278</v>
      </c>
      <c r="O498" s="50">
        <f t="shared" si="56"/>
        <v>2183</v>
      </c>
      <c r="P498" s="50">
        <v>0</v>
      </c>
      <c r="Q498" s="76"/>
      <c r="R498" s="140">
        <f>IF((5*S9+30*S10)&gt;100,100,(5*S9+30*S10))</f>
        <v>100</v>
      </c>
      <c r="S498" s="79">
        <v>7.3899999999999988</v>
      </c>
      <c r="T498" s="80">
        <v>10.44</v>
      </c>
    </row>
    <row r="499" spans="2:20" ht="28">
      <c r="B499" s="5" t="s">
        <v>1196</v>
      </c>
      <c r="C499" s="45" t="s">
        <v>97</v>
      </c>
      <c r="D499" s="45" t="s">
        <v>1197</v>
      </c>
      <c r="E499" s="6" t="s">
        <v>1198</v>
      </c>
      <c r="F499" s="45" t="s">
        <v>999</v>
      </c>
      <c r="G499" s="46">
        <f t="shared" si="57"/>
        <v>50</v>
      </c>
      <c r="H499" s="46">
        <f>TRUNC(S499*(1-LOTE_02!$K$10),2)</f>
        <v>343.21</v>
      </c>
      <c r="I499" s="46">
        <f>TRUNC(T499*(1-LOTE_02!$K$10),2)</f>
        <v>357.79</v>
      </c>
      <c r="J499" s="100">
        <f t="shared" si="58"/>
        <v>0.22470000000000001</v>
      </c>
      <c r="K499" s="48">
        <f t="shared" si="52"/>
        <v>420.32</v>
      </c>
      <c r="L499" s="48">
        <f t="shared" si="53"/>
        <v>438.18</v>
      </c>
      <c r="M499" s="48">
        <f t="shared" si="54"/>
        <v>21016</v>
      </c>
      <c r="N499" s="48">
        <f t="shared" si="55"/>
        <v>21909</v>
      </c>
      <c r="O499" s="50">
        <f t="shared" si="56"/>
        <v>42925</v>
      </c>
      <c r="P499" s="50">
        <v>0</v>
      </c>
      <c r="Q499" s="76"/>
      <c r="R499" s="140">
        <f>IF((5*S9+10*S10)&gt;50,50,(5*S9+10*S10))</f>
        <v>50</v>
      </c>
      <c r="S499" s="79">
        <v>343.21</v>
      </c>
      <c r="T499" s="80">
        <v>357.79</v>
      </c>
    </row>
    <row r="500" spans="2:20" ht="28">
      <c r="B500" s="5" t="s">
        <v>1199</v>
      </c>
      <c r="C500" s="45" t="s">
        <v>97</v>
      </c>
      <c r="D500" s="45" t="s">
        <v>1200</v>
      </c>
      <c r="E500" s="6" t="s">
        <v>1201</v>
      </c>
      <c r="F500" s="45" t="s">
        <v>999</v>
      </c>
      <c r="G500" s="46">
        <f t="shared" si="57"/>
        <v>50</v>
      </c>
      <c r="H500" s="46">
        <f>TRUNC(S500*(1-LOTE_02!$K$10),2)</f>
        <v>143.76</v>
      </c>
      <c r="I500" s="46">
        <f>TRUNC(T500*(1-LOTE_02!$K$10),2)</f>
        <v>77.34</v>
      </c>
      <c r="J500" s="100">
        <f t="shared" si="58"/>
        <v>0.22470000000000001</v>
      </c>
      <c r="K500" s="48">
        <f t="shared" si="52"/>
        <v>176.06</v>
      </c>
      <c r="L500" s="48">
        <f t="shared" si="53"/>
        <v>94.71</v>
      </c>
      <c r="M500" s="48">
        <f t="shared" si="54"/>
        <v>8803</v>
      </c>
      <c r="N500" s="48">
        <f t="shared" si="55"/>
        <v>4735.5</v>
      </c>
      <c r="O500" s="50">
        <f t="shared" si="56"/>
        <v>13538.5</v>
      </c>
      <c r="P500" s="50">
        <v>0</v>
      </c>
      <c r="Q500" s="76"/>
      <c r="R500" s="140">
        <f>IF((5*S9+10*S10)&gt;50,50,(5*S9+10*S10))</f>
        <v>50</v>
      </c>
      <c r="S500" s="79">
        <v>143.76</v>
      </c>
      <c r="T500" s="80">
        <v>77.34</v>
      </c>
    </row>
    <row r="501" spans="2:20" ht="84">
      <c r="B501" s="5" t="s">
        <v>1202</v>
      </c>
      <c r="C501" s="45" t="s">
        <v>97</v>
      </c>
      <c r="D501" s="45" t="s">
        <v>1203</v>
      </c>
      <c r="E501" s="6" t="s">
        <v>1204</v>
      </c>
      <c r="F501" s="45" t="s">
        <v>104</v>
      </c>
      <c r="G501" s="46">
        <f t="shared" si="57"/>
        <v>50</v>
      </c>
      <c r="H501" s="46">
        <f>TRUNC(S501*(1-LOTE_02!$K$10),2)</f>
        <v>914.08</v>
      </c>
      <c r="I501" s="46">
        <f>TRUNC(T501*(1-LOTE_02!$K$10),2)</f>
        <v>648.25</v>
      </c>
      <c r="J501" s="100">
        <f t="shared" si="58"/>
        <v>0.22470000000000001</v>
      </c>
      <c r="K501" s="48">
        <f t="shared" si="52"/>
        <v>1119.47</v>
      </c>
      <c r="L501" s="48">
        <f t="shared" si="53"/>
        <v>793.91</v>
      </c>
      <c r="M501" s="48">
        <f t="shared" si="54"/>
        <v>55973.5</v>
      </c>
      <c r="N501" s="48">
        <f t="shared" si="55"/>
        <v>39695.5</v>
      </c>
      <c r="O501" s="50">
        <f t="shared" si="56"/>
        <v>95669</v>
      </c>
      <c r="P501" s="50">
        <v>0</v>
      </c>
      <c r="Q501" s="76"/>
      <c r="R501" s="140">
        <f>IF((5*S9+10*S10)&gt;50,50,(5*S9+10*S10))</f>
        <v>50</v>
      </c>
      <c r="S501" s="79">
        <v>914.08</v>
      </c>
      <c r="T501" s="80">
        <v>648.25</v>
      </c>
    </row>
    <row r="502" spans="2:20" ht="42">
      <c r="B502" s="5" t="s">
        <v>1205</v>
      </c>
      <c r="C502" s="45" t="s">
        <v>135</v>
      </c>
      <c r="D502" s="45">
        <v>86886</v>
      </c>
      <c r="E502" s="6" t="s">
        <v>1816</v>
      </c>
      <c r="F502" s="45" t="s">
        <v>210</v>
      </c>
      <c r="G502" s="46">
        <f t="shared" si="57"/>
        <v>50</v>
      </c>
      <c r="H502" s="46">
        <f>TRUNC(S502*(1-LOTE_02!$K$10),2)</f>
        <v>38.99</v>
      </c>
      <c r="I502" s="46">
        <f>TRUNC(T502*(1-LOTE_02!$K$10),2)</f>
        <v>3.69</v>
      </c>
      <c r="J502" s="100">
        <f t="shared" si="58"/>
        <v>0.22470000000000001</v>
      </c>
      <c r="K502" s="48">
        <f t="shared" si="52"/>
        <v>47.75</v>
      </c>
      <c r="L502" s="48">
        <f t="shared" si="53"/>
        <v>4.51</v>
      </c>
      <c r="M502" s="48">
        <f t="shared" si="54"/>
        <v>2387.5</v>
      </c>
      <c r="N502" s="48">
        <f t="shared" si="55"/>
        <v>225.5</v>
      </c>
      <c r="O502" s="50">
        <f t="shared" si="56"/>
        <v>2613</v>
      </c>
      <c r="P502" s="50">
        <v>0</v>
      </c>
      <c r="Q502" s="76"/>
      <c r="R502" s="140">
        <f>IF((5*S9+10*S10)&gt;50,50,(5*S9+10*S10))</f>
        <v>50</v>
      </c>
      <c r="S502" s="79">
        <v>38.99</v>
      </c>
      <c r="T502" s="80">
        <v>3.69</v>
      </c>
    </row>
    <row r="503" spans="2:20" ht="28">
      <c r="B503" s="5" t="s">
        <v>1206</v>
      </c>
      <c r="C503" s="45" t="s">
        <v>165</v>
      </c>
      <c r="D503" s="45" t="s">
        <v>1207</v>
      </c>
      <c r="E503" s="6" t="s">
        <v>1208</v>
      </c>
      <c r="F503" s="45" t="s">
        <v>559</v>
      </c>
      <c r="G503" s="46">
        <f t="shared" si="57"/>
        <v>50</v>
      </c>
      <c r="H503" s="46">
        <f>TRUNC(S503*(1-LOTE_02!$K$10),2)</f>
        <v>182.41</v>
      </c>
      <c r="I503" s="46">
        <f>TRUNC(T503*(1-LOTE_02!$K$10),2)</f>
        <v>19.45</v>
      </c>
      <c r="J503" s="100">
        <f t="shared" si="58"/>
        <v>0.22470000000000001</v>
      </c>
      <c r="K503" s="48">
        <f t="shared" si="52"/>
        <v>223.39</v>
      </c>
      <c r="L503" s="48">
        <f t="shared" si="53"/>
        <v>23.82</v>
      </c>
      <c r="M503" s="48">
        <f t="shared" si="54"/>
        <v>11169.5</v>
      </c>
      <c r="N503" s="48">
        <f t="shared" si="55"/>
        <v>1191</v>
      </c>
      <c r="O503" s="50">
        <f t="shared" si="56"/>
        <v>12360.5</v>
      </c>
      <c r="P503" s="50">
        <v>0</v>
      </c>
      <c r="Q503" s="76"/>
      <c r="R503" s="140">
        <f>IF((5*S9+10*S10)&gt;50,50,(5*S9+10*S10))</f>
        <v>50</v>
      </c>
      <c r="S503" s="79">
        <v>182.41</v>
      </c>
      <c r="T503" s="80">
        <v>19.45</v>
      </c>
    </row>
    <row r="504" spans="2:20" ht="28">
      <c r="B504" s="5" t="s">
        <v>1209</v>
      </c>
      <c r="C504" s="45" t="s">
        <v>165</v>
      </c>
      <c r="D504" s="45" t="s">
        <v>1210</v>
      </c>
      <c r="E504" s="6" t="s">
        <v>1211</v>
      </c>
      <c r="F504" s="45" t="s">
        <v>559</v>
      </c>
      <c r="G504" s="46">
        <f t="shared" si="57"/>
        <v>50</v>
      </c>
      <c r="H504" s="46">
        <f>TRUNC(S504*(1-LOTE_02!$K$10),2)</f>
        <v>119.1</v>
      </c>
      <c r="I504" s="46">
        <f>TRUNC(T504*(1-LOTE_02!$K$10),2)</f>
        <v>19.45</v>
      </c>
      <c r="J504" s="100">
        <f t="shared" si="58"/>
        <v>0.22470000000000001</v>
      </c>
      <c r="K504" s="48">
        <f t="shared" si="52"/>
        <v>145.86000000000001</v>
      </c>
      <c r="L504" s="48">
        <f t="shared" si="53"/>
        <v>23.82</v>
      </c>
      <c r="M504" s="48">
        <f t="shared" si="54"/>
        <v>7293</v>
      </c>
      <c r="N504" s="48">
        <f t="shared" si="55"/>
        <v>1191</v>
      </c>
      <c r="O504" s="50">
        <f t="shared" si="56"/>
        <v>8484</v>
      </c>
      <c r="P504" s="50">
        <v>0</v>
      </c>
      <c r="Q504" s="76"/>
      <c r="R504" s="140">
        <f>IF((5*S9+10*S10)&gt;50,50,(5*S9+10*S10))</f>
        <v>50</v>
      </c>
      <c r="S504" s="79">
        <v>119.1</v>
      </c>
      <c r="T504" s="80">
        <v>19.45</v>
      </c>
    </row>
    <row r="505" spans="2:20" ht="56">
      <c r="B505" s="5" t="s">
        <v>1212</v>
      </c>
      <c r="C505" s="45" t="s">
        <v>135</v>
      </c>
      <c r="D505" s="45">
        <v>89358</v>
      </c>
      <c r="E505" s="6" t="s">
        <v>1213</v>
      </c>
      <c r="F505" s="45" t="s">
        <v>210</v>
      </c>
      <c r="G505" s="46">
        <f t="shared" si="57"/>
        <v>50</v>
      </c>
      <c r="H505" s="46">
        <f>TRUNC(S505*(1-LOTE_02!$K$10),2)</f>
        <v>4.2699999999999996</v>
      </c>
      <c r="I505" s="46">
        <f>TRUNC(T505*(1-LOTE_02!$K$10),2)</f>
        <v>5.0599999999999996</v>
      </c>
      <c r="J505" s="100">
        <f t="shared" si="58"/>
        <v>0.22470000000000001</v>
      </c>
      <c r="K505" s="48">
        <f t="shared" si="52"/>
        <v>5.22</v>
      </c>
      <c r="L505" s="48">
        <f t="shared" si="53"/>
        <v>6.19</v>
      </c>
      <c r="M505" s="48">
        <f t="shared" si="54"/>
        <v>261</v>
      </c>
      <c r="N505" s="48">
        <f t="shared" si="55"/>
        <v>309.5</v>
      </c>
      <c r="O505" s="50">
        <f t="shared" si="56"/>
        <v>570.5</v>
      </c>
      <c r="P505" s="50">
        <v>0</v>
      </c>
      <c r="Q505" s="76"/>
      <c r="R505" s="140">
        <f>IF((5*S9+10*S10)&gt;50,50,(5*S9+10*S10))</f>
        <v>50</v>
      </c>
      <c r="S505" s="79">
        <v>4.2700000000000005</v>
      </c>
      <c r="T505" s="80">
        <v>5.0599999999999996</v>
      </c>
    </row>
    <row r="506" spans="2:20" ht="56">
      <c r="B506" s="5" t="s">
        <v>1214</v>
      </c>
      <c r="C506" s="45" t="s">
        <v>135</v>
      </c>
      <c r="D506" s="45">
        <v>89362</v>
      </c>
      <c r="E506" s="6" t="s">
        <v>1215</v>
      </c>
      <c r="F506" s="45" t="s">
        <v>210</v>
      </c>
      <c r="G506" s="46">
        <f t="shared" si="57"/>
        <v>50</v>
      </c>
      <c r="H506" s="46">
        <f>TRUNC(S506*(1-LOTE_02!$K$10),2)</f>
        <v>5.21</v>
      </c>
      <c r="I506" s="46">
        <f>TRUNC(T506*(1-LOTE_02!$K$10),2)</f>
        <v>5.85</v>
      </c>
      <c r="J506" s="100">
        <f t="shared" si="58"/>
        <v>0.22470000000000001</v>
      </c>
      <c r="K506" s="48">
        <f t="shared" si="52"/>
        <v>6.38</v>
      </c>
      <c r="L506" s="48">
        <f t="shared" si="53"/>
        <v>7.16</v>
      </c>
      <c r="M506" s="48">
        <f t="shared" si="54"/>
        <v>319</v>
      </c>
      <c r="N506" s="48">
        <f t="shared" si="55"/>
        <v>358</v>
      </c>
      <c r="O506" s="50">
        <f t="shared" si="56"/>
        <v>677</v>
      </c>
      <c r="P506" s="50">
        <v>0</v>
      </c>
      <c r="Q506" s="76"/>
      <c r="R506" s="140">
        <f>IF((5*S9+10*S10)&gt;50,50,(5*S9+10*S10))</f>
        <v>50</v>
      </c>
      <c r="S506" s="79">
        <v>5.2100000000000009</v>
      </c>
      <c r="T506" s="80">
        <v>5.85</v>
      </c>
    </row>
    <row r="507" spans="2:20" ht="70">
      <c r="B507" s="5" t="s">
        <v>1216</v>
      </c>
      <c r="C507" s="45" t="s">
        <v>135</v>
      </c>
      <c r="D507" s="45">
        <v>89366</v>
      </c>
      <c r="E507" s="6" t="s">
        <v>1217</v>
      </c>
      <c r="F507" s="45" t="s">
        <v>210</v>
      </c>
      <c r="G507" s="46">
        <f t="shared" si="57"/>
        <v>50</v>
      </c>
      <c r="H507" s="46">
        <f>TRUNC(S507*(1-LOTE_02!$K$10),2)</f>
        <v>13.82</v>
      </c>
      <c r="I507" s="46">
        <f>TRUNC(T507*(1-LOTE_02!$K$10),2)</f>
        <v>5.34</v>
      </c>
      <c r="J507" s="100">
        <f t="shared" si="58"/>
        <v>0.22470000000000001</v>
      </c>
      <c r="K507" s="48">
        <f t="shared" si="52"/>
        <v>16.920000000000002</v>
      </c>
      <c r="L507" s="48">
        <f t="shared" si="53"/>
        <v>6.53</v>
      </c>
      <c r="M507" s="48">
        <f t="shared" si="54"/>
        <v>846</v>
      </c>
      <c r="N507" s="48">
        <f t="shared" si="55"/>
        <v>326.5</v>
      </c>
      <c r="O507" s="50">
        <f t="shared" si="56"/>
        <v>1172.5</v>
      </c>
      <c r="P507" s="50">
        <v>0</v>
      </c>
      <c r="Q507" s="76"/>
      <c r="R507" s="140">
        <f>IF((5*S9+10*S10)&gt;50,50,(5*S9+10*S10))</f>
        <v>50</v>
      </c>
      <c r="S507" s="79">
        <v>13.82</v>
      </c>
      <c r="T507" s="80">
        <v>5.34</v>
      </c>
    </row>
    <row r="508" spans="2:20" ht="70">
      <c r="B508" s="5" t="s">
        <v>1218</v>
      </c>
      <c r="C508" s="45" t="s">
        <v>135</v>
      </c>
      <c r="D508" s="45">
        <v>89366</v>
      </c>
      <c r="E508" s="6" t="s">
        <v>1217</v>
      </c>
      <c r="F508" s="45" t="s">
        <v>210</v>
      </c>
      <c r="G508" s="46">
        <f t="shared" si="57"/>
        <v>50</v>
      </c>
      <c r="H508" s="46">
        <f>TRUNC(S508*(1-LOTE_02!$K$10),2)</f>
        <v>13.82</v>
      </c>
      <c r="I508" s="46">
        <f>TRUNC(T508*(1-LOTE_02!$K$10),2)</f>
        <v>5.34</v>
      </c>
      <c r="J508" s="100">
        <f t="shared" si="58"/>
        <v>0.22470000000000001</v>
      </c>
      <c r="K508" s="48">
        <f t="shared" si="52"/>
        <v>16.920000000000002</v>
      </c>
      <c r="L508" s="48">
        <f t="shared" si="53"/>
        <v>6.53</v>
      </c>
      <c r="M508" s="48">
        <f t="shared" si="54"/>
        <v>846</v>
      </c>
      <c r="N508" s="48">
        <f t="shared" si="55"/>
        <v>326.5</v>
      </c>
      <c r="O508" s="50">
        <f t="shared" si="56"/>
        <v>1172.5</v>
      </c>
      <c r="P508" s="50">
        <v>0</v>
      </c>
      <c r="Q508" s="76"/>
      <c r="R508" s="140">
        <f>IF((5*S9+10*S10)&gt;50,50,(5*S9+10*S10))</f>
        <v>50</v>
      </c>
      <c r="S508" s="79">
        <v>13.82</v>
      </c>
      <c r="T508" s="80">
        <v>5.34</v>
      </c>
    </row>
    <row r="509" spans="2:20" ht="56">
      <c r="B509" s="5" t="s">
        <v>1219</v>
      </c>
      <c r="C509" s="45" t="s">
        <v>135</v>
      </c>
      <c r="D509" s="45">
        <v>89367</v>
      </c>
      <c r="E509" s="6" t="s">
        <v>1220</v>
      </c>
      <c r="F509" s="45" t="s">
        <v>210</v>
      </c>
      <c r="G509" s="46">
        <f t="shared" si="57"/>
        <v>50</v>
      </c>
      <c r="H509" s="46">
        <f>TRUNC(S509*(1-LOTE_02!$K$10),2)</f>
        <v>8.33</v>
      </c>
      <c r="I509" s="46">
        <f>TRUNC(T509*(1-LOTE_02!$K$10),2)</f>
        <v>6.95</v>
      </c>
      <c r="J509" s="100">
        <f t="shared" si="58"/>
        <v>0.22470000000000001</v>
      </c>
      <c r="K509" s="48">
        <f t="shared" si="52"/>
        <v>10.199999999999999</v>
      </c>
      <c r="L509" s="48">
        <f t="shared" si="53"/>
        <v>8.51</v>
      </c>
      <c r="M509" s="48">
        <f t="shared" si="54"/>
        <v>510</v>
      </c>
      <c r="N509" s="48">
        <f t="shared" si="55"/>
        <v>425.5</v>
      </c>
      <c r="O509" s="50">
        <f t="shared" si="56"/>
        <v>935.5</v>
      </c>
      <c r="P509" s="50">
        <v>0</v>
      </c>
      <c r="Q509" s="76"/>
      <c r="R509" s="140">
        <f>IF((5*S9+10*S10)&gt;50,50,(5*S9+10*S10))</f>
        <v>50</v>
      </c>
      <c r="S509" s="79">
        <v>8.3299999999999983</v>
      </c>
      <c r="T509" s="80">
        <v>6.95</v>
      </c>
    </row>
    <row r="510" spans="2:20" ht="56">
      <c r="B510" s="5" t="s">
        <v>1221</v>
      </c>
      <c r="C510" s="45" t="s">
        <v>135</v>
      </c>
      <c r="D510" s="45">
        <v>89497</v>
      </c>
      <c r="E510" s="6" t="s">
        <v>1222</v>
      </c>
      <c r="F510" s="45" t="s">
        <v>210</v>
      </c>
      <c r="G510" s="46">
        <f t="shared" si="57"/>
        <v>50</v>
      </c>
      <c r="H510" s="46">
        <f>TRUNC(S510*(1-LOTE_02!$K$10),2)</f>
        <v>11.4</v>
      </c>
      <c r="I510" s="46">
        <f>TRUNC(T510*(1-LOTE_02!$K$10),2)</f>
        <v>3.93</v>
      </c>
      <c r="J510" s="100">
        <f t="shared" si="58"/>
        <v>0.22470000000000001</v>
      </c>
      <c r="K510" s="48">
        <f t="shared" si="52"/>
        <v>13.96</v>
      </c>
      <c r="L510" s="48">
        <f t="shared" si="53"/>
        <v>4.8099999999999996</v>
      </c>
      <c r="M510" s="48">
        <f t="shared" si="54"/>
        <v>698</v>
      </c>
      <c r="N510" s="48">
        <f t="shared" si="55"/>
        <v>240.5</v>
      </c>
      <c r="O510" s="50">
        <f t="shared" si="56"/>
        <v>938.5</v>
      </c>
      <c r="P510" s="50">
        <v>0</v>
      </c>
      <c r="Q510" s="76"/>
      <c r="R510" s="140">
        <f>IF((5*S9+10*S10)&gt;50,50,(5*S9+10*S10))</f>
        <v>50</v>
      </c>
      <c r="S510" s="79">
        <v>11.4</v>
      </c>
      <c r="T510" s="80">
        <v>3.93</v>
      </c>
    </row>
    <row r="511" spans="2:20" ht="70">
      <c r="B511" s="5" t="s">
        <v>1223</v>
      </c>
      <c r="C511" s="45" t="s">
        <v>135</v>
      </c>
      <c r="D511" s="45">
        <v>96853</v>
      </c>
      <c r="E511" s="6" t="s">
        <v>1224</v>
      </c>
      <c r="F511" s="45" t="s">
        <v>210</v>
      </c>
      <c r="G511" s="46">
        <f t="shared" si="57"/>
        <v>50</v>
      </c>
      <c r="H511" s="46">
        <f>TRUNC(S511*(1-LOTE_02!$K$10),2)</f>
        <v>17.82</v>
      </c>
      <c r="I511" s="46">
        <f>TRUNC(T511*(1-LOTE_02!$K$10),2)</f>
        <v>9.3000000000000007</v>
      </c>
      <c r="J511" s="100">
        <f t="shared" si="58"/>
        <v>0.22470000000000001</v>
      </c>
      <c r="K511" s="48">
        <f t="shared" si="52"/>
        <v>21.82</v>
      </c>
      <c r="L511" s="48">
        <f t="shared" si="53"/>
        <v>11.38</v>
      </c>
      <c r="M511" s="48">
        <f t="shared" si="54"/>
        <v>1091</v>
      </c>
      <c r="N511" s="48">
        <f t="shared" si="55"/>
        <v>569</v>
      </c>
      <c r="O511" s="50">
        <f t="shared" si="56"/>
        <v>1660</v>
      </c>
      <c r="P511" s="50">
        <v>0</v>
      </c>
      <c r="Q511" s="76"/>
      <c r="R511" s="140">
        <f>IF((5*S9+10*S10)&gt;50,50,(5*S9+10*S10))</f>
        <v>50</v>
      </c>
      <c r="S511" s="79">
        <v>17.82</v>
      </c>
      <c r="T511" s="80">
        <v>9.3000000000000007</v>
      </c>
    </row>
    <row r="512" spans="2:20" ht="70">
      <c r="B512" s="5" t="s">
        <v>1225</v>
      </c>
      <c r="C512" s="45" t="s">
        <v>135</v>
      </c>
      <c r="D512" s="45">
        <v>90373</v>
      </c>
      <c r="E512" s="6" t="s">
        <v>1226</v>
      </c>
      <c r="F512" s="45" t="s">
        <v>210</v>
      </c>
      <c r="G512" s="46">
        <f t="shared" si="57"/>
        <v>50</v>
      </c>
      <c r="H512" s="46">
        <f>TRUNC(S512*(1-LOTE_02!$K$10),2)</f>
        <v>10.29</v>
      </c>
      <c r="I512" s="46">
        <f>TRUNC(T512*(1-LOTE_02!$K$10),2)</f>
        <v>4.9800000000000004</v>
      </c>
      <c r="J512" s="100">
        <f t="shared" si="58"/>
        <v>0.22470000000000001</v>
      </c>
      <c r="K512" s="48">
        <f t="shared" si="52"/>
        <v>12.6</v>
      </c>
      <c r="L512" s="48">
        <f t="shared" si="53"/>
        <v>6.09</v>
      </c>
      <c r="M512" s="48">
        <f t="shared" si="54"/>
        <v>630</v>
      </c>
      <c r="N512" s="48">
        <f t="shared" si="55"/>
        <v>304.5</v>
      </c>
      <c r="O512" s="50">
        <f t="shared" si="56"/>
        <v>934.5</v>
      </c>
      <c r="P512" s="50">
        <v>0</v>
      </c>
      <c r="Q512" s="76"/>
      <c r="R512" s="140">
        <f>IF((5*S9+10*S10)&gt;50,50,(5*S9+10*S10))</f>
        <v>50</v>
      </c>
      <c r="S512" s="79">
        <v>10.29</v>
      </c>
      <c r="T512" s="80">
        <v>4.9800000000000004</v>
      </c>
    </row>
    <row r="513" spans="2:20" ht="56">
      <c r="B513" s="5" t="s">
        <v>1227</v>
      </c>
      <c r="C513" s="45" t="s">
        <v>135</v>
      </c>
      <c r="D513" s="45">
        <v>89369</v>
      </c>
      <c r="E513" s="6" t="s">
        <v>1228</v>
      </c>
      <c r="F513" s="45" t="s">
        <v>210</v>
      </c>
      <c r="G513" s="46">
        <f t="shared" si="57"/>
        <v>50</v>
      </c>
      <c r="H513" s="46">
        <f>TRUNC(S513*(1-LOTE_02!$K$10),2)</f>
        <v>13.27</v>
      </c>
      <c r="I513" s="46">
        <f>TRUNC(T513*(1-LOTE_02!$K$10),2)</f>
        <v>6.89</v>
      </c>
      <c r="J513" s="100">
        <f t="shared" si="58"/>
        <v>0.22470000000000001</v>
      </c>
      <c r="K513" s="48">
        <f t="shared" si="52"/>
        <v>16.25</v>
      </c>
      <c r="L513" s="48">
        <f t="shared" si="53"/>
        <v>8.43</v>
      </c>
      <c r="M513" s="48">
        <f t="shared" si="54"/>
        <v>812.5</v>
      </c>
      <c r="N513" s="48">
        <f t="shared" si="55"/>
        <v>421.5</v>
      </c>
      <c r="O513" s="50">
        <f t="shared" si="56"/>
        <v>1234</v>
      </c>
      <c r="P513" s="50">
        <v>0</v>
      </c>
      <c r="Q513" s="76"/>
      <c r="R513" s="140">
        <f>IF((5*S9+10*S10)&gt;50,50,(5*S9+10*S10))</f>
        <v>50</v>
      </c>
      <c r="S513" s="79">
        <v>13.27</v>
      </c>
      <c r="T513" s="80">
        <v>6.89</v>
      </c>
    </row>
    <row r="514" spans="2:20" ht="84">
      <c r="B514" s="5" t="s">
        <v>1229</v>
      </c>
      <c r="C514" s="45" t="s">
        <v>135</v>
      </c>
      <c r="D514" s="45">
        <v>89391</v>
      </c>
      <c r="E514" s="6" t="s">
        <v>1230</v>
      </c>
      <c r="F514" s="45" t="s">
        <v>210</v>
      </c>
      <c r="G514" s="46">
        <f t="shared" si="57"/>
        <v>50</v>
      </c>
      <c r="H514" s="46">
        <f>TRUNC(S514*(1-LOTE_02!$K$10),2)</f>
        <v>5.92</v>
      </c>
      <c r="I514" s="46">
        <f>TRUNC(T514*(1-LOTE_02!$K$10),2)</f>
        <v>4.2300000000000004</v>
      </c>
      <c r="J514" s="100">
        <f t="shared" si="58"/>
        <v>0.22470000000000001</v>
      </c>
      <c r="K514" s="48">
        <f t="shared" si="52"/>
        <v>7.25</v>
      </c>
      <c r="L514" s="48">
        <f t="shared" si="53"/>
        <v>5.18</v>
      </c>
      <c r="M514" s="48">
        <f t="shared" si="54"/>
        <v>362.5</v>
      </c>
      <c r="N514" s="48">
        <f t="shared" si="55"/>
        <v>259</v>
      </c>
      <c r="O514" s="50">
        <f t="shared" si="56"/>
        <v>621.5</v>
      </c>
      <c r="P514" s="50">
        <v>0</v>
      </c>
      <c r="Q514" s="76"/>
      <c r="R514" s="140">
        <f>IF((5*S9+10*S10)&gt;50,50,(5*S9+10*S10))</f>
        <v>50</v>
      </c>
      <c r="S514" s="79">
        <v>5.92</v>
      </c>
      <c r="T514" s="80">
        <v>4.2300000000000004</v>
      </c>
    </row>
    <row r="515" spans="2:20" ht="56">
      <c r="B515" s="5" t="s">
        <v>1231</v>
      </c>
      <c r="C515" s="45" t="s">
        <v>135</v>
      </c>
      <c r="D515" s="45">
        <v>89401</v>
      </c>
      <c r="E515" s="6" t="s">
        <v>1232</v>
      </c>
      <c r="F515" s="45" t="s">
        <v>187</v>
      </c>
      <c r="G515" s="46">
        <f t="shared" si="57"/>
        <v>100</v>
      </c>
      <c r="H515" s="46">
        <f>TRUNC(S515*(1-LOTE_02!$K$10),2)</f>
        <v>7.56</v>
      </c>
      <c r="I515" s="46">
        <f>TRUNC(T515*(1-LOTE_02!$K$10),2)</f>
        <v>5.25</v>
      </c>
      <c r="J515" s="100">
        <f t="shared" si="58"/>
        <v>0.22470000000000001</v>
      </c>
      <c r="K515" s="48">
        <f t="shared" si="52"/>
        <v>9.25</v>
      </c>
      <c r="L515" s="48">
        <f t="shared" si="53"/>
        <v>6.42</v>
      </c>
      <c r="M515" s="48">
        <f t="shared" si="54"/>
        <v>925</v>
      </c>
      <c r="N515" s="48">
        <f t="shared" si="55"/>
        <v>642</v>
      </c>
      <c r="O515" s="50">
        <f t="shared" si="56"/>
        <v>1567</v>
      </c>
      <c r="P515" s="50">
        <v>0</v>
      </c>
      <c r="Q515" s="76"/>
      <c r="R515" s="140">
        <f>IF((10*S9+20*S10)&gt;100,100,(10*S9+20*S10))</f>
        <v>100</v>
      </c>
      <c r="S515" s="79">
        <v>7.5600000000000005</v>
      </c>
      <c r="T515" s="80">
        <v>5.25</v>
      </c>
    </row>
    <row r="516" spans="2:20" ht="56">
      <c r="B516" s="5" t="s">
        <v>1233</v>
      </c>
      <c r="C516" s="45" t="s">
        <v>135</v>
      </c>
      <c r="D516" s="45">
        <v>89402</v>
      </c>
      <c r="E516" s="6" t="s">
        <v>1234</v>
      </c>
      <c r="F516" s="45" t="s">
        <v>187</v>
      </c>
      <c r="G516" s="46">
        <f t="shared" si="57"/>
        <v>100</v>
      </c>
      <c r="H516" s="46">
        <f>TRUNC(S516*(1-LOTE_02!$K$10),2)</f>
        <v>8.6199999999999992</v>
      </c>
      <c r="I516" s="46">
        <f>TRUNC(T516*(1-LOTE_02!$K$10),2)</f>
        <v>6.09</v>
      </c>
      <c r="J516" s="100">
        <f t="shared" si="58"/>
        <v>0.22470000000000001</v>
      </c>
      <c r="K516" s="48">
        <f t="shared" si="52"/>
        <v>10.55</v>
      </c>
      <c r="L516" s="48">
        <f t="shared" si="53"/>
        <v>7.45</v>
      </c>
      <c r="M516" s="48">
        <f t="shared" si="54"/>
        <v>1055</v>
      </c>
      <c r="N516" s="48">
        <f t="shared" si="55"/>
        <v>745</v>
      </c>
      <c r="O516" s="50">
        <f t="shared" si="56"/>
        <v>1800</v>
      </c>
      <c r="P516" s="50">
        <v>0</v>
      </c>
      <c r="Q516" s="76"/>
      <c r="R516" s="140">
        <f>IF((10*S9+20*S10)&gt;100,100,(10*S9+20*S10))</f>
        <v>100</v>
      </c>
      <c r="S516" s="79">
        <v>8.620000000000001</v>
      </c>
      <c r="T516" s="80">
        <v>6.09</v>
      </c>
    </row>
    <row r="517" spans="2:20" ht="56">
      <c r="B517" s="5" t="s">
        <v>1235</v>
      </c>
      <c r="C517" s="45" t="s">
        <v>135</v>
      </c>
      <c r="D517" s="45">
        <v>89403</v>
      </c>
      <c r="E517" s="6" t="s">
        <v>1236</v>
      </c>
      <c r="F517" s="45" t="s">
        <v>187</v>
      </c>
      <c r="G517" s="46">
        <f t="shared" si="57"/>
        <v>100</v>
      </c>
      <c r="H517" s="46">
        <f>TRUNC(S517*(1-LOTE_02!$K$10),2)</f>
        <v>15.43</v>
      </c>
      <c r="I517" s="46">
        <f>TRUNC(T517*(1-LOTE_02!$K$10),2)</f>
        <v>7.2</v>
      </c>
      <c r="J517" s="100">
        <f t="shared" si="58"/>
        <v>0.22470000000000001</v>
      </c>
      <c r="K517" s="48">
        <f t="shared" si="52"/>
        <v>18.89</v>
      </c>
      <c r="L517" s="48">
        <f t="shared" si="53"/>
        <v>8.81</v>
      </c>
      <c r="M517" s="48">
        <f t="shared" si="54"/>
        <v>1889</v>
      </c>
      <c r="N517" s="48">
        <f t="shared" si="55"/>
        <v>881</v>
      </c>
      <c r="O517" s="50">
        <f t="shared" si="56"/>
        <v>2770</v>
      </c>
      <c r="P517" s="50">
        <v>0</v>
      </c>
      <c r="Q517" s="76"/>
      <c r="R517" s="140">
        <f>IF((10*S9+20*S10)&gt;100,100,(10*S9+20*S10))</f>
        <v>100</v>
      </c>
      <c r="S517" s="79">
        <v>15.43</v>
      </c>
      <c r="T517" s="80">
        <v>7.2</v>
      </c>
    </row>
    <row r="518" spans="2:20" ht="56">
      <c r="B518" s="5" t="s">
        <v>1237</v>
      </c>
      <c r="C518" s="45" t="s">
        <v>135</v>
      </c>
      <c r="D518" s="45">
        <v>89448</v>
      </c>
      <c r="E518" s="6" t="s">
        <v>1238</v>
      </c>
      <c r="F518" s="45" t="s">
        <v>187</v>
      </c>
      <c r="G518" s="46">
        <f t="shared" si="57"/>
        <v>100</v>
      </c>
      <c r="H518" s="46">
        <f>TRUNC(S518*(1-LOTE_02!$K$10),2)</f>
        <v>18.52</v>
      </c>
      <c r="I518" s="46">
        <f>TRUNC(T518*(1-LOTE_02!$K$10),2)</f>
        <v>1.03</v>
      </c>
      <c r="J518" s="100">
        <f t="shared" si="58"/>
        <v>0.22470000000000001</v>
      </c>
      <c r="K518" s="48">
        <f t="shared" si="52"/>
        <v>22.68</v>
      </c>
      <c r="L518" s="48">
        <f t="shared" si="53"/>
        <v>1.26</v>
      </c>
      <c r="M518" s="48">
        <f t="shared" si="54"/>
        <v>2268</v>
      </c>
      <c r="N518" s="48">
        <f t="shared" si="55"/>
        <v>126</v>
      </c>
      <c r="O518" s="50">
        <f t="shared" si="56"/>
        <v>2394</v>
      </c>
      <c r="P518" s="50">
        <v>0</v>
      </c>
      <c r="Q518" s="76"/>
      <c r="R518" s="140">
        <f>IF((10*S9+20*S10)&gt;100,100,(10*S9+20*S10))</f>
        <v>100</v>
      </c>
      <c r="S518" s="79">
        <v>18.52</v>
      </c>
      <c r="T518" s="80">
        <v>1.03</v>
      </c>
    </row>
    <row r="519" spans="2:20" ht="70">
      <c r="B519" s="5" t="s">
        <v>1239</v>
      </c>
      <c r="C519" s="45" t="s">
        <v>135</v>
      </c>
      <c r="D519" s="45">
        <v>89711</v>
      </c>
      <c r="E519" s="6" t="s">
        <v>1240</v>
      </c>
      <c r="F519" s="45" t="s">
        <v>187</v>
      </c>
      <c r="G519" s="46">
        <f t="shared" si="57"/>
        <v>100</v>
      </c>
      <c r="H519" s="46">
        <f>TRUNC(S519*(1-LOTE_02!$K$10),2)</f>
        <v>13.4</v>
      </c>
      <c r="I519" s="46">
        <f>TRUNC(T519*(1-LOTE_02!$K$10),2)</f>
        <v>11.24</v>
      </c>
      <c r="J519" s="100">
        <f t="shared" si="58"/>
        <v>0.22470000000000001</v>
      </c>
      <c r="K519" s="48">
        <f t="shared" si="52"/>
        <v>16.41</v>
      </c>
      <c r="L519" s="48">
        <f t="shared" si="53"/>
        <v>13.76</v>
      </c>
      <c r="M519" s="48">
        <f t="shared" si="54"/>
        <v>1641</v>
      </c>
      <c r="N519" s="48">
        <f t="shared" si="55"/>
        <v>1376</v>
      </c>
      <c r="O519" s="50">
        <f t="shared" si="56"/>
        <v>3017</v>
      </c>
      <c r="P519" s="50">
        <v>0</v>
      </c>
      <c r="Q519" s="76"/>
      <c r="R519" s="140">
        <f>IF((10*S9+20*S10)&gt;100,100,(10*S9+20*S10))</f>
        <v>100</v>
      </c>
      <c r="S519" s="79">
        <v>13.4</v>
      </c>
      <c r="T519" s="80">
        <v>11.24</v>
      </c>
    </row>
    <row r="520" spans="2:20" ht="70">
      <c r="B520" s="5" t="s">
        <v>1241</v>
      </c>
      <c r="C520" s="45" t="s">
        <v>135</v>
      </c>
      <c r="D520" s="45">
        <v>89712</v>
      </c>
      <c r="E520" s="6" t="s">
        <v>1242</v>
      </c>
      <c r="F520" s="45" t="s">
        <v>187</v>
      </c>
      <c r="G520" s="46">
        <f t="shared" si="57"/>
        <v>100</v>
      </c>
      <c r="H520" s="46">
        <f>TRUNC(S520*(1-LOTE_02!$K$10),2)</f>
        <v>18.79</v>
      </c>
      <c r="I520" s="46">
        <f>TRUNC(T520*(1-LOTE_02!$K$10),2)</f>
        <v>12.1</v>
      </c>
      <c r="J520" s="100">
        <f t="shared" si="58"/>
        <v>0.22470000000000001</v>
      </c>
      <c r="K520" s="48">
        <f t="shared" si="52"/>
        <v>23.01</v>
      </c>
      <c r="L520" s="48">
        <f t="shared" si="53"/>
        <v>14.81</v>
      </c>
      <c r="M520" s="48">
        <f t="shared" si="54"/>
        <v>2301</v>
      </c>
      <c r="N520" s="48">
        <f t="shared" si="55"/>
        <v>1481</v>
      </c>
      <c r="O520" s="50">
        <f t="shared" si="56"/>
        <v>3782</v>
      </c>
      <c r="P520" s="50">
        <v>0</v>
      </c>
      <c r="Q520" s="76"/>
      <c r="R520" s="140">
        <f>IF((10*S9+20*S10)&gt;100,100,(10*S9+20*S10))</f>
        <v>100</v>
      </c>
      <c r="S520" s="79">
        <v>18.79</v>
      </c>
      <c r="T520" s="80">
        <v>12.1</v>
      </c>
    </row>
    <row r="521" spans="2:20" ht="70">
      <c r="B521" s="5" t="s">
        <v>1243</v>
      </c>
      <c r="C521" s="45" t="s">
        <v>135</v>
      </c>
      <c r="D521" s="45">
        <v>89714</v>
      </c>
      <c r="E521" s="6" t="s">
        <v>1244</v>
      </c>
      <c r="F521" s="45" t="s">
        <v>187</v>
      </c>
      <c r="G521" s="46">
        <f t="shared" si="57"/>
        <v>200</v>
      </c>
      <c r="H521" s="46">
        <f>TRUNC(S521*(1-LOTE_02!$K$10),2)</f>
        <v>26.11</v>
      </c>
      <c r="I521" s="46">
        <f>TRUNC(T521*(1-LOTE_02!$K$10),2)</f>
        <v>16.899999999999999</v>
      </c>
      <c r="J521" s="100">
        <f t="shared" si="58"/>
        <v>0.22470000000000001</v>
      </c>
      <c r="K521" s="48">
        <f t="shared" si="52"/>
        <v>31.97</v>
      </c>
      <c r="L521" s="48">
        <f t="shared" si="53"/>
        <v>20.69</v>
      </c>
      <c r="M521" s="48">
        <f t="shared" si="54"/>
        <v>6394</v>
      </c>
      <c r="N521" s="48">
        <f t="shared" si="55"/>
        <v>4138</v>
      </c>
      <c r="O521" s="50">
        <f t="shared" si="56"/>
        <v>10532</v>
      </c>
      <c r="P521" s="50">
        <v>0</v>
      </c>
      <c r="Q521" s="76"/>
      <c r="R521" s="140">
        <f>IF((10*S9+30*S10)&gt;200,200,(10*S9+30*S10))</f>
        <v>200</v>
      </c>
      <c r="S521" s="79">
        <v>26.11</v>
      </c>
      <c r="T521" s="80">
        <v>16.899999999999999</v>
      </c>
    </row>
    <row r="522" spans="2:20" ht="70">
      <c r="B522" s="5" t="s">
        <v>1245</v>
      </c>
      <c r="C522" s="45" t="s">
        <v>135</v>
      </c>
      <c r="D522" s="45">
        <v>89689</v>
      </c>
      <c r="E522" s="6" t="s">
        <v>1246</v>
      </c>
      <c r="F522" s="45" t="s">
        <v>210</v>
      </c>
      <c r="G522" s="46">
        <f t="shared" si="57"/>
        <v>50</v>
      </c>
      <c r="H522" s="46">
        <f>TRUNC(S522*(1-LOTE_02!$K$10),2)</f>
        <v>35.83</v>
      </c>
      <c r="I522" s="46">
        <f>TRUNC(T522*(1-LOTE_02!$K$10),2)</f>
        <v>4.47</v>
      </c>
      <c r="J522" s="100">
        <f t="shared" si="58"/>
        <v>0.22470000000000001</v>
      </c>
      <c r="K522" s="48">
        <f t="shared" si="52"/>
        <v>43.88</v>
      </c>
      <c r="L522" s="48">
        <f t="shared" si="53"/>
        <v>5.47</v>
      </c>
      <c r="M522" s="48">
        <f t="shared" si="54"/>
        <v>2194</v>
      </c>
      <c r="N522" s="48">
        <f t="shared" si="55"/>
        <v>273.5</v>
      </c>
      <c r="O522" s="50">
        <f t="shared" si="56"/>
        <v>2467.5</v>
      </c>
      <c r="P522" s="50">
        <v>0</v>
      </c>
      <c r="Q522" s="76"/>
      <c r="R522" s="140">
        <f>IF((5*S9+10*S10)&gt;50,50,(5*S9+10*S10))</f>
        <v>50</v>
      </c>
      <c r="S522" s="79">
        <v>35.83</v>
      </c>
      <c r="T522" s="80">
        <v>4.47</v>
      </c>
    </row>
    <row r="523" spans="2:20" ht="70">
      <c r="B523" s="5" t="s">
        <v>1247</v>
      </c>
      <c r="C523" s="45" t="s">
        <v>135</v>
      </c>
      <c r="D523" s="45">
        <v>89759</v>
      </c>
      <c r="E523" s="6" t="s">
        <v>1248</v>
      </c>
      <c r="F523" s="45" t="s">
        <v>210</v>
      </c>
      <c r="G523" s="46">
        <f t="shared" si="57"/>
        <v>50</v>
      </c>
      <c r="H523" s="46">
        <f>TRUNC(S523*(1-LOTE_02!$K$10),2)</f>
        <v>9.61</v>
      </c>
      <c r="I523" s="46">
        <f>TRUNC(T523*(1-LOTE_02!$K$10),2)</f>
        <v>3.38</v>
      </c>
      <c r="J523" s="100">
        <f t="shared" si="58"/>
        <v>0.22470000000000001</v>
      </c>
      <c r="K523" s="48">
        <f t="shared" si="52"/>
        <v>11.76</v>
      </c>
      <c r="L523" s="48">
        <f t="shared" si="53"/>
        <v>4.13</v>
      </c>
      <c r="M523" s="48">
        <f t="shared" si="54"/>
        <v>588</v>
      </c>
      <c r="N523" s="48">
        <f t="shared" si="55"/>
        <v>206.5</v>
      </c>
      <c r="O523" s="50">
        <f t="shared" si="56"/>
        <v>794.5</v>
      </c>
      <c r="P523" s="50">
        <v>0</v>
      </c>
      <c r="Q523" s="76"/>
      <c r="R523" s="140">
        <f>IF((5*S9+10*S10)&gt;50,50,(5*S9+10*S10))</f>
        <v>50</v>
      </c>
      <c r="S523" s="79">
        <v>9.61</v>
      </c>
      <c r="T523" s="80">
        <v>3.38</v>
      </c>
    </row>
    <row r="524" spans="2:20" ht="56">
      <c r="B524" s="5" t="s">
        <v>1249</v>
      </c>
      <c r="C524" s="45" t="s">
        <v>135</v>
      </c>
      <c r="D524" s="45">
        <v>103964</v>
      </c>
      <c r="E524" s="6" t="s">
        <v>1250</v>
      </c>
      <c r="F524" s="45" t="s">
        <v>210</v>
      </c>
      <c r="G524" s="46">
        <f t="shared" si="57"/>
        <v>50</v>
      </c>
      <c r="H524" s="46">
        <f>TRUNC(S524*(1-LOTE_02!$K$10),2)</f>
        <v>7.25</v>
      </c>
      <c r="I524" s="46">
        <f>TRUNC(T524*(1-LOTE_02!$K$10),2)</f>
        <v>2.17</v>
      </c>
      <c r="J524" s="100">
        <f t="shared" si="58"/>
        <v>0.22470000000000001</v>
      </c>
      <c r="K524" s="48">
        <f t="shared" si="52"/>
        <v>8.8699999999999992</v>
      </c>
      <c r="L524" s="48">
        <f t="shared" si="53"/>
        <v>2.65</v>
      </c>
      <c r="M524" s="48">
        <f t="shared" si="54"/>
        <v>443.5</v>
      </c>
      <c r="N524" s="48">
        <f t="shared" si="55"/>
        <v>132.5</v>
      </c>
      <c r="O524" s="50">
        <f t="shared" si="56"/>
        <v>576</v>
      </c>
      <c r="P524" s="50">
        <v>0</v>
      </c>
      <c r="Q524" s="76"/>
      <c r="R524" s="140">
        <f>IF((5*S9+10*S10)&gt;50,50,(5*S9+10*S10))</f>
        <v>50</v>
      </c>
      <c r="S524" s="79">
        <v>7.25</v>
      </c>
      <c r="T524" s="80">
        <v>2.17</v>
      </c>
    </row>
    <row r="525" spans="2:20" ht="70">
      <c r="B525" s="5" t="s">
        <v>1251</v>
      </c>
      <c r="C525" s="45" t="s">
        <v>135</v>
      </c>
      <c r="D525" s="45">
        <v>89709</v>
      </c>
      <c r="E525" s="6" t="s">
        <v>1252</v>
      </c>
      <c r="F525" s="45" t="s">
        <v>210</v>
      </c>
      <c r="G525" s="46">
        <f t="shared" si="57"/>
        <v>50</v>
      </c>
      <c r="H525" s="46">
        <f>TRUNC(S525*(1-LOTE_02!$K$10),2)</f>
        <v>18.07</v>
      </c>
      <c r="I525" s="46">
        <f>TRUNC(T525*(1-LOTE_02!$K$10),2)</f>
        <v>6.33</v>
      </c>
      <c r="J525" s="100">
        <f t="shared" si="58"/>
        <v>0.22470000000000001</v>
      </c>
      <c r="K525" s="48">
        <f t="shared" si="52"/>
        <v>22.13</v>
      </c>
      <c r="L525" s="48">
        <f t="shared" si="53"/>
        <v>7.75</v>
      </c>
      <c r="M525" s="48">
        <f t="shared" si="54"/>
        <v>1106.5</v>
      </c>
      <c r="N525" s="48">
        <f t="shared" si="55"/>
        <v>387.5</v>
      </c>
      <c r="O525" s="50">
        <f t="shared" si="56"/>
        <v>1494</v>
      </c>
      <c r="P525" s="50">
        <v>0</v>
      </c>
      <c r="Q525" s="76"/>
      <c r="R525" s="140">
        <f>IF((2*S9+5*S10)&gt;50,50,(2*S9+5*S10))</f>
        <v>50</v>
      </c>
      <c r="S525" s="79">
        <v>18.07</v>
      </c>
      <c r="T525" s="80">
        <v>6.33</v>
      </c>
    </row>
    <row r="526" spans="2:20" ht="56">
      <c r="B526" s="5" t="s">
        <v>1253</v>
      </c>
      <c r="C526" s="45" t="s">
        <v>135</v>
      </c>
      <c r="D526" s="45">
        <v>89491</v>
      </c>
      <c r="E526" s="6" t="s">
        <v>1254</v>
      </c>
      <c r="F526" s="45" t="s">
        <v>210</v>
      </c>
      <c r="G526" s="46">
        <f t="shared" si="57"/>
        <v>50</v>
      </c>
      <c r="H526" s="46">
        <f>TRUNC(S526*(1-LOTE_02!$K$10),2)</f>
        <v>102.97</v>
      </c>
      <c r="I526" s="46">
        <f>TRUNC(T526*(1-LOTE_02!$K$10),2)</f>
        <v>12.71</v>
      </c>
      <c r="J526" s="100">
        <f t="shared" si="58"/>
        <v>0.22470000000000001</v>
      </c>
      <c r="K526" s="48">
        <f t="shared" si="52"/>
        <v>126.1</v>
      </c>
      <c r="L526" s="48">
        <f t="shared" si="53"/>
        <v>15.56</v>
      </c>
      <c r="M526" s="48">
        <f t="shared" si="54"/>
        <v>6305</v>
      </c>
      <c r="N526" s="48">
        <f t="shared" si="55"/>
        <v>778</v>
      </c>
      <c r="O526" s="50">
        <f t="shared" si="56"/>
        <v>7083</v>
      </c>
      <c r="P526" s="50">
        <v>0</v>
      </c>
      <c r="Q526" s="76"/>
      <c r="R526" s="140">
        <f>IF((2*S9+5*S10)&gt;50,50,(2*S9+5*S10))</f>
        <v>50</v>
      </c>
      <c r="S526" s="79">
        <v>102.97</v>
      </c>
      <c r="T526" s="80">
        <v>12.71</v>
      </c>
    </row>
    <row r="527" spans="2:20" ht="28">
      <c r="B527" s="5" t="s">
        <v>1255</v>
      </c>
      <c r="C527" s="45" t="s">
        <v>165</v>
      </c>
      <c r="D527" s="45" t="s">
        <v>1210</v>
      </c>
      <c r="E527" s="6" t="s">
        <v>1211</v>
      </c>
      <c r="F527" s="45" t="s">
        <v>559</v>
      </c>
      <c r="G527" s="46">
        <f t="shared" si="57"/>
        <v>50</v>
      </c>
      <c r="H527" s="46">
        <f>TRUNC(S527*(1-LOTE_02!$K$10),2)</f>
        <v>119.1</v>
      </c>
      <c r="I527" s="46">
        <f>TRUNC(T527*(1-LOTE_02!$K$10),2)</f>
        <v>19.45</v>
      </c>
      <c r="J527" s="100">
        <f t="shared" si="58"/>
        <v>0.22470000000000001</v>
      </c>
      <c r="K527" s="48">
        <f t="shared" si="52"/>
        <v>145.86000000000001</v>
      </c>
      <c r="L527" s="48">
        <f t="shared" si="53"/>
        <v>23.82</v>
      </c>
      <c r="M527" s="48">
        <f t="shared" si="54"/>
        <v>7293</v>
      </c>
      <c r="N527" s="48">
        <f t="shared" si="55"/>
        <v>1191</v>
      </c>
      <c r="O527" s="50">
        <f t="shared" si="56"/>
        <v>8484</v>
      </c>
      <c r="P527" s="50">
        <v>0</v>
      </c>
      <c r="Q527" s="76"/>
      <c r="R527" s="140">
        <f>IF((5*S9+10*S10)&gt;50,50,(5*S9+10*S10))</f>
        <v>50</v>
      </c>
      <c r="S527" s="79">
        <v>119.1</v>
      </c>
      <c r="T527" s="80">
        <v>19.45</v>
      </c>
    </row>
    <row r="528" spans="2:20" ht="56">
      <c r="B528" s="5" t="s">
        <v>1256</v>
      </c>
      <c r="C528" s="45" t="s">
        <v>135</v>
      </c>
      <c r="D528" s="45">
        <v>89986</v>
      </c>
      <c r="E528" s="6" t="s">
        <v>1257</v>
      </c>
      <c r="F528" s="45" t="s">
        <v>210</v>
      </c>
      <c r="G528" s="46">
        <f t="shared" si="57"/>
        <v>50</v>
      </c>
      <c r="H528" s="46">
        <f>TRUNC(S528*(1-LOTE_02!$K$10),2)</f>
        <v>74.39</v>
      </c>
      <c r="I528" s="46">
        <f>TRUNC(T528*(1-LOTE_02!$K$10),2)</f>
        <v>8.66</v>
      </c>
      <c r="J528" s="100">
        <f t="shared" si="58"/>
        <v>0.22470000000000001</v>
      </c>
      <c r="K528" s="48">
        <f t="shared" ref="K528:K591" si="59">TRUNC(H528*(1+J528),2)</f>
        <v>91.1</v>
      </c>
      <c r="L528" s="48">
        <f t="shared" ref="L528:L591" si="60">TRUNC(I528*(1+J528),2)</f>
        <v>10.6</v>
      </c>
      <c r="M528" s="48">
        <f t="shared" ref="M528:M591" si="61">TRUNC(K528*G528,2)</f>
        <v>4555</v>
      </c>
      <c r="N528" s="48">
        <f t="shared" ref="N528:N591" si="62">TRUNC(L528*G528,2)</f>
        <v>530</v>
      </c>
      <c r="O528" s="50">
        <f t="shared" ref="O528:O591" si="63">TRUNC(M528+N528,2)</f>
        <v>5085</v>
      </c>
      <c r="P528" s="50">
        <v>0</v>
      </c>
      <c r="Q528" s="76"/>
      <c r="R528" s="140">
        <f>IF((5*S9+10*S10)&gt;50,50,(5*S9+10*S10))</f>
        <v>50</v>
      </c>
      <c r="S528" s="79">
        <v>74.39</v>
      </c>
      <c r="T528" s="80">
        <v>8.66</v>
      </c>
    </row>
    <row r="529" spans="2:20" ht="28">
      <c r="B529" s="5" t="s">
        <v>1258</v>
      </c>
      <c r="C529" s="45" t="s">
        <v>165</v>
      </c>
      <c r="D529" s="45" t="s">
        <v>1259</v>
      </c>
      <c r="E529" s="6" t="s">
        <v>1260</v>
      </c>
      <c r="F529" s="45" t="s">
        <v>559</v>
      </c>
      <c r="G529" s="46">
        <f t="shared" si="57"/>
        <v>50</v>
      </c>
      <c r="H529" s="46">
        <f>TRUNC(S529*(1-LOTE_02!$K$10),2)</f>
        <v>95.61</v>
      </c>
      <c r="I529" s="46">
        <f>TRUNC(T529*(1-LOTE_02!$K$10),2)</f>
        <v>19.45</v>
      </c>
      <c r="J529" s="100">
        <f t="shared" si="58"/>
        <v>0.22470000000000001</v>
      </c>
      <c r="K529" s="48">
        <f t="shared" si="59"/>
        <v>117.09</v>
      </c>
      <c r="L529" s="48">
        <f t="shared" si="60"/>
        <v>23.82</v>
      </c>
      <c r="M529" s="48">
        <f t="shared" si="61"/>
        <v>5854.5</v>
      </c>
      <c r="N529" s="48">
        <f t="shared" si="62"/>
        <v>1191</v>
      </c>
      <c r="O529" s="50">
        <f t="shared" si="63"/>
        <v>7045.5</v>
      </c>
      <c r="P529" s="50">
        <v>0</v>
      </c>
      <c r="Q529" s="76"/>
      <c r="R529" s="140">
        <f>IF((5*S9+10*S10)&gt;50,50,(5*S9+10*S10))</f>
        <v>50</v>
      </c>
      <c r="S529" s="79">
        <v>95.61</v>
      </c>
      <c r="T529" s="80">
        <v>19.45</v>
      </c>
    </row>
    <row r="530" spans="2:20" ht="42">
      <c r="B530" s="5" t="s">
        <v>1261</v>
      </c>
      <c r="C530" s="45" t="s">
        <v>135</v>
      </c>
      <c r="D530" s="45">
        <v>94496</v>
      </c>
      <c r="E530" s="6" t="s">
        <v>1262</v>
      </c>
      <c r="F530" s="45" t="s">
        <v>210</v>
      </c>
      <c r="G530" s="46">
        <f t="shared" ref="G530:G593" si="64">TRUNC(R530,2)</f>
        <v>50</v>
      </c>
      <c r="H530" s="46">
        <f>TRUNC(S530*(1-LOTE_02!$K$10),2)</f>
        <v>74.42</v>
      </c>
      <c r="I530" s="46">
        <f>TRUNC(T530*(1-LOTE_02!$K$10),2)</f>
        <v>9.5299999999999994</v>
      </c>
      <c r="J530" s="100">
        <f t="shared" ref="J530:J593" si="65">$J$4</f>
        <v>0.22470000000000001</v>
      </c>
      <c r="K530" s="48">
        <f t="shared" si="59"/>
        <v>91.14</v>
      </c>
      <c r="L530" s="48">
        <f t="shared" si="60"/>
        <v>11.67</v>
      </c>
      <c r="M530" s="48">
        <f t="shared" si="61"/>
        <v>4557</v>
      </c>
      <c r="N530" s="48">
        <f t="shared" si="62"/>
        <v>583.5</v>
      </c>
      <c r="O530" s="50">
        <f t="shared" si="63"/>
        <v>5140.5</v>
      </c>
      <c r="P530" s="50">
        <v>0</v>
      </c>
      <c r="Q530" s="76"/>
      <c r="R530" s="140">
        <f>IF((5*S9+10*S10)&gt;50,50,(5*S9+10*S10))</f>
        <v>50</v>
      </c>
      <c r="S530" s="79">
        <v>74.42</v>
      </c>
      <c r="T530" s="80">
        <v>9.5299999999999994</v>
      </c>
    </row>
    <row r="531" spans="2:20" ht="70">
      <c r="B531" s="5" t="s">
        <v>1263</v>
      </c>
      <c r="C531" s="45" t="s">
        <v>135</v>
      </c>
      <c r="D531" s="45">
        <v>94691</v>
      </c>
      <c r="E531" s="6" t="s">
        <v>1264</v>
      </c>
      <c r="F531" s="45" t="s">
        <v>210</v>
      </c>
      <c r="G531" s="46">
        <f t="shared" si="64"/>
        <v>50</v>
      </c>
      <c r="H531" s="46">
        <f>TRUNC(S531*(1-LOTE_02!$K$10),2)</f>
        <v>12.14</v>
      </c>
      <c r="I531" s="46">
        <f>TRUNC(T531*(1-LOTE_02!$K$10),2)</f>
        <v>3.45</v>
      </c>
      <c r="J531" s="100">
        <f t="shared" si="65"/>
        <v>0.22470000000000001</v>
      </c>
      <c r="K531" s="48">
        <f t="shared" si="59"/>
        <v>14.86</v>
      </c>
      <c r="L531" s="48">
        <f t="shared" si="60"/>
        <v>4.22</v>
      </c>
      <c r="M531" s="48">
        <f t="shared" si="61"/>
        <v>743</v>
      </c>
      <c r="N531" s="48">
        <f t="shared" si="62"/>
        <v>211</v>
      </c>
      <c r="O531" s="50">
        <f t="shared" si="63"/>
        <v>954</v>
      </c>
      <c r="P531" s="50">
        <v>0</v>
      </c>
      <c r="Q531" s="76"/>
      <c r="R531" s="140">
        <f>IF((5*S9+10*S10)&gt;50,50,(5*S9+10*S10))</f>
        <v>50</v>
      </c>
      <c r="S531" s="79">
        <v>12.14</v>
      </c>
      <c r="T531" s="80">
        <v>3.45</v>
      </c>
    </row>
    <row r="532" spans="2:20" ht="70">
      <c r="B532" s="5" t="s">
        <v>1265</v>
      </c>
      <c r="C532" s="45" t="s">
        <v>135</v>
      </c>
      <c r="D532" s="45">
        <v>94693</v>
      </c>
      <c r="E532" s="6" t="s">
        <v>1266</v>
      </c>
      <c r="F532" s="45" t="s">
        <v>210</v>
      </c>
      <c r="G532" s="46">
        <f t="shared" si="64"/>
        <v>50</v>
      </c>
      <c r="H532" s="46">
        <f>TRUNC(S532*(1-LOTE_02!$K$10),2)</f>
        <v>15.83</v>
      </c>
      <c r="I532" s="46">
        <f>TRUNC(T532*(1-LOTE_02!$K$10),2)</f>
        <v>4.58</v>
      </c>
      <c r="J532" s="100">
        <f t="shared" si="65"/>
        <v>0.22470000000000001</v>
      </c>
      <c r="K532" s="48">
        <f t="shared" si="59"/>
        <v>19.38</v>
      </c>
      <c r="L532" s="48">
        <f t="shared" si="60"/>
        <v>5.6</v>
      </c>
      <c r="M532" s="48">
        <f t="shared" si="61"/>
        <v>969</v>
      </c>
      <c r="N532" s="48">
        <f t="shared" si="62"/>
        <v>280</v>
      </c>
      <c r="O532" s="50">
        <f t="shared" si="63"/>
        <v>1249</v>
      </c>
      <c r="P532" s="50">
        <v>0</v>
      </c>
      <c r="Q532" s="76"/>
      <c r="R532" s="140">
        <f>IF((5*S9+10*S10)&gt;50,50,(5*S9+10*S10))</f>
        <v>50</v>
      </c>
      <c r="S532" s="79">
        <v>15.83</v>
      </c>
      <c r="T532" s="80">
        <v>4.58</v>
      </c>
    </row>
    <row r="533" spans="2:20" ht="28">
      <c r="B533" s="5" t="s">
        <v>1267</v>
      </c>
      <c r="C533" s="45" t="s">
        <v>165</v>
      </c>
      <c r="D533" s="45" t="s">
        <v>1268</v>
      </c>
      <c r="E533" s="6" t="s">
        <v>1269</v>
      </c>
      <c r="F533" s="45" t="s">
        <v>559</v>
      </c>
      <c r="G533" s="46">
        <f t="shared" si="64"/>
        <v>50</v>
      </c>
      <c r="H533" s="46">
        <f>TRUNC(S533*(1-LOTE_02!$K$10),2)</f>
        <v>5.89</v>
      </c>
      <c r="I533" s="46">
        <f>TRUNC(T533*(1-LOTE_02!$K$10),2)</f>
        <v>6.06</v>
      </c>
      <c r="J533" s="100">
        <f t="shared" si="65"/>
        <v>0.22470000000000001</v>
      </c>
      <c r="K533" s="48">
        <f t="shared" si="59"/>
        <v>7.21</v>
      </c>
      <c r="L533" s="48">
        <f t="shared" si="60"/>
        <v>7.42</v>
      </c>
      <c r="M533" s="48">
        <f t="shared" si="61"/>
        <v>360.5</v>
      </c>
      <c r="N533" s="48">
        <f t="shared" si="62"/>
        <v>371</v>
      </c>
      <c r="O533" s="50">
        <f t="shared" si="63"/>
        <v>731.5</v>
      </c>
      <c r="P533" s="50">
        <v>0</v>
      </c>
      <c r="Q533" s="76"/>
      <c r="R533" s="140">
        <f>IF((5*S9+10*S10)&gt;50,50,(5*S9+10*S10))</f>
        <v>50</v>
      </c>
      <c r="S533" s="79">
        <v>5.89</v>
      </c>
      <c r="T533" s="80">
        <v>6.06</v>
      </c>
    </row>
    <row r="534" spans="2:20" ht="28">
      <c r="B534" s="5" t="s">
        <v>1270</v>
      </c>
      <c r="C534" s="45" t="s">
        <v>165</v>
      </c>
      <c r="D534" s="45" t="s">
        <v>1271</v>
      </c>
      <c r="E534" s="6" t="s">
        <v>1272</v>
      </c>
      <c r="F534" s="45" t="s">
        <v>559</v>
      </c>
      <c r="G534" s="46">
        <f t="shared" si="64"/>
        <v>50</v>
      </c>
      <c r="H534" s="46">
        <f>TRUNC(S534*(1-LOTE_02!$K$10),2)</f>
        <v>6.82</v>
      </c>
      <c r="I534" s="46">
        <f>TRUNC(T534*(1-LOTE_02!$K$10),2)</f>
        <v>6.38</v>
      </c>
      <c r="J534" s="100">
        <f t="shared" si="65"/>
        <v>0.22470000000000001</v>
      </c>
      <c r="K534" s="48">
        <f t="shared" si="59"/>
        <v>8.35</v>
      </c>
      <c r="L534" s="48">
        <f t="shared" si="60"/>
        <v>7.81</v>
      </c>
      <c r="M534" s="48">
        <f t="shared" si="61"/>
        <v>417.5</v>
      </c>
      <c r="N534" s="48">
        <f t="shared" si="62"/>
        <v>390.5</v>
      </c>
      <c r="O534" s="50">
        <f t="shared" si="63"/>
        <v>808</v>
      </c>
      <c r="P534" s="50">
        <v>0</v>
      </c>
      <c r="Q534" s="76"/>
      <c r="R534" s="140">
        <f>IF((5*S9+10*S10)&gt;50,50,(5*S9+10*S10))</f>
        <v>50</v>
      </c>
      <c r="S534" s="79">
        <v>6.82</v>
      </c>
      <c r="T534" s="80">
        <v>6.38</v>
      </c>
    </row>
    <row r="535" spans="2:20" ht="56">
      <c r="B535" s="5" t="s">
        <v>1273</v>
      </c>
      <c r="C535" s="45" t="s">
        <v>135</v>
      </c>
      <c r="D535" s="45">
        <v>89395</v>
      </c>
      <c r="E535" s="6" t="s">
        <v>1274</v>
      </c>
      <c r="F535" s="45" t="s">
        <v>210</v>
      </c>
      <c r="G535" s="46">
        <f t="shared" si="64"/>
        <v>50</v>
      </c>
      <c r="H535" s="46">
        <f>TRUNC(S535*(1-LOTE_02!$K$10),2)</f>
        <v>7.45</v>
      </c>
      <c r="I535" s="46">
        <f>TRUNC(T535*(1-LOTE_02!$K$10),2)</f>
        <v>7.79</v>
      </c>
      <c r="J535" s="100">
        <f t="shared" si="65"/>
        <v>0.22470000000000001</v>
      </c>
      <c r="K535" s="48">
        <f t="shared" si="59"/>
        <v>9.1199999999999992</v>
      </c>
      <c r="L535" s="48">
        <f t="shared" si="60"/>
        <v>9.5399999999999991</v>
      </c>
      <c r="M535" s="48">
        <f t="shared" si="61"/>
        <v>456</v>
      </c>
      <c r="N535" s="48">
        <f t="shared" si="62"/>
        <v>477</v>
      </c>
      <c r="O535" s="50">
        <f t="shared" si="63"/>
        <v>933</v>
      </c>
      <c r="P535" s="50">
        <v>0</v>
      </c>
      <c r="Q535" s="76"/>
      <c r="R535" s="140">
        <f>IF((5*S9+10*S10)&gt;50,50,(5*S9+10*S10))</f>
        <v>50</v>
      </c>
      <c r="S535" s="79">
        <v>7.45</v>
      </c>
      <c r="T535" s="80">
        <v>7.79</v>
      </c>
    </row>
    <row r="536" spans="2:20" ht="70">
      <c r="B536" s="5" t="s">
        <v>1275</v>
      </c>
      <c r="C536" s="45" t="s">
        <v>135</v>
      </c>
      <c r="D536" s="45">
        <v>89546</v>
      </c>
      <c r="E536" s="6" t="s">
        <v>1276</v>
      </c>
      <c r="F536" s="45" t="s">
        <v>210</v>
      </c>
      <c r="G536" s="46">
        <f t="shared" si="64"/>
        <v>50</v>
      </c>
      <c r="H536" s="46">
        <f>TRUNC(S536*(1-LOTE_02!$K$10),2)</f>
        <v>11.32</v>
      </c>
      <c r="I536" s="46">
        <f>TRUNC(T536*(1-LOTE_02!$K$10),2)</f>
        <v>1.29</v>
      </c>
      <c r="J536" s="100">
        <f t="shared" si="65"/>
        <v>0.22470000000000001</v>
      </c>
      <c r="K536" s="48">
        <f t="shared" si="59"/>
        <v>13.86</v>
      </c>
      <c r="L536" s="48">
        <f t="shared" si="60"/>
        <v>1.57</v>
      </c>
      <c r="M536" s="48">
        <f t="shared" si="61"/>
        <v>693</v>
      </c>
      <c r="N536" s="48">
        <f t="shared" si="62"/>
        <v>78.5</v>
      </c>
      <c r="O536" s="50">
        <f t="shared" si="63"/>
        <v>771.5</v>
      </c>
      <c r="P536" s="50">
        <v>0</v>
      </c>
      <c r="Q536" s="76"/>
      <c r="R536" s="140">
        <f>IF((5*S9+10*S10)&gt;50,50,(5*S9+10*S10))</f>
        <v>50</v>
      </c>
      <c r="S536" s="79">
        <v>11.32</v>
      </c>
      <c r="T536" s="80">
        <v>1.29</v>
      </c>
    </row>
    <row r="537" spans="2:20" ht="28">
      <c r="B537" s="5" t="s">
        <v>1277</v>
      </c>
      <c r="C537" s="45" t="s">
        <v>97</v>
      </c>
      <c r="D537" s="45" t="s">
        <v>1278</v>
      </c>
      <c r="E537" s="6" t="s">
        <v>1279</v>
      </c>
      <c r="F537" s="45" t="s">
        <v>104</v>
      </c>
      <c r="G537" s="46">
        <f t="shared" si="64"/>
        <v>90</v>
      </c>
      <c r="H537" s="46">
        <f>TRUNC(S537*(1-LOTE_02!$K$10),2)</f>
        <v>15.05</v>
      </c>
      <c r="I537" s="46">
        <f>TRUNC(T537*(1-LOTE_02!$K$10),2)</f>
        <v>4.46</v>
      </c>
      <c r="J537" s="100">
        <f t="shared" si="65"/>
        <v>0.22470000000000001</v>
      </c>
      <c r="K537" s="48">
        <f t="shared" si="59"/>
        <v>18.43</v>
      </c>
      <c r="L537" s="48">
        <f t="shared" si="60"/>
        <v>5.46</v>
      </c>
      <c r="M537" s="48">
        <f t="shared" si="61"/>
        <v>1658.7</v>
      </c>
      <c r="N537" s="48">
        <f t="shared" si="62"/>
        <v>491.4</v>
      </c>
      <c r="O537" s="50">
        <f t="shared" si="63"/>
        <v>2150.1</v>
      </c>
      <c r="P537" s="50">
        <v>0</v>
      </c>
      <c r="Q537" s="76"/>
      <c r="R537" s="140">
        <f>2*S9+2*S10</f>
        <v>90</v>
      </c>
      <c r="S537" s="79">
        <v>15.05</v>
      </c>
      <c r="T537" s="80">
        <v>4.46</v>
      </c>
    </row>
    <row r="538" spans="2:20" ht="70">
      <c r="B538" s="5" t="s">
        <v>1280</v>
      </c>
      <c r="C538" s="45" t="s">
        <v>135</v>
      </c>
      <c r="D538" s="45">
        <v>89707</v>
      </c>
      <c r="E538" s="6" t="s">
        <v>1281</v>
      </c>
      <c r="F538" s="45" t="s">
        <v>210</v>
      </c>
      <c r="G538" s="46">
        <f t="shared" si="64"/>
        <v>50</v>
      </c>
      <c r="H538" s="46">
        <f>TRUNC(S538*(1-LOTE_02!$K$10),2)</f>
        <v>41.16</v>
      </c>
      <c r="I538" s="46">
        <f>TRUNC(T538*(1-LOTE_02!$K$10),2)</f>
        <v>15.24</v>
      </c>
      <c r="J538" s="100">
        <f t="shared" si="65"/>
        <v>0.22470000000000001</v>
      </c>
      <c r="K538" s="48">
        <f t="shared" si="59"/>
        <v>50.4</v>
      </c>
      <c r="L538" s="48">
        <f t="shared" si="60"/>
        <v>18.66</v>
      </c>
      <c r="M538" s="48">
        <f t="shared" si="61"/>
        <v>2520</v>
      </c>
      <c r="N538" s="48">
        <f t="shared" si="62"/>
        <v>933</v>
      </c>
      <c r="O538" s="50">
        <f t="shared" si="63"/>
        <v>3453</v>
      </c>
      <c r="P538" s="50">
        <v>0</v>
      </c>
      <c r="Q538" s="76"/>
      <c r="R538" s="140">
        <f>IF((2*S9+5*S10)&gt;50,50,(2*S9+5*S10))</f>
        <v>50</v>
      </c>
      <c r="S538" s="79">
        <v>41.16</v>
      </c>
      <c r="T538" s="80">
        <v>15.24</v>
      </c>
    </row>
    <row r="539" spans="2:20" ht="28">
      <c r="B539" s="5" t="s">
        <v>1282</v>
      </c>
      <c r="C539" s="45" t="s">
        <v>97</v>
      </c>
      <c r="D539" s="45" t="s">
        <v>1283</v>
      </c>
      <c r="E539" s="6" t="s">
        <v>1284</v>
      </c>
      <c r="F539" s="45" t="s">
        <v>104</v>
      </c>
      <c r="G539" s="46">
        <f t="shared" si="64"/>
        <v>45</v>
      </c>
      <c r="H539" s="46">
        <f>TRUNC(S539*(1-LOTE_02!$K$10),2)</f>
        <v>350</v>
      </c>
      <c r="I539" s="46">
        <f>TRUNC(T539*(1-LOTE_02!$K$10),2)</f>
        <v>0</v>
      </c>
      <c r="J539" s="100">
        <f t="shared" si="65"/>
        <v>0.22470000000000001</v>
      </c>
      <c r="K539" s="48">
        <f t="shared" si="59"/>
        <v>428.64</v>
      </c>
      <c r="L539" s="48">
        <f t="shared" si="60"/>
        <v>0</v>
      </c>
      <c r="M539" s="48">
        <f t="shared" si="61"/>
        <v>19288.8</v>
      </c>
      <c r="N539" s="48">
        <f t="shared" si="62"/>
        <v>0</v>
      </c>
      <c r="O539" s="50">
        <f t="shared" si="63"/>
        <v>19288.8</v>
      </c>
      <c r="P539" s="50">
        <v>0</v>
      </c>
      <c r="Q539" s="76"/>
      <c r="R539" s="140">
        <f>1*S9+1*S10</f>
        <v>45</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50">
        <v>0</v>
      </c>
      <c r="Q540" s="76"/>
      <c r="R540" s="154"/>
      <c r="S540" s="79" t="s">
        <v>22</v>
      </c>
      <c r="T540" s="80" t="s">
        <v>22</v>
      </c>
    </row>
    <row r="541" spans="2:20" ht="42">
      <c r="B541" s="5" t="s">
        <v>1287</v>
      </c>
      <c r="C541" s="45" t="s">
        <v>97</v>
      </c>
      <c r="D541" s="45" t="s">
        <v>1288</v>
      </c>
      <c r="E541" s="6" t="s">
        <v>1289</v>
      </c>
      <c r="F541" s="45" t="s">
        <v>104</v>
      </c>
      <c r="G541" s="46">
        <f t="shared" si="64"/>
        <v>90</v>
      </c>
      <c r="H541" s="46">
        <f>TRUNC(S541*(1-LOTE_02!$K$10),2)</f>
        <v>9.8699999999999992</v>
      </c>
      <c r="I541" s="46">
        <f>TRUNC(T541*(1-LOTE_02!$K$10),2)</f>
        <v>19.690000000000001</v>
      </c>
      <c r="J541" s="100">
        <f t="shared" si="65"/>
        <v>0.22470000000000001</v>
      </c>
      <c r="K541" s="48">
        <f t="shared" si="59"/>
        <v>12.08</v>
      </c>
      <c r="L541" s="48">
        <f t="shared" si="60"/>
        <v>24.11</v>
      </c>
      <c r="M541" s="48">
        <f t="shared" si="61"/>
        <v>1087.2</v>
      </c>
      <c r="N541" s="48">
        <f t="shared" si="62"/>
        <v>2169.9</v>
      </c>
      <c r="O541" s="50">
        <f t="shared" si="63"/>
        <v>3257.1</v>
      </c>
      <c r="P541" s="50">
        <v>0</v>
      </c>
      <c r="Q541" s="76"/>
      <c r="R541" s="140">
        <f>2*S9+2*S10</f>
        <v>90</v>
      </c>
      <c r="S541" s="79">
        <v>9.8699999999999992</v>
      </c>
      <c r="T541" s="80">
        <v>19.690000000000001</v>
      </c>
    </row>
    <row r="542" spans="2:20" ht="28">
      <c r="B542" s="5" t="s">
        <v>1290</v>
      </c>
      <c r="C542" s="45" t="s">
        <v>97</v>
      </c>
      <c r="D542" s="45" t="s">
        <v>1291</v>
      </c>
      <c r="E542" s="6" t="s">
        <v>1292</v>
      </c>
      <c r="F542" s="45" t="s">
        <v>104</v>
      </c>
      <c r="G542" s="46">
        <f t="shared" si="64"/>
        <v>90</v>
      </c>
      <c r="H542" s="46">
        <f>TRUNC(S542*(1-LOTE_02!$K$10),2)</f>
        <v>4.6900000000000004</v>
      </c>
      <c r="I542" s="46">
        <f>TRUNC(T542*(1-LOTE_02!$K$10),2)</f>
        <v>4.1100000000000003</v>
      </c>
      <c r="J542" s="100">
        <f t="shared" si="65"/>
        <v>0.22470000000000001</v>
      </c>
      <c r="K542" s="48">
        <f t="shared" si="59"/>
        <v>5.74</v>
      </c>
      <c r="L542" s="48">
        <f t="shared" si="60"/>
        <v>5.03</v>
      </c>
      <c r="M542" s="48">
        <f t="shared" si="61"/>
        <v>516.6</v>
      </c>
      <c r="N542" s="48">
        <f t="shared" si="62"/>
        <v>452.7</v>
      </c>
      <c r="O542" s="50">
        <f t="shared" si="63"/>
        <v>969.3</v>
      </c>
      <c r="P542" s="50">
        <v>0</v>
      </c>
      <c r="Q542" s="76"/>
      <c r="R542" s="140">
        <f>2*S9+2*S10</f>
        <v>90</v>
      </c>
      <c r="S542" s="79">
        <v>4.6900000000000004</v>
      </c>
      <c r="T542" s="80">
        <v>4.1100000000000003</v>
      </c>
    </row>
    <row r="543" spans="2:20" ht="28">
      <c r="B543" s="5" t="s">
        <v>1293</v>
      </c>
      <c r="C543" s="45" t="s">
        <v>97</v>
      </c>
      <c r="D543" s="45" t="s">
        <v>1294</v>
      </c>
      <c r="E543" s="6" t="s">
        <v>1295</v>
      </c>
      <c r="F543" s="45" t="s">
        <v>104</v>
      </c>
      <c r="G543" s="46">
        <f t="shared" si="64"/>
        <v>90</v>
      </c>
      <c r="H543" s="46">
        <f>TRUNC(S543*(1-LOTE_02!$K$10),2)</f>
        <v>4.6900000000000004</v>
      </c>
      <c r="I543" s="46">
        <f>TRUNC(T543*(1-LOTE_02!$K$10),2)</f>
        <v>4.1100000000000003</v>
      </c>
      <c r="J543" s="100">
        <f t="shared" si="65"/>
        <v>0.22470000000000001</v>
      </c>
      <c r="K543" s="48">
        <f t="shared" si="59"/>
        <v>5.74</v>
      </c>
      <c r="L543" s="48">
        <f t="shared" si="60"/>
        <v>5.03</v>
      </c>
      <c r="M543" s="48">
        <f t="shared" si="61"/>
        <v>516.6</v>
      </c>
      <c r="N543" s="48">
        <f t="shared" si="62"/>
        <v>452.7</v>
      </c>
      <c r="O543" s="50">
        <f t="shared" si="63"/>
        <v>969.3</v>
      </c>
      <c r="P543" s="50">
        <v>0</v>
      </c>
      <c r="Q543" s="76"/>
      <c r="R543" s="140">
        <f>2*S9+2*S10</f>
        <v>90</v>
      </c>
      <c r="S543" s="79">
        <v>4.6900000000000004</v>
      </c>
      <c r="T543" s="80">
        <v>4.1100000000000003</v>
      </c>
    </row>
    <row r="544" spans="2:20" ht="70">
      <c r="B544" s="5" t="s">
        <v>1296</v>
      </c>
      <c r="C544" s="45" t="s">
        <v>97</v>
      </c>
      <c r="D544" s="45" t="s">
        <v>1297</v>
      </c>
      <c r="E544" s="6" t="s">
        <v>1298</v>
      </c>
      <c r="F544" s="45" t="s">
        <v>104</v>
      </c>
      <c r="G544" s="46">
        <f t="shared" si="64"/>
        <v>90</v>
      </c>
      <c r="H544" s="46">
        <f>TRUNC(S544*(1-LOTE_02!$K$10),2)</f>
        <v>359.86</v>
      </c>
      <c r="I544" s="46">
        <f>TRUNC(T544*(1-LOTE_02!$K$10),2)</f>
        <v>34.590000000000003</v>
      </c>
      <c r="J544" s="100">
        <f t="shared" si="65"/>
        <v>0.22470000000000001</v>
      </c>
      <c r="K544" s="48">
        <f t="shared" si="59"/>
        <v>440.72</v>
      </c>
      <c r="L544" s="48">
        <f t="shared" si="60"/>
        <v>42.36</v>
      </c>
      <c r="M544" s="48">
        <f t="shared" si="61"/>
        <v>39664.800000000003</v>
      </c>
      <c r="N544" s="48">
        <f t="shared" si="62"/>
        <v>3812.4</v>
      </c>
      <c r="O544" s="50">
        <f t="shared" si="63"/>
        <v>43477.2</v>
      </c>
      <c r="P544" s="50">
        <v>0</v>
      </c>
      <c r="Q544" s="76"/>
      <c r="R544" s="140">
        <f>2*S9+2*S10</f>
        <v>90</v>
      </c>
      <c r="S544" s="79">
        <v>359.86</v>
      </c>
      <c r="T544" s="80">
        <v>34.590000000000003</v>
      </c>
    </row>
    <row r="545" spans="2:20" ht="28">
      <c r="B545" s="5" t="s">
        <v>1299</v>
      </c>
      <c r="C545" s="45" t="s">
        <v>97</v>
      </c>
      <c r="D545" s="45" t="s">
        <v>1300</v>
      </c>
      <c r="E545" s="6" t="s">
        <v>1301</v>
      </c>
      <c r="F545" s="45" t="s">
        <v>104</v>
      </c>
      <c r="G545" s="46">
        <f t="shared" si="64"/>
        <v>90</v>
      </c>
      <c r="H545" s="46">
        <f>TRUNC(S545*(1-LOTE_02!$K$10),2)</f>
        <v>103.25</v>
      </c>
      <c r="I545" s="46">
        <f>TRUNC(T545*(1-LOTE_02!$K$10),2)</f>
        <v>24.92</v>
      </c>
      <c r="J545" s="100">
        <f t="shared" si="65"/>
        <v>0.22470000000000001</v>
      </c>
      <c r="K545" s="48">
        <f t="shared" si="59"/>
        <v>126.45</v>
      </c>
      <c r="L545" s="48">
        <f t="shared" si="60"/>
        <v>30.51</v>
      </c>
      <c r="M545" s="48">
        <f t="shared" si="61"/>
        <v>11380.5</v>
      </c>
      <c r="N545" s="48">
        <f t="shared" si="62"/>
        <v>2745.9</v>
      </c>
      <c r="O545" s="50">
        <f t="shared" si="63"/>
        <v>14126.4</v>
      </c>
      <c r="P545" s="50">
        <v>0</v>
      </c>
      <c r="Q545" s="76"/>
      <c r="R545" s="140">
        <f>2*S9+2*S10</f>
        <v>90</v>
      </c>
      <c r="S545" s="79">
        <v>103.25</v>
      </c>
      <c r="T545" s="80">
        <v>24.92</v>
      </c>
    </row>
    <row r="546" spans="2:20" ht="28">
      <c r="B546" s="5" t="s">
        <v>1302</v>
      </c>
      <c r="C546" s="45" t="s">
        <v>97</v>
      </c>
      <c r="D546" s="45" t="s">
        <v>1303</v>
      </c>
      <c r="E546" s="6" t="s">
        <v>1304</v>
      </c>
      <c r="F546" s="45" t="s">
        <v>104</v>
      </c>
      <c r="G546" s="46">
        <f t="shared" si="64"/>
        <v>90</v>
      </c>
      <c r="H546" s="46">
        <f>TRUNC(S546*(1-LOTE_02!$K$10),2)</f>
        <v>97.16</v>
      </c>
      <c r="I546" s="46">
        <f>TRUNC(T546*(1-LOTE_02!$K$10),2)</f>
        <v>16.829999999999998</v>
      </c>
      <c r="J546" s="100">
        <f t="shared" si="65"/>
        <v>0.22470000000000001</v>
      </c>
      <c r="K546" s="48">
        <f t="shared" si="59"/>
        <v>118.99</v>
      </c>
      <c r="L546" s="48">
        <f t="shared" si="60"/>
        <v>20.61</v>
      </c>
      <c r="M546" s="48">
        <f t="shared" si="61"/>
        <v>10709.1</v>
      </c>
      <c r="N546" s="48">
        <f t="shared" si="62"/>
        <v>1854.9</v>
      </c>
      <c r="O546" s="50">
        <f t="shared" si="63"/>
        <v>12564</v>
      </c>
      <c r="P546" s="50">
        <v>0</v>
      </c>
      <c r="Q546" s="76"/>
      <c r="R546" s="140">
        <f>2*S9+2*S10</f>
        <v>90</v>
      </c>
      <c r="S546" s="79">
        <v>97.16</v>
      </c>
      <c r="T546" s="80">
        <v>16.829999999999998</v>
      </c>
    </row>
    <row r="547" spans="2:20" ht="70">
      <c r="B547" s="5" t="s">
        <v>1305</v>
      </c>
      <c r="C547" s="45" t="s">
        <v>135</v>
      </c>
      <c r="D547" s="45">
        <v>86932</v>
      </c>
      <c r="E547" s="6" t="s">
        <v>1817</v>
      </c>
      <c r="F547" s="45" t="s">
        <v>210</v>
      </c>
      <c r="G547" s="46">
        <f t="shared" si="64"/>
        <v>70</v>
      </c>
      <c r="H547" s="46">
        <f>TRUNC(S547*(1-LOTE_02!$K$10),2)</f>
        <v>623.20000000000005</v>
      </c>
      <c r="I547" s="46">
        <f>TRUNC(T547*(1-LOTE_02!$K$10),2)</f>
        <v>26.91</v>
      </c>
      <c r="J547" s="100">
        <f t="shared" si="65"/>
        <v>0.22470000000000001</v>
      </c>
      <c r="K547" s="48">
        <f t="shared" si="59"/>
        <v>763.23</v>
      </c>
      <c r="L547" s="48">
        <f t="shared" si="60"/>
        <v>32.950000000000003</v>
      </c>
      <c r="M547" s="48">
        <f t="shared" si="61"/>
        <v>53426.1</v>
      </c>
      <c r="N547" s="48">
        <f t="shared" si="62"/>
        <v>2306.5</v>
      </c>
      <c r="O547" s="50">
        <f t="shared" si="63"/>
        <v>55732.6</v>
      </c>
      <c r="P547" s="50">
        <v>0</v>
      </c>
      <c r="Q547" s="76"/>
      <c r="R547" s="140">
        <f>1*S9+2*S10</f>
        <v>70</v>
      </c>
      <c r="S547" s="79">
        <v>623.20000000000005</v>
      </c>
      <c r="T547" s="80">
        <v>26.91</v>
      </c>
    </row>
    <row r="548" spans="2:20" ht="28">
      <c r="B548" s="5" t="s">
        <v>1306</v>
      </c>
      <c r="C548" s="45" t="s">
        <v>97</v>
      </c>
      <c r="D548" s="45" t="s">
        <v>1307</v>
      </c>
      <c r="E548" s="6" t="s">
        <v>1308</v>
      </c>
      <c r="F548" s="45" t="s">
        <v>104</v>
      </c>
      <c r="G548" s="46">
        <f t="shared" si="64"/>
        <v>90</v>
      </c>
      <c r="H548" s="46">
        <f>TRUNC(S548*(1-LOTE_02!$K$10),2)</f>
        <v>112.19</v>
      </c>
      <c r="I548" s="46">
        <f>TRUNC(T548*(1-LOTE_02!$K$10),2)</f>
        <v>4.22</v>
      </c>
      <c r="J548" s="100">
        <f t="shared" si="65"/>
        <v>0.22470000000000001</v>
      </c>
      <c r="K548" s="48">
        <f t="shared" si="59"/>
        <v>137.38999999999999</v>
      </c>
      <c r="L548" s="48">
        <f t="shared" si="60"/>
        <v>5.16</v>
      </c>
      <c r="M548" s="48">
        <f t="shared" si="61"/>
        <v>12365.1</v>
      </c>
      <c r="N548" s="48">
        <f t="shared" si="62"/>
        <v>464.4</v>
      </c>
      <c r="O548" s="50">
        <f t="shared" si="63"/>
        <v>12829.5</v>
      </c>
      <c r="P548" s="50">
        <v>0</v>
      </c>
      <c r="Q548" s="76"/>
      <c r="R548" s="140">
        <f>2*S9+2*S10</f>
        <v>90</v>
      </c>
      <c r="S548" s="79">
        <v>112.19</v>
      </c>
      <c r="T548" s="80">
        <v>4.22</v>
      </c>
    </row>
    <row r="549" spans="2:20" ht="28">
      <c r="B549" s="5" t="s">
        <v>1309</v>
      </c>
      <c r="C549" s="45" t="s">
        <v>97</v>
      </c>
      <c r="D549" s="45" t="s">
        <v>1310</v>
      </c>
      <c r="E549" s="6" t="s">
        <v>1311</v>
      </c>
      <c r="F549" s="45" t="s">
        <v>104</v>
      </c>
      <c r="G549" s="46">
        <f t="shared" si="64"/>
        <v>90</v>
      </c>
      <c r="H549" s="46">
        <f>TRUNC(S549*(1-LOTE_02!$K$10),2)</f>
        <v>371.9</v>
      </c>
      <c r="I549" s="46">
        <f>TRUNC(T549*(1-LOTE_02!$K$10),2)</f>
        <v>4.22</v>
      </c>
      <c r="J549" s="100">
        <f t="shared" si="65"/>
        <v>0.22470000000000001</v>
      </c>
      <c r="K549" s="48">
        <f t="shared" si="59"/>
        <v>455.46</v>
      </c>
      <c r="L549" s="48">
        <f t="shared" si="60"/>
        <v>5.16</v>
      </c>
      <c r="M549" s="48">
        <f t="shared" si="61"/>
        <v>40991.4</v>
      </c>
      <c r="N549" s="48">
        <f t="shared" si="62"/>
        <v>464.4</v>
      </c>
      <c r="O549" s="50">
        <f t="shared" si="63"/>
        <v>41455.800000000003</v>
      </c>
      <c r="P549" s="50">
        <v>0</v>
      </c>
      <c r="Q549" s="76"/>
      <c r="R549" s="140">
        <f>2*S9+2*S10</f>
        <v>90</v>
      </c>
      <c r="S549" s="79">
        <v>371.9</v>
      </c>
      <c r="T549" s="80">
        <v>4.22</v>
      </c>
    </row>
    <row r="550" spans="2:20" ht="56">
      <c r="B550" s="5" t="s">
        <v>1312</v>
      </c>
      <c r="C550" s="45" t="s">
        <v>135</v>
      </c>
      <c r="D550" s="45">
        <v>86903</v>
      </c>
      <c r="E550" s="6" t="s">
        <v>1818</v>
      </c>
      <c r="F550" s="45" t="s">
        <v>210</v>
      </c>
      <c r="G550" s="46">
        <f t="shared" si="64"/>
        <v>70</v>
      </c>
      <c r="H550" s="46">
        <f>TRUNC(S550*(1-LOTE_02!$K$10),2)</f>
        <v>401.18</v>
      </c>
      <c r="I550" s="46">
        <f>TRUNC(T550*(1-LOTE_02!$K$10),2)</f>
        <v>41.86</v>
      </c>
      <c r="J550" s="100">
        <f t="shared" si="65"/>
        <v>0.22470000000000001</v>
      </c>
      <c r="K550" s="48">
        <f t="shared" si="59"/>
        <v>491.32</v>
      </c>
      <c r="L550" s="48">
        <f t="shared" si="60"/>
        <v>51.26</v>
      </c>
      <c r="M550" s="48">
        <f t="shared" si="61"/>
        <v>34392.400000000001</v>
      </c>
      <c r="N550" s="48">
        <f t="shared" si="62"/>
        <v>3588.2</v>
      </c>
      <c r="O550" s="50">
        <f t="shared" si="63"/>
        <v>37980.6</v>
      </c>
      <c r="P550" s="50">
        <v>0</v>
      </c>
      <c r="Q550" s="76"/>
      <c r="R550" s="140">
        <f>1*S9+2*S10</f>
        <v>70</v>
      </c>
      <c r="S550" s="79">
        <v>401.18</v>
      </c>
      <c r="T550" s="80">
        <v>41.86</v>
      </c>
    </row>
    <row r="551" spans="2:20" ht="98">
      <c r="B551" s="5" t="s">
        <v>1313</v>
      </c>
      <c r="C551" s="45" t="s">
        <v>97</v>
      </c>
      <c r="D551" s="45" t="s">
        <v>1314</v>
      </c>
      <c r="E551" s="6" t="s">
        <v>1315</v>
      </c>
      <c r="F551" s="45" t="s">
        <v>104</v>
      </c>
      <c r="G551" s="46">
        <f t="shared" si="64"/>
        <v>70</v>
      </c>
      <c r="H551" s="46">
        <f>TRUNC(S551*(1-LOTE_02!$K$10),2)</f>
        <v>746.67</v>
      </c>
      <c r="I551" s="46">
        <f>TRUNC(T551*(1-LOTE_02!$K$10),2)</f>
        <v>67.84</v>
      </c>
      <c r="J551" s="100">
        <f t="shared" si="65"/>
        <v>0.22470000000000001</v>
      </c>
      <c r="K551" s="48">
        <f t="shared" si="59"/>
        <v>914.44</v>
      </c>
      <c r="L551" s="48">
        <f t="shared" si="60"/>
        <v>83.08</v>
      </c>
      <c r="M551" s="48">
        <f t="shared" si="61"/>
        <v>64010.8</v>
      </c>
      <c r="N551" s="48">
        <f t="shared" si="62"/>
        <v>5815.6</v>
      </c>
      <c r="O551" s="50">
        <f t="shared" si="63"/>
        <v>69826.399999999994</v>
      </c>
      <c r="P551" s="50">
        <v>0</v>
      </c>
      <c r="Q551" s="76"/>
      <c r="R551" s="140">
        <f>1*S9+2*S10</f>
        <v>70</v>
      </c>
      <c r="S551" s="79">
        <v>746.67</v>
      </c>
      <c r="T551" s="80">
        <v>67.84</v>
      </c>
    </row>
    <row r="552" spans="2:20" ht="56">
      <c r="B552" s="5" t="s">
        <v>1316</v>
      </c>
      <c r="C552" s="45" t="s">
        <v>135</v>
      </c>
      <c r="D552" s="45">
        <v>86904</v>
      </c>
      <c r="E552" s="6" t="s">
        <v>1819</v>
      </c>
      <c r="F552" s="45" t="s">
        <v>210</v>
      </c>
      <c r="G552" s="46">
        <f t="shared" si="64"/>
        <v>70</v>
      </c>
      <c r="H552" s="46">
        <f>TRUNC(S552*(1-LOTE_02!$K$10),2)</f>
        <v>172.73</v>
      </c>
      <c r="I552" s="46">
        <f>TRUNC(T552*(1-LOTE_02!$K$10),2)</f>
        <v>11.2</v>
      </c>
      <c r="J552" s="100">
        <f t="shared" si="65"/>
        <v>0.22470000000000001</v>
      </c>
      <c r="K552" s="48">
        <f t="shared" si="59"/>
        <v>211.54</v>
      </c>
      <c r="L552" s="48">
        <f t="shared" si="60"/>
        <v>13.71</v>
      </c>
      <c r="M552" s="48">
        <f t="shared" si="61"/>
        <v>14807.8</v>
      </c>
      <c r="N552" s="48">
        <f t="shared" si="62"/>
        <v>959.7</v>
      </c>
      <c r="O552" s="50">
        <f t="shared" si="63"/>
        <v>15767.5</v>
      </c>
      <c r="P552" s="50">
        <v>0</v>
      </c>
      <c r="Q552" s="76"/>
      <c r="R552" s="140">
        <f>1*S9+2*S10</f>
        <v>70</v>
      </c>
      <c r="S552" s="79">
        <v>172.73000000000002</v>
      </c>
      <c r="T552" s="80">
        <v>11.2</v>
      </c>
    </row>
    <row r="553" spans="2:20" ht="56">
      <c r="B553" s="5" t="s">
        <v>1317</v>
      </c>
      <c r="C553" s="45" t="s">
        <v>135</v>
      </c>
      <c r="D553" s="45">
        <v>100858</v>
      </c>
      <c r="E553" s="6" t="s">
        <v>1820</v>
      </c>
      <c r="F553" s="45" t="s">
        <v>210</v>
      </c>
      <c r="G553" s="46">
        <f t="shared" si="64"/>
        <v>70</v>
      </c>
      <c r="H553" s="46">
        <f>TRUNC(S553*(1-LOTE_02!$K$10),2)</f>
        <v>827.36</v>
      </c>
      <c r="I553" s="46">
        <f>TRUNC(T553*(1-LOTE_02!$K$10),2)</f>
        <v>27.52</v>
      </c>
      <c r="J553" s="100">
        <f t="shared" si="65"/>
        <v>0.22470000000000001</v>
      </c>
      <c r="K553" s="48">
        <f t="shared" si="59"/>
        <v>1013.26</v>
      </c>
      <c r="L553" s="48">
        <f t="shared" si="60"/>
        <v>33.700000000000003</v>
      </c>
      <c r="M553" s="48">
        <f t="shared" si="61"/>
        <v>70928.2</v>
      </c>
      <c r="N553" s="48">
        <f t="shared" si="62"/>
        <v>2359</v>
      </c>
      <c r="O553" s="50">
        <f t="shared" si="63"/>
        <v>73287.199999999997</v>
      </c>
      <c r="P553" s="50">
        <v>0</v>
      </c>
      <c r="Q553" s="76"/>
      <c r="R553" s="140">
        <f>1*S9+2*S10</f>
        <v>70</v>
      </c>
      <c r="S553" s="79">
        <v>827.36</v>
      </c>
      <c r="T553" s="80">
        <v>27.52</v>
      </c>
    </row>
    <row r="554" spans="2:20" ht="28">
      <c r="B554" s="5" t="s">
        <v>1318</v>
      </c>
      <c r="C554" s="45" t="s">
        <v>165</v>
      </c>
      <c r="D554" s="45" t="s">
        <v>1319</v>
      </c>
      <c r="E554" s="6" t="s">
        <v>1320</v>
      </c>
      <c r="F554" s="45" t="s">
        <v>168</v>
      </c>
      <c r="G554" s="46">
        <f t="shared" si="64"/>
        <v>31.2</v>
      </c>
      <c r="H554" s="46">
        <f>TRUNC(S554*(1-LOTE_02!$K$10),2)</f>
        <v>392.78</v>
      </c>
      <c r="I554" s="46">
        <f>TRUNC(T554*(1-LOTE_02!$K$10),2)</f>
        <v>78.489999999999995</v>
      </c>
      <c r="J554" s="100">
        <f t="shared" si="65"/>
        <v>0.22470000000000001</v>
      </c>
      <c r="K554" s="48">
        <f t="shared" si="59"/>
        <v>481.03</v>
      </c>
      <c r="L554" s="48">
        <f t="shared" si="60"/>
        <v>96.12</v>
      </c>
      <c r="M554" s="48">
        <f t="shared" si="61"/>
        <v>15008.13</v>
      </c>
      <c r="N554" s="48">
        <f t="shared" si="62"/>
        <v>2998.94</v>
      </c>
      <c r="O554" s="50">
        <f t="shared" si="63"/>
        <v>18007.07</v>
      </c>
      <c r="P554" s="50">
        <v>0</v>
      </c>
      <c r="Q554" s="76"/>
      <c r="R554" s="140">
        <f>0.4*0.6*4*S9+0.4*0.6*2*S10</f>
        <v>31.2</v>
      </c>
      <c r="S554" s="79">
        <v>392.78</v>
      </c>
      <c r="T554" s="80">
        <v>78.489999999999995</v>
      </c>
    </row>
    <row r="555" spans="2:20" ht="42">
      <c r="B555" s="5" t="s">
        <v>1321</v>
      </c>
      <c r="C555" s="45" t="s">
        <v>135</v>
      </c>
      <c r="D555" s="45">
        <v>95544</v>
      </c>
      <c r="E555" s="6" t="s">
        <v>1821</v>
      </c>
      <c r="F555" s="45" t="s">
        <v>210</v>
      </c>
      <c r="G555" s="46">
        <f t="shared" si="64"/>
        <v>90</v>
      </c>
      <c r="H555" s="46">
        <f>TRUNC(S555*(1-LOTE_02!$K$10),2)</f>
        <v>64.59</v>
      </c>
      <c r="I555" s="46">
        <f>TRUNC(T555*(1-LOTE_02!$K$10),2)</f>
        <v>7.81</v>
      </c>
      <c r="J555" s="100">
        <f t="shared" si="65"/>
        <v>0.22470000000000001</v>
      </c>
      <c r="K555" s="48">
        <f t="shared" si="59"/>
        <v>79.099999999999994</v>
      </c>
      <c r="L555" s="48">
        <f t="shared" si="60"/>
        <v>9.56</v>
      </c>
      <c r="M555" s="48">
        <f t="shared" si="61"/>
        <v>7119</v>
      </c>
      <c r="N555" s="48">
        <f t="shared" si="62"/>
        <v>860.4</v>
      </c>
      <c r="O555" s="50">
        <f t="shared" si="63"/>
        <v>7979.4</v>
      </c>
      <c r="P555" s="50">
        <v>0</v>
      </c>
      <c r="Q555" s="76"/>
      <c r="R555" s="140">
        <f>2*S9+2*S10</f>
        <v>90</v>
      </c>
      <c r="S555" s="79">
        <v>64.59</v>
      </c>
      <c r="T555" s="80">
        <v>7.81</v>
      </c>
    </row>
    <row r="556" spans="2:20" ht="28">
      <c r="B556" s="5" t="s">
        <v>1322</v>
      </c>
      <c r="C556" s="45" t="s">
        <v>97</v>
      </c>
      <c r="D556" s="45" t="s">
        <v>1323</v>
      </c>
      <c r="E556" s="6" t="s">
        <v>1324</v>
      </c>
      <c r="F556" s="45" t="s">
        <v>104</v>
      </c>
      <c r="G556" s="46">
        <f t="shared" si="64"/>
        <v>90</v>
      </c>
      <c r="H556" s="46">
        <f>TRUNC(S556*(1-LOTE_02!$K$10),2)</f>
        <v>67.28</v>
      </c>
      <c r="I556" s="46">
        <f>TRUNC(T556*(1-LOTE_02!$K$10),2)</f>
        <v>4.1100000000000003</v>
      </c>
      <c r="J556" s="100">
        <f t="shared" si="65"/>
        <v>0.22470000000000001</v>
      </c>
      <c r="K556" s="48">
        <f t="shared" si="59"/>
        <v>82.39</v>
      </c>
      <c r="L556" s="48">
        <f t="shared" si="60"/>
        <v>5.03</v>
      </c>
      <c r="M556" s="48">
        <f t="shared" si="61"/>
        <v>7415.1</v>
      </c>
      <c r="N556" s="48">
        <f t="shared" si="62"/>
        <v>452.7</v>
      </c>
      <c r="O556" s="50">
        <f t="shared" si="63"/>
        <v>7867.8</v>
      </c>
      <c r="P556" s="50">
        <v>0</v>
      </c>
      <c r="Q556" s="76"/>
      <c r="R556" s="140">
        <f>2*S9+2*S10</f>
        <v>90</v>
      </c>
      <c r="S556" s="79">
        <v>67.28</v>
      </c>
      <c r="T556" s="80">
        <v>4.1100000000000003</v>
      </c>
    </row>
    <row r="557" spans="2:20" ht="42">
      <c r="B557" s="5" t="s">
        <v>1325</v>
      </c>
      <c r="C557" s="45" t="s">
        <v>97</v>
      </c>
      <c r="D557" s="45" t="s">
        <v>1326</v>
      </c>
      <c r="E557" s="6" t="s">
        <v>1327</v>
      </c>
      <c r="F557" s="45" t="s">
        <v>104</v>
      </c>
      <c r="G557" s="46">
        <f t="shared" si="64"/>
        <v>90</v>
      </c>
      <c r="H557" s="46">
        <f>TRUNC(S557*(1-LOTE_02!$K$10),2)</f>
        <v>67.28</v>
      </c>
      <c r="I557" s="46">
        <f>TRUNC(T557*(1-LOTE_02!$K$10),2)</f>
        <v>4.1100000000000003</v>
      </c>
      <c r="J557" s="100">
        <f t="shared" si="65"/>
        <v>0.22470000000000001</v>
      </c>
      <c r="K557" s="48">
        <f t="shared" si="59"/>
        <v>82.39</v>
      </c>
      <c r="L557" s="48">
        <f t="shared" si="60"/>
        <v>5.03</v>
      </c>
      <c r="M557" s="48">
        <f t="shared" si="61"/>
        <v>7415.1</v>
      </c>
      <c r="N557" s="48">
        <f t="shared" si="62"/>
        <v>452.7</v>
      </c>
      <c r="O557" s="50">
        <f t="shared" si="63"/>
        <v>7867.8</v>
      </c>
      <c r="P557" s="50">
        <v>0</v>
      </c>
      <c r="Q557" s="76"/>
      <c r="R557" s="140">
        <f>2*S9+2*S10</f>
        <v>90</v>
      </c>
      <c r="S557" s="79">
        <v>67.28</v>
      </c>
      <c r="T557" s="80">
        <v>4.1100000000000003</v>
      </c>
    </row>
    <row r="558" spans="2:20" ht="56">
      <c r="B558" s="5" t="s">
        <v>1328</v>
      </c>
      <c r="C558" s="45" t="s">
        <v>135</v>
      </c>
      <c r="D558" s="45">
        <v>95547</v>
      </c>
      <c r="E558" s="6" t="s">
        <v>1822</v>
      </c>
      <c r="F558" s="45" t="s">
        <v>210</v>
      </c>
      <c r="G558" s="46">
        <f t="shared" si="64"/>
        <v>90</v>
      </c>
      <c r="H558" s="46">
        <f>TRUNC(S558*(1-LOTE_02!$K$10),2)</f>
        <v>67.17</v>
      </c>
      <c r="I558" s="46">
        <f>TRUNC(T558*(1-LOTE_02!$K$10),2)</f>
        <v>8.93</v>
      </c>
      <c r="J558" s="100">
        <f t="shared" si="65"/>
        <v>0.22470000000000001</v>
      </c>
      <c r="K558" s="48">
        <f t="shared" si="59"/>
        <v>82.26</v>
      </c>
      <c r="L558" s="48">
        <f t="shared" si="60"/>
        <v>10.93</v>
      </c>
      <c r="M558" s="48">
        <f t="shared" si="61"/>
        <v>7403.4</v>
      </c>
      <c r="N558" s="48">
        <f t="shared" si="62"/>
        <v>983.7</v>
      </c>
      <c r="O558" s="50">
        <f t="shared" si="63"/>
        <v>8387.1</v>
      </c>
      <c r="P558" s="50">
        <v>0</v>
      </c>
      <c r="Q558" s="76"/>
      <c r="R558" s="140">
        <f>2*S9+2*S10</f>
        <v>90</v>
      </c>
      <c r="S558" s="79">
        <v>67.169999999999987</v>
      </c>
      <c r="T558" s="80">
        <v>8.93</v>
      </c>
    </row>
    <row r="559" spans="2:20" ht="42">
      <c r="B559" s="5" t="s">
        <v>1329</v>
      </c>
      <c r="C559" s="45" t="s">
        <v>135</v>
      </c>
      <c r="D559" s="45">
        <v>95545</v>
      </c>
      <c r="E559" s="6" t="s">
        <v>1823</v>
      </c>
      <c r="F559" s="45" t="s">
        <v>210</v>
      </c>
      <c r="G559" s="46">
        <f t="shared" si="64"/>
        <v>90</v>
      </c>
      <c r="H559" s="46">
        <f>TRUNC(S559*(1-LOTE_02!$K$10),2)</f>
        <v>63.16</v>
      </c>
      <c r="I559" s="46">
        <f>TRUNC(T559*(1-LOTE_02!$K$10),2)</f>
        <v>7.82</v>
      </c>
      <c r="J559" s="100">
        <f t="shared" si="65"/>
        <v>0.22470000000000001</v>
      </c>
      <c r="K559" s="48">
        <f t="shared" si="59"/>
        <v>77.349999999999994</v>
      </c>
      <c r="L559" s="48">
        <f t="shared" si="60"/>
        <v>9.57</v>
      </c>
      <c r="M559" s="48">
        <f t="shared" si="61"/>
        <v>6961.5</v>
      </c>
      <c r="N559" s="48">
        <f t="shared" si="62"/>
        <v>861.3</v>
      </c>
      <c r="O559" s="50">
        <f t="shared" si="63"/>
        <v>7822.8</v>
      </c>
      <c r="P559" s="50">
        <v>0</v>
      </c>
      <c r="Q559" s="76"/>
      <c r="R559" s="140">
        <f>2*S9+2*S10</f>
        <v>90</v>
      </c>
      <c r="S559" s="79">
        <v>63.160000000000004</v>
      </c>
      <c r="T559" s="80">
        <v>7.82</v>
      </c>
    </row>
    <row r="560" spans="2:20" ht="28">
      <c r="B560" s="5" t="s">
        <v>1330</v>
      </c>
      <c r="C560" s="45" t="s">
        <v>165</v>
      </c>
      <c r="D560" s="45" t="s">
        <v>1331</v>
      </c>
      <c r="E560" s="6" t="s">
        <v>1332</v>
      </c>
      <c r="F560" s="45" t="s">
        <v>559</v>
      </c>
      <c r="G560" s="46">
        <f t="shared" si="64"/>
        <v>90</v>
      </c>
      <c r="H560" s="46">
        <f>TRUNC(S560*(1-LOTE_02!$K$10),2)</f>
        <v>456.03</v>
      </c>
      <c r="I560" s="46">
        <f>TRUNC(T560*(1-LOTE_02!$K$10),2)</f>
        <v>15.94</v>
      </c>
      <c r="J560" s="100">
        <f t="shared" si="65"/>
        <v>0.22470000000000001</v>
      </c>
      <c r="K560" s="48">
        <f t="shared" si="59"/>
        <v>558.49</v>
      </c>
      <c r="L560" s="48">
        <f t="shared" si="60"/>
        <v>19.52</v>
      </c>
      <c r="M560" s="48">
        <f t="shared" si="61"/>
        <v>50264.1</v>
      </c>
      <c r="N560" s="48">
        <f t="shared" si="62"/>
        <v>1756.8</v>
      </c>
      <c r="O560" s="50">
        <f t="shared" si="63"/>
        <v>52020.9</v>
      </c>
      <c r="P560" s="50">
        <v>0</v>
      </c>
      <c r="Q560" s="76"/>
      <c r="R560" s="140">
        <f>2*S9+2*S10</f>
        <v>90</v>
      </c>
      <c r="S560" s="79">
        <v>456.03</v>
      </c>
      <c r="T560" s="80">
        <v>15.94</v>
      </c>
    </row>
    <row r="561" spans="2:20" ht="42">
      <c r="B561" s="5" t="s">
        <v>1333</v>
      </c>
      <c r="C561" s="45" t="s">
        <v>97</v>
      </c>
      <c r="D561" s="45" t="s">
        <v>1354</v>
      </c>
      <c r="E561" s="6" t="s">
        <v>1355</v>
      </c>
      <c r="F561" s="45" t="s">
        <v>104</v>
      </c>
      <c r="G561" s="46">
        <f t="shared" si="64"/>
        <v>90</v>
      </c>
      <c r="H561" s="46">
        <f>TRUNC(S561*(1-LOTE_02!$K$10),2)</f>
        <v>48.88</v>
      </c>
      <c r="I561" s="46">
        <f>TRUNC(T561*(1-LOTE_02!$K$10),2)</f>
        <v>11.63</v>
      </c>
      <c r="J561" s="100">
        <f t="shared" si="65"/>
        <v>0.22470000000000001</v>
      </c>
      <c r="K561" s="48">
        <f t="shared" si="59"/>
        <v>59.86</v>
      </c>
      <c r="L561" s="48">
        <f t="shared" si="60"/>
        <v>14.24</v>
      </c>
      <c r="M561" s="48">
        <f t="shared" si="61"/>
        <v>5387.4</v>
      </c>
      <c r="N561" s="48">
        <f t="shared" si="62"/>
        <v>1281.5999999999999</v>
      </c>
      <c r="O561" s="50">
        <f t="shared" si="63"/>
        <v>6669</v>
      </c>
      <c r="P561" s="50">
        <v>0</v>
      </c>
      <c r="Q561" s="76"/>
      <c r="R561" s="140">
        <f>2*S9+2*S10</f>
        <v>90</v>
      </c>
      <c r="S561" s="79">
        <v>48.88</v>
      </c>
      <c r="T561" s="80">
        <v>11.63</v>
      </c>
    </row>
    <row r="562" spans="2:20" ht="42">
      <c r="B562" s="5" t="s">
        <v>1334</v>
      </c>
      <c r="C562" s="45" t="s">
        <v>135</v>
      </c>
      <c r="D562" s="45">
        <v>95546</v>
      </c>
      <c r="E562" s="6" t="s">
        <v>1824</v>
      </c>
      <c r="F562" s="45" t="s">
        <v>210</v>
      </c>
      <c r="G562" s="46">
        <f t="shared" si="64"/>
        <v>90</v>
      </c>
      <c r="H562" s="46">
        <f>TRUNC(S562*(1-LOTE_02!$K$10),2)</f>
        <v>190.84</v>
      </c>
      <c r="I562" s="46">
        <f>TRUNC(T562*(1-LOTE_02!$K$10),2)</f>
        <v>50.08</v>
      </c>
      <c r="J562" s="100">
        <f t="shared" si="65"/>
        <v>0.22470000000000001</v>
      </c>
      <c r="K562" s="48">
        <f t="shared" si="59"/>
        <v>233.72</v>
      </c>
      <c r="L562" s="48">
        <f t="shared" si="60"/>
        <v>61.33</v>
      </c>
      <c r="M562" s="48">
        <f t="shared" si="61"/>
        <v>21034.799999999999</v>
      </c>
      <c r="N562" s="48">
        <f t="shared" si="62"/>
        <v>5519.7</v>
      </c>
      <c r="O562" s="50">
        <f t="shared" si="63"/>
        <v>26554.5</v>
      </c>
      <c r="P562" s="50">
        <v>0</v>
      </c>
      <c r="Q562" s="76"/>
      <c r="R562" s="140">
        <f>2*S9+2*S10</f>
        <v>90</v>
      </c>
      <c r="S562" s="79">
        <v>190.83999999999997</v>
      </c>
      <c r="T562" s="80">
        <v>50.08</v>
      </c>
    </row>
    <row r="563" spans="2:20" ht="42">
      <c r="B563" s="5" t="s">
        <v>1335</v>
      </c>
      <c r="C563" s="45" t="s">
        <v>97</v>
      </c>
      <c r="D563" s="45" t="s">
        <v>1336</v>
      </c>
      <c r="E563" s="6" t="s">
        <v>1337</v>
      </c>
      <c r="F563" s="45" t="s">
        <v>104</v>
      </c>
      <c r="G563" s="46">
        <f t="shared" si="64"/>
        <v>90</v>
      </c>
      <c r="H563" s="46">
        <f>TRUNC(S563*(1-LOTE_02!$K$10),2)</f>
        <v>70.59</v>
      </c>
      <c r="I563" s="46">
        <f>TRUNC(T563*(1-LOTE_02!$K$10),2)</f>
        <v>4.1100000000000003</v>
      </c>
      <c r="J563" s="100">
        <f t="shared" si="65"/>
        <v>0.22470000000000001</v>
      </c>
      <c r="K563" s="48">
        <f t="shared" si="59"/>
        <v>86.45</v>
      </c>
      <c r="L563" s="48">
        <f t="shared" si="60"/>
        <v>5.03</v>
      </c>
      <c r="M563" s="48">
        <f t="shared" si="61"/>
        <v>7780.5</v>
      </c>
      <c r="N563" s="48">
        <f t="shared" si="62"/>
        <v>452.7</v>
      </c>
      <c r="O563" s="50">
        <f t="shared" si="63"/>
        <v>8233.2000000000007</v>
      </c>
      <c r="P563" s="50">
        <v>0</v>
      </c>
      <c r="Q563" s="76"/>
      <c r="R563" s="140">
        <f>2*S9+2*S10</f>
        <v>90</v>
      </c>
      <c r="S563" s="79">
        <v>70.59</v>
      </c>
      <c r="T563" s="80">
        <v>4.1100000000000003</v>
      </c>
    </row>
    <row r="564" spans="2:20" ht="28">
      <c r="B564" s="5" t="s">
        <v>1338</v>
      </c>
      <c r="C564" s="45" t="s">
        <v>97</v>
      </c>
      <c r="D564" s="45" t="s">
        <v>1339</v>
      </c>
      <c r="E564" s="6" t="s">
        <v>1340</v>
      </c>
      <c r="F564" s="45" t="s">
        <v>104</v>
      </c>
      <c r="G564" s="46">
        <f t="shared" si="64"/>
        <v>90</v>
      </c>
      <c r="H564" s="46">
        <f>TRUNC(S564*(1-LOTE_02!$K$10),2)</f>
        <v>42.05</v>
      </c>
      <c r="I564" s="46">
        <f>TRUNC(T564*(1-LOTE_02!$K$10),2)</f>
        <v>4.1100000000000003</v>
      </c>
      <c r="J564" s="100">
        <f t="shared" si="65"/>
        <v>0.22470000000000001</v>
      </c>
      <c r="K564" s="48">
        <f t="shared" si="59"/>
        <v>51.49</v>
      </c>
      <c r="L564" s="48">
        <f t="shared" si="60"/>
        <v>5.03</v>
      </c>
      <c r="M564" s="48">
        <f t="shared" si="61"/>
        <v>4634.1000000000004</v>
      </c>
      <c r="N564" s="48">
        <f t="shared" si="62"/>
        <v>452.7</v>
      </c>
      <c r="O564" s="50">
        <f t="shared" si="63"/>
        <v>5086.8</v>
      </c>
      <c r="P564" s="50">
        <v>0</v>
      </c>
      <c r="Q564" s="76"/>
      <c r="R564" s="140">
        <f>2*S9+2*S10</f>
        <v>90</v>
      </c>
      <c r="S564" s="79">
        <v>42.05</v>
      </c>
      <c r="T564" s="80">
        <v>4.1100000000000003</v>
      </c>
    </row>
    <row r="565" spans="2:20" ht="28">
      <c r="B565" s="5" t="s">
        <v>1341</v>
      </c>
      <c r="C565" s="45" t="s">
        <v>97</v>
      </c>
      <c r="D565" s="45" t="s">
        <v>1342</v>
      </c>
      <c r="E565" s="6" t="s">
        <v>1343</v>
      </c>
      <c r="F565" s="45" t="s">
        <v>104</v>
      </c>
      <c r="G565" s="46">
        <f t="shared" si="64"/>
        <v>70</v>
      </c>
      <c r="H565" s="46">
        <f>TRUNC(S565*(1-LOTE_02!$K$10),2)</f>
        <v>92.26</v>
      </c>
      <c r="I565" s="46">
        <f>TRUNC(T565*(1-LOTE_02!$K$10),2)</f>
        <v>12.28</v>
      </c>
      <c r="J565" s="100">
        <f t="shared" si="65"/>
        <v>0.22470000000000001</v>
      </c>
      <c r="K565" s="48">
        <f t="shared" si="59"/>
        <v>112.99</v>
      </c>
      <c r="L565" s="48">
        <f t="shared" si="60"/>
        <v>15.03</v>
      </c>
      <c r="M565" s="48">
        <f t="shared" si="61"/>
        <v>7909.3</v>
      </c>
      <c r="N565" s="48">
        <f t="shared" si="62"/>
        <v>1052.0999999999999</v>
      </c>
      <c r="O565" s="50">
        <f t="shared" si="63"/>
        <v>8961.4</v>
      </c>
      <c r="P565" s="50">
        <v>0</v>
      </c>
      <c r="Q565" s="76"/>
      <c r="R565" s="140">
        <f>1*S9+2*S10</f>
        <v>70</v>
      </c>
      <c r="S565" s="79">
        <v>92.26</v>
      </c>
      <c r="T565" s="80">
        <v>12.28</v>
      </c>
    </row>
    <row r="566" spans="2:20" ht="70">
      <c r="B566" s="5" t="s">
        <v>1344</v>
      </c>
      <c r="C566" s="45" t="s">
        <v>135</v>
      </c>
      <c r="D566" s="45">
        <v>86909</v>
      </c>
      <c r="E566" s="6" t="s">
        <v>1825</v>
      </c>
      <c r="F566" s="45" t="s">
        <v>210</v>
      </c>
      <c r="G566" s="46">
        <f t="shared" si="64"/>
        <v>45</v>
      </c>
      <c r="H566" s="46">
        <f>TRUNC(S566*(1-LOTE_02!$K$10),2)</f>
        <v>68.27</v>
      </c>
      <c r="I566" s="46">
        <f>TRUNC(T566*(1-LOTE_02!$K$10),2)</f>
        <v>3.94</v>
      </c>
      <c r="J566" s="100">
        <f t="shared" si="65"/>
        <v>0.22470000000000001</v>
      </c>
      <c r="K566" s="48">
        <f t="shared" si="59"/>
        <v>83.61</v>
      </c>
      <c r="L566" s="48">
        <f t="shared" si="60"/>
        <v>4.82</v>
      </c>
      <c r="M566" s="48">
        <f t="shared" si="61"/>
        <v>3762.45</v>
      </c>
      <c r="N566" s="48">
        <f t="shared" si="62"/>
        <v>216.9</v>
      </c>
      <c r="O566" s="50">
        <f t="shared" si="63"/>
        <v>3979.35</v>
      </c>
      <c r="P566" s="50">
        <v>0</v>
      </c>
      <c r="Q566" s="76"/>
      <c r="R566" s="140">
        <f>1*S9+1*S10</f>
        <v>45</v>
      </c>
      <c r="S566" s="79">
        <v>68.27</v>
      </c>
      <c r="T566" s="80">
        <v>3.94</v>
      </c>
    </row>
    <row r="567" spans="2:20" ht="70">
      <c r="B567" s="5" t="s">
        <v>1345</v>
      </c>
      <c r="C567" s="45" t="s">
        <v>135</v>
      </c>
      <c r="D567" s="45">
        <v>86910</v>
      </c>
      <c r="E567" s="6" t="s">
        <v>1826</v>
      </c>
      <c r="F567" s="45" t="s">
        <v>210</v>
      </c>
      <c r="G567" s="46">
        <f t="shared" si="64"/>
        <v>45</v>
      </c>
      <c r="H567" s="46">
        <f>TRUNC(S567*(1-LOTE_02!$K$10),2)</f>
        <v>67.099999999999994</v>
      </c>
      <c r="I567" s="46">
        <f>TRUNC(T567*(1-LOTE_02!$K$10),2)</f>
        <v>2.74</v>
      </c>
      <c r="J567" s="100">
        <f t="shared" si="65"/>
        <v>0.22470000000000001</v>
      </c>
      <c r="K567" s="48">
        <f t="shared" si="59"/>
        <v>82.17</v>
      </c>
      <c r="L567" s="48">
        <f t="shared" si="60"/>
        <v>3.35</v>
      </c>
      <c r="M567" s="48">
        <f t="shared" si="61"/>
        <v>3697.65</v>
      </c>
      <c r="N567" s="48">
        <f t="shared" si="62"/>
        <v>150.75</v>
      </c>
      <c r="O567" s="50">
        <f t="shared" si="63"/>
        <v>3848.4</v>
      </c>
      <c r="P567" s="50">
        <v>0</v>
      </c>
      <c r="Q567" s="76"/>
      <c r="R567" s="140">
        <f>1*S9+1*S10</f>
        <v>45</v>
      </c>
      <c r="S567" s="79">
        <v>67.100000000000009</v>
      </c>
      <c r="T567" s="80">
        <v>2.74</v>
      </c>
    </row>
    <row r="568" spans="2:20" ht="42">
      <c r="B568" s="5" t="s">
        <v>1346</v>
      </c>
      <c r="C568" s="45" t="s">
        <v>135</v>
      </c>
      <c r="D568" s="45">
        <v>100853</v>
      </c>
      <c r="E568" s="6" t="s">
        <v>1827</v>
      </c>
      <c r="F568" s="45" t="s">
        <v>210</v>
      </c>
      <c r="G568" s="46">
        <f t="shared" si="64"/>
        <v>45</v>
      </c>
      <c r="H568" s="46">
        <f>TRUNC(S568*(1-LOTE_02!$K$10),2)</f>
        <v>180.57</v>
      </c>
      <c r="I568" s="46">
        <f>TRUNC(T568*(1-LOTE_02!$K$10),2)</f>
        <v>10.99</v>
      </c>
      <c r="J568" s="100">
        <f t="shared" si="65"/>
        <v>0.22470000000000001</v>
      </c>
      <c r="K568" s="48">
        <f t="shared" si="59"/>
        <v>221.14</v>
      </c>
      <c r="L568" s="48">
        <f t="shared" si="60"/>
        <v>13.45</v>
      </c>
      <c r="M568" s="48">
        <f t="shared" si="61"/>
        <v>9951.2999999999993</v>
      </c>
      <c r="N568" s="48">
        <f t="shared" si="62"/>
        <v>605.25</v>
      </c>
      <c r="O568" s="50">
        <f t="shared" si="63"/>
        <v>10556.55</v>
      </c>
      <c r="P568" s="50">
        <v>0</v>
      </c>
      <c r="Q568" s="76"/>
      <c r="R568" s="140">
        <f>1*S9+1*S10</f>
        <v>45</v>
      </c>
      <c r="S568" s="79">
        <v>180.57</v>
      </c>
      <c r="T568" s="80">
        <v>10.99</v>
      </c>
    </row>
    <row r="569" spans="2:20" ht="70">
      <c r="B569" s="5" t="s">
        <v>1347</v>
      </c>
      <c r="C569" s="45" t="s">
        <v>97</v>
      </c>
      <c r="D569" s="45" t="s">
        <v>1348</v>
      </c>
      <c r="E569" s="6" t="s">
        <v>1349</v>
      </c>
      <c r="F569" s="45" t="s">
        <v>104</v>
      </c>
      <c r="G569" s="46">
        <f t="shared" si="64"/>
        <v>70</v>
      </c>
      <c r="H569" s="46">
        <f>TRUNC(S569*(1-LOTE_02!$K$10),2)</f>
        <v>209.31</v>
      </c>
      <c r="I569" s="46">
        <f>TRUNC(T569*(1-LOTE_02!$K$10),2)</f>
        <v>2.74</v>
      </c>
      <c r="J569" s="100">
        <f t="shared" si="65"/>
        <v>0.22470000000000001</v>
      </c>
      <c r="K569" s="48">
        <f t="shared" si="59"/>
        <v>256.33999999999997</v>
      </c>
      <c r="L569" s="48">
        <f t="shared" si="60"/>
        <v>3.35</v>
      </c>
      <c r="M569" s="48">
        <f t="shared" si="61"/>
        <v>17943.8</v>
      </c>
      <c r="N569" s="48">
        <f t="shared" si="62"/>
        <v>234.5</v>
      </c>
      <c r="O569" s="50">
        <f t="shared" si="63"/>
        <v>18178.3</v>
      </c>
      <c r="P569" s="50">
        <v>0</v>
      </c>
      <c r="Q569" s="76"/>
      <c r="R569" s="140">
        <f>1*S9+2*S10</f>
        <v>70</v>
      </c>
      <c r="S569" s="79">
        <v>209.31</v>
      </c>
      <c r="T569" s="80">
        <v>2.74</v>
      </c>
    </row>
    <row r="570" spans="2:20" ht="42">
      <c r="B570" s="5" t="s">
        <v>1350</v>
      </c>
      <c r="C570" s="45" t="s">
        <v>165</v>
      </c>
      <c r="D570" s="45" t="s">
        <v>1351</v>
      </c>
      <c r="E570" s="6" t="s">
        <v>1352</v>
      </c>
      <c r="F570" s="45" t="s">
        <v>559</v>
      </c>
      <c r="G570" s="46">
        <f t="shared" si="64"/>
        <v>90</v>
      </c>
      <c r="H570" s="46">
        <f>TRUNC(S570*(1-LOTE_02!$K$10),2)</f>
        <v>410.67</v>
      </c>
      <c r="I570" s="46">
        <f>TRUNC(T570*(1-LOTE_02!$K$10),2)</f>
        <v>63.77</v>
      </c>
      <c r="J570" s="100">
        <f t="shared" si="65"/>
        <v>0.22470000000000001</v>
      </c>
      <c r="K570" s="48">
        <f t="shared" si="59"/>
        <v>502.94</v>
      </c>
      <c r="L570" s="48">
        <f t="shared" si="60"/>
        <v>78.09</v>
      </c>
      <c r="M570" s="48">
        <f t="shared" si="61"/>
        <v>45264.6</v>
      </c>
      <c r="N570" s="48">
        <f t="shared" si="62"/>
        <v>7028.1</v>
      </c>
      <c r="O570" s="50">
        <f t="shared" si="63"/>
        <v>52292.7</v>
      </c>
      <c r="P570" s="50">
        <v>0</v>
      </c>
      <c r="Q570" s="76"/>
      <c r="R570" s="140">
        <f>2*S9+2*S10</f>
        <v>90</v>
      </c>
      <c r="S570" s="79">
        <v>410.67</v>
      </c>
      <c r="T570" s="80">
        <v>63.77</v>
      </c>
    </row>
    <row r="571" spans="2:20" ht="42">
      <c r="B571" s="5" t="s">
        <v>1353</v>
      </c>
      <c r="C571" s="45" t="s">
        <v>97</v>
      </c>
      <c r="D571" s="45" t="s">
        <v>1354</v>
      </c>
      <c r="E571" s="6" t="s">
        <v>1355</v>
      </c>
      <c r="F571" s="45" t="s">
        <v>104</v>
      </c>
      <c r="G571" s="46">
        <f t="shared" si="64"/>
        <v>70</v>
      </c>
      <c r="H571" s="46">
        <f>TRUNC(S571*(1-LOTE_02!$K$10),2)</f>
        <v>48.88</v>
      </c>
      <c r="I571" s="46">
        <f>TRUNC(T571*(1-LOTE_02!$K$10),2)</f>
        <v>11.63</v>
      </c>
      <c r="J571" s="100">
        <f t="shared" si="65"/>
        <v>0.22470000000000001</v>
      </c>
      <c r="K571" s="48">
        <f t="shared" si="59"/>
        <v>59.86</v>
      </c>
      <c r="L571" s="48">
        <f t="shared" si="60"/>
        <v>14.24</v>
      </c>
      <c r="M571" s="48">
        <f t="shared" si="61"/>
        <v>4190.2</v>
      </c>
      <c r="N571" s="48">
        <f t="shared" si="62"/>
        <v>996.8</v>
      </c>
      <c r="O571" s="50">
        <f t="shared" si="63"/>
        <v>5187</v>
      </c>
      <c r="P571" s="50">
        <v>0</v>
      </c>
      <c r="Q571" s="76"/>
      <c r="R571" s="140">
        <f>1*S9+2*S10</f>
        <v>70</v>
      </c>
      <c r="S571" s="79">
        <v>48.88</v>
      </c>
      <c r="T571" s="80">
        <v>11.63</v>
      </c>
    </row>
    <row r="572" spans="2:20" ht="56">
      <c r="B572" s="5" t="s">
        <v>1356</v>
      </c>
      <c r="C572" s="45" t="s">
        <v>135</v>
      </c>
      <c r="D572" s="45">
        <v>86877</v>
      </c>
      <c r="E572" s="6" t="s">
        <v>1828</v>
      </c>
      <c r="F572" s="45" t="s">
        <v>210</v>
      </c>
      <c r="G572" s="46">
        <f t="shared" si="64"/>
        <v>10</v>
      </c>
      <c r="H572" s="46">
        <f>TRUNC(S572*(1-LOTE_02!$K$10),2)</f>
        <v>53.06</v>
      </c>
      <c r="I572" s="46">
        <f>TRUNC(T572*(1-LOTE_02!$K$10),2)</f>
        <v>4.21</v>
      </c>
      <c r="J572" s="100">
        <f t="shared" si="65"/>
        <v>0.22470000000000001</v>
      </c>
      <c r="K572" s="48">
        <f t="shared" si="59"/>
        <v>64.98</v>
      </c>
      <c r="L572" s="48">
        <f t="shared" si="60"/>
        <v>5.15</v>
      </c>
      <c r="M572" s="48">
        <f t="shared" si="61"/>
        <v>649.79999999999995</v>
      </c>
      <c r="N572" s="48">
        <f t="shared" si="62"/>
        <v>51.5</v>
      </c>
      <c r="O572" s="50">
        <f t="shared" si="63"/>
        <v>701.3</v>
      </c>
      <c r="P572" s="50">
        <v>0</v>
      </c>
      <c r="Q572" s="76"/>
      <c r="R572" s="140">
        <f>IF((1*S9+1*S10)&gt;10,10,(1*S9+1*S10))</f>
        <v>10</v>
      </c>
      <c r="S572" s="79">
        <v>53.06</v>
      </c>
      <c r="T572" s="80">
        <v>4.21</v>
      </c>
    </row>
    <row r="573" spans="2:20" ht="56">
      <c r="B573" s="5" t="s">
        <v>1357</v>
      </c>
      <c r="C573" s="45" t="s">
        <v>135</v>
      </c>
      <c r="D573" s="45">
        <v>86878</v>
      </c>
      <c r="E573" s="6" t="s">
        <v>1829</v>
      </c>
      <c r="F573" s="45" t="s">
        <v>210</v>
      </c>
      <c r="G573" s="46">
        <f t="shared" si="64"/>
        <v>10</v>
      </c>
      <c r="H573" s="46">
        <f>TRUNC(S573*(1-LOTE_02!$K$10),2)</f>
        <v>57.32</v>
      </c>
      <c r="I573" s="46">
        <f>TRUNC(T573*(1-LOTE_02!$K$10),2)</f>
        <v>4.2</v>
      </c>
      <c r="J573" s="100">
        <f t="shared" si="65"/>
        <v>0.22470000000000001</v>
      </c>
      <c r="K573" s="48">
        <f t="shared" si="59"/>
        <v>70.19</v>
      </c>
      <c r="L573" s="48">
        <f t="shared" si="60"/>
        <v>5.14</v>
      </c>
      <c r="M573" s="48">
        <f t="shared" si="61"/>
        <v>701.9</v>
      </c>
      <c r="N573" s="48">
        <f t="shared" si="62"/>
        <v>51.4</v>
      </c>
      <c r="O573" s="50">
        <f t="shared" si="63"/>
        <v>753.3</v>
      </c>
      <c r="P573" s="50">
        <v>0</v>
      </c>
      <c r="Q573" s="76"/>
      <c r="R573" s="140">
        <f>IF((1*S9+1*S10)&gt;10,10,(1*S9+1*S10))</f>
        <v>10</v>
      </c>
      <c r="S573" s="79">
        <v>57.32</v>
      </c>
      <c r="T573" s="80">
        <v>4.2</v>
      </c>
    </row>
    <row r="574" spans="2:20" ht="42">
      <c r="B574" s="5" t="s">
        <v>1358</v>
      </c>
      <c r="C574" s="45" t="s">
        <v>135</v>
      </c>
      <c r="D574" s="45">
        <v>86886</v>
      </c>
      <c r="E574" s="6" t="s">
        <v>1816</v>
      </c>
      <c r="F574" s="45" t="s">
        <v>210</v>
      </c>
      <c r="G574" s="46">
        <f t="shared" si="64"/>
        <v>90</v>
      </c>
      <c r="H574" s="46">
        <f>TRUNC(S574*(1-LOTE_02!$K$10),2)</f>
        <v>38.99</v>
      </c>
      <c r="I574" s="46">
        <f>TRUNC(T574*(1-LOTE_02!$K$10),2)</f>
        <v>3.69</v>
      </c>
      <c r="J574" s="100">
        <f t="shared" si="65"/>
        <v>0.22470000000000001</v>
      </c>
      <c r="K574" s="48">
        <f t="shared" si="59"/>
        <v>47.75</v>
      </c>
      <c r="L574" s="48">
        <f t="shared" si="60"/>
        <v>4.51</v>
      </c>
      <c r="M574" s="48">
        <f t="shared" si="61"/>
        <v>4297.5</v>
      </c>
      <c r="N574" s="48">
        <f t="shared" si="62"/>
        <v>405.9</v>
      </c>
      <c r="O574" s="50">
        <f t="shared" si="63"/>
        <v>4703.3999999999996</v>
      </c>
      <c r="P574" s="50">
        <v>0</v>
      </c>
      <c r="Q574" s="76"/>
      <c r="R574" s="140">
        <f>2*S9+2*S10</f>
        <v>90</v>
      </c>
      <c r="S574" s="79">
        <v>38.99</v>
      </c>
      <c r="T574" s="80">
        <v>3.69</v>
      </c>
    </row>
    <row r="575" spans="2:20" ht="42">
      <c r="B575" s="5" t="s">
        <v>1359</v>
      </c>
      <c r="C575" s="45" t="s">
        <v>135</v>
      </c>
      <c r="D575" s="45">
        <v>86887</v>
      </c>
      <c r="E575" s="6" t="s">
        <v>1830</v>
      </c>
      <c r="F575" s="45" t="s">
        <v>210</v>
      </c>
      <c r="G575" s="46">
        <f t="shared" si="64"/>
        <v>90</v>
      </c>
      <c r="H575" s="46">
        <f>TRUNC(S575*(1-LOTE_02!$K$10),2)</f>
        <v>42.42</v>
      </c>
      <c r="I575" s="46">
        <f>TRUNC(T575*(1-LOTE_02!$K$10),2)</f>
        <v>3.68</v>
      </c>
      <c r="J575" s="100">
        <f t="shared" si="65"/>
        <v>0.22470000000000001</v>
      </c>
      <c r="K575" s="48">
        <f t="shared" si="59"/>
        <v>51.95</v>
      </c>
      <c r="L575" s="48">
        <f t="shared" si="60"/>
        <v>4.5</v>
      </c>
      <c r="M575" s="48">
        <f t="shared" si="61"/>
        <v>4675.5</v>
      </c>
      <c r="N575" s="48">
        <f t="shared" si="62"/>
        <v>405</v>
      </c>
      <c r="O575" s="50">
        <f t="shared" si="63"/>
        <v>5080.5</v>
      </c>
      <c r="P575" s="50">
        <v>0</v>
      </c>
      <c r="Q575" s="76"/>
      <c r="R575" s="140">
        <f>2*S9+2*S10</f>
        <v>90</v>
      </c>
      <c r="S575" s="79">
        <v>42.42</v>
      </c>
      <c r="T575" s="80">
        <v>3.68</v>
      </c>
    </row>
    <row r="576" spans="2:20" ht="42">
      <c r="B576" s="5" t="s">
        <v>1360</v>
      </c>
      <c r="C576" s="45" t="s">
        <v>135</v>
      </c>
      <c r="D576" s="45">
        <v>86881</v>
      </c>
      <c r="E576" s="6" t="s">
        <v>1831</v>
      </c>
      <c r="F576" s="45" t="s">
        <v>210</v>
      </c>
      <c r="G576" s="46">
        <f t="shared" si="64"/>
        <v>115</v>
      </c>
      <c r="H576" s="46">
        <f>TRUNC(S576*(1-LOTE_02!$K$10),2)</f>
        <v>164.23</v>
      </c>
      <c r="I576" s="46">
        <f>TRUNC(T576*(1-LOTE_02!$K$10),2)</f>
        <v>6.59</v>
      </c>
      <c r="J576" s="100">
        <f t="shared" si="65"/>
        <v>0.22470000000000001</v>
      </c>
      <c r="K576" s="48">
        <f t="shared" si="59"/>
        <v>201.13</v>
      </c>
      <c r="L576" s="48">
        <f t="shared" si="60"/>
        <v>8.07</v>
      </c>
      <c r="M576" s="48">
        <f t="shared" si="61"/>
        <v>23129.95</v>
      </c>
      <c r="N576" s="48">
        <f t="shared" si="62"/>
        <v>928.05</v>
      </c>
      <c r="O576" s="50">
        <f t="shared" si="63"/>
        <v>24058</v>
      </c>
      <c r="P576" s="50">
        <v>0</v>
      </c>
      <c r="Q576" s="76"/>
      <c r="R576" s="140">
        <f>2*S9+3*S10</f>
        <v>115</v>
      </c>
      <c r="S576" s="79">
        <v>164.23</v>
      </c>
      <c r="T576" s="80">
        <v>6.59</v>
      </c>
    </row>
    <row r="577" spans="2:20" ht="42">
      <c r="B577" s="5" t="s">
        <v>1361</v>
      </c>
      <c r="C577" s="45" t="s">
        <v>135</v>
      </c>
      <c r="D577" s="45">
        <v>86883</v>
      </c>
      <c r="E577" s="6" t="s">
        <v>1832</v>
      </c>
      <c r="F577" s="45" t="s">
        <v>210</v>
      </c>
      <c r="G577" s="46">
        <f t="shared" si="64"/>
        <v>115</v>
      </c>
      <c r="H577" s="46">
        <f>TRUNC(S577*(1-LOTE_02!$K$10),2)</f>
        <v>10.36</v>
      </c>
      <c r="I577" s="46">
        <f>TRUNC(T577*(1-LOTE_02!$K$10),2)</f>
        <v>2.19</v>
      </c>
      <c r="J577" s="100">
        <f t="shared" si="65"/>
        <v>0.22470000000000001</v>
      </c>
      <c r="K577" s="48">
        <f t="shared" si="59"/>
        <v>12.68</v>
      </c>
      <c r="L577" s="48">
        <f t="shared" si="60"/>
        <v>2.68</v>
      </c>
      <c r="M577" s="48">
        <f t="shared" si="61"/>
        <v>1458.2</v>
      </c>
      <c r="N577" s="48">
        <f t="shared" si="62"/>
        <v>308.2</v>
      </c>
      <c r="O577" s="50">
        <f t="shared" si="63"/>
        <v>1766.4</v>
      </c>
      <c r="P577" s="50">
        <v>0</v>
      </c>
      <c r="Q577" s="76"/>
      <c r="R577" s="140">
        <f>2*S9+3*S10</f>
        <v>115</v>
      </c>
      <c r="S577" s="79">
        <v>10.360000000000001</v>
      </c>
      <c r="T577" s="80">
        <v>2.19</v>
      </c>
    </row>
    <row r="578" spans="2:20" ht="56">
      <c r="B578" s="5" t="s">
        <v>1362</v>
      </c>
      <c r="C578" s="45" t="s">
        <v>135</v>
      </c>
      <c r="D578" s="45">
        <v>86889</v>
      </c>
      <c r="E578" s="6" t="s">
        <v>1833</v>
      </c>
      <c r="F578" s="45" t="s">
        <v>210</v>
      </c>
      <c r="G578" s="46">
        <f t="shared" si="64"/>
        <v>5</v>
      </c>
      <c r="H578" s="46">
        <f>TRUNC(S578*(1-LOTE_02!$K$10),2)</f>
        <v>942.24</v>
      </c>
      <c r="I578" s="46">
        <f>TRUNC(T578*(1-LOTE_02!$K$10),2)</f>
        <v>48.23</v>
      </c>
      <c r="J578" s="100">
        <f t="shared" si="65"/>
        <v>0.22470000000000001</v>
      </c>
      <c r="K578" s="48">
        <f t="shared" si="59"/>
        <v>1153.96</v>
      </c>
      <c r="L578" s="48">
        <f t="shared" si="60"/>
        <v>59.06</v>
      </c>
      <c r="M578" s="48">
        <f t="shared" si="61"/>
        <v>5769.8</v>
      </c>
      <c r="N578" s="48">
        <f t="shared" si="62"/>
        <v>295.3</v>
      </c>
      <c r="O578" s="50">
        <f t="shared" si="63"/>
        <v>6065.1</v>
      </c>
      <c r="P578" s="50">
        <v>0</v>
      </c>
      <c r="Q578" s="76"/>
      <c r="R578" s="140">
        <f>IF((1*S9+1*S10)&gt;5,5,(1*S9+1*S10))</f>
        <v>5</v>
      </c>
      <c r="S578" s="79">
        <v>942.24</v>
      </c>
      <c r="T578" s="80">
        <v>48.23</v>
      </c>
    </row>
    <row r="579" spans="2:20" ht="28">
      <c r="B579" s="5" t="s">
        <v>1363</v>
      </c>
      <c r="C579" s="45" t="s">
        <v>165</v>
      </c>
      <c r="D579" s="45" t="s">
        <v>1364</v>
      </c>
      <c r="E579" s="6" t="s">
        <v>1365</v>
      </c>
      <c r="F579" s="45" t="s">
        <v>559</v>
      </c>
      <c r="G579" s="46">
        <f t="shared" si="64"/>
        <v>10</v>
      </c>
      <c r="H579" s="46">
        <f>TRUNC(S579*(1-LOTE_02!$K$10),2)</f>
        <v>872.57</v>
      </c>
      <c r="I579" s="46">
        <f>TRUNC(T579*(1-LOTE_02!$K$10),2)</f>
        <v>95.66</v>
      </c>
      <c r="J579" s="100">
        <f t="shared" si="65"/>
        <v>0.22470000000000001</v>
      </c>
      <c r="K579" s="48">
        <f t="shared" si="59"/>
        <v>1068.6300000000001</v>
      </c>
      <c r="L579" s="48">
        <f t="shared" si="60"/>
        <v>117.15</v>
      </c>
      <c r="M579" s="48">
        <f t="shared" si="61"/>
        <v>10686.3</v>
      </c>
      <c r="N579" s="48">
        <f t="shared" si="62"/>
        <v>1171.5</v>
      </c>
      <c r="O579" s="50">
        <f t="shared" si="63"/>
        <v>11857.8</v>
      </c>
      <c r="P579" s="50">
        <v>0</v>
      </c>
      <c r="Q579" s="76"/>
      <c r="R579" s="140">
        <f>IF((1*S9+1*S10)&gt;10,10,(1*S9+1*S10))</f>
        <v>10</v>
      </c>
      <c r="S579" s="79">
        <v>872.57</v>
      </c>
      <c r="T579" s="80">
        <v>95.66</v>
      </c>
    </row>
    <row r="580" spans="2:20" ht="28">
      <c r="B580" s="5" t="s">
        <v>1366</v>
      </c>
      <c r="C580" s="45" t="s">
        <v>165</v>
      </c>
      <c r="D580" s="45" t="s">
        <v>1367</v>
      </c>
      <c r="E580" s="6" t="s">
        <v>1368</v>
      </c>
      <c r="F580" s="45" t="s">
        <v>559</v>
      </c>
      <c r="G580" s="46">
        <f t="shared" si="64"/>
        <v>10</v>
      </c>
      <c r="H580" s="46">
        <f>TRUNC(S580*(1-LOTE_02!$K$10),2)</f>
        <v>651.35</v>
      </c>
      <c r="I580" s="46">
        <f>TRUNC(T580*(1-LOTE_02!$K$10),2)</f>
        <v>111.6</v>
      </c>
      <c r="J580" s="100">
        <f t="shared" si="65"/>
        <v>0.22470000000000001</v>
      </c>
      <c r="K580" s="48">
        <f t="shared" si="59"/>
        <v>797.7</v>
      </c>
      <c r="L580" s="48">
        <f t="shared" si="60"/>
        <v>136.66999999999999</v>
      </c>
      <c r="M580" s="48">
        <f t="shared" si="61"/>
        <v>7977</v>
      </c>
      <c r="N580" s="48">
        <f t="shared" si="62"/>
        <v>1366.7</v>
      </c>
      <c r="O580" s="50">
        <f t="shared" si="63"/>
        <v>9343.7000000000007</v>
      </c>
      <c r="P580" s="50">
        <v>0</v>
      </c>
      <c r="Q580" s="76"/>
      <c r="R580" s="140">
        <f>IF((1*S9+1*S10)&gt;10,10,(1*S9+1*S10))</f>
        <v>10</v>
      </c>
      <c r="S580" s="79">
        <v>651.35</v>
      </c>
      <c r="T580" s="80">
        <v>111.6</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306263.69999999995</v>
      </c>
      <c r="Q581" s="76"/>
      <c r="R581" s="154"/>
      <c r="S581" s="79" t="s">
        <v>22</v>
      </c>
      <c r="T581" s="80" t="s">
        <v>22</v>
      </c>
    </row>
    <row r="582" spans="2:20">
      <c r="B582" s="5" t="s">
        <v>1369</v>
      </c>
      <c r="C582" s="45" t="s">
        <v>97</v>
      </c>
      <c r="D582" s="45" t="s">
        <v>1370</v>
      </c>
      <c r="E582" s="6" t="s">
        <v>1371</v>
      </c>
      <c r="F582" s="45" t="s">
        <v>104</v>
      </c>
      <c r="G582" s="46">
        <f t="shared" si="64"/>
        <v>225</v>
      </c>
      <c r="H582" s="46">
        <f>TRUNC(S582*(1-LOTE_02!$K$10),2)</f>
        <v>2.09</v>
      </c>
      <c r="I582" s="46">
        <f>TRUNC(T582*(1-LOTE_02!$K$10),2)</f>
        <v>3.87</v>
      </c>
      <c r="J582" s="100">
        <f t="shared" si="65"/>
        <v>0.22470000000000001</v>
      </c>
      <c r="K582" s="48">
        <f t="shared" si="59"/>
        <v>2.5499999999999998</v>
      </c>
      <c r="L582" s="48">
        <f t="shared" si="60"/>
        <v>4.7300000000000004</v>
      </c>
      <c r="M582" s="48">
        <f t="shared" si="61"/>
        <v>573.75</v>
      </c>
      <c r="N582" s="48">
        <f t="shared" si="62"/>
        <v>1064.25</v>
      </c>
      <c r="O582" s="50">
        <f t="shared" si="63"/>
        <v>1638</v>
      </c>
      <c r="P582" s="50">
        <v>0</v>
      </c>
      <c r="Q582" s="76"/>
      <c r="R582" s="140">
        <f>5*S9+5*S10</f>
        <v>225</v>
      </c>
      <c r="S582" s="79">
        <v>2.09</v>
      </c>
      <c r="T582" s="80">
        <v>3.87</v>
      </c>
    </row>
    <row r="583" spans="2:20" ht="28">
      <c r="B583" s="5" t="s">
        <v>1372</v>
      </c>
      <c r="C583" s="45" t="s">
        <v>97</v>
      </c>
      <c r="D583" s="45" t="s">
        <v>1373</v>
      </c>
      <c r="E583" s="6" t="s">
        <v>1374</v>
      </c>
      <c r="F583" s="45" t="s">
        <v>104</v>
      </c>
      <c r="G583" s="46">
        <f t="shared" si="64"/>
        <v>225</v>
      </c>
      <c r="H583" s="46">
        <f>TRUNC(S583*(1-LOTE_02!$K$10),2)</f>
        <v>10.74</v>
      </c>
      <c r="I583" s="46">
        <f>TRUNC(T583*(1-LOTE_02!$K$10),2)</f>
        <v>18.010000000000002</v>
      </c>
      <c r="J583" s="100">
        <f t="shared" si="65"/>
        <v>0.22470000000000001</v>
      </c>
      <c r="K583" s="48">
        <f t="shared" si="59"/>
        <v>13.15</v>
      </c>
      <c r="L583" s="48">
        <f t="shared" si="60"/>
        <v>22.05</v>
      </c>
      <c r="M583" s="48">
        <f t="shared" si="61"/>
        <v>2958.75</v>
      </c>
      <c r="N583" s="48">
        <f t="shared" si="62"/>
        <v>4961.25</v>
      </c>
      <c r="O583" s="50">
        <f t="shared" si="63"/>
        <v>7920</v>
      </c>
      <c r="P583" s="50">
        <v>0</v>
      </c>
      <c r="Q583" s="76"/>
      <c r="R583" s="140">
        <f>5*S9+5*S10</f>
        <v>225</v>
      </c>
      <c r="S583" s="79">
        <v>10.74</v>
      </c>
      <c r="T583" s="80">
        <v>18.010000000000002</v>
      </c>
    </row>
    <row r="584" spans="2:20" ht="56">
      <c r="B584" s="5" t="s">
        <v>1375</v>
      </c>
      <c r="C584" s="45" t="s">
        <v>97</v>
      </c>
      <c r="D584" s="45" t="s">
        <v>1376</v>
      </c>
      <c r="E584" s="6" t="s">
        <v>1377</v>
      </c>
      <c r="F584" s="45" t="s">
        <v>104</v>
      </c>
      <c r="G584" s="46">
        <f t="shared" si="64"/>
        <v>225</v>
      </c>
      <c r="H584" s="46">
        <f>TRUNC(S584*(1-LOTE_02!$K$10),2)</f>
        <v>18.32</v>
      </c>
      <c r="I584" s="46">
        <f>TRUNC(T584*(1-LOTE_02!$K$10),2)</f>
        <v>11.13</v>
      </c>
      <c r="J584" s="100">
        <f t="shared" si="65"/>
        <v>0.22470000000000001</v>
      </c>
      <c r="K584" s="48">
        <f t="shared" si="59"/>
        <v>22.43</v>
      </c>
      <c r="L584" s="48">
        <f t="shared" si="60"/>
        <v>13.63</v>
      </c>
      <c r="M584" s="48">
        <f t="shared" si="61"/>
        <v>5046.75</v>
      </c>
      <c r="N584" s="48">
        <f t="shared" si="62"/>
        <v>3066.75</v>
      </c>
      <c r="O584" s="50">
        <f t="shared" si="63"/>
        <v>8113.5</v>
      </c>
      <c r="P584" s="50">
        <v>0</v>
      </c>
      <c r="Q584" s="76"/>
      <c r="R584" s="140">
        <f>5*S9+5*S10</f>
        <v>225</v>
      </c>
      <c r="S584" s="79">
        <v>18.32</v>
      </c>
      <c r="T584" s="80">
        <v>11.13</v>
      </c>
    </row>
    <row r="585" spans="2:20" ht="56">
      <c r="B585" s="5" t="s">
        <v>1378</v>
      </c>
      <c r="C585" s="45" t="s">
        <v>135</v>
      </c>
      <c r="D585" s="45">
        <v>101905</v>
      </c>
      <c r="E585" s="6" t="s">
        <v>1834</v>
      </c>
      <c r="F585" s="45" t="s">
        <v>210</v>
      </c>
      <c r="G585" s="46">
        <f t="shared" si="64"/>
        <v>90</v>
      </c>
      <c r="H585" s="46">
        <f>TRUNC(S585*(1-LOTE_02!$K$10),2)</f>
        <v>220.55</v>
      </c>
      <c r="I585" s="46">
        <f>TRUNC(T585*(1-LOTE_02!$K$10),2)</f>
        <v>16.649999999999999</v>
      </c>
      <c r="J585" s="100">
        <f t="shared" si="65"/>
        <v>0.22470000000000001</v>
      </c>
      <c r="K585" s="48">
        <f t="shared" si="59"/>
        <v>270.10000000000002</v>
      </c>
      <c r="L585" s="48">
        <f t="shared" si="60"/>
        <v>20.39</v>
      </c>
      <c r="M585" s="48">
        <f t="shared" si="61"/>
        <v>24309</v>
      </c>
      <c r="N585" s="48">
        <f t="shared" si="62"/>
        <v>1835.1</v>
      </c>
      <c r="O585" s="50">
        <f t="shared" si="63"/>
        <v>26144.1</v>
      </c>
      <c r="P585" s="50">
        <v>0</v>
      </c>
      <c r="Q585" s="76"/>
      <c r="R585" s="140">
        <f>2*S9+2*S10</f>
        <v>90</v>
      </c>
      <c r="S585" s="79">
        <v>220.54999999999998</v>
      </c>
      <c r="T585" s="80">
        <v>16.649999999999999</v>
      </c>
    </row>
    <row r="586" spans="2:20" ht="56">
      <c r="B586" s="5" t="s">
        <v>1379</v>
      </c>
      <c r="C586" s="45" t="s">
        <v>135</v>
      </c>
      <c r="D586" s="45">
        <v>101907</v>
      </c>
      <c r="E586" s="6" t="s">
        <v>1835</v>
      </c>
      <c r="F586" s="45" t="s">
        <v>210</v>
      </c>
      <c r="G586" s="46">
        <f t="shared" si="64"/>
        <v>90</v>
      </c>
      <c r="H586" s="46">
        <f>TRUNC(S586*(1-LOTE_02!$K$10),2)</f>
        <v>730.62</v>
      </c>
      <c r="I586" s="46">
        <f>TRUNC(T586*(1-LOTE_02!$K$10),2)</f>
        <v>16.579999999999998</v>
      </c>
      <c r="J586" s="100">
        <f t="shared" si="65"/>
        <v>0.22470000000000001</v>
      </c>
      <c r="K586" s="48">
        <f t="shared" si="59"/>
        <v>894.79</v>
      </c>
      <c r="L586" s="48">
        <f t="shared" si="60"/>
        <v>20.3</v>
      </c>
      <c r="M586" s="48">
        <f t="shared" si="61"/>
        <v>80531.100000000006</v>
      </c>
      <c r="N586" s="48">
        <f t="shared" si="62"/>
        <v>1827</v>
      </c>
      <c r="O586" s="50">
        <f t="shared" si="63"/>
        <v>82358.100000000006</v>
      </c>
      <c r="P586" s="50">
        <v>0</v>
      </c>
      <c r="Q586" s="76"/>
      <c r="R586" s="140">
        <f>2*S9+2*S10</f>
        <v>90</v>
      </c>
      <c r="S586" s="79">
        <v>730.62</v>
      </c>
      <c r="T586" s="80">
        <v>16.579999999999998</v>
      </c>
    </row>
    <row r="587" spans="2:20" ht="56">
      <c r="B587" s="5" t="s">
        <v>1380</v>
      </c>
      <c r="C587" s="45" t="s">
        <v>135</v>
      </c>
      <c r="D587" s="45">
        <v>101909</v>
      </c>
      <c r="E587" s="6" t="s">
        <v>1836</v>
      </c>
      <c r="F587" s="45" t="s">
        <v>210</v>
      </c>
      <c r="G587" s="46">
        <f t="shared" si="64"/>
        <v>90</v>
      </c>
      <c r="H587" s="46">
        <f>TRUNC(S587*(1-LOTE_02!$K$10),2)</f>
        <v>250.56</v>
      </c>
      <c r="I587" s="46">
        <f>TRUNC(T587*(1-LOTE_02!$K$10),2)</f>
        <v>16.64</v>
      </c>
      <c r="J587" s="100">
        <f t="shared" si="65"/>
        <v>0.22470000000000001</v>
      </c>
      <c r="K587" s="48">
        <f t="shared" si="59"/>
        <v>306.86</v>
      </c>
      <c r="L587" s="48">
        <f t="shared" si="60"/>
        <v>20.37</v>
      </c>
      <c r="M587" s="48">
        <f t="shared" si="61"/>
        <v>27617.4</v>
      </c>
      <c r="N587" s="48">
        <f t="shared" si="62"/>
        <v>1833.3</v>
      </c>
      <c r="O587" s="50">
        <f t="shared" si="63"/>
        <v>29450.7</v>
      </c>
      <c r="P587" s="50">
        <v>0</v>
      </c>
      <c r="Q587" s="76"/>
      <c r="R587" s="140">
        <f>2*S9+2*S10</f>
        <v>90</v>
      </c>
      <c r="S587" s="79">
        <v>250.56</v>
      </c>
      <c r="T587" s="80">
        <v>16.64</v>
      </c>
    </row>
    <row r="588" spans="2:20" ht="42">
      <c r="B588" s="5" t="s">
        <v>1381</v>
      </c>
      <c r="C588" s="45" t="s">
        <v>135</v>
      </c>
      <c r="D588" s="45">
        <v>101914</v>
      </c>
      <c r="E588" s="6" t="s">
        <v>1837</v>
      </c>
      <c r="F588" s="45" t="s">
        <v>210</v>
      </c>
      <c r="G588" s="46">
        <f t="shared" si="64"/>
        <v>45</v>
      </c>
      <c r="H588" s="46">
        <f>TRUNC(S588*(1-LOTE_02!$K$10),2)</f>
        <v>485.06</v>
      </c>
      <c r="I588" s="46">
        <f>TRUNC(T588*(1-LOTE_02!$K$10),2)</f>
        <v>49.5</v>
      </c>
      <c r="J588" s="100">
        <f t="shared" si="65"/>
        <v>0.22470000000000001</v>
      </c>
      <c r="K588" s="48">
        <f t="shared" si="59"/>
        <v>594.04999999999995</v>
      </c>
      <c r="L588" s="48">
        <f t="shared" si="60"/>
        <v>60.62</v>
      </c>
      <c r="M588" s="48">
        <f t="shared" si="61"/>
        <v>26732.25</v>
      </c>
      <c r="N588" s="48">
        <f t="shared" si="62"/>
        <v>2727.9</v>
      </c>
      <c r="O588" s="50">
        <f t="shared" si="63"/>
        <v>29460.15</v>
      </c>
      <c r="P588" s="50">
        <v>0</v>
      </c>
      <c r="Q588" s="76"/>
      <c r="R588" s="140">
        <f>1*S9+1*S10</f>
        <v>45</v>
      </c>
      <c r="S588" s="79">
        <v>485.05999999999995</v>
      </c>
      <c r="T588" s="80">
        <v>49.5</v>
      </c>
    </row>
    <row r="589" spans="2:20" ht="84">
      <c r="B589" s="5" t="s">
        <v>1382</v>
      </c>
      <c r="C589" s="45" t="s">
        <v>135</v>
      </c>
      <c r="D589" s="45">
        <v>101915</v>
      </c>
      <c r="E589" s="6" t="s">
        <v>1838</v>
      </c>
      <c r="F589" s="45" t="s">
        <v>210</v>
      </c>
      <c r="G589" s="46">
        <f t="shared" si="64"/>
        <v>45</v>
      </c>
      <c r="H589" s="46">
        <f>TRUNC(S589*(1-LOTE_02!$K$10),2)</f>
        <v>362.66</v>
      </c>
      <c r="I589" s="46">
        <f>TRUNC(T589*(1-LOTE_02!$K$10),2)</f>
        <v>5.18</v>
      </c>
      <c r="J589" s="100">
        <f t="shared" si="65"/>
        <v>0.22470000000000001</v>
      </c>
      <c r="K589" s="48">
        <f t="shared" si="59"/>
        <v>444.14</v>
      </c>
      <c r="L589" s="48">
        <f t="shared" si="60"/>
        <v>6.34</v>
      </c>
      <c r="M589" s="48">
        <f t="shared" si="61"/>
        <v>19986.3</v>
      </c>
      <c r="N589" s="48">
        <f t="shared" si="62"/>
        <v>285.3</v>
      </c>
      <c r="O589" s="50">
        <f t="shared" si="63"/>
        <v>20271.599999999999</v>
      </c>
      <c r="P589" s="50">
        <v>0</v>
      </c>
      <c r="Q589" s="76"/>
      <c r="R589" s="140">
        <f>1*S9+1*S10</f>
        <v>45</v>
      </c>
      <c r="S589" s="79">
        <v>362.65999999999997</v>
      </c>
      <c r="T589" s="80">
        <v>5.18</v>
      </c>
    </row>
    <row r="590" spans="2:20" ht="56">
      <c r="B590" s="5" t="s">
        <v>1383</v>
      </c>
      <c r="C590" s="45" t="s">
        <v>97</v>
      </c>
      <c r="D590" s="45" t="s">
        <v>1384</v>
      </c>
      <c r="E590" s="6" t="s">
        <v>1385</v>
      </c>
      <c r="F590" s="45" t="s">
        <v>104</v>
      </c>
      <c r="G590" s="46">
        <f t="shared" si="64"/>
        <v>90</v>
      </c>
      <c r="H590" s="46">
        <f>TRUNC(S590*(1-LOTE_02!$K$10),2)</f>
        <v>17.03</v>
      </c>
      <c r="I590" s="46">
        <f>TRUNC(T590*(1-LOTE_02!$K$10),2)</f>
        <v>3.28</v>
      </c>
      <c r="J590" s="100">
        <f t="shared" si="65"/>
        <v>0.22470000000000001</v>
      </c>
      <c r="K590" s="48">
        <f t="shared" si="59"/>
        <v>20.85</v>
      </c>
      <c r="L590" s="48">
        <f t="shared" si="60"/>
        <v>4.01</v>
      </c>
      <c r="M590" s="48">
        <f t="shared" si="61"/>
        <v>1876.5</v>
      </c>
      <c r="N590" s="48">
        <f t="shared" si="62"/>
        <v>360.9</v>
      </c>
      <c r="O590" s="50">
        <f t="shared" si="63"/>
        <v>2237.4</v>
      </c>
      <c r="P590" s="50">
        <v>0</v>
      </c>
      <c r="Q590" s="76"/>
      <c r="R590" s="140">
        <f>2*S9+2*S10</f>
        <v>90</v>
      </c>
      <c r="S590" s="79">
        <v>17.03</v>
      </c>
      <c r="T590" s="80">
        <v>3.28</v>
      </c>
    </row>
    <row r="591" spans="2:20" ht="70">
      <c r="B591" s="5" t="s">
        <v>1386</v>
      </c>
      <c r="C591" s="45" t="s">
        <v>97</v>
      </c>
      <c r="D591" s="45" t="s">
        <v>1387</v>
      </c>
      <c r="E591" s="6" t="s">
        <v>1388</v>
      </c>
      <c r="F591" s="45" t="s">
        <v>104</v>
      </c>
      <c r="G591" s="46">
        <f t="shared" si="64"/>
        <v>225</v>
      </c>
      <c r="H591" s="46">
        <f>TRUNC(S591*(1-LOTE_02!$K$10),2)</f>
        <v>31.52</v>
      </c>
      <c r="I591" s="46">
        <f>TRUNC(T591*(1-LOTE_02!$K$10),2)</f>
        <v>4.45</v>
      </c>
      <c r="J591" s="100">
        <f t="shared" si="65"/>
        <v>0.22470000000000001</v>
      </c>
      <c r="K591" s="48">
        <f t="shared" si="59"/>
        <v>38.6</v>
      </c>
      <c r="L591" s="48">
        <f t="shared" si="60"/>
        <v>5.44</v>
      </c>
      <c r="M591" s="48">
        <f t="shared" si="61"/>
        <v>8685</v>
      </c>
      <c r="N591" s="48">
        <f t="shared" si="62"/>
        <v>1224</v>
      </c>
      <c r="O591" s="50">
        <f t="shared" si="63"/>
        <v>9909</v>
      </c>
      <c r="P591" s="50">
        <v>0</v>
      </c>
      <c r="Q591" s="76"/>
      <c r="R591" s="140">
        <f>5*S9+5*S10</f>
        <v>225</v>
      </c>
      <c r="S591" s="79">
        <v>31.52</v>
      </c>
      <c r="T591" s="80">
        <v>4.45</v>
      </c>
    </row>
    <row r="592" spans="2:20" ht="84">
      <c r="B592" s="5" t="s">
        <v>1389</v>
      </c>
      <c r="C592" s="45" t="s">
        <v>97</v>
      </c>
      <c r="D592" s="45" t="s">
        <v>1390</v>
      </c>
      <c r="E592" s="6" t="s">
        <v>1391</v>
      </c>
      <c r="F592" s="45" t="s">
        <v>104</v>
      </c>
      <c r="G592" s="46">
        <f t="shared" si="64"/>
        <v>225</v>
      </c>
      <c r="H592" s="46">
        <f>TRUNC(S592*(1-LOTE_02!$K$10),2)</f>
        <v>11.02</v>
      </c>
      <c r="I592" s="46">
        <f>TRUNC(T592*(1-LOTE_02!$K$10),2)</f>
        <v>4.45</v>
      </c>
      <c r="J592" s="100">
        <f t="shared" si="65"/>
        <v>0.22470000000000001</v>
      </c>
      <c r="K592" s="48">
        <f t="shared" ref="K592:K655" si="66">TRUNC(H592*(1+J592),2)</f>
        <v>13.49</v>
      </c>
      <c r="L592" s="48">
        <f t="shared" ref="L592:L655" si="67">TRUNC(I592*(1+J592),2)</f>
        <v>5.44</v>
      </c>
      <c r="M592" s="48">
        <f t="shared" ref="M592:M655" si="68">TRUNC(K592*G592,2)</f>
        <v>3035.25</v>
      </c>
      <c r="N592" s="48">
        <f t="shared" ref="N592:N655" si="69">TRUNC(L592*G592,2)</f>
        <v>1224</v>
      </c>
      <c r="O592" s="50">
        <f t="shared" ref="O592:O655" si="70">TRUNC(M592+N592,2)</f>
        <v>4259.25</v>
      </c>
      <c r="P592" s="50">
        <v>0</v>
      </c>
      <c r="Q592" s="76"/>
      <c r="R592" s="140">
        <f>5*S9+5*S10</f>
        <v>225</v>
      </c>
      <c r="S592" s="79">
        <v>11.02</v>
      </c>
      <c r="T592" s="80">
        <v>4.45</v>
      </c>
    </row>
    <row r="593" spans="2:20" ht="84">
      <c r="B593" s="5" t="s">
        <v>1392</v>
      </c>
      <c r="C593" s="45" t="s">
        <v>97</v>
      </c>
      <c r="D593" s="45" t="s">
        <v>1393</v>
      </c>
      <c r="E593" s="6" t="s">
        <v>1394</v>
      </c>
      <c r="F593" s="45" t="s">
        <v>104</v>
      </c>
      <c r="G593" s="46">
        <f t="shared" si="64"/>
        <v>225</v>
      </c>
      <c r="H593" s="46">
        <f>TRUNC(S593*(1-LOTE_02!$K$10),2)</f>
        <v>19.38</v>
      </c>
      <c r="I593" s="46">
        <f>TRUNC(T593*(1-LOTE_02!$K$10),2)</f>
        <v>4.45</v>
      </c>
      <c r="J593" s="100">
        <f t="shared" si="65"/>
        <v>0.22470000000000001</v>
      </c>
      <c r="K593" s="48">
        <f t="shared" si="66"/>
        <v>23.73</v>
      </c>
      <c r="L593" s="48">
        <f t="shared" si="67"/>
        <v>5.44</v>
      </c>
      <c r="M593" s="48">
        <f t="shared" si="68"/>
        <v>5339.25</v>
      </c>
      <c r="N593" s="48">
        <f t="shared" si="69"/>
        <v>1224</v>
      </c>
      <c r="O593" s="50">
        <f t="shared" si="70"/>
        <v>6563.25</v>
      </c>
      <c r="P593" s="50">
        <v>0</v>
      </c>
      <c r="Q593" s="76"/>
      <c r="R593" s="140">
        <f>5*S9+5*S10</f>
        <v>225</v>
      </c>
      <c r="S593" s="79">
        <v>19.38</v>
      </c>
      <c r="T593" s="80">
        <v>4.45</v>
      </c>
    </row>
    <row r="594" spans="2:20" ht="84">
      <c r="B594" s="5" t="s">
        <v>1395</v>
      </c>
      <c r="C594" s="45" t="s">
        <v>97</v>
      </c>
      <c r="D594" s="45" t="s">
        <v>1396</v>
      </c>
      <c r="E594" s="6" t="s">
        <v>1397</v>
      </c>
      <c r="F594" s="45" t="s">
        <v>104</v>
      </c>
      <c r="G594" s="46">
        <f t="shared" ref="G594:G657" si="71">TRUNC(R594,2)</f>
        <v>225</v>
      </c>
      <c r="H594" s="46">
        <f>TRUNC(S594*(1-LOTE_02!$K$10),2)</f>
        <v>23.3</v>
      </c>
      <c r="I594" s="46">
        <f>TRUNC(T594*(1-LOTE_02!$K$10),2)</f>
        <v>4.45</v>
      </c>
      <c r="J594" s="100">
        <f t="shared" ref="J594:J657" si="72">$J$4</f>
        <v>0.22470000000000001</v>
      </c>
      <c r="K594" s="48">
        <f t="shared" si="66"/>
        <v>28.53</v>
      </c>
      <c r="L594" s="48">
        <f t="shared" si="67"/>
        <v>5.44</v>
      </c>
      <c r="M594" s="48">
        <f t="shared" si="68"/>
        <v>6419.25</v>
      </c>
      <c r="N594" s="48">
        <f t="shared" si="69"/>
        <v>1224</v>
      </c>
      <c r="O594" s="50">
        <f t="shared" si="70"/>
        <v>7643.25</v>
      </c>
      <c r="P594" s="50">
        <v>0</v>
      </c>
      <c r="Q594" s="76"/>
      <c r="R594" s="140">
        <f>5*S9+5*S10</f>
        <v>225</v>
      </c>
      <c r="S594" s="79">
        <v>23.3</v>
      </c>
      <c r="T594" s="80">
        <v>4.45</v>
      </c>
    </row>
    <row r="595" spans="2:20" ht="84">
      <c r="B595" s="5" t="s">
        <v>1398</v>
      </c>
      <c r="C595" s="45" t="s">
        <v>97</v>
      </c>
      <c r="D595" s="45" t="s">
        <v>1399</v>
      </c>
      <c r="E595" s="6" t="s">
        <v>1400</v>
      </c>
      <c r="F595" s="45" t="s">
        <v>104</v>
      </c>
      <c r="G595" s="46">
        <f t="shared" si="71"/>
        <v>225</v>
      </c>
      <c r="H595" s="46">
        <f>TRUNC(S595*(1-LOTE_02!$K$10),2)</f>
        <v>17.04</v>
      </c>
      <c r="I595" s="46">
        <f>TRUNC(T595*(1-LOTE_02!$K$10),2)</f>
        <v>4.45</v>
      </c>
      <c r="J595" s="100">
        <f t="shared" si="72"/>
        <v>0.22470000000000001</v>
      </c>
      <c r="K595" s="48">
        <f t="shared" si="66"/>
        <v>20.86</v>
      </c>
      <c r="L595" s="48">
        <f t="shared" si="67"/>
        <v>5.44</v>
      </c>
      <c r="M595" s="48">
        <f t="shared" si="68"/>
        <v>4693.5</v>
      </c>
      <c r="N595" s="48">
        <f t="shared" si="69"/>
        <v>1224</v>
      </c>
      <c r="O595" s="50">
        <f t="shared" si="70"/>
        <v>5917.5</v>
      </c>
      <c r="P595" s="50">
        <v>0</v>
      </c>
      <c r="Q595" s="76"/>
      <c r="R595" s="140">
        <f>5*S9+5*S10</f>
        <v>225</v>
      </c>
      <c r="S595" s="79">
        <v>17.04</v>
      </c>
      <c r="T595" s="80">
        <v>4.45</v>
      </c>
    </row>
    <row r="596" spans="2:20" ht="84">
      <c r="B596" s="5" t="s">
        <v>1401</v>
      </c>
      <c r="C596" s="45" t="s">
        <v>97</v>
      </c>
      <c r="D596" s="45" t="s">
        <v>1402</v>
      </c>
      <c r="E596" s="6" t="s">
        <v>1403</v>
      </c>
      <c r="F596" s="45" t="s">
        <v>104</v>
      </c>
      <c r="G596" s="46">
        <f t="shared" si="71"/>
        <v>225</v>
      </c>
      <c r="H596" s="46">
        <f>TRUNC(S596*(1-LOTE_02!$K$10),2)</f>
        <v>29.96</v>
      </c>
      <c r="I596" s="46">
        <f>TRUNC(T596*(1-LOTE_02!$K$10),2)</f>
        <v>4.45</v>
      </c>
      <c r="J596" s="100">
        <f t="shared" si="72"/>
        <v>0.22470000000000001</v>
      </c>
      <c r="K596" s="48">
        <f t="shared" si="66"/>
        <v>36.69</v>
      </c>
      <c r="L596" s="48">
        <f t="shared" si="67"/>
        <v>5.44</v>
      </c>
      <c r="M596" s="48">
        <f t="shared" si="68"/>
        <v>8255.25</v>
      </c>
      <c r="N596" s="48">
        <f t="shared" si="69"/>
        <v>1224</v>
      </c>
      <c r="O596" s="50">
        <f t="shared" si="70"/>
        <v>9479.25</v>
      </c>
      <c r="P596" s="50">
        <v>0</v>
      </c>
      <c r="Q596" s="76"/>
      <c r="R596" s="140">
        <f>5*S9+5*S10</f>
        <v>225</v>
      </c>
      <c r="S596" s="79">
        <v>29.96</v>
      </c>
      <c r="T596" s="80">
        <v>4.45</v>
      </c>
    </row>
    <row r="597" spans="2:20" ht="56">
      <c r="B597" s="5" t="s">
        <v>1404</v>
      </c>
      <c r="C597" s="45" t="s">
        <v>97</v>
      </c>
      <c r="D597" s="45" t="s">
        <v>1405</v>
      </c>
      <c r="E597" s="6" t="s">
        <v>1406</v>
      </c>
      <c r="F597" s="45" t="s">
        <v>104</v>
      </c>
      <c r="G597" s="46">
        <f t="shared" si="71"/>
        <v>90</v>
      </c>
      <c r="H597" s="46">
        <f>TRUNC(S597*(1-LOTE_02!$K$10),2)</f>
        <v>19.37</v>
      </c>
      <c r="I597" s="46">
        <f>TRUNC(T597*(1-LOTE_02!$K$10),2)</f>
        <v>3.28</v>
      </c>
      <c r="J597" s="100">
        <f t="shared" si="72"/>
        <v>0.22470000000000001</v>
      </c>
      <c r="K597" s="48">
        <f t="shared" si="66"/>
        <v>23.72</v>
      </c>
      <c r="L597" s="48">
        <f t="shared" si="67"/>
        <v>4.01</v>
      </c>
      <c r="M597" s="48">
        <f t="shared" si="68"/>
        <v>2134.8000000000002</v>
      </c>
      <c r="N597" s="48">
        <f t="shared" si="69"/>
        <v>360.9</v>
      </c>
      <c r="O597" s="50">
        <f t="shared" si="70"/>
        <v>2495.6999999999998</v>
      </c>
      <c r="P597" s="50">
        <v>0</v>
      </c>
      <c r="Q597" s="76"/>
      <c r="R597" s="140">
        <f>2*S9+2*S10</f>
        <v>90</v>
      </c>
      <c r="S597" s="79">
        <v>19.37</v>
      </c>
      <c r="T597" s="80">
        <v>3.28</v>
      </c>
    </row>
    <row r="598" spans="2:20" ht="28">
      <c r="B598" s="5" t="s">
        <v>1407</v>
      </c>
      <c r="C598" s="45" t="s">
        <v>165</v>
      </c>
      <c r="D598" s="45" t="s">
        <v>1408</v>
      </c>
      <c r="E598" s="6" t="s">
        <v>1409</v>
      </c>
      <c r="F598" s="45" t="s">
        <v>559</v>
      </c>
      <c r="G598" s="46">
        <f t="shared" si="71"/>
        <v>5</v>
      </c>
      <c r="H598" s="46">
        <f>TRUNC(S598*(1-LOTE_02!$K$10),2)</f>
        <v>1046.97</v>
      </c>
      <c r="I598" s="46">
        <f>TRUNC(T598*(1-LOTE_02!$K$10),2)</f>
        <v>63.77</v>
      </c>
      <c r="J598" s="100">
        <f t="shared" si="72"/>
        <v>0.22470000000000001</v>
      </c>
      <c r="K598" s="48">
        <f t="shared" si="66"/>
        <v>1282.22</v>
      </c>
      <c r="L598" s="48">
        <f t="shared" si="67"/>
        <v>78.09</v>
      </c>
      <c r="M598" s="48">
        <f t="shared" si="68"/>
        <v>6411.1</v>
      </c>
      <c r="N598" s="48">
        <f t="shared" si="69"/>
        <v>390.45</v>
      </c>
      <c r="O598" s="50">
        <f t="shared" si="70"/>
        <v>6801.55</v>
      </c>
      <c r="P598" s="50">
        <v>0</v>
      </c>
      <c r="Q598" s="76"/>
      <c r="R598" s="140">
        <f>IF((1*S9+1*S10)&gt;5,5,(1*S9+1*S10))</f>
        <v>5</v>
      </c>
      <c r="S598" s="79">
        <v>1046.97</v>
      </c>
      <c r="T598" s="80">
        <v>63.77</v>
      </c>
    </row>
    <row r="599" spans="2:20" ht="28">
      <c r="B599" s="5" t="s">
        <v>1410</v>
      </c>
      <c r="C599" s="45" t="s">
        <v>165</v>
      </c>
      <c r="D599" s="45" t="s">
        <v>1411</v>
      </c>
      <c r="E599" s="6" t="s">
        <v>1412</v>
      </c>
      <c r="F599" s="45" t="s">
        <v>559</v>
      </c>
      <c r="G599" s="46">
        <f t="shared" si="71"/>
        <v>5</v>
      </c>
      <c r="H599" s="46">
        <f>TRUNC(S599*(1-LOTE_02!$K$10),2)</f>
        <v>107.88</v>
      </c>
      <c r="I599" s="46">
        <f>TRUNC(T599*(1-LOTE_02!$K$10),2)</f>
        <v>9.25</v>
      </c>
      <c r="J599" s="100">
        <f t="shared" si="72"/>
        <v>0.22470000000000001</v>
      </c>
      <c r="K599" s="48">
        <f t="shared" si="66"/>
        <v>132.12</v>
      </c>
      <c r="L599" s="48">
        <f t="shared" si="67"/>
        <v>11.32</v>
      </c>
      <c r="M599" s="48">
        <f t="shared" si="68"/>
        <v>660.6</v>
      </c>
      <c r="N599" s="48">
        <f t="shared" si="69"/>
        <v>56.6</v>
      </c>
      <c r="O599" s="50">
        <f t="shared" si="70"/>
        <v>717.2</v>
      </c>
      <c r="P599" s="50">
        <v>0</v>
      </c>
      <c r="Q599" s="76"/>
      <c r="R599" s="140">
        <f>IF((1*S9+1*S10)&gt;5,5,(1*S9+1*S10))</f>
        <v>5</v>
      </c>
      <c r="S599" s="79">
        <v>107.88</v>
      </c>
      <c r="T599" s="80">
        <v>9.25</v>
      </c>
    </row>
    <row r="600" spans="2:20" ht="28">
      <c r="B600" s="5" t="s">
        <v>1413</v>
      </c>
      <c r="C600" s="45" t="s">
        <v>97</v>
      </c>
      <c r="D600" s="45" t="s">
        <v>1414</v>
      </c>
      <c r="E600" s="6" t="s">
        <v>1415</v>
      </c>
      <c r="F600" s="45" t="s">
        <v>1416</v>
      </c>
      <c r="G600" s="46">
        <f t="shared" si="71"/>
        <v>500</v>
      </c>
      <c r="H600" s="46">
        <f>TRUNC(S600*(1-LOTE_02!$K$10),2)</f>
        <v>23.29</v>
      </c>
      <c r="I600" s="46">
        <f>TRUNC(T600*(1-LOTE_02!$K$10),2)</f>
        <v>5.91</v>
      </c>
      <c r="J600" s="100">
        <f t="shared" si="72"/>
        <v>0.22470000000000001</v>
      </c>
      <c r="K600" s="48">
        <f t="shared" si="66"/>
        <v>28.52</v>
      </c>
      <c r="L600" s="48">
        <f t="shared" si="67"/>
        <v>7.23</v>
      </c>
      <c r="M600" s="48">
        <f t="shared" si="68"/>
        <v>14260</v>
      </c>
      <c r="N600" s="48">
        <f t="shared" si="69"/>
        <v>3615</v>
      </c>
      <c r="O600" s="50">
        <f t="shared" si="70"/>
        <v>17875</v>
      </c>
      <c r="P600" s="50">
        <v>0</v>
      </c>
      <c r="Q600" s="76"/>
      <c r="R600" s="141">
        <f>IF(100*(S9+S10)&gt;500,500,100*(S9+S10))</f>
        <v>500</v>
      </c>
      <c r="S600" s="79">
        <v>23.29</v>
      </c>
      <c r="T600" s="80">
        <v>5.91</v>
      </c>
    </row>
    <row r="601" spans="2:20" ht="28">
      <c r="B601" s="5" t="s">
        <v>1417</v>
      </c>
      <c r="C601" s="45" t="s">
        <v>97</v>
      </c>
      <c r="D601" s="45" t="s">
        <v>1418</v>
      </c>
      <c r="E601" s="6" t="s">
        <v>1419</v>
      </c>
      <c r="F601" s="45" t="s">
        <v>187</v>
      </c>
      <c r="G601" s="46">
        <f t="shared" si="71"/>
        <v>500</v>
      </c>
      <c r="H601" s="46">
        <f>TRUNC(S601*(1-LOTE_02!$K$10),2)</f>
        <v>28.22</v>
      </c>
      <c r="I601" s="46">
        <f>TRUNC(T601*(1-LOTE_02!$K$10),2)</f>
        <v>5.91</v>
      </c>
      <c r="J601" s="100">
        <f t="shared" si="72"/>
        <v>0.22470000000000001</v>
      </c>
      <c r="K601" s="48">
        <f t="shared" si="66"/>
        <v>34.56</v>
      </c>
      <c r="L601" s="48">
        <f t="shared" si="67"/>
        <v>7.23</v>
      </c>
      <c r="M601" s="48">
        <f t="shared" si="68"/>
        <v>17280</v>
      </c>
      <c r="N601" s="48">
        <f t="shared" si="69"/>
        <v>3615</v>
      </c>
      <c r="O601" s="50">
        <f t="shared" si="70"/>
        <v>20895</v>
      </c>
      <c r="P601" s="50">
        <v>0</v>
      </c>
      <c r="Q601" s="76"/>
      <c r="R601" s="141">
        <f>IF(100*(S9+S10)&gt;500,500,100*(S9+S10))</f>
        <v>500</v>
      </c>
      <c r="S601" s="79">
        <v>28.22</v>
      </c>
      <c r="T601" s="80">
        <v>5.91</v>
      </c>
    </row>
    <row r="602" spans="2:20" ht="28">
      <c r="B602" s="5" t="s">
        <v>1420</v>
      </c>
      <c r="C602" s="45" t="s">
        <v>97</v>
      </c>
      <c r="D602" s="45" t="s">
        <v>1421</v>
      </c>
      <c r="E602" s="6" t="s">
        <v>1422</v>
      </c>
      <c r="F602" s="45" t="s">
        <v>104</v>
      </c>
      <c r="G602" s="46">
        <f t="shared" si="71"/>
        <v>10</v>
      </c>
      <c r="H602" s="46">
        <f>TRUNC(S602*(1-LOTE_02!$K$10),2)</f>
        <v>222.04</v>
      </c>
      <c r="I602" s="46">
        <f>TRUNC(T602*(1-LOTE_02!$K$10),2)</f>
        <v>27.59</v>
      </c>
      <c r="J602" s="100">
        <f t="shared" si="72"/>
        <v>0.22470000000000001</v>
      </c>
      <c r="K602" s="48">
        <f t="shared" si="66"/>
        <v>271.93</v>
      </c>
      <c r="L602" s="48">
        <f t="shared" si="67"/>
        <v>33.78</v>
      </c>
      <c r="M602" s="48">
        <f t="shared" si="68"/>
        <v>2719.3</v>
      </c>
      <c r="N602" s="48">
        <f t="shared" si="69"/>
        <v>337.8</v>
      </c>
      <c r="O602" s="50">
        <f t="shared" si="70"/>
        <v>3057.1</v>
      </c>
      <c r="P602" s="50">
        <v>0</v>
      </c>
      <c r="Q602" s="76"/>
      <c r="R602" s="141">
        <f>IF(2*(S9+S10)&gt;10,10,2*(S9+S10))</f>
        <v>10</v>
      </c>
      <c r="S602" s="79">
        <v>222.04</v>
      </c>
      <c r="T602" s="80">
        <v>27.59</v>
      </c>
    </row>
    <row r="603" spans="2:20" ht="28">
      <c r="B603" s="5" t="s">
        <v>1423</v>
      </c>
      <c r="C603" s="45" t="s">
        <v>97</v>
      </c>
      <c r="D603" s="45" t="s">
        <v>1421</v>
      </c>
      <c r="E603" s="6" t="s">
        <v>1422</v>
      </c>
      <c r="F603" s="45" t="s">
        <v>104</v>
      </c>
      <c r="G603" s="46">
        <f t="shared" si="71"/>
        <v>5</v>
      </c>
      <c r="H603" s="46">
        <f>TRUNC(S603*(1-LOTE_02!$K$10),2)</f>
        <v>222.04</v>
      </c>
      <c r="I603" s="46">
        <f>TRUNC(T603*(1-LOTE_02!$K$10),2)</f>
        <v>27.59</v>
      </c>
      <c r="J603" s="100">
        <f t="shared" si="72"/>
        <v>0.22470000000000001</v>
      </c>
      <c r="K603" s="48">
        <f t="shared" si="66"/>
        <v>271.93</v>
      </c>
      <c r="L603" s="48">
        <f t="shared" si="67"/>
        <v>33.78</v>
      </c>
      <c r="M603" s="48">
        <f t="shared" si="68"/>
        <v>1359.65</v>
      </c>
      <c r="N603" s="48">
        <f t="shared" si="69"/>
        <v>168.9</v>
      </c>
      <c r="O603" s="50">
        <f t="shared" si="70"/>
        <v>1528.55</v>
      </c>
      <c r="P603" s="50">
        <v>0</v>
      </c>
      <c r="Q603" s="76"/>
      <c r="R603" s="141">
        <f>IF(1*(S9+S10)&gt;5,5,1*(S9+S10))</f>
        <v>5</v>
      </c>
      <c r="S603" s="79">
        <v>222.04</v>
      </c>
      <c r="T603" s="80">
        <v>27.59</v>
      </c>
    </row>
    <row r="604" spans="2:20" ht="28">
      <c r="B604" s="5" t="s">
        <v>1424</v>
      </c>
      <c r="C604" s="45" t="s">
        <v>97</v>
      </c>
      <c r="D604" s="45" t="s">
        <v>1421</v>
      </c>
      <c r="E604" s="6" t="s">
        <v>1422</v>
      </c>
      <c r="F604" s="45" t="s">
        <v>104</v>
      </c>
      <c r="G604" s="46">
        <f t="shared" si="71"/>
        <v>5</v>
      </c>
      <c r="H604" s="46">
        <f>TRUNC(S604*(1-LOTE_02!$K$10),2)</f>
        <v>222.04</v>
      </c>
      <c r="I604" s="46">
        <f>TRUNC(T604*(1-LOTE_02!$K$10),2)</f>
        <v>27.59</v>
      </c>
      <c r="J604" s="100">
        <f t="shared" si="72"/>
        <v>0.22470000000000001</v>
      </c>
      <c r="K604" s="48">
        <f t="shared" si="66"/>
        <v>271.93</v>
      </c>
      <c r="L604" s="48">
        <f t="shared" si="67"/>
        <v>33.78</v>
      </c>
      <c r="M604" s="48">
        <f t="shared" si="68"/>
        <v>1359.65</v>
      </c>
      <c r="N604" s="48">
        <f t="shared" si="69"/>
        <v>168.9</v>
      </c>
      <c r="O604" s="50">
        <f t="shared" si="70"/>
        <v>1528.55</v>
      </c>
      <c r="P604" s="50">
        <v>0</v>
      </c>
      <c r="Q604" s="76"/>
      <c r="R604" s="141">
        <f>IF(1*(S10+1*S9)&gt;5,5,(2*S10+1*S9))</f>
        <v>5</v>
      </c>
      <c r="S604" s="79">
        <v>222.04</v>
      </c>
      <c r="T604" s="80">
        <v>27.59</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2168953.65</v>
      </c>
      <c r="Q605" s="76"/>
      <c r="R605" s="154"/>
      <c r="S605" s="79" t="s">
        <v>22</v>
      </c>
      <c r="T605" s="80" t="s">
        <v>22</v>
      </c>
    </row>
    <row r="606" spans="2:20" ht="56">
      <c r="B606" s="5" t="s">
        <v>1425</v>
      </c>
      <c r="C606" s="45" t="s">
        <v>97</v>
      </c>
      <c r="D606" s="45" t="s">
        <v>1426</v>
      </c>
      <c r="E606" s="6" t="s">
        <v>1427</v>
      </c>
      <c r="F606" s="45" t="s">
        <v>104</v>
      </c>
      <c r="G606" s="46">
        <f t="shared" si="71"/>
        <v>135</v>
      </c>
      <c r="H606" s="46">
        <f>TRUNC(S606*(1-LOTE_02!$K$10),2)</f>
        <v>10.49</v>
      </c>
      <c r="I606" s="46">
        <f>TRUNC(T606*(1-LOTE_02!$K$10),2)</f>
        <v>19.54</v>
      </c>
      <c r="J606" s="100">
        <f t="shared" si="72"/>
        <v>0.22470000000000001</v>
      </c>
      <c r="K606" s="48">
        <f t="shared" si="66"/>
        <v>12.84</v>
      </c>
      <c r="L606" s="48">
        <f t="shared" si="67"/>
        <v>23.93</v>
      </c>
      <c r="M606" s="48">
        <f t="shared" si="68"/>
        <v>1733.4</v>
      </c>
      <c r="N606" s="48">
        <f t="shared" si="69"/>
        <v>3230.55</v>
      </c>
      <c r="O606" s="50">
        <f t="shared" si="70"/>
        <v>4963.95</v>
      </c>
      <c r="P606" s="50">
        <v>0</v>
      </c>
      <c r="Q606" s="76"/>
      <c r="R606" s="139">
        <f>3*S9+3*S10</f>
        <v>135</v>
      </c>
      <c r="S606" s="79">
        <v>10.49</v>
      </c>
      <c r="T606" s="80">
        <v>19.54</v>
      </c>
    </row>
    <row r="607" spans="2:20" ht="42">
      <c r="B607" s="5" t="s">
        <v>1428</v>
      </c>
      <c r="C607" s="45" t="s">
        <v>135</v>
      </c>
      <c r="D607" s="45">
        <v>103288</v>
      </c>
      <c r="E607" s="6" t="s">
        <v>1429</v>
      </c>
      <c r="F607" s="45" t="s">
        <v>210</v>
      </c>
      <c r="G607" s="46">
        <f t="shared" si="71"/>
        <v>90</v>
      </c>
      <c r="H607" s="46">
        <f>TRUNC(S607*(1-LOTE_02!$K$10),2)</f>
        <v>7.38</v>
      </c>
      <c r="I607" s="46">
        <f>TRUNC(T607*(1-LOTE_02!$K$10),2)</f>
        <v>10.69</v>
      </c>
      <c r="J607" s="100">
        <f t="shared" si="72"/>
        <v>0.22470000000000001</v>
      </c>
      <c r="K607" s="48">
        <f t="shared" si="66"/>
        <v>9.0299999999999994</v>
      </c>
      <c r="L607" s="48">
        <f t="shared" si="67"/>
        <v>13.09</v>
      </c>
      <c r="M607" s="48">
        <f t="shared" si="68"/>
        <v>812.7</v>
      </c>
      <c r="N607" s="48">
        <f t="shared" si="69"/>
        <v>1178.0999999999999</v>
      </c>
      <c r="O607" s="50">
        <f t="shared" si="70"/>
        <v>1990.8</v>
      </c>
      <c r="P607" s="50">
        <v>0</v>
      </c>
      <c r="Q607" s="76"/>
      <c r="R607" s="139">
        <f>2*S9+2*S10</f>
        <v>90</v>
      </c>
      <c r="S607" s="79">
        <v>7.3800000000000008</v>
      </c>
      <c r="T607" s="80">
        <v>10.69</v>
      </c>
    </row>
    <row r="608" spans="2:20" ht="28">
      <c r="B608" s="5" t="s">
        <v>1430</v>
      </c>
      <c r="C608" s="45" t="s">
        <v>165</v>
      </c>
      <c r="D608" s="45" t="s">
        <v>1431</v>
      </c>
      <c r="E608" s="6" t="s">
        <v>1432</v>
      </c>
      <c r="F608" s="45" t="s">
        <v>168</v>
      </c>
      <c r="G608" s="46">
        <f t="shared" si="71"/>
        <v>1530</v>
      </c>
      <c r="H608" s="46">
        <f>TRUNC(S608*(1-LOTE_02!$K$10),2)</f>
        <v>146.9</v>
      </c>
      <c r="I608" s="46">
        <f>TRUNC(T608*(1-LOTE_02!$K$10),2)</f>
        <v>106.75</v>
      </c>
      <c r="J608" s="100">
        <f t="shared" si="72"/>
        <v>0.22470000000000001</v>
      </c>
      <c r="K608" s="48">
        <f t="shared" si="66"/>
        <v>179.9</v>
      </c>
      <c r="L608" s="48">
        <f t="shared" si="67"/>
        <v>130.72999999999999</v>
      </c>
      <c r="M608" s="48">
        <f t="shared" si="68"/>
        <v>275247</v>
      </c>
      <c r="N608" s="48">
        <f t="shared" si="69"/>
        <v>200016.9</v>
      </c>
      <c r="O608" s="50">
        <f t="shared" si="70"/>
        <v>475263.9</v>
      </c>
      <c r="P608" s="50">
        <v>0</v>
      </c>
      <c r="Q608" s="76"/>
      <c r="R608" s="139">
        <f>(21+10+3)*(S9+S10)</f>
        <v>1530</v>
      </c>
      <c r="S608" s="79">
        <v>146.9</v>
      </c>
      <c r="T608" s="80">
        <v>106.75</v>
      </c>
    </row>
    <row r="609" spans="2:20" ht="28">
      <c r="B609" s="5" t="s">
        <v>1433</v>
      </c>
      <c r="C609" s="45" t="s">
        <v>165</v>
      </c>
      <c r="D609" s="45" t="s">
        <v>1434</v>
      </c>
      <c r="E609" s="6" t="s">
        <v>1435</v>
      </c>
      <c r="F609" s="45" t="s">
        <v>559</v>
      </c>
      <c r="G609" s="46">
        <f t="shared" si="71"/>
        <v>180</v>
      </c>
      <c r="H609" s="46">
        <f>TRUNC(S609*(1-LOTE_02!$K$10),2)</f>
        <v>109.45</v>
      </c>
      <c r="I609" s="46">
        <f>TRUNC(T609*(1-LOTE_02!$K$10),2)</f>
        <v>79.709999999999994</v>
      </c>
      <c r="J609" s="100">
        <f t="shared" si="72"/>
        <v>0.22470000000000001</v>
      </c>
      <c r="K609" s="48">
        <f t="shared" si="66"/>
        <v>134.04</v>
      </c>
      <c r="L609" s="48">
        <f t="shared" si="67"/>
        <v>97.62</v>
      </c>
      <c r="M609" s="48">
        <f t="shared" si="68"/>
        <v>24127.200000000001</v>
      </c>
      <c r="N609" s="48">
        <f t="shared" si="69"/>
        <v>17571.599999999999</v>
      </c>
      <c r="O609" s="50">
        <f t="shared" si="70"/>
        <v>41698.800000000003</v>
      </c>
      <c r="P609" s="50">
        <v>0</v>
      </c>
      <c r="Q609" s="76"/>
      <c r="R609" s="139">
        <f>4*(S9+S10)</f>
        <v>180</v>
      </c>
      <c r="S609" s="79">
        <v>109.45</v>
      </c>
      <c r="T609" s="80">
        <v>79.709999999999994</v>
      </c>
    </row>
    <row r="610" spans="2:20" ht="42">
      <c r="B610" s="5" t="s">
        <v>1436</v>
      </c>
      <c r="C610" s="45" t="s">
        <v>165</v>
      </c>
      <c r="D610" s="45" t="s">
        <v>1437</v>
      </c>
      <c r="E610" s="6" t="s">
        <v>1438</v>
      </c>
      <c r="F610" s="45" t="s">
        <v>559</v>
      </c>
      <c r="G610" s="46">
        <f t="shared" si="71"/>
        <v>180</v>
      </c>
      <c r="H610" s="46">
        <f>TRUNC(S610*(1-LOTE_02!$K$10),2)</f>
        <v>110.86</v>
      </c>
      <c r="I610" s="46">
        <f>TRUNC(T610*(1-LOTE_02!$K$10),2)</f>
        <v>102.35</v>
      </c>
      <c r="J610" s="100">
        <f t="shared" si="72"/>
        <v>0.22470000000000001</v>
      </c>
      <c r="K610" s="48">
        <f t="shared" si="66"/>
        <v>135.77000000000001</v>
      </c>
      <c r="L610" s="48">
        <f t="shared" si="67"/>
        <v>125.34</v>
      </c>
      <c r="M610" s="48">
        <f t="shared" si="68"/>
        <v>24438.6</v>
      </c>
      <c r="N610" s="48">
        <f t="shared" si="69"/>
        <v>22561.200000000001</v>
      </c>
      <c r="O610" s="50">
        <f t="shared" si="70"/>
        <v>46999.8</v>
      </c>
      <c r="P610" s="50">
        <v>0</v>
      </c>
      <c r="Q610" s="76"/>
      <c r="R610" s="139">
        <f>4*(S9+S10)</f>
        <v>180</v>
      </c>
      <c r="S610" s="79">
        <v>110.86</v>
      </c>
      <c r="T610" s="80">
        <v>102.35</v>
      </c>
    </row>
    <row r="611" spans="2:20" ht="28">
      <c r="B611" s="5" t="s">
        <v>1439</v>
      </c>
      <c r="C611" s="45" t="s">
        <v>165</v>
      </c>
      <c r="D611" s="45" t="s">
        <v>1440</v>
      </c>
      <c r="E611" s="6" t="s">
        <v>1441</v>
      </c>
      <c r="F611" s="45" t="s">
        <v>559</v>
      </c>
      <c r="G611" s="46">
        <f t="shared" si="71"/>
        <v>225</v>
      </c>
      <c r="H611" s="46">
        <f>TRUNC(S611*(1-LOTE_02!$K$10),2)</f>
        <v>137.68</v>
      </c>
      <c r="I611" s="46">
        <f>TRUNC(T611*(1-LOTE_02!$K$10),2)</f>
        <v>111.6</v>
      </c>
      <c r="J611" s="100">
        <f t="shared" si="72"/>
        <v>0.22470000000000001</v>
      </c>
      <c r="K611" s="48">
        <f t="shared" si="66"/>
        <v>168.61</v>
      </c>
      <c r="L611" s="48">
        <f t="shared" si="67"/>
        <v>136.66999999999999</v>
      </c>
      <c r="M611" s="48">
        <f t="shared" si="68"/>
        <v>37937.25</v>
      </c>
      <c r="N611" s="48">
        <f t="shared" si="69"/>
        <v>30750.75</v>
      </c>
      <c r="O611" s="50">
        <f t="shared" si="70"/>
        <v>68688</v>
      </c>
      <c r="P611" s="50">
        <v>0</v>
      </c>
      <c r="Q611" s="76"/>
      <c r="R611" s="139">
        <f>5*(S9+S10)</f>
        <v>225</v>
      </c>
      <c r="S611" s="79">
        <v>137.68</v>
      </c>
      <c r="T611" s="80">
        <v>111.6</v>
      </c>
    </row>
    <row r="612" spans="2:20" ht="28">
      <c r="B612" s="5" t="s">
        <v>1442</v>
      </c>
      <c r="C612" s="45" t="s">
        <v>165</v>
      </c>
      <c r="D612" s="45" t="s">
        <v>1443</v>
      </c>
      <c r="E612" s="6" t="s">
        <v>1444</v>
      </c>
      <c r="F612" s="45" t="s">
        <v>559</v>
      </c>
      <c r="G612" s="46">
        <f t="shared" si="71"/>
        <v>225</v>
      </c>
      <c r="H612" s="46">
        <f>TRUNC(S612*(1-LOTE_02!$K$10),2)</f>
        <v>147.44</v>
      </c>
      <c r="I612" s="46">
        <f>TRUNC(T612*(1-LOTE_02!$K$10),2)</f>
        <v>111.6</v>
      </c>
      <c r="J612" s="100">
        <f t="shared" si="72"/>
        <v>0.22470000000000001</v>
      </c>
      <c r="K612" s="48">
        <f t="shared" si="66"/>
        <v>180.56</v>
      </c>
      <c r="L612" s="48">
        <f t="shared" si="67"/>
        <v>136.66999999999999</v>
      </c>
      <c r="M612" s="48">
        <f t="shared" si="68"/>
        <v>40626</v>
      </c>
      <c r="N612" s="48">
        <f t="shared" si="69"/>
        <v>30750.75</v>
      </c>
      <c r="O612" s="50">
        <f t="shared" si="70"/>
        <v>71376.75</v>
      </c>
      <c r="P612" s="50">
        <v>0</v>
      </c>
      <c r="Q612" s="76"/>
      <c r="R612" s="139">
        <f>5*(S9+S10)</f>
        <v>225</v>
      </c>
      <c r="S612" s="79">
        <v>147.44</v>
      </c>
      <c r="T612" s="80">
        <v>111.6</v>
      </c>
    </row>
    <row r="613" spans="2:20" ht="28">
      <c r="B613" s="5" t="s">
        <v>1445</v>
      </c>
      <c r="C613" s="45" t="s">
        <v>165</v>
      </c>
      <c r="D613" s="45" t="s">
        <v>1446</v>
      </c>
      <c r="E613" s="6" t="s">
        <v>1447</v>
      </c>
      <c r="F613" s="45" t="s">
        <v>559</v>
      </c>
      <c r="G613" s="46">
        <f t="shared" si="71"/>
        <v>225</v>
      </c>
      <c r="H613" s="46">
        <f>TRUNC(S613*(1-LOTE_02!$K$10),2)</f>
        <v>169.53</v>
      </c>
      <c r="I613" s="46">
        <f>TRUNC(T613*(1-LOTE_02!$K$10),2)</f>
        <v>111.6</v>
      </c>
      <c r="J613" s="100">
        <f t="shared" si="72"/>
        <v>0.22470000000000001</v>
      </c>
      <c r="K613" s="48">
        <f t="shared" si="66"/>
        <v>207.62</v>
      </c>
      <c r="L613" s="48">
        <f t="shared" si="67"/>
        <v>136.66999999999999</v>
      </c>
      <c r="M613" s="48">
        <f t="shared" si="68"/>
        <v>46714.5</v>
      </c>
      <c r="N613" s="48">
        <f t="shared" si="69"/>
        <v>30750.75</v>
      </c>
      <c r="O613" s="50">
        <f t="shared" si="70"/>
        <v>77465.25</v>
      </c>
      <c r="P613" s="50">
        <v>0</v>
      </c>
      <c r="Q613" s="76"/>
      <c r="R613" s="139">
        <f>5*(S9+S10)</f>
        <v>225</v>
      </c>
      <c r="S613" s="79">
        <v>169.53</v>
      </c>
      <c r="T613" s="80">
        <v>111.6</v>
      </c>
    </row>
    <row r="614" spans="2:20" ht="28">
      <c r="B614" s="5" t="s">
        <v>1448</v>
      </c>
      <c r="C614" s="45" t="s">
        <v>97</v>
      </c>
      <c r="D614" s="45" t="s">
        <v>1449</v>
      </c>
      <c r="E614" s="6" t="s">
        <v>1450</v>
      </c>
      <c r="F614" s="45" t="s">
        <v>104</v>
      </c>
      <c r="G614" s="46">
        <f t="shared" si="71"/>
        <v>135</v>
      </c>
      <c r="H614" s="46">
        <f>TRUNC(S614*(1-LOTE_02!$K$10),2)</f>
        <v>546.84</v>
      </c>
      <c r="I614" s="46">
        <f>TRUNC(T614*(1-LOTE_02!$K$10),2)</f>
        <v>375.31</v>
      </c>
      <c r="J614" s="100">
        <f t="shared" si="72"/>
        <v>0.22470000000000001</v>
      </c>
      <c r="K614" s="48">
        <f t="shared" si="66"/>
        <v>669.71</v>
      </c>
      <c r="L614" s="48">
        <f t="shared" si="67"/>
        <v>459.64</v>
      </c>
      <c r="M614" s="48">
        <f t="shared" si="68"/>
        <v>90410.85</v>
      </c>
      <c r="N614" s="48">
        <f t="shared" si="69"/>
        <v>62051.4</v>
      </c>
      <c r="O614" s="50">
        <f t="shared" si="70"/>
        <v>152462.25</v>
      </c>
      <c r="P614" s="50">
        <v>0</v>
      </c>
      <c r="Q614" s="76"/>
      <c r="R614" s="139">
        <f>3*S9+3*S10</f>
        <v>135</v>
      </c>
      <c r="S614" s="79">
        <v>546.84</v>
      </c>
      <c r="T614" s="80">
        <v>375.31</v>
      </c>
    </row>
    <row r="615" spans="2:20" ht="42">
      <c r="B615" s="5" t="s">
        <v>1451</v>
      </c>
      <c r="C615" s="45" t="s">
        <v>97</v>
      </c>
      <c r="D615" s="45" t="s">
        <v>1452</v>
      </c>
      <c r="E615" s="6" t="s">
        <v>1453</v>
      </c>
      <c r="F615" s="45" t="s">
        <v>104</v>
      </c>
      <c r="G615" s="46">
        <f t="shared" si="71"/>
        <v>135</v>
      </c>
      <c r="H615" s="46">
        <f>TRUNC(S615*(1-LOTE_02!$K$10),2)</f>
        <v>217.84</v>
      </c>
      <c r="I615" s="46">
        <f>TRUNC(T615*(1-LOTE_02!$K$10),2)</f>
        <v>203.82</v>
      </c>
      <c r="J615" s="100">
        <f t="shared" si="72"/>
        <v>0.22470000000000001</v>
      </c>
      <c r="K615" s="48">
        <f t="shared" si="66"/>
        <v>266.77999999999997</v>
      </c>
      <c r="L615" s="48">
        <f t="shared" si="67"/>
        <v>249.61</v>
      </c>
      <c r="M615" s="48">
        <f t="shared" si="68"/>
        <v>36015.300000000003</v>
      </c>
      <c r="N615" s="48">
        <f t="shared" si="69"/>
        <v>33697.35</v>
      </c>
      <c r="O615" s="50">
        <f t="shared" si="70"/>
        <v>69712.649999999994</v>
      </c>
      <c r="P615" s="50">
        <v>0</v>
      </c>
      <c r="Q615" s="76"/>
      <c r="R615" s="139">
        <f>3*S9+3*S10</f>
        <v>135</v>
      </c>
      <c r="S615" s="79">
        <v>217.84</v>
      </c>
      <c r="T615" s="80">
        <v>203.82</v>
      </c>
    </row>
    <row r="616" spans="2:20" ht="28">
      <c r="B616" s="5" t="s">
        <v>1454</v>
      </c>
      <c r="C616" s="45" t="s">
        <v>97</v>
      </c>
      <c r="D616" s="45" t="s">
        <v>1455</v>
      </c>
      <c r="E616" s="6" t="s">
        <v>1456</v>
      </c>
      <c r="F616" s="45" t="s">
        <v>104</v>
      </c>
      <c r="G616" s="46">
        <f t="shared" si="71"/>
        <v>135</v>
      </c>
      <c r="H616" s="46">
        <f>TRUNC(S616*(1-LOTE_02!$K$10),2)</f>
        <v>2417.2399999999998</v>
      </c>
      <c r="I616" s="46">
        <f>TRUNC(T616*(1-LOTE_02!$K$10),2)</f>
        <v>567.48</v>
      </c>
      <c r="J616" s="100">
        <f t="shared" si="72"/>
        <v>0.22470000000000001</v>
      </c>
      <c r="K616" s="48">
        <f t="shared" si="66"/>
        <v>2960.39</v>
      </c>
      <c r="L616" s="48">
        <f t="shared" si="67"/>
        <v>694.99</v>
      </c>
      <c r="M616" s="48">
        <f t="shared" si="68"/>
        <v>399652.65</v>
      </c>
      <c r="N616" s="48">
        <f t="shared" si="69"/>
        <v>93823.65</v>
      </c>
      <c r="O616" s="50">
        <f t="shared" si="70"/>
        <v>493476.3</v>
      </c>
      <c r="P616" s="50">
        <v>0</v>
      </c>
      <c r="Q616" s="76"/>
      <c r="R616" s="139">
        <f>3*S9+3*S10</f>
        <v>135</v>
      </c>
      <c r="S616" s="79">
        <v>2417.2399999999998</v>
      </c>
      <c r="T616" s="80">
        <v>567.48</v>
      </c>
    </row>
    <row r="617" spans="2:20" ht="70">
      <c r="B617" s="5" t="s">
        <v>1457</v>
      </c>
      <c r="C617" s="45" t="s">
        <v>97</v>
      </c>
      <c r="D617" s="45" t="s">
        <v>1458</v>
      </c>
      <c r="E617" s="6" t="s">
        <v>1459</v>
      </c>
      <c r="F617" s="45" t="s">
        <v>104</v>
      </c>
      <c r="G617" s="46">
        <f t="shared" si="71"/>
        <v>90</v>
      </c>
      <c r="H617" s="46">
        <f>TRUNC(S617*(1-LOTE_02!$K$10),2)</f>
        <v>467.01</v>
      </c>
      <c r="I617" s="46">
        <f>TRUNC(T617*(1-LOTE_02!$K$10),2)</f>
        <v>50.67</v>
      </c>
      <c r="J617" s="100">
        <f t="shared" si="72"/>
        <v>0.22470000000000001</v>
      </c>
      <c r="K617" s="48">
        <f t="shared" si="66"/>
        <v>571.94000000000005</v>
      </c>
      <c r="L617" s="48">
        <f t="shared" si="67"/>
        <v>62.05</v>
      </c>
      <c r="M617" s="48">
        <f t="shared" si="68"/>
        <v>51474.6</v>
      </c>
      <c r="N617" s="48">
        <f t="shared" si="69"/>
        <v>5584.5</v>
      </c>
      <c r="O617" s="50">
        <f t="shared" si="70"/>
        <v>57059.1</v>
      </c>
      <c r="P617" s="50">
        <v>0</v>
      </c>
      <c r="Q617" s="76"/>
      <c r="R617" s="139">
        <f>2*S9+2*S10</f>
        <v>90</v>
      </c>
      <c r="S617" s="79">
        <v>467.01</v>
      </c>
      <c r="T617" s="80">
        <v>50.67</v>
      </c>
    </row>
    <row r="618" spans="2:20" ht="70">
      <c r="B618" s="5" t="s">
        <v>1460</v>
      </c>
      <c r="C618" s="45" t="s">
        <v>97</v>
      </c>
      <c r="D618" s="45" t="s">
        <v>1461</v>
      </c>
      <c r="E618" s="6" t="s">
        <v>1462</v>
      </c>
      <c r="F618" s="45" t="s">
        <v>104</v>
      </c>
      <c r="G618" s="46">
        <f t="shared" si="71"/>
        <v>90</v>
      </c>
      <c r="H618" s="46">
        <f>TRUNC(S618*(1-LOTE_02!$K$10),2)</f>
        <v>2197.66</v>
      </c>
      <c r="I618" s="46">
        <f>TRUNC(T618*(1-LOTE_02!$K$10),2)</f>
        <v>303.69</v>
      </c>
      <c r="J618" s="100">
        <f t="shared" si="72"/>
        <v>0.22470000000000001</v>
      </c>
      <c r="K618" s="48">
        <f t="shared" si="66"/>
        <v>2691.47</v>
      </c>
      <c r="L618" s="48">
        <f t="shared" si="67"/>
        <v>371.92</v>
      </c>
      <c r="M618" s="48">
        <f t="shared" si="68"/>
        <v>242232.3</v>
      </c>
      <c r="N618" s="48">
        <f t="shared" si="69"/>
        <v>33472.800000000003</v>
      </c>
      <c r="O618" s="50">
        <f t="shared" si="70"/>
        <v>275705.09999999998</v>
      </c>
      <c r="P618" s="50">
        <v>0</v>
      </c>
      <c r="Q618" s="76"/>
      <c r="R618" s="139">
        <f>2*S9+2*S10</f>
        <v>90</v>
      </c>
      <c r="S618" s="79">
        <v>2197.66</v>
      </c>
      <c r="T618" s="80">
        <v>303.69</v>
      </c>
    </row>
    <row r="619" spans="2:20" ht="70">
      <c r="B619" s="5" t="s">
        <v>1463</v>
      </c>
      <c r="C619" s="45" t="s">
        <v>135</v>
      </c>
      <c r="D619" s="45">
        <v>103289</v>
      </c>
      <c r="E619" s="6" t="s">
        <v>1464</v>
      </c>
      <c r="F619" s="45" t="s">
        <v>187</v>
      </c>
      <c r="G619" s="46">
        <f t="shared" si="71"/>
        <v>450</v>
      </c>
      <c r="H619" s="46">
        <f>TRUNC(S619*(1-LOTE_02!$K$10),2)</f>
        <v>33.86</v>
      </c>
      <c r="I619" s="46">
        <f>TRUNC(T619*(1-LOTE_02!$K$10),2)</f>
        <v>3.02</v>
      </c>
      <c r="J619" s="100">
        <f t="shared" si="72"/>
        <v>0.22470000000000001</v>
      </c>
      <c r="K619" s="48">
        <f t="shared" si="66"/>
        <v>41.46</v>
      </c>
      <c r="L619" s="48">
        <f t="shared" si="67"/>
        <v>3.69</v>
      </c>
      <c r="M619" s="48">
        <f t="shared" si="68"/>
        <v>18657</v>
      </c>
      <c r="N619" s="48">
        <f t="shared" si="69"/>
        <v>1660.5</v>
      </c>
      <c r="O619" s="50">
        <f t="shared" si="70"/>
        <v>20317.5</v>
      </c>
      <c r="P619" s="50">
        <v>0</v>
      </c>
      <c r="Q619" s="76"/>
      <c r="R619" s="139">
        <f>10*S9+10*S10</f>
        <v>450</v>
      </c>
      <c r="S619" s="79">
        <v>33.86</v>
      </c>
      <c r="T619" s="80">
        <v>3.02</v>
      </c>
    </row>
    <row r="620" spans="2:20" ht="70">
      <c r="B620" s="5" t="s">
        <v>1465</v>
      </c>
      <c r="C620" s="45" t="s">
        <v>135</v>
      </c>
      <c r="D620" s="45">
        <v>103290</v>
      </c>
      <c r="E620" s="6" t="s">
        <v>1466</v>
      </c>
      <c r="F620" s="45" t="s">
        <v>187</v>
      </c>
      <c r="G620" s="46">
        <f t="shared" si="71"/>
        <v>450</v>
      </c>
      <c r="H620" s="46">
        <f>TRUNC(S620*(1-LOTE_02!$K$10),2)</f>
        <v>57.52</v>
      </c>
      <c r="I620" s="46">
        <f>TRUNC(T620*(1-LOTE_02!$K$10),2)</f>
        <v>3.34</v>
      </c>
      <c r="J620" s="100">
        <f t="shared" si="72"/>
        <v>0.22470000000000001</v>
      </c>
      <c r="K620" s="48">
        <f t="shared" si="66"/>
        <v>70.44</v>
      </c>
      <c r="L620" s="48">
        <f t="shared" si="67"/>
        <v>4.09</v>
      </c>
      <c r="M620" s="48">
        <f t="shared" si="68"/>
        <v>31698</v>
      </c>
      <c r="N620" s="48">
        <f t="shared" si="69"/>
        <v>1840.5</v>
      </c>
      <c r="O620" s="50">
        <f t="shared" si="70"/>
        <v>33538.5</v>
      </c>
      <c r="P620" s="50">
        <v>0</v>
      </c>
      <c r="Q620" s="76"/>
      <c r="R620" s="139">
        <f>10*S9+10*S10</f>
        <v>450</v>
      </c>
      <c r="S620" s="79">
        <v>57.519999999999996</v>
      </c>
      <c r="T620" s="80">
        <v>3.34</v>
      </c>
    </row>
    <row r="621" spans="2:20" ht="70">
      <c r="B621" s="5" t="s">
        <v>1467</v>
      </c>
      <c r="C621" s="45" t="s">
        <v>135</v>
      </c>
      <c r="D621" s="45">
        <v>103291</v>
      </c>
      <c r="E621" s="6" t="s">
        <v>1468</v>
      </c>
      <c r="F621" s="45" t="s">
        <v>187</v>
      </c>
      <c r="G621" s="46">
        <f t="shared" si="71"/>
        <v>450</v>
      </c>
      <c r="H621" s="46">
        <f>TRUNC(S621*(1-LOTE_02!$K$10),2)</f>
        <v>71.3</v>
      </c>
      <c r="I621" s="46">
        <f>TRUNC(T621*(1-LOTE_02!$K$10),2)</f>
        <v>3.67</v>
      </c>
      <c r="J621" s="100">
        <f t="shared" si="72"/>
        <v>0.22470000000000001</v>
      </c>
      <c r="K621" s="48">
        <f t="shared" si="66"/>
        <v>87.32</v>
      </c>
      <c r="L621" s="48">
        <f t="shared" si="67"/>
        <v>4.49</v>
      </c>
      <c r="M621" s="48">
        <f t="shared" si="68"/>
        <v>39294</v>
      </c>
      <c r="N621" s="48">
        <f t="shared" si="69"/>
        <v>2020.5</v>
      </c>
      <c r="O621" s="50">
        <f t="shared" si="70"/>
        <v>41314.5</v>
      </c>
      <c r="P621" s="50">
        <v>0</v>
      </c>
      <c r="Q621" s="76"/>
      <c r="R621" s="139">
        <f>10*S9+10*S10</f>
        <v>450</v>
      </c>
      <c r="S621" s="79">
        <v>71.3</v>
      </c>
      <c r="T621" s="80">
        <v>3.67</v>
      </c>
    </row>
    <row r="622" spans="2:20" ht="70">
      <c r="B622" s="5" t="s">
        <v>1469</v>
      </c>
      <c r="C622" s="45" t="s">
        <v>135</v>
      </c>
      <c r="D622" s="45">
        <v>103292</v>
      </c>
      <c r="E622" s="6" t="s">
        <v>1470</v>
      </c>
      <c r="F622" s="45" t="s">
        <v>187</v>
      </c>
      <c r="G622" s="46">
        <f t="shared" si="71"/>
        <v>450</v>
      </c>
      <c r="H622" s="46">
        <f>TRUNC(S622*(1-LOTE_02!$K$10),2)</f>
        <v>86.54</v>
      </c>
      <c r="I622" s="46">
        <f>TRUNC(T622*(1-LOTE_02!$K$10),2)</f>
        <v>4.01</v>
      </c>
      <c r="J622" s="100">
        <f t="shared" si="72"/>
        <v>0.22470000000000001</v>
      </c>
      <c r="K622" s="48">
        <f t="shared" si="66"/>
        <v>105.98</v>
      </c>
      <c r="L622" s="48">
        <f t="shared" si="67"/>
        <v>4.91</v>
      </c>
      <c r="M622" s="48">
        <f t="shared" si="68"/>
        <v>47691</v>
      </c>
      <c r="N622" s="48">
        <f t="shared" si="69"/>
        <v>2209.5</v>
      </c>
      <c r="O622" s="50">
        <f t="shared" si="70"/>
        <v>49900.5</v>
      </c>
      <c r="P622" s="50">
        <v>0</v>
      </c>
      <c r="Q622" s="76"/>
      <c r="R622" s="139">
        <f>10*S9+10*S10</f>
        <v>450</v>
      </c>
      <c r="S622" s="79">
        <v>86.539999999999992</v>
      </c>
      <c r="T622" s="80">
        <v>4.01</v>
      </c>
    </row>
    <row r="623" spans="2:20" ht="28">
      <c r="B623" s="5" t="s">
        <v>1471</v>
      </c>
      <c r="C623" s="45" t="s">
        <v>97</v>
      </c>
      <c r="D623" s="45" t="s">
        <v>1472</v>
      </c>
      <c r="E623" s="6" t="s">
        <v>1473</v>
      </c>
      <c r="F623" s="45" t="s">
        <v>104</v>
      </c>
      <c r="G623" s="46">
        <f t="shared" si="71"/>
        <v>225</v>
      </c>
      <c r="H623" s="46">
        <f>TRUNC(S623*(1-LOTE_02!$K$10),2)</f>
        <v>323.93</v>
      </c>
      <c r="I623" s="46">
        <f>TRUNC(T623*(1-LOTE_02!$K$10),2)</f>
        <v>354.78</v>
      </c>
      <c r="J623" s="100">
        <f t="shared" si="72"/>
        <v>0.22470000000000001</v>
      </c>
      <c r="K623" s="48">
        <f t="shared" si="66"/>
        <v>396.71</v>
      </c>
      <c r="L623" s="48">
        <f t="shared" si="67"/>
        <v>434.49</v>
      </c>
      <c r="M623" s="48">
        <f t="shared" si="68"/>
        <v>89259.75</v>
      </c>
      <c r="N623" s="48">
        <f t="shared" si="69"/>
        <v>97760.25</v>
      </c>
      <c r="O623" s="50">
        <f t="shared" si="70"/>
        <v>187020</v>
      </c>
      <c r="P623" s="50">
        <v>0</v>
      </c>
      <c r="Q623" s="76"/>
      <c r="R623" s="139">
        <f>5*S9+5*S10</f>
        <v>225</v>
      </c>
      <c r="S623" s="79">
        <v>323.93</v>
      </c>
      <c r="T623" s="80">
        <v>354.78</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29535958.120000005</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50">
        <v>0</v>
      </c>
      <c r="Q625" s="76"/>
      <c r="R625" s="154"/>
      <c r="S625" s="79" t="s">
        <v>22</v>
      </c>
      <c r="T625" s="80" t="s">
        <v>22</v>
      </c>
    </row>
    <row r="626" spans="2:20" ht="84">
      <c r="B626" s="5" t="s">
        <v>1476</v>
      </c>
      <c r="C626" s="45" t="s">
        <v>97</v>
      </c>
      <c r="D626" s="45" t="s">
        <v>1477</v>
      </c>
      <c r="E626" s="6" t="s">
        <v>1478</v>
      </c>
      <c r="F626" s="45" t="s">
        <v>121</v>
      </c>
      <c r="G626" s="46">
        <f t="shared" si="71"/>
        <v>1350</v>
      </c>
      <c r="H626" s="46">
        <f>TRUNC(S626*(1-LOTE_02!$K$10),2)</f>
        <v>326.49</v>
      </c>
      <c r="I626" s="46">
        <f>TRUNC(T626*(1-LOTE_02!$K$10),2)</f>
        <v>30.84</v>
      </c>
      <c r="J626" s="100">
        <f t="shared" si="72"/>
        <v>0.22470000000000001</v>
      </c>
      <c r="K626" s="48">
        <f t="shared" si="66"/>
        <v>399.85</v>
      </c>
      <c r="L626" s="48">
        <f t="shared" si="67"/>
        <v>37.76</v>
      </c>
      <c r="M626" s="48">
        <f t="shared" si="68"/>
        <v>539797.5</v>
      </c>
      <c r="N626" s="48">
        <f t="shared" si="69"/>
        <v>50976</v>
      </c>
      <c r="O626" s="50">
        <f t="shared" si="70"/>
        <v>590773.5</v>
      </c>
      <c r="P626" s="50">
        <v>0</v>
      </c>
      <c r="Q626" s="76"/>
      <c r="R626" s="139">
        <f>30*(S9+S10)</f>
        <v>1350</v>
      </c>
      <c r="S626" s="79">
        <v>326.49</v>
      </c>
      <c r="T626" s="80">
        <v>30.84</v>
      </c>
    </row>
    <row r="627" spans="2:20" ht="70">
      <c r="B627" s="5" t="s">
        <v>1479</v>
      </c>
      <c r="C627" s="45" t="s">
        <v>97</v>
      </c>
      <c r="D627" s="45" t="s">
        <v>1480</v>
      </c>
      <c r="E627" s="6" t="s">
        <v>1481</v>
      </c>
      <c r="F627" s="45" t="s">
        <v>104</v>
      </c>
      <c r="G627" s="46">
        <f t="shared" si="71"/>
        <v>10</v>
      </c>
      <c r="H627" s="46">
        <f>TRUNC(S627*(1-LOTE_02!$K$10),2)</f>
        <v>1685.82</v>
      </c>
      <c r="I627" s="46">
        <f>TRUNC(T627*(1-LOTE_02!$K$10),2)</f>
        <v>125.88</v>
      </c>
      <c r="J627" s="100">
        <f t="shared" si="72"/>
        <v>0.22470000000000001</v>
      </c>
      <c r="K627" s="48">
        <f t="shared" si="66"/>
        <v>2064.62</v>
      </c>
      <c r="L627" s="48">
        <f t="shared" si="67"/>
        <v>154.16</v>
      </c>
      <c r="M627" s="48">
        <f t="shared" si="68"/>
        <v>20646.2</v>
      </c>
      <c r="N627" s="48">
        <f t="shared" si="69"/>
        <v>1541.6</v>
      </c>
      <c r="O627" s="50">
        <f t="shared" si="70"/>
        <v>22187.8</v>
      </c>
      <c r="P627" s="50">
        <v>0</v>
      </c>
      <c r="Q627" s="76"/>
      <c r="R627" s="140">
        <f>IF((S9+S10)&gt;10,10,(S9+S10))</f>
        <v>10</v>
      </c>
      <c r="S627" s="79">
        <v>1685.82</v>
      </c>
      <c r="T627" s="80">
        <v>125.88</v>
      </c>
    </row>
    <row r="628" spans="2:20" ht="56">
      <c r="B628" s="5" t="s">
        <v>1482</v>
      </c>
      <c r="C628" s="45" t="s">
        <v>97</v>
      </c>
      <c r="D628" s="45" t="s">
        <v>467</v>
      </c>
      <c r="E628" s="6" t="s">
        <v>468</v>
      </c>
      <c r="F628" s="45" t="s">
        <v>121</v>
      </c>
      <c r="G628" s="46">
        <f t="shared" si="71"/>
        <v>3019.5</v>
      </c>
      <c r="H628" s="46">
        <f>TRUNC(S628*(1-LOTE_02!$K$10),2)</f>
        <v>408.68</v>
      </c>
      <c r="I628" s="46">
        <f>TRUNC(T628*(1-LOTE_02!$K$10),2)</f>
        <v>147.4</v>
      </c>
      <c r="J628" s="100">
        <f t="shared" si="72"/>
        <v>0.22470000000000001</v>
      </c>
      <c r="K628" s="48">
        <f t="shared" si="66"/>
        <v>500.51</v>
      </c>
      <c r="L628" s="48">
        <f t="shared" si="67"/>
        <v>180.52</v>
      </c>
      <c r="M628" s="48">
        <f t="shared" si="68"/>
        <v>1511289.94</v>
      </c>
      <c r="N628" s="48">
        <f t="shared" si="69"/>
        <v>545080.14</v>
      </c>
      <c r="O628" s="50">
        <f t="shared" si="70"/>
        <v>2056370.08</v>
      </c>
      <c r="P628" s="50">
        <v>0</v>
      </c>
      <c r="Q628" s="76"/>
      <c r="R628" s="139">
        <f>(13.5+12.5+5.5+22.6+13)*(S9+S10)</f>
        <v>3019.4999999999995</v>
      </c>
      <c r="S628" s="79">
        <v>408.68</v>
      </c>
      <c r="T628" s="80">
        <v>147.4</v>
      </c>
    </row>
    <row r="629" spans="2:20" ht="28">
      <c r="B629" s="5" t="s">
        <v>1483</v>
      </c>
      <c r="C629" s="45" t="s">
        <v>97</v>
      </c>
      <c r="D629" s="45" t="s">
        <v>1484</v>
      </c>
      <c r="E629" s="6" t="s">
        <v>1485</v>
      </c>
      <c r="F629" s="45" t="s">
        <v>121</v>
      </c>
      <c r="G629" s="46">
        <f t="shared" si="71"/>
        <v>360</v>
      </c>
      <c r="H629" s="46">
        <f>TRUNC(S629*(1-LOTE_02!$K$10),2)</f>
        <v>444.98</v>
      </c>
      <c r="I629" s="46">
        <f>TRUNC(T629*(1-LOTE_02!$K$10),2)</f>
        <v>4.45</v>
      </c>
      <c r="J629" s="100">
        <f t="shared" si="72"/>
        <v>0.22470000000000001</v>
      </c>
      <c r="K629" s="48">
        <f t="shared" si="66"/>
        <v>544.96</v>
      </c>
      <c r="L629" s="48">
        <f t="shared" si="67"/>
        <v>5.44</v>
      </c>
      <c r="M629" s="48">
        <f t="shared" si="68"/>
        <v>196185.60000000001</v>
      </c>
      <c r="N629" s="48">
        <f t="shared" si="69"/>
        <v>1958.4</v>
      </c>
      <c r="O629" s="50">
        <f t="shared" si="70"/>
        <v>198144</v>
      </c>
      <c r="P629" s="50">
        <v>0</v>
      </c>
      <c r="Q629" s="76"/>
      <c r="R629" s="139">
        <f>8*(S9+S10)</f>
        <v>360</v>
      </c>
      <c r="S629" s="79">
        <v>444.98</v>
      </c>
      <c r="T629" s="80">
        <v>4.45</v>
      </c>
    </row>
    <row r="630" spans="2:20" ht="126">
      <c r="B630" s="5" t="s">
        <v>1486</v>
      </c>
      <c r="C630" s="45" t="s">
        <v>97</v>
      </c>
      <c r="D630" s="45" t="s">
        <v>1487</v>
      </c>
      <c r="E630" s="6" t="s">
        <v>1488</v>
      </c>
      <c r="F630" s="45" t="s">
        <v>104</v>
      </c>
      <c r="G630" s="46">
        <f t="shared" si="71"/>
        <v>45</v>
      </c>
      <c r="H630" s="46">
        <f>TRUNC(S630*(1-LOTE_02!$K$10),2)</f>
        <v>11792.74</v>
      </c>
      <c r="I630" s="46">
        <f>TRUNC(T630*(1-LOTE_02!$K$10),2)</f>
        <v>1419.42</v>
      </c>
      <c r="J630" s="100">
        <f t="shared" si="72"/>
        <v>0.22470000000000001</v>
      </c>
      <c r="K630" s="48">
        <f t="shared" si="66"/>
        <v>14442.56</v>
      </c>
      <c r="L630" s="48">
        <f t="shared" si="67"/>
        <v>1738.36</v>
      </c>
      <c r="M630" s="48">
        <f t="shared" si="68"/>
        <v>649915.19999999995</v>
      </c>
      <c r="N630" s="48">
        <f t="shared" si="69"/>
        <v>78226.2</v>
      </c>
      <c r="O630" s="50">
        <f t="shared" si="70"/>
        <v>728141.4</v>
      </c>
      <c r="P630" s="50">
        <v>0</v>
      </c>
      <c r="Q630" s="76"/>
      <c r="R630" s="139">
        <f>1*(S9+S10)</f>
        <v>45</v>
      </c>
      <c r="S630" s="79">
        <v>11792.74</v>
      </c>
      <c r="T630" s="80">
        <v>1419.42</v>
      </c>
    </row>
    <row r="631" spans="2:20" ht="42">
      <c r="B631" s="5" t="s">
        <v>1489</v>
      </c>
      <c r="C631" s="45" t="s">
        <v>97</v>
      </c>
      <c r="D631" s="45" t="s">
        <v>1490</v>
      </c>
      <c r="E631" s="6" t="s">
        <v>1491</v>
      </c>
      <c r="F631" s="45" t="s">
        <v>104</v>
      </c>
      <c r="G631" s="46">
        <f t="shared" si="71"/>
        <v>45</v>
      </c>
      <c r="H631" s="46">
        <f>TRUNC(S631*(1-LOTE_02!$K$10),2)</f>
        <v>3047.32</v>
      </c>
      <c r="I631" s="46">
        <f>TRUNC(T631*(1-LOTE_02!$K$10),2)</f>
        <v>411.34</v>
      </c>
      <c r="J631" s="100">
        <f t="shared" si="72"/>
        <v>0.22470000000000001</v>
      </c>
      <c r="K631" s="48">
        <f t="shared" si="66"/>
        <v>3732.05</v>
      </c>
      <c r="L631" s="48">
        <f t="shared" si="67"/>
        <v>503.76</v>
      </c>
      <c r="M631" s="48">
        <f t="shared" si="68"/>
        <v>167942.25</v>
      </c>
      <c r="N631" s="48">
        <f t="shared" si="69"/>
        <v>22669.200000000001</v>
      </c>
      <c r="O631" s="50">
        <f t="shared" si="70"/>
        <v>190611.45</v>
      </c>
      <c r="P631" s="50">
        <v>0</v>
      </c>
      <c r="Q631" s="76"/>
      <c r="R631" s="139">
        <f>1*(S9+S10)</f>
        <v>45</v>
      </c>
      <c r="S631" s="79">
        <v>3047.32</v>
      </c>
      <c r="T631" s="80">
        <v>411.34</v>
      </c>
    </row>
    <row r="632" spans="2:20" ht="84">
      <c r="B632" s="5" t="s">
        <v>1492</v>
      </c>
      <c r="C632" s="45" t="s">
        <v>97</v>
      </c>
      <c r="D632" s="45" t="s">
        <v>1493</v>
      </c>
      <c r="E632" s="6" t="s">
        <v>1494</v>
      </c>
      <c r="F632" s="45" t="s">
        <v>104</v>
      </c>
      <c r="G632" s="46">
        <f t="shared" si="71"/>
        <v>45</v>
      </c>
      <c r="H632" s="46">
        <f>TRUNC(S632*(1-LOTE_02!$K$10),2)</f>
        <v>9032.7900000000009</v>
      </c>
      <c r="I632" s="46">
        <f>TRUNC(T632*(1-LOTE_02!$K$10),2)</f>
        <v>116.1</v>
      </c>
      <c r="J632" s="100">
        <f t="shared" si="72"/>
        <v>0.22470000000000001</v>
      </c>
      <c r="K632" s="48">
        <f t="shared" si="66"/>
        <v>11062.45</v>
      </c>
      <c r="L632" s="48">
        <f t="shared" si="67"/>
        <v>142.18</v>
      </c>
      <c r="M632" s="48">
        <f t="shared" si="68"/>
        <v>497810.25</v>
      </c>
      <c r="N632" s="48">
        <f t="shared" si="69"/>
        <v>6398.1</v>
      </c>
      <c r="O632" s="50">
        <f t="shared" si="70"/>
        <v>504208.35</v>
      </c>
      <c r="P632" s="50">
        <v>0</v>
      </c>
      <c r="Q632" s="76"/>
      <c r="R632" s="139">
        <f>1*(S9+S10)</f>
        <v>45</v>
      </c>
      <c r="S632" s="79">
        <v>9032.7900000000009</v>
      </c>
      <c r="T632" s="80">
        <v>116.1</v>
      </c>
    </row>
    <row r="633" spans="2:20" ht="84">
      <c r="B633" s="5" t="s">
        <v>1495</v>
      </c>
      <c r="C633" s="45" t="s">
        <v>97</v>
      </c>
      <c r="D633" s="45" t="s">
        <v>1496</v>
      </c>
      <c r="E633" s="6" t="s">
        <v>1497</v>
      </c>
      <c r="F633" s="45" t="s">
        <v>104</v>
      </c>
      <c r="G633" s="46">
        <f t="shared" si="71"/>
        <v>45</v>
      </c>
      <c r="H633" s="46">
        <f>TRUNC(S633*(1-LOTE_02!$K$10),2)</f>
        <v>6820.54</v>
      </c>
      <c r="I633" s="46">
        <f>TRUNC(T633*(1-LOTE_02!$K$10),2)</f>
        <v>116.1</v>
      </c>
      <c r="J633" s="100">
        <f t="shared" si="72"/>
        <v>0.22470000000000001</v>
      </c>
      <c r="K633" s="48">
        <f t="shared" si="66"/>
        <v>8353.11</v>
      </c>
      <c r="L633" s="48">
        <f t="shared" si="67"/>
        <v>142.18</v>
      </c>
      <c r="M633" s="48">
        <f t="shared" si="68"/>
        <v>375889.95</v>
      </c>
      <c r="N633" s="48">
        <f t="shared" si="69"/>
        <v>6398.1</v>
      </c>
      <c r="O633" s="50">
        <f t="shared" si="70"/>
        <v>382288.05</v>
      </c>
      <c r="P633" s="50">
        <v>0</v>
      </c>
      <c r="Q633" s="76"/>
      <c r="R633" s="139">
        <f>1*(S9+S10)</f>
        <v>45</v>
      </c>
      <c r="S633" s="79">
        <v>6820.54</v>
      </c>
      <c r="T633" s="80">
        <v>116.1</v>
      </c>
    </row>
    <row r="634" spans="2:20" ht="56">
      <c r="B634" s="5" t="s">
        <v>1498</v>
      </c>
      <c r="C634" s="45" t="s">
        <v>97</v>
      </c>
      <c r="D634" s="45" t="s">
        <v>1499</v>
      </c>
      <c r="E634" s="6" t="s">
        <v>1500</v>
      </c>
      <c r="F634" s="45" t="s">
        <v>121</v>
      </c>
      <c r="G634" s="46">
        <f t="shared" si="71"/>
        <v>675</v>
      </c>
      <c r="H634" s="46">
        <f>TRUNC(S634*(1-LOTE_02!$K$10),2)</f>
        <v>447.07</v>
      </c>
      <c r="I634" s="46">
        <f>TRUNC(T634*(1-LOTE_02!$K$10),2)</f>
        <v>7.74</v>
      </c>
      <c r="J634" s="100">
        <f t="shared" si="72"/>
        <v>0.22470000000000001</v>
      </c>
      <c r="K634" s="48">
        <f t="shared" si="66"/>
        <v>547.52</v>
      </c>
      <c r="L634" s="48">
        <f t="shared" si="67"/>
        <v>9.4700000000000006</v>
      </c>
      <c r="M634" s="48">
        <f t="shared" si="68"/>
        <v>369576</v>
      </c>
      <c r="N634" s="48">
        <f t="shared" si="69"/>
        <v>6392.25</v>
      </c>
      <c r="O634" s="50">
        <f t="shared" si="70"/>
        <v>375968.25</v>
      </c>
      <c r="P634" s="50">
        <v>0</v>
      </c>
      <c r="Q634" s="76"/>
      <c r="R634" s="139">
        <f>15*(S9+S10)</f>
        <v>675</v>
      </c>
      <c r="S634" s="79">
        <v>447.07</v>
      </c>
      <c r="T634" s="80">
        <v>7.74</v>
      </c>
    </row>
    <row r="635" spans="2:20" ht="28">
      <c r="B635" s="5" t="s">
        <v>1501</v>
      </c>
      <c r="C635" s="45" t="s">
        <v>97</v>
      </c>
      <c r="D635" s="45" t="s">
        <v>1502</v>
      </c>
      <c r="E635" s="6" t="s">
        <v>1503</v>
      </c>
      <c r="F635" s="45" t="s">
        <v>104</v>
      </c>
      <c r="G635" s="46">
        <f t="shared" si="71"/>
        <v>90</v>
      </c>
      <c r="H635" s="46">
        <f>TRUNC(S635*(1-LOTE_02!$K$10),2)</f>
        <v>315.64</v>
      </c>
      <c r="I635" s="46">
        <f>TRUNC(T635*(1-LOTE_02!$K$10),2)</f>
        <v>23.2</v>
      </c>
      <c r="J635" s="100">
        <f t="shared" si="72"/>
        <v>0.22470000000000001</v>
      </c>
      <c r="K635" s="48">
        <f t="shared" si="66"/>
        <v>386.56</v>
      </c>
      <c r="L635" s="48">
        <f t="shared" si="67"/>
        <v>28.41</v>
      </c>
      <c r="M635" s="48">
        <f t="shared" si="68"/>
        <v>34790.400000000001</v>
      </c>
      <c r="N635" s="48">
        <f t="shared" si="69"/>
        <v>2556.9</v>
      </c>
      <c r="O635" s="50">
        <f t="shared" si="70"/>
        <v>37347.300000000003</v>
      </c>
      <c r="P635" s="50">
        <v>0</v>
      </c>
      <c r="Q635" s="76"/>
      <c r="R635" s="139">
        <f>2*(S9+S10)</f>
        <v>90</v>
      </c>
      <c r="S635" s="79">
        <v>315.64</v>
      </c>
      <c r="T635" s="80">
        <v>23.2</v>
      </c>
    </row>
    <row r="636" spans="2:20" ht="56">
      <c r="B636" s="5" t="s">
        <v>1504</v>
      </c>
      <c r="C636" s="45" t="s">
        <v>97</v>
      </c>
      <c r="D636" s="45" t="s">
        <v>1505</v>
      </c>
      <c r="E636" s="6" t="s">
        <v>1506</v>
      </c>
      <c r="F636" s="45" t="s">
        <v>104</v>
      </c>
      <c r="G636" s="46">
        <f t="shared" si="71"/>
        <v>45</v>
      </c>
      <c r="H636" s="46">
        <f>TRUNC(S636*(1-LOTE_02!$K$10),2)</f>
        <v>217.83</v>
      </c>
      <c r="I636" s="46">
        <f>TRUNC(T636*(1-LOTE_02!$K$10),2)</f>
        <v>3.28</v>
      </c>
      <c r="J636" s="100">
        <f t="shared" si="72"/>
        <v>0.22470000000000001</v>
      </c>
      <c r="K636" s="48">
        <f t="shared" si="66"/>
        <v>266.77</v>
      </c>
      <c r="L636" s="48">
        <f t="shared" si="67"/>
        <v>4.01</v>
      </c>
      <c r="M636" s="48">
        <f t="shared" si="68"/>
        <v>12004.65</v>
      </c>
      <c r="N636" s="48">
        <f t="shared" si="69"/>
        <v>180.45</v>
      </c>
      <c r="O636" s="50">
        <f t="shared" si="70"/>
        <v>12185.1</v>
      </c>
      <c r="P636" s="50">
        <v>0</v>
      </c>
      <c r="Q636" s="76"/>
      <c r="R636" s="139">
        <f>1*(S9+S10)</f>
        <v>45</v>
      </c>
      <c r="S636" s="79">
        <v>217.83</v>
      </c>
      <c r="T636" s="80">
        <v>3.28</v>
      </c>
    </row>
    <row r="637" spans="2:20" ht="42">
      <c r="B637" s="5" t="s">
        <v>1507</v>
      </c>
      <c r="C637" s="45" t="s">
        <v>97</v>
      </c>
      <c r="D637" s="45" t="s">
        <v>1508</v>
      </c>
      <c r="E637" s="6" t="s">
        <v>1509</v>
      </c>
      <c r="F637" s="45" t="s">
        <v>121</v>
      </c>
      <c r="G637" s="46">
        <f t="shared" si="71"/>
        <v>225</v>
      </c>
      <c r="H637" s="46">
        <f>TRUNC(S637*(1-LOTE_02!$K$10),2)</f>
        <v>3509.47</v>
      </c>
      <c r="I637" s="46">
        <f>TRUNC(T637*(1-LOTE_02!$K$10),2)</f>
        <v>38.700000000000003</v>
      </c>
      <c r="J637" s="100">
        <f t="shared" si="72"/>
        <v>0.22470000000000001</v>
      </c>
      <c r="K637" s="48">
        <f t="shared" si="66"/>
        <v>4298.04</v>
      </c>
      <c r="L637" s="48">
        <f t="shared" si="67"/>
        <v>47.39</v>
      </c>
      <c r="M637" s="48">
        <f t="shared" si="68"/>
        <v>967059</v>
      </c>
      <c r="N637" s="48">
        <f t="shared" si="69"/>
        <v>10662.75</v>
      </c>
      <c r="O637" s="50">
        <f t="shared" si="70"/>
        <v>977721.75</v>
      </c>
      <c r="P637" s="50">
        <v>0</v>
      </c>
      <c r="Q637" s="76"/>
      <c r="R637" s="139">
        <f>2.5*2*(S9+S10)</f>
        <v>225</v>
      </c>
      <c r="S637" s="79">
        <v>3509.47</v>
      </c>
      <c r="T637" s="80">
        <v>38.700000000000003</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50">
        <v>0</v>
      </c>
      <c r="Q638" s="76"/>
      <c r="R638" s="154"/>
      <c r="S638" s="79" t="s">
        <v>22</v>
      </c>
      <c r="T638" s="80" t="s">
        <v>22</v>
      </c>
    </row>
    <row r="639" spans="2:20" ht="98">
      <c r="B639" s="5" t="s">
        <v>1512</v>
      </c>
      <c r="C639" s="45" t="s">
        <v>135</v>
      </c>
      <c r="D639" s="45">
        <v>96369</v>
      </c>
      <c r="E639" s="6" t="s">
        <v>1513</v>
      </c>
      <c r="F639" s="45" t="s">
        <v>121</v>
      </c>
      <c r="G639" s="46">
        <f t="shared" si="71"/>
        <v>810</v>
      </c>
      <c r="H639" s="46">
        <f>TRUNC(S639*(1-LOTE_02!$K$10),2)</f>
        <v>202.19</v>
      </c>
      <c r="I639" s="46">
        <f>TRUNC(T639*(1-LOTE_02!$K$10),2)</f>
        <v>21.42</v>
      </c>
      <c r="J639" s="100">
        <f t="shared" si="72"/>
        <v>0.22470000000000001</v>
      </c>
      <c r="K639" s="48">
        <f t="shared" si="66"/>
        <v>247.62</v>
      </c>
      <c r="L639" s="48">
        <f t="shared" si="67"/>
        <v>26.23</v>
      </c>
      <c r="M639" s="48">
        <f t="shared" si="68"/>
        <v>200572.2</v>
      </c>
      <c r="N639" s="48">
        <f t="shared" si="69"/>
        <v>21246.3</v>
      </c>
      <c r="O639" s="50">
        <f t="shared" si="70"/>
        <v>221818.5</v>
      </c>
      <c r="P639" s="50">
        <v>0</v>
      </c>
      <c r="Q639" s="76"/>
      <c r="R639" s="139">
        <f>4.5*4*(S9+S10)</f>
        <v>810</v>
      </c>
      <c r="S639" s="79">
        <v>202.19</v>
      </c>
      <c r="T639" s="80">
        <v>21.42</v>
      </c>
    </row>
    <row r="640" spans="2:20" ht="98">
      <c r="B640" s="5" t="s">
        <v>1514</v>
      </c>
      <c r="C640" s="45" t="s">
        <v>97</v>
      </c>
      <c r="D640" s="45" t="s">
        <v>1515</v>
      </c>
      <c r="E640" s="6" t="s">
        <v>1516</v>
      </c>
      <c r="F640" s="45" t="s">
        <v>121</v>
      </c>
      <c r="G640" s="46">
        <f t="shared" si="71"/>
        <v>405</v>
      </c>
      <c r="H640" s="46">
        <f>TRUNC(S640*(1-LOTE_02!$K$10),2)</f>
        <v>1303.3</v>
      </c>
      <c r="I640" s="46">
        <f>TRUNC(T640*(1-LOTE_02!$K$10),2)</f>
        <v>19.350000000000001</v>
      </c>
      <c r="J640" s="100">
        <f t="shared" si="72"/>
        <v>0.22470000000000001</v>
      </c>
      <c r="K640" s="48">
        <f t="shared" si="66"/>
        <v>1596.15</v>
      </c>
      <c r="L640" s="48">
        <f t="shared" si="67"/>
        <v>23.69</v>
      </c>
      <c r="M640" s="48">
        <f t="shared" si="68"/>
        <v>646440.75</v>
      </c>
      <c r="N640" s="48">
        <f t="shared" si="69"/>
        <v>9594.4500000000007</v>
      </c>
      <c r="O640" s="50">
        <f t="shared" si="70"/>
        <v>656035.19999999995</v>
      </c>
      <c r="P640" s="50">
        <v>0</v>
      </c>
      <c r="Q640" s="76"/>
      <c r="R640" s="139">
        <f>1.2*3*2.5*(S9+S10)</f>
        <v>405</v>
      </c>
      <c r="S640" s="79">
        <v>1303.3</v>
      </c>
      <c r="T640" s="80">
        <v>19.350000000000001</v>
      </c>
    </row>
    <row r="641" spans="2:20" ht="42">
      <c r="B641" s="5" t="s">
        <v>1517</v>
      </c>
      <c r="C641" s="45" t="s">
        <v>97</v>
      </c>
      <c r="D641" s="45" t="s">
        <v>1518</v>
      </c>
      <c r="E641" s="6" t="s">
        <v>1519</v>
      </c>
      <c r="F641" s="45" t="s">
        <v>121</v>
      </c>
      <c r="G641" s="46">
        <f t="shared" si="71"/>
        <v>405</v>
      </c>
      <c r="H641" s="46">
        <f>TRUNC(S641*(1-LOTE_02!$K$10),2)</f>
        <v>617.38</v>
      </c>
      <c r="I641" s="46">
        <f>TRUNC(T641*(1-LOTE_02!$K$10),2)</f>
        <v>17.97</v>
      </c>
      <c r="J641" s="100">
        <f t="shared" si="72"/>
        <v>0.22470000000000001</v>
      </c>
      <c r="K641" s="48">
        <f t="shared" si="66"/>
        <v>756.1</v>
      </c>
      <c r="L641" s="48">
        <f t="shared" si="67"/>
        <v>22</v>
      </c>
      <c r="M641" s="48">
        <f t="shared" si="68"/>
        <v>306220.5</v>
      </c>
      <c r="N641" s="48">
        <f t="shared" si="69"/>
        <v>8910</v>
      </c>
      <c r="O641" s="50">
        <f t="shared" si="70"/>
        <v>315130.5</v>
      </c>
      <c r="P641" s="50">
        <v>0</v>
      </c>
      <c r="Q641" s="76"/>
      <c r="R641" s="139">
        <f>(R639-R640)</f>
        <v>405</v>
      </c>
      <c r="S641" s="79">
        <v>617.38</v>
      </c>
      <c r="T641" s="80">
        <v>17.97</v>
      </c>
    </row>
    <row r="642" spans="2:20" ht="70">
      <c r="B642" s="5" t="s">
        <v>1520</v>
      </c>
      <c r="C642" s="45" t="s">
        <v>97</v>
      </c>
      <c r="D642" s="45" t="s">
        <v>1521</v>
      </c>
      <c r="E642" s="6" t="s">
        <v>1522</v>
      </c>
      <c r="F642" s="45" t="s">
        <v>104</v>
      </c>
      <c r="G642" s="46">
        <f t="shared" si="71"/>
        <v>135</v>
      </c>
      <c r="H642" s="46">
        <f>TRUNC(S642*(1-LOTE_02!$K$10),2)</f>
        <v>1135.98</v>
      </c>
      <c r="I642" s="46">
        <f>TRUNC(T642*(1-LOTE_02!$K$10),2)</f>
        <v>7.74</v>
      </c>
      <c r="J642" s="100">
        <f t="shared" si="72"/>
        <v>0.22470000000000001</v>
      </c>
      <c r="K642" s="48">
        <f t="shared" si="66"/>
        <v>1391.23</v>
      </c>
      <c r="L642" s="48">
        <f t="shared" si="67"/>
        <v>9.4700000000000006</v>
      </c>
      <c r="M642" s="48">
        <f t="shared" si="68"/>
        <v>187816.05</v>
      </c>
      <c r="N642" s="48">
        <f t="shared" si="69"/>
        <v>1278.45</v>
      </c>
      <c r="O642" s="50">
        <f t="shared" si="70"/>
        <v>189094.5</v>
      </c>
      <c r="P642" s="50">
        <v>0</v>
      </c>
      <c r="Q642" s="76"/>
      <c r="R642" s="139">
        <f>3*(S9+S10)</f>
        <v>135</v>
      </c>
      <c r="S642" s="79">
        <v>1135.98</v>
      </c>
      <c r="T642" s="80">
        <v>7.74</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50">
        <v>0</v>
      </c>
      <c r="Q643" s="76"/>
      <c r="R643" s="154"/>
      <c r="S643" s="79" t="s">
        <v>22</v>
      </c>
      <c r="T643" s="80" t="s">
        <v>22</v>
      </c>
    </row>
    <row r="644" spans="2:20" ht="28">
      <c r="B644" s="5" t="s">
        <v>1525</v>
      </c>
      <c r="C644" s="45" t="s">
        <v>97</v>
      </c>
      <c r="D644" s="45" t="s">
        <v>1526</v>
      </c>
      <c r="E644" s="6" t="s">
        <v>1527</v>
      </c>
      <c r="F644" s="45" t="s">
        <v>121</v>
      </c>
      <c r="G644" s="46">
        <f t="shared" si="71"/>
        <v>9180</v>
      </c>
      <c r="H644" s="46">
        <f>TRUNC(S644*(1-LOTE_02!$K$10),2)</f>
        <v>599.38</v>
      </c>
      <c r="I644" s="46">
        <f>TRUNC(T644*(1-LOTE_02!$K$10),2)</f>
        <v>74.92</v>
      </c>
      <c r="J644" s="100">
        <f t="shared" si="72"/>
        <v>0.22470000000000001</v>
      </c>
      <c r="K644" s="48">
        <f t="shared" si="66"/>
        <v>734.06</v>
      </c>
      <c r="L644" s="48">
        <f t="shared" si="67"/>
        <v>91.75</v>
      </c>
      <c r="M644" s="48">
        <f t="shared" si="68"/>
        <v>6738670.7999999998</v>
      </c>
      <c r="N644" s="48">
        <f t="shared" si="69"/>
        <v>842265</v>
      </c>
      <c r="O644" s="50">
        <f t="shared" si="70"/>
        <v>7580935.7999999998</v>
      </c>
      <c r="P644" s="50">
        <v>0</v>
      </c>
      <c r="Q644" s="76"/>
      <c r="R644" s="139">
        <f>(25*(4+2*2)+2*2)*(S9+S10)</f>
        <v>9180</v>
      </c>
      <c r="S644" s="79">
        <v>599.38</v>
      </c>
      <c r="T644" s="80">
        <v>74.92</v>
      </c>
    </row>
    <row r="645" spans="2:20" ht="42">
      <c r="B645" s="5" t="s">
        <v>1528</v>
      </c>
      <c r="C645" s="45" t="s">
        <v>165</v>
      </c>
      <c r="D645" s="45" t="s">
        <v>1529</v>
      </c>
      <c r="E645" s="6" t="s">
        <v>1530</v>
      </c>
      <c r="F645" s="45" t="s">
        <v>168</v>
      </c>
      <c r="G645" s="46">
        <f t="shared" si="71"/>
        <v>9495</v>
      </c>
      <c r="H645" s="46">
        <f>TRUNC(S645*(1-LOTE_02!$K$10),2)</f>
        <v>256.83</v>
      </c>
      <c r="I645" s="46">
        <f>TRUNC(T645*(1-LOTE_02!$K$10),2)</f>
        <v>15.94</v>
      </c>
      <c r="J645" s="100">
        <f t="shared" si="72"/>
        <v>0.22470000000000001</v>
      </c>
      <c r="K645" s="48">
        <f t="shared" si="66"/>
        <v>314.52999999999997</v>
      </c>
      <c r="L645" s="48">
        <f t="shared" si="67"/>
        <v>19.52</v>
      </c>
      <c r="M645" s="48">
        <f t="shared" si="68"/>
        <v>2986462.35</v>
      </c>
      <c r="N645" s="48">
        <f t="shared" si="69"/>
        <v>185342.4</v>
      </c>
      <c r="O645" s="50">
        <f t="shared" si="70"/>
        <v>3171804.75</v>
      </c>
      <c r="P645" s="50">
        <v>0</v>
      </c>
      <c r="Q645" s="76"/>
      <c r="R645" s="139">
        <f>211*(S9+S10)</f>
        <v>9495</v>
      </c>
      <c r="S645" s="79">
        <v>256.83</v>
      </c>
      <c r="T645" s="80">
        <v>15.94</v>
      </c>
    </row>
    <row r="646" spans="2:20" ht="28">
      <c r="B646" s="5" t="s">
        <v>1531</v>
      </c>
      <c r="C646" s="45" t="s">
        <v>97</v>
      </c>
      <c r="D646" s="45" t="s">
        <v>1532</v>
      </c>
      <c r="E646" s="6" t="s">
        <v>1533</v>
      </c>
      <c r="F646" s="45" t="s">
        <v>121</v>
      </c>
      <c r="G646" s="46">
        <f t="shared" si="71"/>
        <v>472.5</v>
      </c>
      <c r="H646" s="46">
        <f>TRUNC(S646*(1-LOTE_02!$K$10),2)</f>
        <v>2148.73</v>
      </c>
      <c r="I646" s="46">
        <f>TRUNC(T646*(1-LOTE_02!$K$10),2)</f>
        <v>22.47</v>
      </c>
      <c r="J646" s="100">
        <f t="shared" si="72"/>
        <v>0.22470000000000001</v>
      </c>
      <c r="K646" s="48">
        <f t="shared" si="66"/>
        <v>2631.54</v>
      </c>
      <c r="L646" s="48">
        <f t="shared" si="67"/>
        <v>27.51</v>
      </c>
      <c r="M646" s="48">
        <f t="shared" si="68"/>
        <v>1243402.6499999999</v>
      </c>
      <c r="N646" s="48">
        <f t="shared" si="69"/>
        <v>12998.47</v>
      </c>
      <c r="O646" s="50">
        <f t="shared" si="70"/>
        <v>1256401.1200000001</v>
      </c>
      <c r="P646" s="50">
        <v>0</v>
      </c>
      <c r="Q646" s="76"/>
      <c r="R646" s="139">
        <f>3*3.5*(S9+S10)</f>
        <v>472.5</v>
      </c>
      <c r="S646" s="79">
        <v>2148.73</v>
      </c>
      <c r="T646" s="80">
        <v>22.47</v>
      </c>
    </row>
    <row r="647" spans="2:20" ht="56">
      <c r="B647" s="5" t="s">
        <v>1534</v>
      </c>
      <c r="C647" s="45" t="s">
        <v>97</v>
      </c>
      <c r="D647" s="45" t="s">
        <v>1535</v>
      </c>
      <c r="E647" s="6" t="s">
        <v>1536</v>
      </c>
      <c r="F647" s="45" t="s">
        <v>104</v>
      </c>
      <c r="G647" s="46">
        <f t="shared" si="71"/>
        <v>45</v>
      </c>
      <c r="H647" s="46">
        <f>TRUNC(S647*(1-LOTE_02!$K$10),2)</f>
        <v>3335.26</v>
      </c>
      <c r="I647" s="46">
        <f>TRUNC(T647*(1-LOTE_02!$K$10),2)</f>
        <v>38.700000000000003</v>
      </c>
      <c r="J647" s="100">
        <f t="shared" si="72"/>
        <v>0.22470000000000001</v>
      </c>
      <c r="K647" s="48">
        <f t="shared" si="66"/>
        <v>4084.69</v>
      </c>
      <c r="L647" s="48">
        <f t="shared" si="67"/>
        <v>47.39</v>
      </c>
      <c r="M647" s="48">
        <f t="shared" si="68"/>
        <v>183811.05</v>
      </c>
      <c r="N647" s="48">
        <f t="shared" si="69"/>
        <v>2132.5500000000002</v>
      </c>
      <c r="O647" s="50">
        <f t="shared" si="70"/>
        <v>185943.6</v>
      </c>
      <c r="P647" s="50">
        <v>0</v>
      </c>
      <c r="Q647" s="76"/>
      <c r="R647" s="139">
        <f>1*(S9+S10)</f>
        <v>45</v>
      </c>
      <c r="S647" s="79">
        <v>3335.26</v>
      </c>
      <c r="T647" s="80">
        <v>38.700000000000003</v>
      </c>
    </row>
    <row r="648" spans="2:20" ht="84">
      <c r="B648" s="5" t="s">
        <v>1537</v>
      </c>
      <c r="C648" s="45" t="s">
        <v>97</v>
      </c>
      <c r="D648" s="45" t="s">
        <v>1477</v>
      </c>
      <c r="E648" s="6" t="s">
        <v>1478</v>
      </c>
      <c r="F648" s="45" t="s">
        <v>121</v>
      </c>
      <c r="G648" s="46">
        <f t="shared" si="71"/>
        <v>675</v>
      </c>
      <c r="H648" s="46">
        <f>TRUNC(S648*(1-LOTE_02!$K$10),2)</f>
        <v>326.49</v>
      </c>
      <c r="I648" s="46">
        <f>TRUNC(T648*(1-LOTE_02!$K$10),2)</f>
        <v>30.84</v>
      </c>
      <c r="J648" s="100">
        <f t="shared" si="72"/>
        <v>0.22470000000000001</v>
      </c>
      <c r="K648" s="48">
        <f t="shared" si="66"/>
        <v>399.85</v>
      </c>
      <c r="L648" s="48">
        <f t="shared" si="67"/>
        <v>37.76</v>
      </c>
      <c r="M648" s="48">
        <f t="shared" si="68"/>
        <v>269898.75</v>
      </c>
      <c r="N648" s="48">
        <f t="shared" si="69"/>
        <v>25488</v>
      </c>
      <c r="O648" s="50">
        <f t="shared" si="70"/>
        <v>295386.75</v>
      </c>
      <c r="P648" s="50">
        <v>0</v>
      </c>
      <c r="Q648" s="76"/>
      <c r="R648" s="139">
        <f>5*3*(S9+S10)</f>
        <v>675</v>
      </c>
      <c r="S648" s="79">
        <v>326.49</v>
      </c>
      <c r="T648" s="80">
        <v>30.84</v>
      </c>
    </row>
    <row r="649" spans="2:20" ht="56">
      <c r="B649" s="5" t="s">
        <v>1538</v>
      </c>
      <c r="C649" s="45" t="s">
        <v>97</v>
      </c>
      <c r="D649" s="45" t="s">
        <v>1539</v>
      </c>
      <c r="E649" s="6" t="s">
        <v>1540</v>
      </c>
      <c r="F649" s="45" t="s">
        <v>104</v>
      </c>
      <c r="G649" s="46">
        <f t="shared" si="71"/>
        <v>45</v>
      </c>
      <c r="H649" s="46">
        <f>TRUNC(S649*(1-LOTE_02!$K$10),2)</f>
        <v>5071.28</v>
      </c>
      <c r="I649" s="46">
        <f>TRUNC(T649*(1-LOTE_02!$K$10),2)</f>
        <v>77.400000000000006</v>
      </c>
      <c r="J649" s="100">
        <f t="shared" si="72"/>
        <v>0.22470000000000001</v>
      </c>
      <c r="K649" s="48">
        <f t="shared" si="66"/>
        <v>6210.79</v>
      </c>
      <c r="L649" s="48">
        <f t="shared" si="67"/>
        <v>94.79</v>
      </c>
      <c r="M649" s="48">
        <f t="shared" si="68"/>
        <v>279485.55</v>
      </c>
      <c r="N649" s="48">
        <f t="shared" si="69"/>
        <v>4265.55</v>
      </c>
      <c r="O649" s="50">
        <f t="shared" si="70"/>
        <v>283751.09999999998</v>
      </c>
      <c r="P649" s="50">
        <v>0</v>
      </c>
      <c r="Q649" s="76"/>
      <c r="R649" s="139">
        <f>1*(S9+S10)</f>
        <v>45</v>
      </c>
      <c r="S649" s="79">
        <v>5071.28</v>
      </c>
      <c r="T649" s="80">
        <v>77.400000000000006</v>
      </c>
    </row>
    <row r="650" spans="2:20" ht="42">
      <c r="B650" s="5" t="s">
        <v>1541</v>
      </c>
      <c r="C650" s="45" t="s">
        <v>97</v>
      </c>
      <c r="D650" s="45" t="s">
        <v>1542</v>
      </c>
      <c r="E650" s="6" t="s">
        <v>1543</v>
      </c>
      <c r="F650" s="45" t="s">
        <v>121</v>
      </c>
      <c r="G650" s="46">
        <f t="shared" si="71"/>
        <v>180</v>
      </c>
      <c r="H650" s="46">
        <f>TRUNC(S650*(1-LOTE_02!$K$10),2)</f>
        <v>1645.12</v>
      </c>
      <c r="I650" s="46">
        <f>TRUNC(T650*(1-LOTE_02!$K$10),2)</f>
        <v>11.13</v>
      </c>
      <c r="J650" s="100">
        <f t="shared" si="72"/>
        <v>0.22470000000000001</v>
      </c>
      <c r="K650" s="48">
        <f t="shared" si="66"/>
        <v>2014.77</v>
      </c>
      <c r="L650" s="48">
        <f t="shared" si="67"/>
        <v>13.63</v>
      </c>
      <c r="M650" s="48">
        <f t="shared" si="68"/>
        <v>362658.6</v>
      </c>
      <c r="N650" s="48">
        <f t="shared" si="69"/>
        <v>2453.4</v>
      </c>
      <c r="O650" s="50">
        <f t="shared" si="70"/>
        <v>365112</v>
      </c>
      <c r="P650" s="50">
        <v>0</v>
      </c>
      <c r="Q650" s="76"/>
      <c r="R650" s="139">
        <f>(2+2)*(S9+S10)</f>
        <v>180</v>
      </c>
      <c r="S650" s="79">
        <v>1645.12</v>
      </c>
      <c r="T650" s="80">
        <v>11.13</v>
      </c>
    </row>
    <row r="651" spans="2:20" ht="70">
      <c r="B651" s="5" t="s">
        <v>1544</v>
      </c>
      <c r="C651" s="45" t="s">
        <v>97</v>
      </c>
      <c r="D651" s="45" t="s">
        <v>1545</v>
      </c>
      <c r="E651" s="6" t="s">
        <v>1546</v>
      </c>
      <c r="F651" s="45" t="s">
        <v>104</v>
      </c>
      <c r="G651" s="46">
        <f t="shared" si="71"/>
        <v>315</v>
      </c>
      <c r="H651" s="46">
        <f>TRUNC(S651*(1-LOTE_02!$K$10),2)</f>
        <v>793.51</v>
      </c>
      <c r="I651" s="46">
        <f>TRUNC(T651*(1-LOTE_02!$K$10),2)</f>
        <v>4.45</v>
      </c>
      <c r="J651" s="100">
        <f t="shared" si="72"/>
        <v>0.22470000000000001</v>
      </c>
      <c r="K651" s="48">
        <f t="shared" si="66"/>
        <v>971.81</v>
      </c>
      <c r="L651" s="48">
        <f t="shared" si="67"/>
        <v>5.44</v>
      </c>
      <c r="M651" s="48">
        <f t="shared" si="68"/>
        <v>306120.15000000002</v>
      </c>
      <c r="N651" s="48">
        <f t="shared" si="69"/>
        <v>1713.6</v>
      </c>
      <c r="O651" s="50">
        <f t="shared" si="70"/>
        <v>307833.75</v>
      </c>
      <c r="P651" s="50">
        <v>0</v>
      </c>
      <c r="Q651" s="76"/>
      <c r="R651" s="139">
        <f>7*(S9+S10)</f>
        <v>315</v>
      </c>
      <c r="S651" s="79">
        <v>793.51</v>
      </c>
      <c r="T651" s="80">
        <v>4.45</v>
      </c>
    </row>
    <row r="652" spans="2:20" ht="70">
      <c r="B652" s="5" t="s">
        <v>1547</v>
      </c>
      <c r="C652" s="45" t="s">
        <v>97</v>
      </c>
      <c r="D652" s="45" t="s">
        <v>1548</v>
      </c>
      <c r="E652" s="6" t="s">
        <v>1549</v>
      </c>
      <c r="F652" s="45" t="s">
        <v>104</v>
      </c>
      <c r="G652" s="46">
        <f t="shared" si="71"/>
        <v>45</v>
      </c>
      <c r="H652" s="46">
        <f>TRUNC(S652*(1-LOTE_02!$K$10),2)</f>
        <v>1865.43</v>
      </c>
      <c r="I652" s="46">
        <f>TRUNC(T652*(1-LOTE_02!$K$10),2)</f>
        <v>4.45</v>
      </c>
      <c r="J652" s="100">
        <f t="shared" si="72"/>
        <v>0.22470000000000001</v>
      </c>
      <c r="K652" s="48">
        <f t="shared" si="66"/>
        <v>2284.59</v>
      </c>
      <c r="L652" s="48">
        <f t="shared" si="67"/>
        <v>5.44</v>
      </c>
      <c r="M652" s="48">
        <f t="shared" si="68"/>
        <v>102806.55</v>
      </c>
      <c r="N652" s="48">
        <f t="shared" si="69"/>
        <v>244.8</v>
      </c>
      <c r="O652" s="50">
        <f t="shared" si="70"/>
        <v>103051.35</v>
      </c>
      <c r="P652" s="50">
        <v>0</v>
      </c>
      <c r="Q652" s="76"/>
      <c r="R652" s="139">
        <f>1*(S9+S10)</f>
        <v>45</v>
      </c>
      <c r="S652" s="79">
        <v>1865.43</v>
      </c>
      <c r="T652" s="80">
        <v>4.45</v>
      </c>
    </row>
    <row r="653" spans="2:20" ht="70">
      <c r="B653" s="5" t="s">
        <v>1550</v>
      </c>
      <c r="C653" s="45" t="s">
        <v>97</v>
      </c>
      <c r="D653" s="45" t="s">
        <v>1551</v>
      </c>
      <c r="E653" s="6" t="s">
        <v>1552</v>
      </c>
      <c r="F653" s="45" t="s">
        <v>104</v>
      </c>
      <c r="G653" s="46">
        <f t="shared" si="71"/>
        <v>180</v>
      </c>
      <c r="H653" s="46">
        <f>TRUNC(S653*(1-LOTE_02!$K$10),2)</f>
        <v>783.11</v>
      </c>
      <c r="I653" s="46">
        <f>TRUNC(T653*(1-LOTE_02!$K$10),2)</f>
        <v>4.13</v>
      </c>
      <c r="J653" s="100">
        <f t="shared" si="72"/>
        <v>0.22470000000000001</v>
      </c>
      <c r="K653" s="48">
        <f t="shared" si="66"/>
        <v>959.07</v>
      </c>
      <c r="L653" s="48">
        <f t="shared" si="67"/>
        <v>5.05</v>
      </c>
      <c r="M653" s="48">
        <f t="shared" si="68"/>
        <v>172632.6</v>
      </c>
      <c r="N653" s="48">
        <f t="shared" si="69"/>
        <v>909</v>
      </c>
      <c r="O653" s="50">
        <f t="shared" si="70"/>
        <v>173541.6</v>
      </c>
      <c r="P653" s="50">
        <v>0</v>
      </c>
      <c r="Q653" s="76"/>
      <c r="R653" s="139">
        <f>4*(S9+S10)</f>
        <v>180</v>
      </c>
      <c r="S653" s="79">
        <v>783.11</v>
      </c>
      <c r="T653" s="80">
        <v>4.13</v>
      </c>
    </row>
    <row r="654" spans="2:20" ht="56">
      <c r="B654" s="5" t="s">
        <v>1553</v>
      </c>
      <c r="C654" s="45" t="s">
        <v>97</v>
      </c>
      <c r="D654" s="45" t="s">
        <v>1554</v>
      </c>
      <c r="E654" s="6" t="s">
        <v>1555</v>
      </c>
      <c r="F654" s="45" t="s">
        <v>104</v>
      </c>
      <c r="G654" s="46">
        <f t="shared" si="71"/>
        <v>225</v>
      </c>
      <c r="H654" s="46">
        <f>TRUNC(S654*(1-LOTE_02!$K$10),2)</f>
        <v>563.59</v>
      </c>
      <c r="I654" s="46">
        <f>TRUNC(T654*(1-LOTE_02!$K$10),2)</f>
        <v>4.45</v>
      </c>
      <c r="J654" s="100">
        <f t="shared" si="72"/>
        <v>0.22470000000000001</v>
      </c>
      <c r="K654" s="48">
        <f t="shared" si="66"/>
        <v>690.22</v>
      </c>
      <c r="L654" s="48">
        <f t="shared" si="67"/>
        <v>5.44</v>
      </c>
      <c r="M654" s="48">
        <f t="shared" si="68"/>
        <v>155299.5</v>
      </c>
      <c r="N654" s="48">
        <f t="shared" si="69"/>
        <v>1224</v>
      </c>
      <c r="O654" s="50">
        <f t="shared" si="70"/>
        <v>156523.5</v>
      </c>
      <c r="P654" s="50">
        <v>0</v>
      </c>
      <c r="Q654" s="76"/>
      <c r="R654" s="139">
        <f>5*(S9+S10)</f>
        <v>225</v>
      </c>
      <c r="S654" s="79">
        <v>563.59</v>
      </c>
      <c r="T654" s="80">
        <v>4.45</v>
      </c>
    </row>
    <row r="655" spans="2:20" ht="70">
      <c r="B655" s="5" t="s">
        <v>1556</v>
      </c>
      <c r="C655" s="45" t="s">
        <v>97</v>
      </c>
      <c r="D655" s="45" t="s">
        <v>1557</v>
      </c>
      <c r="E655" s="6" t="s">
        <v>1558</v>
      </c>
      <c r="F655" s="45" t="s">
        <v>104</v>
      </c>
      <c r="G655" s="46">
        <f t="shared" si="71"/>
        <v>45</v>
      </c>
      <c r="H655" s="46">
        <f>TRUNC(S655*(1-LOTE_02!$K$10),2)</f>
        <v>2927.09</v>
      </c>
      <c r="I655" s="46">
        <f>TRUNC(T655*(1-LOTE_02!$K$10),2)</f>
        <v>4.45</v>
      </c>
      <c r="J655" s="100">
        <f t="shared" si="72"/>
        <v>0.22470000000000001</v>
      </c>
      <c r="K655" s="48">
        <f t="shared" si="66"/>
        <v>3584.8</v>
      </c>
      <c r="L655" s="48">
        <f t="shared" si="67"/>
        <v>5.44</v>
      </c>
      <c r="M655" s="48">
        <f t="shared" si="68"/>
        <v>161316</v>
      </c>
      <c r="N655" s="48">
        <f t="shared" si="69"/>
        <v>244.8</v>
      </c>
      <c r="O655" s="50">
        <f t="shared" si="70"/>
        <v>161560.79999999999</v>
      </c>
      <c r="P655" s="50">
        <v>0</v>
      </c>
      <c r="Q655" s="76"/>
      <c r="R655" s="139">
        <f>1*(S9+S10)</f>
        <v>45</v>
      </c>
      <c r="S655" s="79">
        <v>2927.09</v>
      </c>
      <c r="T655" s="80">
        <v>4.45</v>
      </c>
    </row>
    <row r="656" spans="2:20" ht="56">
      <c r="B656" s="5" t="s">
        <v>1559</v>
      </c>
      <c r="C656" s="45" t="s">
        <v>97</v>
      </c>
      <c r="D656" s="45" t="s">
        <v>1560</v>
      </c>
      <c r="E656" s="6" t="s">
        <v>1561</v>
      </c>
      <c r="F656" s="45" t="s">
        <v>104</v>
      </c>
      <c r="G656" s="46">
        <f t="shared" si="71"/>
        <v>45</v>
      </c>
      <c r="H656" s="46">
        <f>TRUNC(S656*(1-LOTE_02!$K$10),2)</f>
        <v>1033.3399999999999</v>
      </c>
      <c r="I656" s="46">
        <f>TRUNC(T656*(1-LOTE_02!$K$10),2)</f>
        <v>4.45</v>
      </c>
      <c r="J656" s="100">
        <f t="shared" si="72"/>
        <v>0.22470000000000001</v>
      </c>
      <c r="K656" s="48">
        <f t="shared" ref="K656:K719" si="73">TRUNC(H656*(1+J656),2)</f>
        <v>1265.53</v>
      </c>
      <c r="L656" s="48">
        <f t="shared" ref="L656:L719" si="74">TRUNC(I656*(1+J656),2)</f>
        <v>5.44</v>
      </c>
      <c r="M656" s="48">
        <f t="shared" ref="M656:M719" si="75">TRUNC(K656*G656,2)</f>
        <v>56948.85</v>
      </c>
      <c r="N656" s="48">
        <f t="shared" ref="N656:N719" si="76">TRUNC(L656*G656,2)</f>
        <v>244.8</v>
      </c>
      <c r="O656" s="50">
        <f t="shared" ref="O656:O719" si="77">TRUNC(M656+N656,2)</f>
        <v>57193.65</v>
      </c>
      <c r="P656" s="50">
        <v>0</v>
      </c>
      <c r="Q656" s="76"/>
      <c r="R656" s="139">
        <f>1*(S9+S10)</f>
        <v>45</v>
      </c>
      <c r="S656" s="79">
        <v>1033.3399999999999</v>
      </c>
      <c r="T656" s="80">
        <v>4.45</v>
      </c>
    </row>
    <row r="657" spans="2:20" ht="56">
      <c r="B657" s="5" t="s">
        <v>1562</v>
      </c>
      <c r="C657" s="45" t="s">
        <v>97</v>
      </c>
      <c r="D657" s="45" t="s">
        <v>1563</v>
      </c>
      <c r="E657" s="6" t="s">
        <v>1564</v>
      </c>
      <c r="F657" s="45" t="s">
        <v>104</v>
      </c>
      <c r="G657" s="46">
        <f t="shared" si="71"/>
        <v>45</v>
      </c>
      <c r="H657" s="46">
        <f>TRUNC(S657*(1-LOTE_02!$K$10),2)</f>
        <v>691.72</v>
      </c>
      <c r="I657" s="46">
        <f>TRUNC(T657*(1-LOTE_02!$K$10),2)</f>
        <v>4.45</v>
      </c>
      <c r="J657" s="100">
        <f t="shared" si="72"/>
        <v>0.22470000000000001</v>
      </c>
      <c r="K657" s="48">
        <f t="shared" si="73"/>
        <v>847.14</v>
      </c>
      <c r="L657" s="48">
        <f t="shared" si="74"/>
        <v>5.44</v>
      </c>
      <c r="M657" s="48">
        <f t="shared" si="75"/>
        <v>38121.300000000003</v>
      </c>
      <c r="N657" s="48">
        <f t="shared" si="76"/>
        <v>244.8</v>
      </c>
      <c r="O657" s="50">
        <f t="shared" si="77"/>
        <v>38366.1</v>
      </c>
      <c r="P657" s="50">
        <v>0</v>
      </c>
      <c r="Q657" s="76"/>
      <c r="R657" s="139">
        <f>1*(S9+S10)</f>
        <v>45</v>
      </c>
      <c r="S657" s="79">
        <v>691.72</v>
      </c>
      <c r="T657" s="80">
        <v>4.45</v>
      </c>
    </row>
    <row r="658" spans="2:20" ht="56">
      <c r="B658" s="5" t="s">
        <v>1565</v>
      </c>
      <c r="C658" s="45" t="s">
        <v>97</v>
      </c>
      <c r="D658" s="45" t="s">
        <v>1566</v>
      </c>
      <c r="E658" s="6" t="s">
        <v>1567</v>
      </c>
      <c r="F658" s="45" t="s">
        <v>104</v>
      </c>
      <c r="G658" s="46">
        <f t="shared" ref="G658:G721" si="78">TRUNC(R658,2)</f>
        <v>135</v>
      </c>
      <c r="H658" s="46">
        <f>TRUNC(S658*(1-LOTE_02!$K$10),2)</f>
        <v>976.49</v>
      </c>
      <c r="I658" s="46">
        <f>TRUNC(T658*(1-LOTE_02!$K$10),2)</f>
        <v>6.2</v>
      </c>
      <c r="J658" s="100">
        <f t="shared" ref="J658:J721" si="79">$J$4</f>
        <v>0.22470000000000001</v>
      </c>
      <c r="K658" s="48">
        <f t="shared" si="73"/>
        <v>1195.9000000000001</v>
      </c>
      <c r="L658" s="48">
        <f t="shared" si="74"/>
        <v>7.59</v>
      </c>
      <c r="M658" s="48">
        <f t="shared" si="75"/>
        <v>161446.5</v>
      </c>
      <c r="N658" s="48">
        <f t="shared" si="76"/>
        <v>1024.6500000000001</v>
      </c>
      <c r="O658" s="50">
        <f t="shared" si="77"/>
        <v>162471.15</v>
      </c>
      <c r="P658" s="50">
        <v>0</v>
      </c>
      <c r="Q658" s="76"/>
      <c r="R658" s="139">
        <f>3*(S9+S10)</f>
        <v>135</v>
      </c>
      <c r="S658" s="79">
        <v>976.49</v>
      </c>
      <c r="T658" s="80">
        <v>6.2</v>
      </c>
    </row>
    <row r="659" spans="2:20" ht="56">
      <c r="B659" s="5" t="s">
        <v>1568</v>
      </c>
      <c r="C659" s="45" t="s">
        <v>97</v>
      </c>
      <c r="D659" s="45" t="s">
        <v>1569</v>
      </c>
      <c r="E659" s="6" t="s">
        <v>1570</v>
      </c>
      <c r="F659" s="45" t="s">
        <v>104</v>
      </c>
      <c r="G659" s="46">
        <f t="shared" si="78"/>
        <v>45</v>
      </c>
      <c r="H659" s="46">
        <f>TRUNC(S659*(1-LOTE_02!$K$10),2)</f>
        <v>154.44</v>
      </c>
      <c r="I659" s="46">
        <f>TRUNC(T659*(1-LOTE_02!$K$10),2)</f>
        <v>4.45</v>
      </c>
      <c r="J659" s="100">
        <f t="shared" si="79"/>
        <v>0.22470000000000001</v>
      </c>
      <c r="K659" s="48">
        <f t="shared" si="73"/>
        <v>189.14</v>
      </c>
      <c r="L659" s="48">
        <f t="shared" si="74"/>
        <v>5.44</v>
      </c>
      <c r="M659" s="48">
        <f t="shared" si="75"/>
        <v>8511.2999999999993</v>
      </c>
      <c r="N659" s="48">
        <f t="shared" si="76"/>
        <v>244.8</v>
      </c>
      <c r="O659" s="50">
        <f t="shared" si="77"/>
        <v>8756.1</v>
      </c>
      <c r="P659" s="50">
        <v>0</v>
      </c>
      <c r="Q659" s="76"/>
      <c r="R659" s="139">
        <f>1*(S9+S10)</f>
        <v>45</v>
      </c>
      <c r="S659" s="79">
        <v>154.44</v>
      </c>
      <c r="T659" s="80">
        <v>4.45</v>
      </c>
    </row>
    <row r="660" spans="2:20" ht="56">
      <c r="B660" s="5" t="s">
        <v>1571</v>
      </c>
      <c r="C660" s="45" t="s">
        <v>97</v>
      </c>
      <c r="D660" s="45" t="s">
        <v>1572</v>
      </c>
      <c r="E660" s="6" t="s">
        <v>1573</v>
      </c>
      <c r="F660" s="45" t="s">
        <v>104</v>
      </c>
      <c r="G660" s="46">
        <f t="shared" si="78"/>
        <v>180</v>
      </c>
      <c r="H660" s="46">
        <f>TRUNC(S660*(1-LOTE_02!$K$10),2)</f>
        <v>60.59</v>
      </c>
      <c r="I660" s="46">
        <f>TRUNC(T660*(1-LOTE_02!$K$10),2)</f>
        <v>4.45</v>
      </c>
      <c r="J660" s="100">
        <f t="shared" si="79"/>
        <v>0.22470000000000001</v>
      </c>
      <c r="K660" s="48">
        <f t="shared" si="73"/>
        <v>74.2</v>
      </c>
      <c r="L660" s="48">
        <f t="shared" si="74"/>
        <v>5.44</v>
      </c>
      <c r="M660" s="48">
        <f t="shared" si="75"/>
        <v>13356</v>
      </c>
      <c r="N660" s="48">
        <f t="shared" si="76"/>
        <v>979.2</v>
      </c>
      <c r="O660" s="50">
        <f t="shared" si="77"/>
        <v>14335.2</v>
      </c>
      <c r="P660" s="50">
        <v>0</v>
      </c>
      <c r="Q660" s="76"/>
      <c r="R660" s="139">
        <f>4*(S9+S10)</f>
        <v>180</v>
      </c>
      <c r="S660" s="79">
        <v>60.59</v>
      </c>
      <c r="T660" s="80">
        <v>4.45</v>
      </c>
    </row>
    <row r="661" spans="2:20" ht="42">
      <c r="B661" s="5" t="s">
        <v>1574</v>
      </c>
      <c r="C661" s="45" t="s">
        <v>97</v>
      </c>
      <c r="D661" s="45" t="s">
        <v>1575</v>
      </c>
      <c r="E661" s="6" t="s">
        <v>1576</v>
      </c>
      <c r="F661" s="45" t="s">
        <v>121</v>
      </c>
      <c r="G661" s="46">
        <f t="shared" si="78"/>
        <v>45</v>
      </c>
      <c r="H661" s="46">
        <f>TRUNC(S661*(1-LOTE_02!$K$10),2)</f>
        <v>2684.57</v>
      </c>
      <c r="I661" s="46">
        <f>TRUNC(T661*(1-LOTE_02!$K$10),2)</f>
        <v>19.350000000000001</v>
      </c>
      <c r="J661" s="100">
        <f t="shared" si="79"/>
        <v>0.22470000000000001</v>
      </c>
      <c r="K661" s="48">
        <f t="shared" si="73"/>
        <v>3287.79</v>
      </c>
      <c r="L661" s="48">
        <f t="shared" si="74"/>
        <v>23.69</v>
      </c>
      <c r="M661" s="48">
        <f t="shared" si="75"/>
        <v>147950.54999999999</v>
      </c>
      <c r="N661" s="48">
        <f t="shared" si="76"/>
        <v>1066.05</v>
      </c>
      <c r="O661" s="50">
        <f t="shared" si="77"/>
        <v>149016.6</v>
      </c>
      <c r="P661" s="50">
        <v>0</v>
      </c>
      <c r="Q661" s="76"/>
      <c r="R661" s="139">
        <f>1*(S9+S10)</f>
        <v>45</v>
      </c>
      <c r="S661" s="79">
        <v>2684.57</v>
      </c>
      <c r="T661" s="80">
        <v>19.350000000000001</v>
      </c>
    </row>
    <row r="662" spans="2:20" ht="56">
      <c r="B662" s="5" t="s">
        <v>1577</v>
      </c>
      <c r="C662" s="45" t="s">
        <v>97</v>
      </c>
      <c r="D662" s="45" t="s">
        <v>1578</v>
      </c>
      <c r="E662" s="6" t="s">
        <v>1579</v>
      </c>
      <c r="F662" s="45" t="s">
        <v>121</v>
      </c>
      <c r="G662" s="46">
        <f t="shared" si="78"/>
        <v>45</v>
      </c>
      <c r="H662" s="46">
        <f>TRUNC(S662*(1-LOTE_02!$K$10),2)</f>
        <v>1227.29</v>
      </c>
      <c r="I662" s="46">
        <f>TRUNC(T662*(1-LOTE_02!$K$10),2)</f>
        <v>38.700000000000003</v>
      </c>
      <c r="J662" s="100">
        <f t="shared" si="79"/>
        <v>0.22470000000000001</v>
      </c>
      <c r="K662" s="48">
        <f t="shared" si="73"/>
        <v>1503.06</v>
      </c>
      <c r="L662" s="48">
        <f t="shared" si="74"/>
        <v>47.39</v>
      </c>
      <c r="M662" s="48">
        <f t="shared" si="75"/>
        <v>67637.7</v>
      </c>
      <c r="N662" s="48">
        <f t="shared" si="76"/>
        <v>2132.5500000000002</v>
      </c>
      <c r="O662" s="50">
        <f t="shared" si="77"/>
        <v>69770.25</v>
      </c>
      <c r="P662" s="50">
        <v>0</v>
      </c>
      <c r="Q662" s="76"/>
      <c r="R662" s="139">
        <f>1*(S9+S10)</f>
        <v>45</v>
      </c>
      <c r="S662" s="79">
        <v>1227.29</v>
      </c>
      <c r="T662" s="80">
        <v>38.700000000000003</v>
      </c>
    </row>
    <row r="663" spans="2:20" ht="56">
      <c r="B663" s="5" t="s">
        <v>1580</v>
      </c>
      <c r="C663" s="45" t="s">
        <v>97</v>
      </c>
      <c r="D663" s="45" t="s">
        <v>1581</v>
      </c>
      <c r="E663" s="6" t="s">
        <v>1582</v>
      </c>
      <c r="F663" s="45" t="s">
        <v>104</v>
      </c>
      <c r="G663" s="46">
        <f t="shared" si="78"/>
        <v>45</v>
      </c>
      <c r="H663" s="46">
        <f>TRUNC(S663*(1-LOTE_02!$K$10),2)</f>
        <v>3503.46</v>
      </c>
      <c r="I663" s="46">
        <f>TRUNC(T663*(1-LOTE_02!$K$10),2)</f>
        <v>19.350000000000001</v>
      </c>
      <c r="J663" s="100">
        <f t="shared" si="79"/>
        <v>0.22470000000000001</v>
      </c>
      <c r="K663" s="48">
        <f t="shared" si="73"/>
        <v>4290.68</v>
      </c>
      <c r="L663" s="48">
        <f t="shared" si="74"/>
        <v>23.69</v>
      </c>
      <c r="M663" s="48">
        <f t="shared" si="75"/>
        <v>193080.6</v>
      </c>
      <c r="N663" s="48">
        <f t="shared" si="76"/>
        <v>1066.05</v>
      </c>
      <c r="O663" s="50">
        <f t="shared" si="77"/>
        <v>194146.65</v>
      </c>
      <c r="P663" s="50">
        <v>0</v>
      </c>
      <c r="Q663" s="76"/>
      <c r="R663" s="139">
        <f>S9+S10</f>
        <v>45</v>
      </c>
      <c r="S663" s="79">
        <v>3503.46</v>
      </c>
      <c r="T663" s="80">
        <v>19.350000000000001</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50">
        <v>0</v>
      </c>
      <c r="Q664" s="76"/>
      <c r="R664" s="154"/>
      <c r="S664" s="79" t="s">
        <v>22</v>
      </c>
      <c r="T664" s="80" t="s">
        <v>22</v>
      </c>
    </row>
    <row r="665" spans="2:20" ht="42">
      <c r="B665" s="5" t="s">
        <v>1585</v>
      </c>
      <c r="C665" s="45" t="s">
        <v>135</v>
      </c>
      <c r="D665" s="45">
        <v>102181</v>
      </c>
      <c r="E665" s="6" t="s">
        <v>1773</v>
      </c>
      <c r="F665" s="45" t="s">
        <v>121</v>
      </c>
      <c r="G665" s="46">
        <f t="shared" si="78"/>
        <v>675</v>
      </c>
      <c r="H665" s="46">
        <f>TRUNC(S665*(1-LOTE_02!$K$10),2)</f>
        <v>598.17999999999995</v>
      </c>
      <c r="I665" s="46">
        <f>TRUNC(T665*(1-LOTE_02!$K$10),2)</f>
        <v>45.37</v>
      </c>
      <c r="J665" s="100">
        <f t="shared" si="79"/>
        <v>0.22470000000000001</v>
      </c>
      <c r="K665" s="48">
        <f t="shared" si="73"/>
        <v>732.59</v>
      </c>
      <c r="L665" s="48">
        <f t="shared" si="74"/>
        <v>55.56</v>
      </c>
      <c r="M665" s="48">
        <f t="shared" si="75"/>
        <v>494498.25</v>
      </c>
      <c r="N665" s="48">
        <f t="shared" si="76"/>
        <v>37503</v>
      </c>
      <c r="O665" s="50">
        <f t="shared" si="77"/>
        <v>532001.25</v>
      </c>
      <c r="P665" s="50">
        <v>0</v>
      </c>
      <c r="Q665" s="76"/>
      <c r="R665" s="139">
        <f>5*3*(S9+S10)</f>
        <v>675</v>
      </c>
      <c r="S665" s="79">
        <v>598.17999999999995</v>
      </c>
      <c r="T665" s="80">
        <v>45.37</v>
      </c>
    </row>
    <row r="666" spans="2:20" ht="56">
      <c r="B666" s="5" t="s">
        <v>1586</v>
      </c>
      <c r="C666" s="45" t="s">
        <v>135</v>
      </c>
      <c r="D666" s="45">
        <v>102184</v>
      </c>
      <c r="E666" s="6" t="s">
        <v>1787</v>
      </c>
      <c r="F666" s="45" t="s">
        <v>210</v>
      </c>
      <c r="G666" s="46">
        <f t="shared" si="78"/>
        <v>45</v>
      </c>
      <c r="H666" s="46">
        <f>TRUNC(S666*(1-LOTE_02!$K$10),2)</f>
        <v>2303.56</v>
      </c>
      <c r="I666" s="46">
        <f>TRUNC(T666*(1-LOTE_02!$K$10),2)</f>
        <v>115.63</v>
      </c>
      <c r="J666" s="100">
        <f t="shared" si="79"/>
        <v>0.22470000000000001</v>
      </c>
      <c r="K666" s="48">
        <f t="shared" si="73"/>
        <v>2821.16</v>
      </c>
      <c r="L666" s="48">
        <f t="shared" si="74"/>
        <v>141.61000000000001</v>
      </c>
      <c r="M666" s="48">
        <f t="shared" si="75"/>
        <v>126952.2</v>
      </c>
      <c r="N666" s="48">
        <f t="shared" si="76"/>
        <v>6372.45</v>
      </c>
      <c r="O666" s="50">
        <f t="shared" si="77"/>
        <v>133324.65</v>
      </c>
      <c r="P666" s="50">
        <v>0</v>
      </c>
      <c r="Q666" s="76"/>
      <c r="R666" s="139">
        <f>1*(S9+S10)</f>
        <v>45</v>
      </c>
      <c r="S666" s="79">
        <v>2303.56</v>
      </c>
      <c r="T666" s="80">
        <v>115.63</v>
      </c>
    </row>
    <row r="667" spans="2:20" ht="70">
      <c r="B667" s="5" t="s">
        <v>1587</v>
      </c>
      <c r="C667" s="45" t="s">
        <v>135</v>
      </c>
      <c r="D667" s="45">
        <v>96366</v>
      </c>
      <c r="E667" s="6" t="s">
        <v>1588</v>
      </c>
      <c r="F667" s="45" t="s">
        <v>121</v>
      </c>
      <c r="G667" s="46">
        <f t="shared" si="78"/>
        <v>675</v>
      </c>
      <c r="H667" s="46">
        <f>TRUNC(S667*(1-LOTE_02!$K$10),2)</f>
        <v>145.80000000000001</v>
      </c>
      <c r="I667" s="46">
        <f>TRUNC(T667*(1-LOTE_02!$K$10),2)</f>
        <v>15.92</v>
      </c>
      <c r="J667" s="100">
        <f t="shared" si="79"/>
        <v>0.22470000000000001</v>
      </c>
      <c r="K667" s="48">
        <f t="shared" si="73"/>
        <v>178.56</v>
      </c>
      <c r="L667" s="48">
        <f t="shared" si="74"/>
        <v>19.489999999999998</v>
      </c>
      <c r="M667" s="48">
        <f t="shared" si="75"/>
        <v>120528</v>
      </c>
      <c r="N667" s="48">
        <f t="shared" si="76"/>
        <v>13155.75</v>
      </c>
      <c r="O667" s="50">
        <f t="shared" si="77"/>
        <v>133683.75</v>
      </c>
      <c r="P667" s="50">
        <v>0</v>
      </c>
      <c r="Q667" s="76"/>
      <c r="R667" s="139">
        <f>5*3*(S9+S10)</f>
        <v>675</v>
      </c>
      <c r="S667" s="79">
        <v>145.80000000000001</v>
      </c>
      <c r="T667" s="80">
        <v>15.92</v>
      </c>
    </row>
    <row r="668" spans="2:20" ht="84">
      <c r="B668" s="5" t="s">
        <v>1589</v>
      </c>
      <c r="C668" s="45" t="s">
        <v>97</v>
      </c>
      <c r="D668" s="45" t="s">
        <v>1477</v>
      </c>
      <c r="E668" s="6" t="s">
        <v>1478</v>
      </c>
      <c r="F668" s="45" t="s">
        <v>121</v>
      </c>
      <c r="G668" s="46">
        <f t="shared" si="78"/>
        <v>787.5</v>
      </c>
      <c r="H668" s="46">
        <f>TRUNC(S668*(1-LOTE_02!$K$10),2)</f>
        <v>326.49</v>
      </c>
      <c r="I668" s="46">
        <f>TRUNC(T668*(1-LOTE_02!$K$10),2)</f>
        <v>30.84</v>
      </c>
      <c r="J668" s="100">
        <f t="shared" si="79"/>
        <v>0.22470000000000001</v>
      </c>
      <c r="K668" s="48">
        <f t="shared" si="73"/>
        <v>399.85</v>
      </c>
      <c r="L668" s="48">
        <f t="shared" si="74"/>
        <v>37.76</v>
      </c>
      <c r="M668" s="48">
        <f t="shared" si="75"/>
        <v>314881.87</v>
      </c>
      <c r="N668" s="48">
        <f t="shared" si="76"/>
        <v>29736</v>
      </c>
      <c r="O668" s="50">
        <f t="shared" si="77"/>
        <v>344617.87</v>
      </c>
      <c r="P668" s="50">
        <v>0</v>
      </c>
      <c r="Q668" s="76"/>
      <c r="R668" s="139">
        <f>5*3.5*(S9+S10)</f>
        <v>787.5</v>
      </c>
      <c r="S668" s="79">
        <v>326.49</v>
      </c>
      <c r="T668" s="80">
        <v>30.84</v>
      </c>
    </row>
    <row r="669" spans="2:20" ht="84">
      <c r="B669" s="5" t="s">
        <v>1590</v>
      </c>
      <c r="C669" s="45" t="s">
        <v>97</v>
      </c>
      <c r="D669" s="45" t="s">
        <v>1591</v>
      </c>
      <c r="E669" s="6" t="s">
        <v>1592</v>
      </c>
      <c r="F669" s="45" t="s">
        <v>104</v>
      </c>
      <c r="G669" s="46">
        <f t="shared" si="78"/>
        <v>45</v>
      </c>
      <c r="H669" s="46">
        <f>TRUNC(S669*(1-LOTE_02!$K$10),2)</f>
        <v>462.87</v>
      </c>
      <c r="I669" s="46">
        <f>TRUNC(T669*(1-LOTE_02!$K$10),2)</f>
        <v>4.13</v>
      </c>
      <c r="J669" s="100">
        <f t="shared" si="79"/>
        <v>0.22470000000000001</v>
      </c>
      <c r="K669" s="48">
        <f t="shared" si="73"/>
        <v>566.87</v>
      </c>
      <c r="L669" s="48">
        <f t="shared" si="74"/>
        <v>5.05</v>
      </c>
      <c r="M669" s="48">
        <f t="shared" si="75"/>
        <v>25509.15</v>
      </c>
      <c r="N669" s="48">
        <f t="shared" si="76"/>
        <v>227.25</v>
      </c>
      <c r="O669" s="50">
        <f t="shared" si="77"/>
        <v>25736.400000000001</v>
      </c>
      <c r="P669" s="50">
        <v>0</v>
      </c>
      <c r="Q669" s="76"/>
      <c r="R669" s="139">
        <f>1*(S9+S10)</f>
        <v>45</v>
      </c>
      <c r="S669" s="79">
        <v>462.87</v>
      </c>
      <c r="T669" s="80">
        <v>4.13</v>
      </c>
    </row>
    <row r="670" spans="2:20" ht="56">
      <c r="B670" s="5" t="s">
        <v>1593</v>
      </c>
      <c r="C670" s="45" t="s">
        <v>97</v>
      </c>
      <c r="D670" s="45" t="s">
        <v>1594</v>
      </c>
      <c r="E670" s="6" t="s">
        <v>1595</v>
      </c>
      <c r="F670" s="45" t="s">
        <v>104</v>
      </c>
      <c r="G670" s="46">
        <f t="shared" si="78"/>
        <v>45</v>
      </c>
      <c r="H670" s="46">
        <f>TRUNC(S670*(1-LOTE_02!$K$10),2)</f>
        <v>4502.54</v>
      </c>
      <c r="I670" s="46">
        <f>TRUNC(T670*(1-LOTE_02!$K$10),2)</f>
        <v>19.350000000000001</v>
      </c>
      <c r="J670" s="100">
        <f t="shared" si="79"/>
        <v>0.22470000000000001</v>
      </c>
      <c r="K670" s="48">
        <f t="shared" si="73"/>
        <v>5514.26</v>
      </c>
      <c r="L670" s="48">
        <f t="shared" si="74"/>
        <v>23.69</v>
      </c>
      <c r="M670" s="48">
        <f t="shared" si="75"/>
        <v>248141.7</v>
      </c>
      <c r="N670" s="48">
        <f t="shared" si="76"/>
        <v>1066.05</v>
      </c>
      <c r="O670" s="50">
        <f t="shared" si="77"/>
        <v>249207.75</v>
      </c>
      <c r="P670" s="50">
        <v>0</v>
      </c>
      <c r="Q670" s="76"/>
      <c r="R670" s="139">
        <f>1*(S9+S10)</f>
        <v>45</v>
      </c>
      <c r="S670" s="79">
        <v>4502.54</v>
      </c>
      <c r="T670" s="80">
        <v>19.350000000000001</v>
      </c>
    </row>
    <row r="671" spans="2:20">
      <c r="B671" s="5" t="s">
        <v>1596</v>
      </c>
      <c r="C671" s="45" t="s">
        <v>97</v>
      </c>
      <c r="D671" s="45" t="s">
        <v>1597</v>
      </c>
      <c r="E671" s="6" t="s">
        <v>1598</v>
      </c>
      <c r="F671" s="45" t="s">
        <v>121</v>
      </c>
      <c r="G671" s="46">
        <f t="shared" si="78"/>
        <v>675</v>
      </c>
      <c r="H671" s="46">
        <f>TRUNC(S671*(1-LOTE_02!$K$10),2)</f>
        <v>2095.14</v>
      </c>
      <c r="I671" s="46">
        <f>TRUNC(T671*(1-LOTE_02!$K$10),2)</f>
        <v>7.74</v>
      </c>
      <c r="J671" s="100">
        <f t="shared" si="79"/>
        <v>0.22470000000000001</v>
      </c>
      <c r="K671" s="48">
        <f t="shared" si="73"/>
        <v>2565.91</v>
      </c>
      <c r="L671" s="48">
        <f t="shared" si="74"/>
        <v>9.4700000000000006</v>
      </c>
      <c r="M671" s="48">
        <f t="shared" si="75"/>
        <v>1731989.25</v>
      </c>
      <c r="N671" s="48">
        <f t="shared" si="76"/>
        <v>6392.25</v>
      </c>
      <c r="O671" s="50">
        <f t="shared" si="77"/>
        <v>1738381.5</v>
      </c>
      <c r="P671" s="50">
        <v>0</v>
      </c>
      <c r="Q671" s="76"/>
      <c r="R671" s="139">
        <f>5*3*(S9+S10)</f>
        <v>675</v>
      </c>
      <c r="S671" s="79">
        <v>2095.14</v>
      </c>
      <c r="T671" s="80">
        <v>7.74</v>
      </c>
    </row>
    <row r="672" spans="2:20" ht="42">
      <c r="B672" s="5" t="s">
        <v>1599</v>
      </c>
      <c r="C672" s="45" t="s">
        <v>97</v>
      </c>
      <c r="D672" s="45" t="s">
        <v>1600</v>
      </c>
      <c r="E672" s="6" t="s">
        <v>1601</v>
      </c>
      <c r="F672" s="45" t="s">
        <v>121</v>
      </c>
      <c r="G672" s="46">
        <f t="shared" si="78"/>
        <v>675</v>
      </c>
      <c r="H672" s="46">
        <f>TRUNC(S672*(1-LOTE_02!$K$10),2)</f>
        <v>291.19</v>
      </c>
      <c r="I672" s="46">
        <f>TRUNC(T672*(1-LOTE_02!$K$10),2)</f>
        <v>11.13</v>
      </c>
      <c r="J672" s="100">
        <f t="shared" si="79"/>
        <v>0.22470000000000001</v>
      </c>
      <c r="K672" s="48">
        <f t="shared" si="73"/>
        <v>356.62</v>
      </c>
      <c r="L672" s="48">
        <f t="shared" si="74"/>
        <v>13.63</v>
      </c>
      <c r="M672" s="48">
        <f t="shared" si="75"/>
        <v>240718.5</v>
      </c>
      <c r="N672" s="48">
        <f t="shared" si="76"/>
        <v>9200.25</v>
      </c>
      <c r="O672" s="50">
        <f t="shared" si="77"/>
        <v>249918.75</v>
      </c>
      <c r="P672" s="50">
        <v>0</v>
      </c>
      <c r="Q672" s="76"/>
      <c r="R672" s="139">
        <f>5*3*(S9+S10)</f>
        <v>675</v>
      </c>
      <c r="S672" s="79">
        <v>291.19</v>
      </c>
      <c r="T672" s="80">
        <v>11.13</v>
      </c>
    </row>
    <row r="673" spans="2:20" ht="28">
      <c r="B673" s="5" t="s">
        <v>1602</v>
      </c>
      <c r="C673" s="45" t="s">
        <v>97</v>
      </c>
      <c r="D673" s="45" t="s">
        <v>1484</v>
      </c>
      <c r="E673" s="6" t="s">
        <v>1485</v>
      </c>
      <c r="F673" s="45" t="s">
        <v>121</v>
      </c>
      <c r="G673" s="46">
        <f t="shared" si="78"/>
        <v>225</v>
      </c>
      <c r="H673" s="46">
        <f>TRUNC(S673*(1-LOTE_02!$K$10),2)</f>
        <v>444.98</v>
      </c>
      <c r="I673" s="46">
        <f>TRUNC(T673*(1-LOTE_02!$K$10),2)</f>
        <v>4.45</v>
      </c>
      <c r="J673" s="100">
        <f t="shared" si="79"/>
        <v>0.22470000000000001</v>
      </c>
      <c r="K673" s="48">
        <f t="shared" si="73"/>
        <v>544.96</v>
      </c>
      <c r="L673" s="48">
        <f t="shared" si="74"/>
        <v>5.44</v>
      </c>
      <c r="M673" s="48">
        <f t="shared" si="75"/>
        <v>122616</v>
      </c>
      <c r="N673" s="48">
        <f t="shared" si="76"/>
        <v>1224</v>
      </c>
      <c r="O673" s="50">
        <f t="shared" si="77"/>
        <v>123840</v>
      </c>
      <c r="P673" s="50">
        <v>0</v>
      </c>
      <c r="Q673" s="76"/>
      <c r="R673" s="139">
        <f>1*5*(S9+S10)</f>
        <v>225</v>
      </c>
      <c r="S673" s="79">
        <v>444.98</v>
      </c>
      <c r="T673" s="80">
        <v>4.45</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50">
        <v>0</v>
      </c>
      <c r="Q674" s="76"/>
      <c r="R674" s="154"/>
      <c r="S674" s="79" t="s">
        <v>22</v>
      </c>
      <c r="T674" s="80" t="s">
        <v>22</v>
      </c>
    </row>
    <row r="675" spans="2:20" ht="42">
      <c r="B675" s="5" t="s">
        <v>1605</v>
      </c>
      <c r="C675" s="45" t="s">
        <v>135</v>
      </c>
      <c r="D675" s="45">
        <v>102181</v>
      </c>
      <c r="E675" s="6" t="s">
        <v>1773</v>
      </c>
      <c r="F675" s="45" t="s">
        <v>121</v>
      </c>
      <c r="G675" s="46">
        <f t="shared" si="78"/>
        <v>810</v>
      </c>
      <c r="H675" s="46">
        <f>TRUNC(S675*(1-LOTE_02!$K$10),2)</f>
        <v>598.17999999999995</v>
      </c>
      <c r="I675" s="46">
        <f>TRUNC(T675*(1-LOTE_02!$K$10),2)</f>
        <v>45.37</v>
      </c>
      <c r="J675" s="100">
        <f t="shared" si="79"/>
        <v>0.22470000000000001</v>
      </c>
      <c r="K675" s="48">
        <f t="shared" si="73"/>
        <v>732.59</v>
      </c>
      <c r="L675" s="48">
        <f t="shared" si="74"/>
        <v>55.56</v>
      </c>
      <c r="M675" s="48">
        <f t="shared" si="75"/>
        <v>593397.9</v>
      </c>
      <c r="N675" s="48">
        <f t="shared" si="76"/>
        <v>45003.6</v>
      </c>
      <c r="O675" s="50">
        <f t="shared" si="77"/>
        <v>638401.5</v>
      </c>
      <c r="P675" s="50">
        <v>0</v>
      </c>
      <c r="Q675" s="76"/>
      <c r="R675" s="139">
        <f>6*3*(S9+S10)</f>
        <v>810</v>
      </c>
      <c r="S675" s="79">
        <v>598.17999999999995</v>
      </c>
      <c r="T675" s="80">
        <v>45.37</v>
      </c>
    </row>
    <row r="676" spans="2:20" ht="56">
      <c r="B676" s="5" t="s">
        <v>1606</v>
      </c>
      <c r="C676" s="45" t="s">
        <v>135</v>
      </c>
      <c r="D676" s="45">
        <v>102184</v>
      </c>
      <c r="E676" s="6" t="s">
        <v>1787</v>
      </c>
      <c r="F676" s="45" t="s">
        <v>210</v>
      </c>
      <c r="G676" s="46">
        <f t="shared" si="78"/>
        <v>45</v>
      </c>
      <c r="H676" s="46">
        <f>TRUNC(S676*(1-LOTE_02!$K$10),2)</f>
        <v>2303.56</v>
      </c>
      <c r="I676" s="46">
        <f>TRUNC(T676*(1-LOTE_02!$K$10),2)</f>
        <v>115.63</v>
      </c>
      <c r="J676" s="100">
        <f t="shared" si="79"/>
        <v>0.22470000000000001</v>
      </c>
      <c r="K676" s="48">
        <f t="shared" si="73"/>
        <v>2821.16</v>
      </c>
      <c r="L676" s="48">
        <f t="shared" si="74"/>
        <v>141.61000000000001</v>
      </c>
      <c r="M676" s="48">
        <f t="shared" si="75"/>
        <v>126952.2</v>
      </c>
      <c r="N676" s="48">
        <f t="shared" si="76"/>
        <v>6372.45</v>
      </c>
      <c r="O676" s="50">
        <f t="shared" si="77"/>
        <v>133324.65</v>
      </c>
      <c r="P676" s="50">
        <v>0</v>
      </c>
      <c r="Q676" s="76"/>
      <c r="R676" s="139">
        <f>1*(S9+S10)</f>
        <v>45</v>
      </c>
      <c r="S676" s="79">
        <v>2303.56</v>
      </c>
      <c r="T676" s="80">
        <v>115.63</v>
      </c>
    </row>
    <row r="677" spans="2:20" ht="84">
      <c r="B677" s="5" t="s">
        <v>1607</v>
      </c>
      <c r="C677" s="45" t="s">
        <v>97</v>
      </c>
      <c r="D677" s="45" t="s">
        <v>1477</v>
      </c>
      <c r="E677" s="6" t="s">
        <v>1478</v>
      </c>
      <c r="F677" s="45" t="s">
        <v>121</v>
      </c>
      <c r="G677" s="46">
        <f t="shared" si="78"/>
        <v>810</v>
      </c>
      <c r="H677" s="46">
        <f>TRUNC(S677*(1-LOTE_02!$K$10),2)</f>
        <v>326.49</v>
      </c>
      <c r="I677" s="46">
        <f>TRUNC(T677*(1-LOTE_02!$K$10),2)</f>
        <v>30.84</v>
      </c>
      <c r="J677" s="100">
        <f t="shared" si="79"/>
        <v>0.22470000000000001</v>
      </c>
      <c r="K677" s="48">
        <f t="shared" si="73"/>
        <v>399.85</v>
      </c>
      <c r="L677" s="48">
        <f t="shared" si="74"/>
        <v>37.76</v>
      </c>
      <c r="M677" s="48">
        <f t="shared" si="75"/>
        <v>323878.5</v>
      </c>
      <c r="N677" s="48">
        <f t="shared" si="76"/>
        <v>30585.599999999999</v>
      </c>
      <c r="O677" s="50">
        <f t="shared" si="77"/>
        <v>354464.1</v>
      </c>
      <c r="P677" s="50">
        <v>0</v>
      </c>
      <c r="Q677" s="76"/>
      <c r="R677" s="139">
        <f>6*3*(S9+S10)</f>
        <v>810</v>
      </c>
      <c r="S677" s="79">
        <v>326.49</v>
      </c>
      <c r="T677" s="80">
        <v>30.84</v>
      </c>
    </row>
    <row r="678" spans="2:20" ht="84">
      <c r="B678" s="5" t="s">
        <v>1608</v>
      </c>
      <c r="C678" s="45" t="s">
        <v>97</v>
      </c>
      <c r="D678" s="45" t="s">
        <v>1591</v>
      </c>
      <c r="E678" s="6" t="s">
        <v>1592</v>
      </c>
      <c r="F678" s="45" t="s">
        <v>104</v>
      </c>
      <c r="G678" s="46">
        <f t="shared" si="78"/>
        <v>45</v>
      </c>
      <c r="H678" s="46">
        <f>TRUNC(S678*(1-LOTE_02!$K$10),2)</f>
        <v>462.87</v>
      </c>
      <c r="I678" s="46">
        <f>TRUNC(T678*(1-LOTE_02!$K$10),2)</f>
        <v>4.13</v>
      </c>
      <c r="J678" s="100">
        <f t="shared" si="79"/>
        <v>0.22470000000000001</v>
      </c>
      <c r="K678" s="48">
        <f t="shared" si="73"/>
        <v>566.87</v>
      </c>
      <c r="L678" s="48">
        <f t="shared" si="74"/>
        <v>5.05</v>
      </c>
      <c r="M678" s="48">
        <f t="shared" si="75"/>
        <v>25509.15</v>
      </c>
      <c r="N678" s="48">
        <f t="shared" si="76"/>
        <v>227.25</v>
      </c>
      <c r="O678" s="50">
        <f t="shared" si="77"/>
        <v>25736.400000000001</v>
      </c>
      <c r="P678" s="50">
        <v>0</v>
      </c>
      <c r="Q678" s="76"/>
      <c r="R678" s="139">
        <f>1*(S9+S10)</f>
        <v>45</v>
      </c>
      <c r="S678" s="79">
        <v>462.87</v>
      </c>
      <c r="T678" s="80">
        <v>4.13</v>
      </c>
    </row>
    <row r="679" spans="2:20" ht="42">
      <c r="B679" s="5" t="s">
        <v>1609</v>
      </c>
      <c r="C679" s="45" t="s">
        <v>97</v>
      </c>
      <c r="D679" s="45" t="s">
        <v>1610</v>
      </c>
      <c r="E679" s="6" t="s">
        <v>1611</v>
      </c>
      <c r="F679" s="45" t="s">
        <v>104</v>
      </c>
      <c r="G679" s="46">
        <f t="shared" si="78"/>
        <v>45</v>
      </c>
      <c r="H679" s="46">
        <f>TRUNC(S679*(1-LOTE_02!$K$10),2)</f>
        <v>64.39</v>
      </c>
      <c r="I679" s="46">
        <f>TRUNC(T679*(1-LOTE_02!$K$10),2)</f>
        <v>0</v>
      </c>
      <c r="J679" s="100">
        <f t="shared" si="79"/>
        <v>0.22470000000000001</v>
      </c>
      <c r="K679" s="48">
        <f t="shared" si="73"/>
        <v>78.849999999999994</v>
      </c>
      <c r="L679" s="48">
        <f t="shared" si="74"/>
        <v>0</v>
      </c>
      <c r="M679" s="48">
        <f t="shared" si="75"/>
        <v>3548.25</v>
      </c>
      <c r="N679" s="48">
        <f t="shared" si="76"/>
        <v>0</v>
      </c>
      <c r="O679" s="50">
        <f t="shared" si="77"/>
        <v>3548.25</v>
      </c>
      <c r="P679" s="50">
        <v>0</v>
      </c>
      <c r="Q679" s="76"/>
      <c r="R679" s="140">
        <f>1*(S10+S9)</f>
        <v>45</v>
      </c>
      <c r="S679" s="79">
        <v>64.39</v>
      </c>
      <c r="T679" s="80">
        <v>0</v>
      </c>
    </row>
    <row r="680" spans="2:20">
      <c r="B680" s="5" t="s">
        <v>1612</v>
      </c>
      <c r="C680" s="45" t="s">
        <v>97</v>
      </c>
      <c r="D680" s="45" t="s">
        <v>1597</v>
      </c>
      <c r="E680" s="6" t="s">
        <v>1598</v>
      </c>
      <c r="F680" s="45" t="s">
        <v>121</v>
      </c>
      <c r="G680" s="46">
        <f t="shared" si="78"/>
        <v>810</v>
      </c>
      <c r="H680" s="46">
        <f>TRUNC(S680*(1-LOTE_02!$K$10),2)</f>
        <v>2095.14</v>
      </c>
      <c r="I680" s="46">
        <f>TRUNC(T680*(1-LOTE_02!$K$10),2)</f>
        <v>7.74</v>
      </c>
      <c r="J680" s="100">
        <f t="shared" si="79"/>
        <v>0.22470000000000001</v>
      </c>
      <c r="K680" s="48">
        <f t="shared" si="73"/>
        <v>2565.91</v>
      </c>
      <c r="L680" s="48">
        <f t="shared" si="74"/>
        <v>9.4700000000000006</v>
      </c>
      <c r="M680" s="48">
        <f t="shared" si="75"/>
        <v>2078387.1</v>
      </c>
      <c r="N680" s="48">
        <f t="shared" si="76"/>
        <v>7670.7</v>
      </c>
      <c r="O680" s="50">
        <f t="shared" si="77"/>
        <v>2086057.8</v>
      </c>
      <c r="P680" s="50">
        <v>0</v>
      </c>
      <c r="Q680" s="76"/>
      <c r="R680" s="139">
        <f>6*3*(S9+S10)</f>
        <v>810</v>
      </c>
      <c r="S680" s="79">
        <v>2095.14</v>
      </c>
      <c r="T680" s="80">
        <v>7.74</v>
      </c>
    </row>
    <row r="681" spans="2:20" ht="42">
      <c r="B681" s="5" t="s">
        <v>1613</v>
      </c>
      <c r="C681" s="45" t="s">
        <v>97</v>
      </c>
      <c r="D681" s="45" t="s">
        <v>1600</v>
      </c>
      <c r="E681" s="6" t="s">
        <v>1601</v>
      </c>
      <c r="F681" s="45" t="s">
        <v>121</v>
      </c>
      <c r="G681" s="46">
        <f t="shared" si="78"/>
        <v>675</v>
      </c>
      <c r="H681" s="46">
        <f>TRUNC(S681*(1-LOTE_02!$K$10),2)</f>
        <v>291.19</v>
      </c>
      <c r="I681" s="46">
        <f>TRUNC(T681*(1-LOTE_02!$K$10),2)</f>
        <v>11.13</v>
      </c>
      <c r="J681" s="100">
        <f t="shared" si="79"/>
        <v>0.22470000000000001</v>
      </c>
      <c r="K681" s="48">
        <f t="shared" si="73"/>
        <v>356.62</v>
      </c>
      <c r="L681" s="48">
        <f t="shared" si="74"/>
        <v>13.63</v>
      </c>
      <c r="M681" s="48">
        <f t="shared" si="75"/>
        <v>240718.5</v>
      </c>
      <c r="N681" s="48">
        <f t="shared" si="76"/>
        <v>9200.25</v>
      </c>
      <c r="O681" s="50">
        <f t="shared" si="77"/>
        <v>249918.75</v>
      </c>
      <c r="P681" s="50">
        <v>0</v>
      </c>
      <c r="Q681" s="76"/>
      <c r="R681" s="139">
        <f>5*3*(S9+S10)</f>
        <v>675</v>
      </c>
      <c r="S681" s="79">
        <v>291.19</v>
      </c>
      <c r="T681" s="80">
        <v>11.13</v>
      </c>
    </row>
    <row r="682" spans="2:20" ht="56">
      <c r="B682" s="5" t="s">
        <v>1614</v>
      </c>
      <c r="C682" s="45" t="s">
        <v>97</v>
      </c>
      <c r="D682" s="45" t="s">
        <v>1615</v>
      </c>
      <c r="E682" s="6" t="s">
        <v>1616</v>
      </c>
      <c r="F682" s="45" t="s">
        <v>104</v>
      </c>
      <c r="G682" s="46">
        <f t="shared" si="78"/>
        <v>45</v>
      </c>
      <c r="H682" s="46">
        <f>TRUNC(S682*(1-LOTE_02!$K$10),2)</f>
        <v>3320.61</v>
      </c>
      <c r="I682" s="46">
        <f>TRUNC(T682*(1-LOTE_02!$K$10),2)</f>
        <v>11.61</v>
      </c>
      <c r="J682" s="100">
        <f t="shared" si="79"/>
        <v>0.22470000000000001</v>
      </c>
      <c r="K682" s="48">
        <f t="shared" si="73"/>
        <v>4066.75</v>
      </c>
      <c r="L682" s="48">
        <f t="shared" si="74"/>
        <v>14.21</v>
      </c>
      <c r="M682" s="48">
        <f t="shared" si="75"/>
        <v>183003.75</v>
      </c>
      <c r="N682" s="48">
        <f t="shared" si="76"/>
        <v>639.45000000000005</v>
      </c>
      <c r="O682" s="50">
        <f t="shared" si="77"/>
        <v>183643.2</v>
      </c>
      <c r="P682" s="50">
        <v>0</v>
      </c>
      <c r="Q682" s="76"/>
      <c r="R682" s="139">
        <f>1*(S9+S10)</f>
        <v>45</v>
      </c>
      <c r="S682" s="79">
        <v>3320.61</v>
      </c>
      <c r="T682" s="80">
        <v>11.61</v>
      </c>
    </row>
    <row r="683" spans="2:20" ht="28">
      <c r="B683" s="5" t="s">
        <v>1617</v>
      </c>
      <c r="C683" s="45" t="s">
        <v>97</v>
      </c>
      <c r="D683" s="45" t="s">
        <v>1484</v>
      </c>
      <c r="E683" s="6" t="s">
        <v>1485</v>
      </c>
      <c r="F683" s="45" t="s">
        <v>121</v>
      </c>
      <c r="G683" s="46">
        <f t="shared" si="78"/>
        <v>247.5</v>
      </c>
      <c r="H683" s="46">
        <f>TRUNC(S683*(1-LOTE_02!$K$10),2)</f>
        <v>444.98</v>
      </c>
      <c r="I683" s="46">
        <f>TRUNC(T683*(1-LOTE_02!$K$10),2)</f>
        <v>4.45</v>
      </c>
      <c r="J683" s="100">
        <f t="shared" si="79"/>
        <v>0.22470000000000001</v>
      </c>
      <c r="K683" s="48">
        <f t="shared" si="73"/>
        <v>544.96</v>
      </c>
      <c r="L683" s="48">
        <f t="shared" si="74"/>
        <v>5.44</v>
      </c>
      <c r="M683" s="48">
        <f t="shared" si="75"/>
        <v>134877.6</v>
      </c>
      <c r="N683" s="48">
        <f t="shared" si="76"/>
        <v>1346.4</v>
      </c>
      <c r="O683" s="50">
        <f t="shared" si="77"/>
        <v>136224</v>
      </c>
      <c r="P683" s="50">
        <v>0</v>
      </c>
      <c r="Q683" s="76"/>
      <c r="R683" s="139">
        <f>1*5.5*(S9+S10)</f>
        <v>247.5</v>
      </c>
      <c r="S683" s="79">
        <v>444.98</v>
      </c>
      <c r="T683" s="80">
        <v>4.45</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4033924.47</v>
      </c>
      <c r="Q684" s="76"/>
      <c r="R684" s="155"/>
      <c r="S684" s="79" t="s">
        <v>22</v>
      </c>
      <c r="T684" s="80" t="s">
        <v>22</v>
      </c>
    </row>
    <row r="685" spans="2:20" ht="56">
      <c r="B685" s="5" t="s">
        <v>1619</v>
      </c>
      <c r="C685" s="45" t="s">
        <v>135</v>
      </c>
      <c r="D685" s="45">
        <v>103247</v>
      </c>
      <c r="E685" s="6" t="s">
        <v>1620</v>
      </c>
      <c r="F685" s="45" t="s">
        <v>210</v>
      </c>
      <c r="G685" s="46">
        <f t="shared" si="78"/>
        <v>90</v>
      </c>
      <c r="H685" s="46">
        <f>TRUNC(S685*(1-LOTE_02!$K$10),2)</f>
        <v>2367.96</v>
      </c>
      <c r="I685" s="46">
        <f>TRUNC(T685*(1-LOTE_02!$K$10),2)</f>
        <v>77.52</v>
      </c>
      <c r="J685" s="100">
        <f>$J$5</f>
        <v>0.16500000000000001</v>
      </c>
      <c r="K685" s="48">
        <f t="shared" si="73"/>
        <v>2758.67</v>
      </c>
      <c r="L685" s="48">
        <f t="shared" si="74"/>
        <v>90.31</v>
      </c>
      <c r="M685" s="48">
        <f t="shared" si="75"/>
        <v>248280.3</v>
      </c>
      <c r="N685" s="48">
        <f t="shared" si="76"/>
        <v>8127.9</v>
      </c>
      <c r="O685" s="50">
        <f t="shared" si="77"/>
        <v>256408.2</v>
      </c>
      <c r="P685" s="50">
        <v>0</v>
      </c>
      <c r="Q685" s="76"/>
      <c r="R685" s="139">
        <f>2*(S9+S10)</f>
        <v>90</v>
      </c>
      <c r="S685" s="79">
        <v>2367.96</v>
      </c>
      <c r="T685" s="80">
        <v>77.52</v>
      </c>
    </row>
    <row r="686" spans="2:20" ht="56">
      <c r="B686" s="5" t="s">
        <v>1621</v>
      </c>
      <c r="C686" s="45" t="s">
        <v>135</v>
      </c>
      <c r="D686" s="45">
        <v>103250</v>
      </c>
      <c r="E686" s="6" t="s">
        <v>1622</v>
      </c>
      <c r="F686" s="45" t="s">
        <v>210</v>
      </c>
      <c r="G686" s="46">
        <f t="shared" si="78"/>
        <v>90</v>
      </c>
      <c r="H686" s="46">
        <f>TRUNC(S686*(1-LOTE_02!$K$10),2)</f>
        <v>3455.62</v>
      </c>
      <c r="I686" s="46">
        <f>TRUNC(T686*(1-LOTE_02!$K$10),2)</f>
        <v>83.52</v>
      </c>
      <c r="J686" s="100">
        <f t="shared" ref="J686:J691" si="80">$J$5</f>
        <v>0.16500000000000001</v>
      </c>
      <c r="K686" s="48">
        <f t="shared" si="73"/>
        <v>4025.79</v>
      </c>
      <c r="L686" s="48">
        <f t="shared" si="74"/>
        <v>97.3</v>
      </c>
      <c r="M686" s="48">
        <f t="shared" si="75"/>
        <v>362321.1</v>
      </c>
      <c r="N686" s="48">
        <f t="shared" si="76"/>
        <v>8757</v>
      </c>
      <c r="O686" s="50">
        <f t="shared" si="77"/>
        <v>371078.1</v>
      </c>
      <c r="P686" s="50">
        <v>0</v>
      </c>
      <c r="Q686" s="76"/>
      <c r="R686" s="139">
        <f>2*(S10+S9)</f>
        <v>90</v>
      </c>
      <c r="S686" s="79">
        <v>3455.62</v>
      </c>
      <c r="T686" s="80">
        <v>83.52</v>
      </c>
    </row>
    <row r="687" spans="2:20" ht="56">
      <c r="B687" s="5" t="s">
        <v>1623</v>
      </c>
      <c r="C687" s="45" t="s">
        <v>135</v>
      </c>
      <c r="D687" s="45">
        <v>103253</v>
      </c>
      <c r="E687" s="6" t="s">
        <v>1624</v>
      </c>
      <c r="F687" s="45" t="s">
        <v>210</v>
      </c>
      <c r="G687" s="46">
        <f t="shared" si="78"/>
        <v>90</v>
      </c>
      <c r="H687" s="46">
        <f>TRUNC(S687*(1-LOTE_02!$K$10),2)</f>
        <v>4726.1499999999996</v>
      </c>
      <c r="I687" s="46">
        <f>TRUNC(T687*(1-LOTE_02!$K$10),2)</f>
        <v>86.63</v>
      </c>
      <c r="J687" s="100">
        <f t="shared" si="80"/>
        <v>0.16500000000000001</v>
      </c>
      <c r="K687" s="48">
        <f t="shared" si="73"/>
        <v>5505.96</v>
      </c>
      <c r="L687" s="48">
        <f t="shared" si="74"/>
        <v>100.92</v>
      </c>
      <c r="M687" s="48">
        <f t="shared" si="75"/>
        <v>495536.4</v>
      </c>
      <c r="N687" s="48">
        <f t="shared" si="76"/>
        <v>9082.7999999999993</v>
      </c>
      <c r="O687" s="50">
        <f t="shared" si="77"/>
        <v>504619.2</v>
      </c>
      <c r="P687" s="50">
        <v>0</v>
      </c>
      <c r="Q687" s="76"/>
      <c r="R687" s="139">
        <f>2*(S10+S9)</f>
        <v>90</v>
      </c>
      <c r="S687" s="79">
        <v>4726.1499999999996</v>
      </c>
      <c r="T687" s="80">
        <v>86.63</v>
      </c>
    </row>
    <row r="688" spans="2:20" ht="56">
      <c r="B688" s="5" t="s">
        <v>1625</v>
      </c>
      <c r="C688" s="45" t="s">
        <v>135</v>
      </c>
      <c r="D688" s="45">
        <v>103244</v>
      </c>
      <c r="E688" s="6" t="s">
        <v>1626</v>
      </c>
      <c r="F688" s="45" t="s">
        <v>210</v>
      </c>
      <c r="G688" s="46">
        <f t="shared" si="78"/>
        <v>90</v>
      </c>
      <c r="H688" s="46">
        <f>TRUNC(S688*(1-LOTE_02!$K$10),2)</f>
        <v>2129.23</v>
      </c>
      <c r="I688" s="46">
        <f>TRUNC(T688*(1-LOTE_02!$K$10),2)</f>
        <v>77.45</v>
      </c>
      <c r="J688" s="100">
        <f t="shared" si="80"/>
        <v>0.16500000000000001</v>
      </c>
      <c r="K688" s="48">
        <f t="shared" si="73"/>
        <v>2480.5500000000002</v>
      </c>
      <c r="L688" s="48">
        <f t="shared" si="74"/>
        <v>90.22</v>
      </c>
      <c r="M688" s="48">
        <f t="shared" si="75"/>
        <v>223249.5</v>
      </c>
      <c r="N688" s="48">
        <f t="shared" si="76"/>
        <v>8119.8</v>
      </c>
      <c r="O688" s="50">
        <f t="shared" si="77"/>
        <v>231369.3</v>
      </c>
      <c r="P688" s="50">
        <v>0</v>
      </c>
      <c r="Q688" s="76"/>
      <c r="R688" s="139">
        <f>2*(S9+S10)</f>
        <v>90</v>
      </c>
      <c r="S688" s="79">
        <v>2129.23</v>
      </c>
      <c r="T688" s="80">
        <v>77.45</v>
      </c>
    </row>
    <row r="689" spans="2:20" ht="56">
      <c r="B689" s="5" t="s">
        <v>1627</v>
      </c>
      <c r="C689" s="45" t="s">
        <v>135</v>
      </c>
      <c r="D689" s="45">
        <v>103261</v>
      </c>
      <c r="E689" s="6" t="s">
        <v>1628</v>
      </c>
      <c r="F689" s="45" t="s">
        <v>210</v>
      </c>
      <c r="G689" s="46">
        <f t="shared" si="78"/>
        <v>45</v>
      </c>
      <c r="H689" s="46">
        <f>TRUNC(S689*(1-LOTE_02!$K$10),2)</f>
        <v>11099.06</v>
      </c>
      <c r="I689" s="46">
        <f>TRUNC(T689*(1-LOTE_02!$K$10),2)</f>
        <v>143.9</v>
      </c>
      <c r="J689" s="100">
        <f t="shared" si="80"/>
        <v>0.16500000000000001</v>
      </c>
      <c r="K689" s="48">
        <f t="shared" si="73"/>
        <v>12930.4</v>
      </c>
      <c r="L689" s="48">
        <f t="shared" si="74"/>
        <v>167.64</v>
      </c>
      <c r="M689" s="48">
        <f t="shared" si="75"/>
        <v>581868</v>
      </c>
      <c r="N689" s="48">
        <f t="shared" si="76"/>
        <v>7543.8</v>
      </c>
      <c r="O689" s="50">
        <f t="shared" si="77"/>
        <v>589411.80000000005</v>
      </c>
      <c r="P689" s="50">
        <v>0</v>
      </c>
      <c r="Q689" s="76"/>
      <c r="R689" s="139">
        <f>1*(S9+S10)</f>
        <v>45</v>
      </c>
      <c r="S689" s="79">
        <v>11099.06</v>
      </c>
      <c r="T689" s="80">
        <v>143.9</v>
      </c>
    </row>
    <row r="690" spans="2:20" ht="42">
      <c r="B690" s="5" t="s">
        <v>1629</v>
      </c>
      <c r="C690" s="45" t="s">
        <v>135</v>
      </c>
      <c r="D690" s="45">
        <v>103277</v>
      </c>
      <c r="E690" s="6" t="s">
        <v>1630</v>
      </c>
      <c r="F690" s="45" t="s">
        <v>210</v>
      </c>
      <c r="G690" s="46">
        <f>IF($S$11=0,0,TRUNC(R690,2))</f>
        <v>18</v>
      </c>
      <c r="H690" s="46">
        <f>TRUNC(S690*(1-LOTE_02!$K$10),2)</f>
        <v>23404.57</v>
      </c>
      <c r="I690" s="46">
        <f>TRUNC(T690*(1-LOTE_02!$K$10),2)</f>
        <v>248.35</v>
      </c>
      <c r="J690" s="100">
        <f t="shared" si="80"/>
        <v>0.16500000000000001</v>
      </c>
      <c r="K690" s="48">
        <f t="shared" si="73"/>
        <v>27266.32</v>
      </c>
      <c r="L690" s="48">
        <f t="shared" si="74"/>
        <v>289.32</v>
      </c>
      <c r="M690" s="48">
        <f t="shared" si="75"/>
        <v>490793.76</v>
      </c>
      <c r="N690" s="48">
        <f t="shared" si="76"/>
        <v>5207.76</v>
      </c>
      <c r="O690" s="50">
        <f t="shared" si="77"/>
        <v>496001.52</v>
      </c>
      <c r="P690" s="50">
        <v>0</v>
      </c>
      <c r="Q690" s="76"/>
      <c r="R690" s="139">
        <f>IF(40%*R691&lt;1,1,ROUND(40%*R691,0))</f>
        <v>18</v>
      </c>
      <c r="S690" s="79">
        <v>23404.57</v>
      </c>
      <c r="T690" s="80">
        <v>248.35</v>
      </c>
    </row>
    <row r="691" spans="2:20" ht="42">
      <c r="B691" s="5" t="s">
        <v>1631</v>
      </c>
      <c r="C691" s="45" t="s">
        <v>135</v>
      </c>
      <c r="D691" s="45">
        <v>103278</v>
      </c>
      <c r="E691" s="6" t="s">
        <v>1632</v>
      </c>
      <c r="F691" s="45" t="s">
        <v>210</v>
      </c>
      <c r="G691" s="46">
        <f t="shared" si="78"/>
        <v>45</v>
      </c>
      <c r="H691" s="46">
        <f>TRUNC(S691*(1-LOTE_02!$K$10),2)</f>
        <v>29980.41</v>
      </c>
      <c r="I691" s="46">
        <f>TRUNC(T691*(1-LOTE_02!$K$10),2)</f>
        <v>253.96</v>
      </c>
      <c r="J691" s="100">
        <f t="shared" si="80"/>
        <v>0.16500000000000001</v>
      </c>
      <c r="K691" s="48">
        <f t="shared" si="73"/>
        <v>34927.17</v>
      </c>
      <c r="L691" s="48">
        <f t="shared" si="74"/>
        <v>295.86</v>
      </c>
      <c r="M691" s="48">
        <f t="shared" si="75"/>
        <v>1571722.65</v>
      </c>
      <c r="N691" s="48">
        <f t="shared" si="76"/>
        <v>13313.7</v>
      </c>
      <c r="O691" s="50">
        <f t="shared" si="77"/>
        <v>1585036.35</v>
      </c>
      <c r="P691" s="50">
        <v>0</v>
      </c>
      <c r="Q691" s="76"/>
      <c r="R691" s="139">
        <f>S10+S9</f>
        <v>45</v>
      </c>
      <c r="S691" s="79">
        <v>29980.41</v>
      </c>
      <c r="T691" s="80">
        <v>253.96</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1750423.2</v>
      </c>
      <c r="Q692" s="76"/>
      <c r="R692" s="154"/>
      <c r="S692" s="79" t="s">
        <v>22</v>
      </c>
      <c r="T692" s="80" t="s">
        <v>22</v>
      </c>
    </row>
    <row r="693" spans="2:20" ht="28">
      <c r="B693" s="5" t="s">
        <v>1633</v>
      </c>
      <c r="C693" s="45" t="s">
        <v>97</v>
      </c>
      <c r="D693" s="45" t="s">
        <v>1634</v>
      </c>
      <c r="E693" s="6" t="s">
        <v>1635</v>
      </c>
      <c r="F693" s="45" t="s">
        <v>104</v>
      </c>
      <c r="G693" s="46">
        <f t="shared" si="78"/>
        <v>10</v>
      </c>
      <c r="H693" s="46">
        <f>TRUNC(S693*(1-LOTE_02!$K$10),2)</f>
        <v>221.77</v>
      </c>
      <c r="I693" s="46">
        <f>TRUNC(T693*(1-LOTE_02!$K$10),2)</f>
        <v>144.91</v>
      </c>
      <c r="J693" s="100">
        <f t="shared" si="79"/>
        <v>0.22470000000000001</v>
      </c>
      <c r="K693" s="48">
        <f t="shared" si="73"/>
        <v>271.60000000000002</v>
      </c>
      <c r="L693" s="48">
        <f t="shared" si="74"/>
        <v>177.47</v>
      </c>
      <c r="M693" s="48">
        <f t="shared" si="75"/>
        <v>2716</v>
      </c>
      <c r="N693" s="48">
        <f t="shared" si="76"/>
        <v>1774.7</v>
      </c>
      <c r="O693" s="50">
        <f t="shared" si="77"/>
        <v>4490.7</v>
      </c>
      <c r="P693" s="50">
        <v>0</v>
      </c>
      <c r="Q693" s="76"/>
      <c r="R693" s="140">
        <f>IF((1*S9+1*S10)&gt;10,10,(1*S9+1*S10))</f>
        <v>10</v>
      </c>
      <c r="S693" s="79">
        <v>221.77</v>
      </c>
      <c r="T693" s="80">
        <v>144.91</v>
      </c>
    </row>
    <row r="694" spans="2:20" ht="42">
      <c r="B694" s="5" t="s">
        <v>1636</v>
      </c>
      <c r="C694" s="45" t="s">
        <v>97</v>
      </c>
      <c r="D694" s="45" t="s">
        <v>1637</v>
      </c>
      <c r="E694" s="6" t="s">
        <v>1638</v>
      </c>
      <c r="F694" s="45" t="s">
        <v>121</v>
      </c>
      <c r="G694" s="46">
        <f t="shared" si="78"/>
        <v>1350</v>
      </c>
      <c r="H694" s="46">
        <f>TRUNC(S694*(1-LOTE_02!$K$10),2)</f>
        <v>226.29</v>
      </c>
      <c r="I694" s="46">
        <f>TRUNC(T694*(1-LOTE_02!$K$10),2)</f>
        <v>63.17</v>
      </c>
      <c r="J694" s="100">
        <f t="shared" si="79"/>
        <v>0.22470000000000001</v>
      </c>
      <c r="K694" s="48">
        <f t="shared" si="73"/>
        <v>277.13</v>
      </c>
      <c r="L694" s="48">
        <f t="shared" si="74"/>
        <v>77.36</v>
      </c>
      <c r="M694" s="48">
        <f t="shared" si="75"/>
        <v>374125.5</v>
      </c>
      <c r="N694" s="48">
        <f t="shared" si="76"/>
        <v>104436</v>
      </c>
      <c r="O694" s="50">
        <f t="shared" si="77"/>
        <v>478561.5</v>
      </c>
      <c r="P694" s="50">
        <v>0</v>
      </c>
      <c r="Q694" s="76"/>
      <c r="R694" s="139">
        <f>30*(S9+S10)</f>
        <v>1350</v>
      </c>
      <c r="S694" s="79">
        <v>226.29</v>
      </c>
      <c r="T694" s="80">
        <v>63.17</v>
      </c>
    </row>
    <row r="695" spans="2:20" ht="28">
      <c r="B695" s="5" t="s">
        <v>1639</v>
      </c>
      <c r="C695" s="45" t="s">
        <v>97</v>
      </c>
      <c r="D695" s="45" t="s">
        <v>1640</v>
      </c>
      <c r="E695" s="6" t="s">
        <v>1641</v>
      </c>
      <c r="F695" s="45" t="s">
        <v>104</v>
      </c>
      <c r="G695" s="46">
        <f t="shared" si="78"/>
        <v>2250</v>
      </c>
      <c r="H695" s="46">
        <f>TRUNC(S695*(1-LOTE_02!$K$10),2)</f>
        <v>5.22</v>
      </c>
      <c r="I695" s="46">
        <f>TRUNC(T695*(1-LOTE_02!$K$10),2)</f>
        <v>8.2200000000000006</v>
      </c>
      <c r="J695" s="100">
        <f t="shared" si="79"/>
        <v>0.22470000000000001</v>
      </c>
      <c r="K695" s="48">
        <f t="shared" si="73"/>
        <v>6.39</v>
      </c>
      <c r="L695" s="48">
        <f t="shared" si="74"/>
        <v>10.06</v>
      </c>
      <c r="M695" s="48">
        <f t="shared" si="75"/>
        <v>14377.5</v>
      </c>
      <c r="N695" s="48">
        <f t="shared" si="76"/>
        <v>22635</v>
      </c>
      <c r="O695" s="50">
        <f t="shared" si="77"/>
        <v>37012.5</v>
      </c>
      <c r="P695" s="50">
        <v>0</v>
      </c>
      <c r="Q695" s="76"/>
      <c r="R695" s="139">
        <f>50*(S9+S10)</f>
        <v>2250</v>
      </c>
      <c r="S695" s="79">
        <v>5.22</v>
      </c>
      <c r="T695" s="80">
        <v>8.2200000000000006</v>
      </c>
    </row>
    <row r="696" spans="2:20" ht="28">
      <c r="B696" s="5" t="s">
        <v>1642</v>
      </c>
      <c r="C696" s="45" t="s">
        <v>97</v>
      </c>
      <c r="D696" s="45" t="s">
        <v>1643</v>
      </c>
      <c r="E696" s="6" t="s">
        <v>1644</v>
      </c>
      <c r="F696" s="45" t="s">
        <v>104</v>
      </c>
      <c r="G696" s="46">
        <f t="shared" si="78"/>
        <v>135</v>
      </c>
      <c r="H696" s="46">
        <f>TRUNC(S696*(1-LOTE_02!$K$10),2)</f>
        <v>41.76</v>
      </c>
      <c r="I696" s="46">
        <f>TRUNC(T696*(1-LOTE_02!$K$10),2)</f>
        <v>65.760000000000005</v>
      </c>
      <c r="J696" s="100">
        <f t="shared" si="79"/>
        <v>0.22470000000000001</v>
      </c>
      <c r="K696" s="48">
        <f t="shared" si="73"/>
        <v>51.14</v>
      </c>
      <c r="L696" s="48">
        <f t="shared" si="74"/>
        <v>80.53</v>
      </c>
      <c r="M696" s="48">
        <f t="shared" si="75"/>
        <v>6903.9</v>
      </c>
      <c r="N696" s="48">
        <f t="shared" si="76"/>
        <v>10871.55</v>
      </c>
      <c r="O696" s="50">
        <f t="shared" si="77"/>
        <v>17775.45</v>
      </c>
      <c r="P696" s="50">
        <v>0</v>
      </c>
      <c r="Q696" s="76"/>
      <c r="R696" s="139">
        <f>3*(S9+S10)</f>
        <v>135</v>
      </c>
      <c r="S696" s="79">
        <v>41.76</v>
      </c>
      <c r="T696" s="80">
        <v>65.760000000000005</v>
      </c>
    </row>
    <row r="697" spans="2:20" ht="28">
      <c r="B697" s="5" t="s">
        <v>1645</v>
      </c>
      <c r="C697" s="45" t="s">
        <v>97</v>
      </c>
      <c r="D697" s="45" t="s">
        <v>1646</v>
      </c>
      <c r="E697" s="6" t="s">
        <v>1647</v>
      </c>
      <c r="F697" s="45" t="s">
        <v>104</v>
      </c>
      <c r="G697" s="46">
        <f t="shared" si="78"/>
        <v>45</v>
      </c>
      <c r="H697" s="46">
        <f>TRUNC(S697*(1-LOTE_02!$K$10),2)</f>
        <v>6671.88</v>
      </c>
      <c r="I697" s="46">
        <f>TRUNC(T697*(1-LOTE_02!$K$10),2)</f>
        <v>1433.02</v>
      </c>
      <c r="J697" s="100">
        <f t="shared" si="79"/>
        <v>0.22470000000000001</v>
      </c>
      <c r="K697" s="48">
        <f t="shared" si="73"/>
        <v>8171.05</v>
      </c>
      <c r="L697" s="48">
        <f t="shared" si="74"/>
        <v>1755.01</v>
      </c>
      <c r="M697" s="48">
        <f t="shared" si="75"/>
        <v>367697.25</v>
      </c>
      <c r="N697" s="48">
        <f t="shared" si="76"/>
        <v>78975.45</v>
      </c>
      <c r="O697" s="50">
        <f t="shared" si="77"/>
        <v>446672.7</v>
      </c>
      <c r="P697" s="50">
        <v>0</v>
      </c>
      <c r="Q697" s="76"/>
      <c r="R697" s="139">
        <f>1*(S9+S10)</f>
        <v>45</v>
      </c>
      <c r="S697" s="79">
        <v>6671.88</v>
      </c>
      <c r="T697" s="80">
        <v>1433.02</v>
      </c>
    </row>
    <row r="698" spans="2:20" ht="28">
      <c r="B698" s="5" t="s">
        <v>1648</v>
      </c>
      <c r="C698" s="45" t="s">
        <v>97</v>
      </c>
      <c r="D698" s="45" t="s">
        <v>331</v>
      </c>
      <c r="E698" s="6" t="s">
        <v>332</v>
      </c>
      <c r="F698" s="45" t="s">
        <v>104</v>
      </c>
      <c r="G698" s="46">
        <f t="shared" si="78"/>
        <v>45</v>
      </c>
      <c r="H698" s="46">
        <f>TRUNC(S698*(1-LOTE_02!$K$10),2)</f>
        <v>6273.07</v>
      </c>
      <c r="I698" s="46">
        <f>TRUNC(T698*(1-LOTE_02!$K$10),2)</f>
        <v>610.70000000000005</v>
      </c>
      <c r="J698" s="100">
        <f t="shared" si="79"/>
        <v>0.22470000000000001</v>
      </c>
      <c r="K698" s="48">
        <f t="shared" si="73"/>
        <v>7682.62</v>
      </c>
      <c r="L698" s="48">
        <f t="shared" si="74"/>
        <v>747.92</v>
      </c>
      <c r="M698" s="48">
        <f t="shared" si="75"/>
        <v>345717.9</v>
      </c>
      <c r="N698" s="48">
        <f t="shared" si="76"/>
        <v>33656.400000000001</v>
      </c>
      <c r="O698" s="50">
        <f t="shared" si="77"/>
        <v>379374.3</v>
      </c>
      <c r="P698" s="50">
        <v>0</v>
      </c>
      <c r="Q698" s="76"/>
      <c r="R698" s="139">
        <f>1*(S9+S10)</f>
        <v>45</v>
      </c>
      <c r="S698" s="79">
        <v>6273.07</v>
      </c>
      <c r="T698" s="80">
        <v>610.70000000000005</v>
      </c>
    </row>
    <row r="699" spans="2:20" ht="42">
      <c r="B699" s="5" t="s">
        <v>1649</v>
      </c>
      <c r="C699" s="45" t="s">
        <v>97</v>
      </c>
      <c r="D699" s="45" t="s">
        <v>1650</v>
      </c>
      <c r="E699" s="6" t="s">
        <v>1651</v>
      </c>
      <c r="F699" s="45" t="s">
        <v>104</v>
      </c>
      <c r="G699" s="46">
        <f t="shared" si="78"/>
        <v>900</v>
      </c>
      <c r="H699" s="46">
        <f>TRUNC(S699*(1-LOTE_02!$K$10),2)</f>
        <v>25.66</v>
      </c>
      <c r="I699" s="46">
        <f>TRUNC(T699*(1-LOTE_02!$K$10),2)</f>
        <v>48.45</v>
      </c>
      <c r="J699" s="100">
        <f t="shared" si="79"/>
        <v>0.22470000000000001</v>
      </c>
      <c r="K699" s="48">
        <f t="shared" si="73"/>
        <v>31.42</v>
      </c>
      <c r="L699" s="48">
        <f t="shared" si="74"/>
        <v>59.33</v>
      </c>
      <c r="M699" s="48">
        <f t="shared" si="75"/>
        <v>28278</v>
      </c>
      <c r="N699" s="48">
        <f t="shared" si="76"/>
        <v>53397</v>
      </c>
      <c r="O699" s="50">
        <f t="shared" si="77"/>
        <v>81675</v>
      </c>
      <c r="P699" s="50">
        <v>0</v>
      </c>
      <c r="Q699" s="76"/>
      <c r="R699" s="139">
        <f>20*(S9+S10)</f>
        <v>900</v>
      </c>
      <c r="S699" s="79">
        <v>25.66</v>
      </c>
      <c r="T699" s="80">
        <v>48.45</v>
      </c>
    </row>
    <row r="700" spans="2:20" ht="28">
      <c r="B700" s="5" t="s">
        <v>1652</v>
      </c>
      <c r="C700" s="45" t="s">
        <v>97</v>
      </c>
      <c r="D700" s="45" t="s">
        <v>1653</v>
      </c>
      <c r="E700" s="6" t="s">
        <v>1654</v>
      </c>
      <c r="F700" s="45" t="s">
        <v>104</v>
      </c>
      <c r="G700" s="46">
        <f t="shared" si="78"/>
        <v>90</v>
      </c>
      <c r="H700" s="46">
        <f>TRUNC(S700*(1-LOTE_02!$K$10),2)</f>
        <v>8.9700000000000006</v>
      </c>
      <c r="I700" s="46">
        <f>TRUNC(T700*(1-LOTE_02!$K$10),2)</f>
        <v>4.1100000000000003</v>
      </c>
      <c r="J700" s="100">
        <f t="shared" si="79"/>
        <v>0.22470000000000001</v>
      </c>
      <c r="K700" s="48">
        <f t="shared" si="73"/>
        <v>10.98</v>
      </c>
      <c r="L700" s="48">
        <f t="shared" si="74"/>
        <v>5.03</v>
      </c>
      <c r="M700" s="48">
        <f t="shared" si="75"/>
        <v>988.2</v>
      </c>
      <c r="N700" s="48">
        <f t="shared" si="76"/>
        <v>452.7</v>
      </c>
      <c r="O700" s="50">
        <f t="shared" si="77"/>
        <v>1440.9</v>
      </c>
      <c r="P700" s="50">
        <v>0</v>
      </c>
      <c r="Q700" s="76"/>
      <c r="R700" s="139">
        <f>2*(S9+S10)</f>
        <v>90</v>
      </c>
      <c r="S700" s="79">
        <v>8.9700000000000006</v>
      </c>
      <c r="T700" s="80">
        <v>4.1100000000000003</v>
      </c>
    </row>
    <row r="701" spans="2:20" ht="70">
      <c r="B701" s="5" t="s">
        <v>1655</v>
      </c>
      <c r="C701" s="45" t="s">
        <v>97</v>
      </c>
      <c r="D701" s="45" t="s">
        <v>1656</v>
      </c>
      <c r="E701" s="6" t="s">
        <v>1657</v>
      </c>
      <c r="F701" s="45" t="s">
        <v>104</v>
      </c>
      <c r="G701" s="46">
        <f t="shared" si="78"/>
        <v>45</v>
      </c>
      <c r="H701" s="46">
        <f>TRUNC(S701*(1-LOTE_02!$K$10),2)</f>
        <v>932.08</v>
      </c>
      <c r="I701" s="46">
        <f>TRUNC(T701*(1-LOTE_02!$K$10),2)</f>
        <v>3.28</v>
      </c>
      <c r="J701" s="100">
        <f t="shared" si="79"/>
        <v>0.22470000000000001</v>
      </c>
      <c r="K701" s="48">
        <f t="shared" si="73"/>
        <v>1141.51</v>
      </c>
      <c r="L701" s="48">
        <f t="shared" si="74"/>
        <v>4.01</v>
      </c>
      <c r="M701" s="48">
        <f t="shared" si="75"/>
        <v>51367.95</v>
      </c>
      <c r="N701" s="48">
        <f t="shared" si="76"/>
        <v>180.45</v>
      </c>
      <c r="O701" s="50">
        <f t="shared" si="77"/>
        <v>51548.4</v>
      </c>
      <c r="P701" s="50">
        <v>0</v>
      </c>
      <c r="Q701" s="76"/>
      <c r="R701" s="139">
        <f>1*(S9+S10)</f>
        <v>45</v>
      </c>
      <c r="S701" s="79">
        <v>932.08</v>
      </c>
      <c r="T701" s="80">
        <v>3.28</v>
      </c>
    </row>
    <row r="702" spans="2:20" ht="28">
      <c r="B702" s="5" t="s">
        <v>1658</v>
      </c>
      <c r="C702" s="45" t="s">
        <v>97</v>
      </c>
      <c r="D702" s="45" t="s">
        <v>1659</v>
      </c>
      <c r="E702" s="6" t="s">
        <v>1660</v>
      </c>
      <c r="F702" s="45" t="s">
        <v>104</v>
      </c>
      <c r="G702" s="46">
        <f t="shared" si="78"/>
        <v>450</v>
      </c>
      <c r="H702" s="46">
        <f>TRUNC(S702*(1-LOTE_02!$K$10),2)</f>
        <v>5.28</v>
      </c>
      <c r="I702" s="46">
        <f>TRUNC(T702*(1-LOTE_02!$K$10),2)</f>
        <v>9.6300000000000008</v>
      </c>
      <c r="J702" s="100">
        <f t="shared" si="79"/>
        <v>0.22470000000000001</v>
      </c>
      <c r="K702" s="48">
        <f t="shared" si="73"/>
        <v>6.46</v>
      </c>
      <c r="L702" s="48">
        <f t="shared" si="74"/>
        <v>11.79</v>
      </c>
      <c r="M702" s="48">
        <f t="shared" si="75"/>
        <v>2907</v>
      </c>
      <c r="N702" s="48">
        <f t="shared" si="76"/>
        <v>5305.5</v>
      </c>
      <c r="O702" s="50">
        <f t="shared" si="77"/>
        <v>8212.5</v>
      </c>
      <c r="P702" s="50">
        <v>0</v>
      </c>
      <c r="Q702" s="76"/>
      <c r="R702" s="139">
        <f>10*(S9+S10)</f>
        <v>450</v>
      </c>
      <c r="S702" s="79">
        <v>5.28</v>
      </c>
      <c r="T702" s="80">
        <v>9.6300000000000008</v>
      </c>
    </row>
    <row r="703" spans="2:20" ht="42">
      <c r="B703" s="5" t="s">
        <v>1661</v>
      </c>
      <c r="C703" s="45" t="s">
        <v>97</v>
      </c>
      <c r="D703" s="45" t="s">
        <v>1662</v>
      </c>
      <c r="E703" s="6" t="s">
        <v>1663</v>
      </c>
      <c r="F703" s="45" t="s">
        <v>104</v>
      </c>
      <c r="G703" s="46">
        <f t="shared" si="78"/>
        <v>45</v>
      </c>
      <c r="H703" s="46">
        <f>TRUNC(S703*(1-LOTE_02!$K$10),2)</f>
        <v>0</v>
      </c>
      <c r="I703" s="46">
        <f>TRUNC(T703*(1-LOTE_02!$K$10),2)</f>
        <v>260</v>
      </c>
      <c r="J703" s="100">
        <f t="shared" si="79"/>
        <v>0.22470000000000001</v>
      </c>
      <c r="K703" s="48">
        <f t="shared" si="73"/>
        <v>0</v>
      </c>
      <c r="L703" s="48">
        <f t="shared" si="74"/>
        <v>318.42</v>
      </c>
      <c r="M703" s="48">
        <f t="shared" si="75"/>
        <v>0</v>
      </c>
      <c r="N703" s="48">
        <f t="shared" si="76"/>
        <v>14328.9</v>
      </c>
      <c r="O703" s="50">
        <f t="shared" si="77"/>
        <v>14328.9</v>
      </c>
      <c r="P703" s="50">
        <v>0</v>
      </c>
      <c r="Q703" s="76"/>
      <c r="R703" s="139">
        <f>1*(S9+S10)</f>
        <v>45</v>
      </c>
      <c r="S703" s="79">
        <v>0</v>
      </c>
      <c r="T703" s="80">
        <v>260</v>
      </c>
    </row>
    <row r="704" spans="2:20" ht="42">
      <c r="B704" s="5" t="s">
        <v>1664</v>
      </c>
      <c r="C704" s="45" t="s">
        <v>97</v>
      </c>
      <c r="D704" s="45" t="s">
        <v>1665</v>
      </c>
      <c r="E704" s="6" t="s">
        <v>1666</v>
      </c>
      <c r="F704" s="45" t="s">
        <v>104</v>
      </c>
      <c r="G704" s="46">
        <f t="shared" si="78"/>
        <v>45</v>
      </c>
      <c r="H704" s="46">
        <f>TRUNC(S704*(1-LOTE_02!$K$10),2)</f>
        <v>0</v>
      </c>
      <c r="I704" s="46">
        <f>TRUNC(T704*(1-LOTE_02!$K$10),2)</f>
        <v>516.83000000000004</v>
      </c>
      <c r="J704" s="100">
        <f t="shared" si="79"/>
        <v>0.22470000000000001</v>
      </c>
      <c r="K704" s="48">
        <f t="shared" si="73"/>
        <v>0</v>
      </c>
      <c r="L704" s="48">
        <f t="shared" si="74"/>
        <v>632.96</v>
      </c>
      <c r="M704" s="48">
        <f t="shared" si="75"/>
        <v>0</v>
      </c>
      <c r="N704" s="48">
        <f t="shared" si="76"/>
        <v>28483.200000000001</v>
      </c>
      <c r="O704" s="50">
        <f t="shared" si="77"/>
        <v>28483.200000000001</v>
      </c>
      <c r="P704" s="50">
        <v>0</v>
      </c>
      <c r="Q704" s="76"/>
      <c r="R704" s="139">
        <f>1*(S9+S10)</f>
        <v>45</v>
      </c>
      <c r="S704" s="79">
        <v>0</v>
      </c>
      <c r="T704" s="80">
        <v>516.83000000000004</v>
      </c>
    </row>
    <row r="705" spans="2:20" ht="42">
      <c r="B705" s="5" t="s">
        <v>1667</v>
      </c>
      <c r="C705" s="45" t="s">
        <v>97</v>
      </c>
      <c r="D705" s="45" t="s">
        <v>1668</v>
      </c>
      <c r="E705" s="6" t="s">
        <v>1669</v>
      </c>
      <c r="F705" s="45" t="s">
        <v>104</v>
      </c>
      <c r="G705" s="46">
        <f t="shared" si="78"/>
        <v>45</v>
      </c>
      <c r="H705" s="46">
        <f>TRUNC(S705*(1-LOTE_02!$K$10),2)</f>
        <v>0</v>
      </c>
      <c r="I705" s="46">
        <f>TRUNC(T705*(1-LOTE_02!$K$10),2)</f>
        <v>779.3</v>
      </c>
      <c r="J705" s="100">
        <f t="shared" si="79"/>
        <v>0.22470000000000001</v>
      </c>
      <c r="K705" s="48">
        <f t="shared" si="73"/>
        <v>0</v>
      </c>
      <c r="L705" s="48">
        <f t="shared" si="74"/>
        <v>954.4</v>
      </c>
      <c r="M705" s="48">
        <f t="shared" si="75"/>
        <v>0</v>
      </c>
      <c r="N705" s="48">
        <f t="shared" si="76"/>
        <v>42948</v>
      </c>
      <c r="O705" s="50">
        <f t="shared" si="77"/>
        <v>42948</v>
      </c>
      <c r="P705" s="50">
        <v>0</v>
      </c>
      <c r="Q705" s="76"/>
      <c r="R705" s="139">
        <f>1*(S9+S10)</f>
        <v>45</v>
      </c>
      <c r="S705" s="79">
        <v>0</v>
      </c>
      <c r="T705" s="80">
        <v>779.3</v>
      </c>
    </row>
    <row r="706" spans="2:20" ht="42">
      <c r="B706" s="5" t="s">
        <v>1670</v>
      </c>
      <c r="C706" s="45" t="s">
        <v>97</v>
      </c>
      <c r="D706" s="45" t="s">
        <v>1671</v>
      </c>
      <c r="E706" s="6" t="s">
        <v>1672</v>
      </c>
      <c r="F706" s="45" t="s">
        <v>104</v>
      </c>
      <c r="G706" s="46">
        <f t="shared" si="78"/>
        <v>45</v>
      </c>
      <c r="H706" s="46">
        <f>TRUNC(S706*(1-LOTE_02!$K$10),2)</f>
        <v>339.54</v>
      </c>
      <c r="I706" s="46">
        <f>TRUNC(T706*(1-LOTE_02!$K$10),2)</f>
        <v>0</v>
      </c>
      <c r="J706" s="100">
        <f t="shared" si="79"/>
        <v>0.22470000000000001</v>
      </c>
      <c r="K706" s="48">
        <f t="shared" si="73"/>
        <v>415.83</v>
      </c>
      <c r="L706" s="48">
        <f t="shared" si="74"/>
        <v>0</v>
      </c>
      <c r="M706" s="48">
        <f t="shared" si="75"/>
        <v>18712.349999999999</v>
      </c>
      <c r="N706" s="48">
        <f t="shared" si="76"/>
        <v>0</v>
      </c>
      <c r="O706" s="50">
        <f t="shared" si="77"/>
        <v>18712.349999999999</v>
      </c>
      <c r="P706" s="50">
        <v>0</v>
      </c>
      <c r="Q706" s="76"/>
      <c r="R706" s="139">
        <f>1*(S9+S10)</f>
        <v>45</v>
      </c>
      <c r="S706" s="79">
        <v>339.54</v>
      </c>
      <c r="T706" s="80">
        <v>0</v>
      </c>
    </row>
    <row r="707" spans="2:20" ht="42">
      <c r="B707" s="5" t="s">
        <v>1673</v>
      </c>
      <c r="C707" s="45" t="s">
        <v>97</v>
      </c>
      <c r="D707" s="45" t="s">
        <v>1674</v>
      </c>
      <c r="E707" s="6" t="s">
        <v>1675</v>
      </c>
      <c r="F707" s="45" t="s">
        <v>104</v>
      </c>
      <c r="G707" s="46">
        <f t="shared" si="78"/>
        <v>45</v>
      </c>
      <c r="H707" s="46">
        <f>TRUNC(S707*(1-LOTE_02!$K$10),2)</f>
        <v>0</v>
      </c>
      <c r="I707" s="46">
        <f>TRUNC(T707*(1-LOTE_02!$K$10),2)</f>
        <v>667.87</v>
      </c>
      <c r="J707" s="100">
        <f t="shared" si="79"/>
        <v>0.22470000000000001</v>
      </c>
      <c r="K707" s="48">
        <f t="shared" si="73"/>
        <v>0</v>
      </c>
      <c r="L707" s="48">
        <f t="shared" si="74"/>
        <v>817.94</v>
      </c>
      <c r="M707" s="48">
        <f t="shared" si="75"/>
        <v>0</v>
      </c>
      <c r="N707" s="48">
        <f t="shared" si="76"/>
        <v>36807.300000000003</v>
      </c>
      <c r="O707" s="50">
        <f t="shared" si="77"/>
        <v>36807.300000000003</v>
      </c>
      <c r="P707" s="50">
        <v>0</v>
      </c>
      <c r="Q707" s="76"/>
      <c r="R707" s="139">
        <f>1*(S9+S10)</f>
        <v>45</v>
      </c>
      <c r="S707" s="79">
        <v>0</v>
      </c>
      <c r="T707" s="80">
        <v>667.87</v>
      </c>
    </row>
    <row r="708" spans="2:20" ht="42">
      <c r="B708" s="5" t="s">
        <v>1676</v>
      </c>
      <c r="C708" s="45" t="s">
        <v>97</v>
      </c>
      <c r="D708" s="45" t="s">
        <v>1677</v>
      </c>
      <c r="E708" s="6" t="s">
        <v>1678</v>
      </c>
      <c r="F708" s="45" t="s">
        <v>104</v>
      </c>
      <c r="G708" s="46">
        <f t="shared" si="78"/>
        <v>90</v>
      </c>
      <c r="H708" s="46">
        <f>TRUNC(S708*(1-LOTE_02!$K$10),2)</f>
        <v>269.70999999999998</v>
      </c>
      <c r="I708" s="46">
        <f>TRUNC(T708*(1-LOTE_02!$K$10),2)</f>
        <v>21.93</v>
      </c>
      <c r="J708" s="100">
        <f t="shared" si="79"/>
        <v>0.22470000000000001</v>
      </c>
      <c r="K708" s="48">
        <f t="shared" si="73"/>
        <v>330.31</v>
      </c>
      <c r="L708" s="48">
        <f t="shared" si="74"/>
        <v>26.85</v>
      </c>
      <c r="M708" s="48">
        <f t="shared" si="75"/>
        <v>29727.9</v>
      </c>
      <c r="N708" s="48">
        <f t="shared" si="76"/>
        <v>2416.5</v>
      </c>
      <c r="O708" s="50">
        <f t="shared" si="77"/>
        <v>32144.400000000001</v>
      </c>
      <c r="P708" s="50">
        <v>0</v>
      </c>
      <c r="Q708" s="76"/>
      <c r="R708" s="139">
        <f>2*(S9+S10)</f>
        <v>90</v>
      </c>
      <c r="S708" s="79">
        <v>269.70999999999998</v>
      </c>
      <c r="T708" s="80">
        <v>21.93</v>
      </c>
    </row>
    <row r="709" spans="2:20" ht="28">
      <c r="B709" s="5" t="s">
        <v>1679</v>
      </c>
      <c r="C709" s="45" t="s">
        <v>97</v>
      </c>
      <c r="D709" s="45" t="s">
        <v>1680</v>
      </c>
      <c r="E709" s="6" t="s">
        <v>1681</v>
      </c>
      <c r="F709" s="45" t="s">
        <v>104</v>
      </c>
      <c r="G709" s="46">
        <f t="shared" si="78"/>
        <v>90</v>
      </c>
      <c r="H709" s="46">
        <f>TRUNC(S709*(1-LOTE_02!$K$10),2)</f>
        <v>10.32</v>
      </c>
      <c r="I709" s="46">
        <f>TRUNC(T709*(1-LOTE_02!$K$10),2)</f>
        <v>19.18</v>
      </c>
      <c r="J709" s="100">
        <f t="shared" si="79"/>
        <v>0.22470000000000001</v>
      </c>
      <c r="K709" s="48">
        <f t="shared" si="73"/>
        <v>12.63</v>
      </c>
      <c r="L709" s="48">
        <f t="shared" si="74"/>
        <v>23.48</v>
      </c>
      <c r="M709" s="48">
        <f t="shared" si="75"/>
        <v>1136.7</v>
      </c>
      <c r="N709" s="48">
        <f t="shared" si="76"/>
        <v>2113.1999999999998</v>
      </c>
      <c r="O709" s="50">
        <f t="shared" si="77"/>
        <v>3249.9</v>
      </c>
      <c r="P709" s="50">
        <v>0</v>
      </c>
      <c r="Q709" s="76"/>
      <c r="R709" s="139">
        <f>2*(S9+S10)</f>
        <v>90</v>
      </c>
      <c r="S709" s="79">
        <v>10.32</v>
      </c>
      <c r="T709" s="80">
        <v>19.18</v>
      </c>
    </row>
    <row r="710" spans="2:20" ht="28">
      <c r="B710" s="5" t="s">
        <v>1682</v>
      </c>
      <c r="C710" s="45" t="s">
        <v>165</v>
      </c>
      <c r="D710" s="45" t="s">
        <v>1683</v>
      </c>
      <c r="E710" s="6" t="s">
        <v>1684</v>
      </c>
      <c r="F710" s="45" t="s">
        <v>531</v>
      </c>
      <c r="G710" s="46">
        <f t="shared" si="78"/>
        <v>225</v>
      </c>
      <c r="H710" s="46">
        <f>TRUNC(S710*(1-LOTE_02!$K$10),2)</f>
        <v>24.35</v>
      </c>
      <c r="I710" s="46">
        <f>TRUNC(T710*(1-LOTE_02!$K$10),2)</f>
        <v>2.64</v>
      </c>
      <c r="J710" s="100">
        <f t="shared" si="79"/>
        <v>0.22470000000000001</v>
      </c>
      <c r="K710" s="48">
        <f t="shared" si="73"/>
        <v>29.82</v>
      </c>
      <c r="L710" s="48">
        <f t="shared" si="74"/>
        <v>3.23</v>
      </c>
      <c r="M710" s="48">
        <f t="shared" si="75"/>
        <v>6709.5</v>
      </c>
      <c r="N710" s="48">
        <f t="shared" si="76"/>
        <v>726.75</v>
      </c>
      <c r="O710" s="50">
        <f t="shared" si="77"/>
        <v>7436.25</v>
      </c>
      <c r="P710" s="50">
        <v>0</v>
      </c>
      <c r="Q710" s="76"/>
      <c r="R710" s="139">
        <f>5*(S9+S10)</f>
        <v>225</v>
      </c>
      <c r="S710" s="79">
        <v>24.35</v>
      </c>
      <c r="T710" s="80">
        <v>2.64</v>
      </c>
    </row>
    <row r="711" spans="2:20" ht="42">
      <c r="B711" s="5" t="s">
        <v>1685</v>
      </c>
      <c r="C711" s="45" t="s">
        <v>97</v>
      </c>
      <c r="D711" s="45" t="s">
        <v>1686</v>
      </c>
      <c r="E711" s="6" t="s">
        <v>1687</v>
      </c>
      <c r="F711" s="45" t="s">
        <v>187</v>
      </c>
      <c r="G711" s="46">
        <f t="shared" si="78"/>
        <v>225</v>
      </c>
      <c r="H711" s="46">
        <f>TRUNC(S711*(1-LOTE_02!$K$10),2)</f>
        <v>9.83</v>
      </c>
      <c r="I711" s="46">
        <f>TRUNC(T711*(1-LOTE_02!$K$10),2)</f>
        <v>1.31</v>
      </c>
      <c r="J711" s="100">
        <f t="shared" si="79"/>
        <v>0.22470000000000001</v>
      </c>
      <c r="K711" s="48">
        <f t="shared" si="73"/>
        <v>12.03</v>
      </c>
      <c r="L711" s="48">
        <f t="shared" si="74"/>
        <v>1.6</v>
      </c>
      <c r="M711" s="48">
        <f t="shared" si="75"/>
        <v>2706.75</v>
      </c>
      <c r="N711" s="48">
        <f t="shared" si="76"/>
        <v>360</v>
      </c>
      <c r="O711" s="50">
        <f t="shared" si="77"/>
        <v>3066.75</v>
      </c>
      <c r="P711" s="50">
        <v>0</v>
      </c>
      <c r="Q711" s="76"/>
      <c r="R711" s="139">
        <f>5*(S9+S10)</f>
        <v>225</v>
      </c>
      <c r="S711" s="79">
        <v>9.83</v>
      </c>
      <c r="T711" s="80">
        <v>1.31</v>
      </c>
    </row>
    <row r="712" spans="2:20" ht="28">
      <c r="B712" s="5" t="s">
        <v>1688</v>
      </c>
      <c r="C712" s="45" t="s">
        <v>97</v>
      </c>
      <c r="D712" s="45" t="s">
        <v>1689</v>
      </c>
      <c r="E712" s="6" t="s">
        <v>1690</v>
      </c>
      <c r="F712" s="45" t="s">
        <v>519</v>
      </c>
      <c r="G712" s="46">
        <f t="shared" si="78"/>
        <v>225</v>
      </c>
      <c r="H712" s="46">
        <f>TRUNC(S712*(1-LOTE_02!$K$10),2)</f>
        <v>35.299999999999997</v>
      </c>
      <c r="I712" s="46">
        <f>TRUNC(T712*(1-LOTE_02!$K$10),2)</f>
        <v>7.74</v>
      </c>
      <c r="J712" s="100">
        <f t="shared" si="79"/>
        <v>0.22470000000000001</v>
      </c>
      <c r="K712" s="48">
        <f t="shared" si="73"/>
        <v>43.23</v>
      </c>
      <c r="L712" s="48">
        <f t="shared" si="74"/>
        <v>9.4700000000000006</v>
      </c>
      <c r="M712" s="48">
        <f t="shared" si="75"/>
        <v>9726.75</v>
      </c>
      <c r="N712" s="48">
        <f t="shared" si="76"/>
        <v>2130.75</v>
      </c>
      <c r="O712" s="50">
        <f t="shared" si="77"/>
        <v>11857.5</v>
      </c>
      <c r="P712" s="50">
        <v>0</v>
      </c>
      <c r="Q712" s="76"/>
      <c r="R712" s="139">
        <f>5*(S9+S10)</f>
        <v>225</v>
      </c>
      <c r="S712" s="79">
        <v>35.299999999999997</v>
      </c>
      <c r="T712" s="80">
        <v>7.74</v>
      </c>
    </row>
    <row r="713" spans="2:20" ht="28">
      <c r="B713" s="5" t="s">
        <v>1691</v>
      </c>
      <c r="C713" s="45" t="s">
        <v>165</v>
      </c>
      <c r="D713" s="45" t="s">
        <v>1692</v>
      </c>
      <c r="E713" s="6" t="s">
        <v>1693</v>
      </c>
      <c r="F713" s="45" t="s">
        <v>182</v>
      </c>
      <c r="G713" s="46">
        <f t="shared" si="78"/>
        <v>90</v>
      </c>
      <c r="H713" s="46">
        <f>TRUNC(S713*(1-LOTE_02!$K$10),2)</f>
        <v>305.44</v>
      </c>
      <c r="I713" s="46">
        <f>TRUNC(T713*(1-LOTE_02!$K$10),2)</f>
        <v>21.09</v>
      </c>
      <c r="J713" s="100">
        <f t="shared" si="79"/>
        <v>0.22470000000000001</v>
      </c>
      <c r="K713" s="48">
        <f t="shared" si="73"/>
        <v>374.07</v>
      </c>
      <c r="L713" s="48">
        <f t="shared" si="74"/>
        <v>25.82</v>
      </c>
      <c r="M713" s="48">
        <f t="shared" si="75"/>
        <v>33666.300000000003</v>
      </c>
      <c r="N713" s="48">
        <f t="shared" si="76"/>
        <v>2323.8000000000002</v>
      </c>
      <c r="O713" s="50">
        <f t="shared" si="77"/>
        <v>35990.1</v>
      </c>
      <c r="P713" s="50">
        <v>0</v>
      </c>
      <c r="Q713" s="76"/>
      <c r="R713" s="139">
        <f>2*(S9+S10)</f>
        <v>90</v>
      </c>
      <c r="S713" s="79">
        <v>305.44</v>
      </c>
      <c r="T713" s="80">
        <v>21.09</v>
      </c>
    </row>
    <row r="714" spans="2:20" ht="28">
      <c r="B714" s="5" t="s">
        <v>1694</v>
      </c>
      <c r="C714" s="45" t="s">
        <v>165</v>
      </c>
      <c r="D714" s="45" t="s">
        <v>1695</v>
      </c>
      <c r="E714" s="6" t="s">
        <v>1696</v>
      </c>
      <c r="F714" s="45" t="s">
        <v>559</v>
      </c>
      <c r="G714" s="46">
        <f t="shared" si="78"/>
        <v>135</v>
      </c>
      <c r="H714" s="46">
        <f>TRUNC(S714*(1-LOTE_02!$K$10),2)</f>
        <v>49.4</v>
      </c>
      <c r="I714" s="46">
        <f>TRUNC(T714*(1-LOTE_02!$K$10),2)</f>
        <v>2.83</v>
      </c>
      <c r="J714" s="100">
        <f t="shared" si="79"/>
        <v>0.22470000000000001</v>
      </c>
      <c r="K714" s="48">
        <f t="shared" si="73"/>
        <v>60.5</v>
      </c>
      <c r="L714" s="48">
        <f t="shared" si="74"/>
        <v>3.46</v>
      </c>
      <c r="M714" s="48">
        <f t="shared" si="75"/>
        <v>8167.5</v>
      </c>
      <c r="N714" s="48">
        <f t="shared" si="76"/>
        <v>467.1</v>
      </c>
      <c r="O714" s="50">
        <f t="shared" si="77"/>
        <v>8634.6</v>
      </c>
      <c r="P714" s="50">
        <v>0</v>
      </c>
      <c r="Q714" s="76"/>
      <c r="R714" s="139">
        <f>3*(S9+S10)</f>
        <v>135</v>
      </c>
      <c r="S714" s="79">
        <v>49.4</v>
      </c>
      <c r="T714" s="80">
        <v>2.83</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1921503.51</v>
      </c>
      <c r="Q715" s="76"/>
      <c r="R715" s="139"/>
      <c r="S715" s="79" t="s">
        <v>22</v>
      </c>
      <c r="T715" s="80" t="s">
        <v>22</v>
      </c>
    </row>
    <row r="716" spans="2:20" ht="28">
      <c r="B716" s="5" t="s">
        <v>1698</v>
      </c>
      <c r="C716" s="45" t="s">
        <v>165</v>
      </c>
      <c r="D716" s="45" t="s">
        <v>1699</v>
      </c>
      <c r="E716" s="6" t="s">
        <v>1700</v>
      </c>
      <c r="F716" s="45" t="s">
        <v>168</v>
      </c>
      <c r="G716" s="46">
        <f t="shared" si="78"/>
        <v>18000</v>
      </c>
      <c r="H716" s="46">
        <f>TRUNC(S716*(1-LOTE_02!$K$10),2)</f>
        <v>0</v>
      </c>
      <c r="I716" s="46">
        <f>TRUNC(T716*(1-LOTE_02!$K$10),2)</f>
        <v>9.2200000000000006</v>
      </c>
      <c r="J716" s="100">
        <f t="shared" si="79"/>
        <v>0.22470000000000001</v>
      </c>
      <c r="K716" s="48">
        <f t="shared" si="73"/>
        <v>0</v>
      </c>
      <c r="L716" s="48">
        <f t="shared" si="74"/>
        <v>11.29</v>
      </c>
      <c r="M716" s="48">
        <f t="shared" si="75"/>
        <v>0</v>
      </c>
      <c r="N716" s="48">
        <f t="shared" si="76"/>
        <v>203220</v>
      </c>
      <c r="O716" s="50">
        <f t="shared" si="77"/>
        <v>203220</v>
      </c>
      <c r="P716" s="50">
        <v>0</v>
      </c>
      <c r="Q716" s="76"/>
      <c r="R716" s="139">
        <f>400*(S9+S10)</f>
        <v>18000</v>
      </c>
      <c r="S716" s="79">
        <v>0</v>
      </c>
      <c r="T716" s="80">
        <v>9.2200000000000006</v>
      </c>
    </row>
    <row r="717" spans="2:20" ht="28">
      <c r="B717" s="5" t="s">
        <v>1701</v>
      </c>
      <c r="C717" s="45" t="s">
        <v>97</v>
      </c>
      <c r="D717" s="45" t="s">
        <v>1702</v>
      </c>
      <c r="E717" s="6" t="s">
        <v>1703</v>
      </c>
      <c r="F717" s="45" t="s">
        <v>104</v>
      </c>
      <c r="G717" s="46">
        <f t="shared" si="78"/>
        <v>45</v>
      </c>
      <c r="H717" s="46">
        <f>TRUNC(S717*(1-LOTE_02!$K$10),2)</f>
        <v>266</v>
      </c>
      <c r="I717" s="46">
        <f>TRUNC(T717*(1-LOTE_02!$K$10),2)</f>
        <v>0</v>
      </c>
      <c r="J717" s="100">
        <f t="shared" si="79"/>
        <v>0.22470000000000001</v>
      </c>
      <c r="K717" s="48">
        <f t="shared" si="73"/>
        <v>325.77</v>
      </c>
      <c r="L717" s="48">
        <f t="shared" si="74"/>
        <v>0</v>
      </c>
      <c r="M717" s="48">
        <f t="shared" si="75"/>
        <v>14659.65</v>
      </c>
      <c r="N717" s="48">
        <f t="shared" si="76"/>
        <v>0</v>
      </c>
      <c r="O717" s="50">
        <f t="shared" si="77"/>
        <v>14659.65</v>
      </c>
      <c r="P717" s="50">
        <v>0</v>
      </c>
      <c r="Q717" s="76"/>
      <c r="R717" s="139">
        <f>1*(S9+S10)</f>
        <v>45</v>
      </c>
      <c r="S717" s="79">
        <v>266</v>
      </c>
      <c r="T717" s="80">
        <v>0</v>
      </c>
    </row>
    <row r="718" spans="2:20" ht="42">
      <c r="B718" s="5" t="s">
        <v>1704</v>
      </c>
      <c r="C718" s="45" t="s">
        <v>135</v>
      </c>
      <c r="D718" s="45">
        <v>99814</v>
      </c>
      <c r="E718" s="6" t="s">
        <v>1839</v>
      </c>
      <c r="F718" s="45" t="s">
        <v>121</v>
      </c>
      <c r="G718" s="46">
        <f t="shared" si="78"/>
        <v>45</v>
      </c>
      <c r="H718" s="46">
        <f>TRUNC(S718*(1-LOTE_02!$K$10),2)</f>
        <v>0.78</v>
      </c>
      <c r="I718" s="46">
        <f>TRUNC(T718*(1-LOTE_02!$K$10),2)</f>
        <v>1.1100000000000001</v>
      </c>
      <c r="J718" s="100">
        <f t="shared" si="79"/>
        <v>0.22470000000000001</v>
      </c>
      <c r="K718" s="48">
        <f t="shared" si="73"/>
        <v>0.95</v>
      </c>
      <c r="L718" s="48">
        <f t="shared" si="74"/>
        <v>1.35</v>
      </c>
      <c r="M718" s="48">
        <f t="shared" si="75"/>
        <v>42.75</v>
      </c>
      <c r="N718" s="48">
        <f t="shared" si="76"/>
        <v>60.75</v>
      </c>
      <c r="O718" s="50">
        <f t="shared" si="77"/>
        <v>103.5</v>
      </c>
      <c r="P718" s="50">
        <v>0</v>
      </c>
      <c r="Q718" s="76"/>
      <c r="R718" s="139">
        <f>1*(S9+S10)</f>
        <v>45</v>
      </c>
      <c r="S718" s="79">
        <v>0.7799999999999998</v>
      </c>
      <c r="T718" s="80">
        <v>1.1100000000000001</v>
      </c>
    </row>
    <row r="719" spans="2:20" ht="28">
      <c r="B719" s="5" t="s">
        <v>1705</v>
      </c>
      <c r="C719" s="45" t="s">
        <v>135</v>
      </c>
      <c r="D719" s="45">
        <v>98524</v>
      </c>
      <c r="E719" s="6" t="s">
        <v>1706</v>
      </c>
      <c r="F719" s="45" t="s">
        <v>121</v>
      </c>
      <c r="G719" s="46">
        <f t="shared" si="78"/>
        <v>45</v>
      </c>
      <c r="H719" s="46">
        <f>TRUNC(S719*(1-LOTE_02!$K$10),2)</f>
        <v>2.23</v>
      </c>
      <c r="I719" s="46">
        <f>TRUNC(T719*(1-LOTE_02!$K$10),2)</f>
        <v>3.5</v>
      </c>
      <c r="J719" s="100">
        <f t="shared" si="79"/>
        <v>0.22470000000000001</v>
      </c>
      <c r="K719" s="48">
        <f t="shared" si="73"/>
        <v>2.73</v>
      </c>
      <c r="L719" s="48">
        <f t="shared" si="74"/>
        <v>4.28</v>
      </c>
      <c r="M719" s="48">
        <f t="shared" si="75"/>
        <v>122.85</v>
      </c>
      <c r="N719" s="48">
        <f t="shared" si="76"/>
        <v>192.6</v>
      </c>
      <c r="O719" s="50">
        <f t="shared" si="77"/>
        <v>315.45</v>
      </c>
      <c r="P719" s="50">
        <v>0</v>
      </c>
      <c r="Q719" s="76"/>
      <c r="R719" s="139">
        <f>1*(S9+S10)</f>
        <v>45</v>
      </c>
      <c r="S719" s="79">
        <v>2.2300000000000004</v>
      </c>
      <c r="T719" s="80">
        <v>3.5</v>
      </c>
    </row>
    <row r="720" spans="2:20" ht="42">
      <c r="B720" s="5" t="s">
        <v>1707</v>
      </c>
      <c r="C720" s="45" t="s">
        <v>135</v>
      </c>
      <c r="D720" s="45">
        <v>98531</v>
      </c>
      <c r="E720" s="6" t="s">
        <v>1708</v>
      </c>
      <c r="F720" s="45" t="s">
        <v>210</v>
      </c>
      <c r="G720" s="46">
        <f t="shared" si="78"/>
        <v>45</v>
      </c>
      <c r="H720" s="46">
        <f>TRUNC(S720*(1-LOTE_02!$K$10),2)</f>
        <v>249.79</v>
      </c>
      <c r="I720" s="46">
        <f>TRUNC(T720*(1-LOTE_02!$K$10),2)</f>
        <v>188.36</v>
      </c>
      <c r="J720" s="100">
        <f t="shared" si="79"/>
        <v>0.22470000000000001</v>
      </c>
      <c r="K720" s="48">
        <f t="shared" ref="K720:K737" si="81">TRUNC(H720*(1+J720),2)</f>
        <v>305.91000000000003</v>
      </c>
      <c r="L720" s="48">
        <f t="shared" ref="L720:L737" si="82">TRUNC(I720*(1+J720),2)</f>
        <v>230.68</v>
      </c>
      <c r="M720" s="48">
        <f t="shared" ref="M720:M737" si="83">TRUNC(K720*G720,2)</f>
        <v>13765.95</v>
      </c>
      <c r="N720" s="48">
        <f t="shared" ref="N720:N737" si="84">TRUNC(L720*G720,2)</f>
        <v>10380.6</v>
      </c>
      <c r="O720" s="50">
        <f t="shared" ref="O720:O737" si="85">TRUNC(M720+N720,2)</f>
        <v>24146.55</v>
      </c>
      <c r="P720" s="50">
        <v>0</v>
      </c>
      <c r="Q720" s="76"/>
      <c r="R720" s="139">
        <f>1*(S9+S10)</f>
        <v>45</v>
      </c>
      <c r="S720" s="79">
        <v>249.78999999999996</v>
      </c>
      <c r="T720" s="80">
        <v>188.36</v>
      </c>
    </row>
    <row r="721" spans="2:20" ht="42">
      <c r="B721" s="5" t="s">
        <v>1709</v>
      </c>
      <c r="C721" s="45" t="s">
        <v>135</v>
      </c>
      <c r="D721" s="45">
        <v>99805</v>
      </c>
      <c r="E721" s="6" t="s">
        <v>1840</v>
      </c>
      <c r="F721" s="45" t="s">
        <v>121</v>
      </c>
      <c r="G721" s="46">
        <f t="shared" si="78"/>
        <v>18000</v>
      </c>
      <c r="H721" s="46">
        <f>TRUNC(S721*(1-LOTE_02!$K$10),2)</f>
        <v>5.36</v>
      </c>
      <c r="I721" s="46">
        <f>TRUNC(T721*(1-LOTE_02!$K$10),2)</f>
        <v>7.33</v>
      </c>
      <c r="J721" s="100">
        <f t="shared" si="79"/>
        <v>0.22470000000000001</v>
      </c>
      <c r="K721" s="48">
        <f t="shared" si="81"/>
        <v>6.56</v>
      </c>
      <c r="L721" s="48">
        <f t="shared" si="82"/>
        <v>8.9700000000000006</v>
      </c>
      <c r="M721" s="48">
        <f t="shared" si="83"/>
        <v>118080</v>
      </c>
      <c r="N721" s="48">
        <f t="shared" si="84"/>
        <v>161460</v>
      </c>
      <c r="O721" s="50">
        <f t="shared" si="85"/>
        <v>279540</v>
      </c>
      <c r="P721" s="50">
        <v>0</v>
      </c>
      <c r="Q721" s="76"/>
      <c r="R721" s="139">
        <f>400*(S9+S10)</f>
        <v>18000</v>
      </c>
      <c r="S721" s="79">
        <v>5.3599999999999994</v>
      </c>
      <c r="T721" s="80">
        <v>7.33</v>
      </c>
    </row>
    <row r="722" spans="2:20" ht="42">
      <c r="B722" s="5" t="s">
        <v>1710</v>
      </c>
      <c r="C722" s="45" t="s">
        <v>135</v>
      </c>
      <c r="D722" s="45">
        <v>99802</v>
      </c>
      <c r="E722" s="6" t="s">
        <v>1841</v>
      </c>
      <c r="F722" s="45" t="s">
        <v>121</v>
      </c>
      <c r="G722" s="46">
        <f t="shared" ref="G722:G737" si="86">TRUNC(R722,2)</f>
        <v>18000</v>
      </c>
      <c r="H722" s="46">
        <f>TRUNC(S722*(1-LOTE_02!$K$10),2)</f>
        <v>0.25</v>
      </c>
      <c r="I722" s="46">
        <f>TRUNC(T722*(1-LOTE_02!$K$10),2)</f>
        <v>0.37</v>
      </c>
      <c r="J722" s="100">
        <f t="shared" ref="J722:J737" si="87">$J$4</f>
        <v>0.22470000000000001</v>
      </c>
      <c r="K722" s="48">
        <f t="shared" si="81"/>
        <v>0.3</v>
      </c>
      <c r="L722" s="48">
        <f t="shared" si="82"/>
        <v>0.45</v>
      </c>
      <c r="M722" s="48">
        <f t="shared" si="83"/>
        <v>5400</v>
      </c>
      <c r="N722" s="48">
        <f t="shared" si="84"/>
        <v>8100</v>
      </c>
      <c r="O722" s="50">
        <f t="shared" si="85"/>
        <v>13500</v>
      </c>
      <c r="P722" s="50">
        <v>0</v>
      </c>
      <c r="Q722" s="76"/>
      <c r="R722" s="139">
        <f>400*(S9+S10)</f>
        <v>18000</v>
      </c>
      <c r="S722" s="79">
        <v>0.25</v>
      </c>
      <c r="T722" s="80">
        <v>0.37</v>
      </c>
    </row>
    <row r="723" spans="2:20" ht="42">
      <c r="B723" s="5" t="s">
        <v>1711</v>
      </c>
      <c r="C723" s="45" t="s">
        <v>135</v>
      </c>
      <c r="D723" s="45">
        <v>99803</v>
      </c>
      <c r="E723" s="6" t="s">
        <v>1842</v>
      </c>
      <c r="F723" s="45" t="s">
        <v>121</v>
      </c>
      <c r="G723" s="46">
        <f t="shared" si="86"/>
        <v>2250</v>
      </c>
      <c r="H723" s="46">
        <f>TRUNC(S723*(1-LOTE_02!$K$10),2)</f>
        <v>1.79</v>
      </c>
      <c r="I723" s="46">
        <f>TRUNC(T723*(1-LOTE_02!$K$10),2)</f>
        <v>2.78</v>
      </c>
      <c r="J723" s="100">
        <f t="shared" si="87"/>
        <v>0.22470000000000001</v>
      </c>
      <c r="K723" s="48">
        <f t="shared" si="81"/>
        <v>2.19</v>
      </c>
      <c r="L723" s="48">
        <f t="shared" si="82"/>
        <v>3.4</v>
      </c>
      <c r="M723" s="48">
        <f t="shared" si="83"/>
        <v>4927.5</v>
      </c>
      <c r="N723" s="48">
        <f t="shared" si="84"/>
        <v>7650</v>
      </c>
      <c r="O723" s="50">
        <f t="shared" si="85"/>
        <v>12577.5</v>
      </c>
      <c r="P723" s="50">
        <v>0</v>
      </c>
      <c r="Q723" s="76"/>
      <c r="R723" s="139">
        <f>50*(S9+S10)</f>
        <v>2250</v>
      </c>
      <c r="S723" s="79">
        <v>1.7900000000000005</v>
      </c>
      <c r="T723" s="80">
        <v>2.78</v>
      </c>
    </row>
    <row r="724" spans="2:20" ht="56">
      <c r="B724" s="5" t="s">
        <v>1712</v>
      </c>
      <c r="C724" s="45" t="s">
        <v>135</v>
      </c>
      <c r="D724" s="45">
        <v>99810</v>
      </c>
      <c r="E724" s="6" t="s">
        <v>1843</v>
      </c>
      <c r="F724" s="45" t="s">
        <v>121</v>
      </c>
      <c r="G724" s="46">
        <f t="shared" si="86"/>
        <v>18000</v>
      </c>
      <c r="H724" s="46">
        <f>TRUNC(S724*(1-LOTE_02!$K$10),2)</f>
        <v>2.95</v>
      </c>
      <c r="I724" s="46">
        <f>TRUNC(T724*(1-LOTE_02!$K$10),2)</f>
        <v>4.53</v>
      </c>
      <c r="J724" s="100">
        <f t="shared" si="87"/>
        <v>0.22470000000000001</v>
      </c>
      <c r="K724" s="48">
        <f>TRUNC(H724*(1+J724),2)</f>
        <v>3.61</v>
      </c>
      <c r="L724" s="48">
        <f>TRUNC(I724*(1+J724),2)</f>
        <v>5.54</v>
      </c>
      <c r="M724" s="48">
        <f>TRUNC(K724*G724,2)</f>
        <v>64980</v>
      </c>
      <c r="N724" s="48">
        <f>TRUNC(L724*G724,2)</f>
        <v>99720</v>
      </c>
      <c r="O724" s="50">
        <f>TRUNC(M724+N724,2)</f>
        <v>164700</v>
      </c>
      <c r="P724" s="50">
        <v>0</v>
      </c>
      <c r="Q724" s="76"/>
      <c r="R724" s="139">
        <f>400*(S9+S10)</f>
        <v>18000</v>
      </c>
      <c r="S724" s="79">
        <v>2.95</v>
      </c>
      <c r="T724" s="80">
        <v>4.53</v>
      </c>
    </row>
    <row r="725" spans="2:20" ht="42">
      <c r="B725" s="5" t="s">
        <v>1713</v>
      </c>
      <c r="C725" s="45" t="s">
        <v>135</v>
      </c>
      <c r="D725" s="45">
        <v>99806</v>
      </c>
      <c r="E725" s="6" t="s">
        <v>1844</v>
      </c>
      <c r="F725" s="45" t="s">
        <v>121</v>
      </c>
      <c r="G725" s="46">
        <f t="shared" si="86"/>
        <v>18000</v>
      </c>
      <c r="H725" s="46">
        <f>TRUNC(S725*(1-LOTE_02!$K$10),2)</f>
        <v>1.28</v>
      </c>
      <c r="I725" s="46">
        <f>TRUNC(T725*(1-LOTE_02!$K$10),2)</f>
        <v>1.99</v>
      </c>
      <c r="J725" s="100">
        <f t="shared" si="87"/>
        <v>0.22470000000000001</v>
      </c>
      <c r="K725" s="48">
        <f t="shared" si="81"/>
        <v>1.56</v>
      </c>
      <c r="L725" s="48">
        <f t="shared" si="82"/>
        <v>2.4300000000000002</v>
      </c>
      <c r="M725" s="48">
        <f t="shared" si="83"/>
        <v>28080</v>
      </c>
      <c r="N725" s="48">
        <f t="shared" si="84"/>
        <v>43740</v>
      </c>
      <c r="O725" s="50">
        <f t="shared" si="85"/>
        <v>71820</v>
      </c>
      <c r="P725" s="50">
        <v>0</v>
      </c>
      <c r="Q725" s="76"/>
      <c r="R725" s="139">
        <f>400*(S9+S10)</f>
        <v>18000</v>
      </c>
      <c r="S725" s="79">
        <v>1.28</v>
      </c>
      <c r="T725" s="80">
        <v>1.99</v>
      </c>
    </row>
    <row r="726" spans="2:20">
      <c r="B726" s="5" t="s">
        <v>1714</v>
      </c>
      <c r="C726" s="45" t="s">
        <v>97</v>
      </c>
      <c r="D726" s="45" t="s">
        <v>1717</v>
      </c>
      <c r="E726" s="6" t="s">
        <v>1718</v>
      </c>
      <c r="F726" s="45" t="s">
        <v>121</v>
      </c>
      <c r="G726" s="46">
        <f t="shared" si="86"/>
        <v>2250</v>
      </c>
      <c r="H726" s="46">
        <f>TRUNC(S726*(1-LOTE_02!$K$10),2)</f>
        <v>7.08</v>
      </c>
      <c r="I726" s="46">
        <f>TRUNC(T726*(1-LOTE_02!$K$10),2)</f>
        <v>9.86</v>
      </c>
      <c r="J726" s="100">
        <f t="shared" si="87"/>
        <v>0.22470000000000001</v>
      </c>
      <c r="K726" s="48">
        <f t="shared" si="81"/>
        <v>8.67</v>
      </c>
      <c r="L726" s="48">
        <f t="shared" si="82"/>
        <v>12.07</v>
      </c>
      <c r="M726" s="48">
        <f t="shared" si="83"/>
        <v>19507.5</v>
      </c>
      <c r="N726" s="48">
        <f t="shared" si="84"/>
        <v>27157.5</v>
      </c>
      <c r="O726" s="50">
        <f t="shared" si="85"/>
        <v>46665</v>
      </c>
      <c r="P726" s="50">
        <v>0</v>
      </c>
      <c r="Q726" s="76"/>
      <c r="R726" s="139">
        <f>50*(S9+S10)</f>
        <v>2250</v>
      </c>
      <c r="S726" s="79">
        <v>7.08</v>
      </c>
      <c r="T726" s="80">
        <v>9.86</v>
      </c>
    </row>
    <row r="727" spans="2:20" ht="28">
      <c r="B727" s="5" t="s">
        <v>1715</v>
      </c>
      <c r="C727" s="45" t="s">
        <v>135</v>
      </c>
      <c r="D727" s="45">
        <v>99823</v>
      </c>
      <c r="E727" s="6" t="s">
        <v>1845</v>
      </c>
      <c r="F727" s="45" t="s">
        <v>121</v>
      </c>
      <c r="G727" s="46">
        <f t="shared" si="86"/>
        <v>18000</v>
      </c>
      <c r="H727" s="46">
        <f>TRUNC(S727*(1-LOTE_02!$K$10),2)</f>
        <v>1.47</v>
      </c>
      <c r="I727" s="46">
        <f>TRUNC(T727*(1-LOTE_02!$K$10),2)</f>
        <v>1.23</v>
      </c>
      <c r="J727" s="100">
        <f t="shared" si="87"/>
        <v>0.22470000000000001</v>
      </c>
      <c r="K727" s="48">
        <f t="shared" si="81"/>
        <v>1.8</v>
      </c>
      <c r="L727" s="48">
        <f t="shared" si="82"/>
        <v>1.5</v>
      </c>
      <c r="M727" s="48">
        <f t="shared" si="83"/>
        <v>32400</v>
      </c>
      <c r="N727" s="48">
        <f t="shared" si="84"/>
        <v>27000</v>
      </c>
      <c r="O727" s="50">
        <f t="shared" si="85"/>
        <v>59400</v>
      </c>
      <c r="P727" s="50">
        <v>0</v>
      </c>
      <c r="Q727" s="76"/>
      <c r="R727" s="139">
        <f>400*(S9+S10)</f>
        <v>18000</v>
      </c>
      <c r="S727" s="79">
        <v>1.4700000000000002</v>
      </c>
      <c r="T727" s="80">
        <v>1.23</v>
      </c>
    </row>
    <row r="728" spans="2:20" ht="42">
      <c r="B728" s="5" t="s">
        <v>1716</v>
      </c>
      <c r="C728" s="45" t="s">
        <v>135</v>
      </c>
      <c r="D728" s="45">
        <v>99821</v>
      </c>
      <c r="E728" s="6" t="s">
        <v>1846</v>
      </c>
      <c r="F728" s="45" t="s">
        <v>121</v>
      </c>
      <c r="G728" s="46">
        <f t="shared" si="86"/>
        <v>2250</v>
      </c>
      <c r="H728" s="46">
        <f>TRUNC(S728*(1-LOTE_02!$K$10),2)</f>
        <v>3.26</v>
      </c>
      <c r="I728" s="46">
        <f>TRUNC(T728*(1-LOTE_02!$K$10),2)</f>
        <v>2.2200000000000002</v>
      </c>
      <c r="J728" s="100">
        <f t="shared" si="87"/>
        <v>0.22470000000000001</v>
      </c>
      <c r="K728" s="48">
        <f t="shared" si="81"/>
        <v>3.99</v>
      </c>
      <c r="L728" s="48">
        <f t="shared" si="82"/>
        <v>2.71</v>
      </c>
      <c r="M728" s="48">
        <f t="shared" si="83"/>
        <v>8977.5</v>
      </c>
      <c r="N728" s="48">
        <f t="shared" si="84"/>
        <v>6097.5</v>
      </c>
      <c r="O728" s="50">
        <f t="shared" si="85"/>
        <v>15075</v>
      </c>
      <c r="P728" s="50">
        <v>0</v>
      </c>
      <c r="Q728" s="76"/>
      <c r="R728" s="139">
        <f>50*(S9+S10)</f>
        <v>2250</v>
      </c>
      <c r="S728" s="79">
        <v>3.2600000000000002</v>
      </c>
      <c r="T728" s="80">
        <v>2.2200000000000002</v>
      </c>
    </row>
    <row r="729" spans="2:20" ht="28">
      <c r="B729" s="5" t="s">
        <v>1719</v>
      </c>
      <c r="C729" s="45" t="s">
        <v>135</v>
      </c>
      <c r="D729" s="45">
        <v>99826</v>
      </c>
      <c r="E729" s="6" t="s">
        <v>1847</v>
      </c>
      <c r="F729" s="45" t="s">
        <v>121</v>
      </c>
      <c r="G729" s="46">
        <f t="shared" si="86"/>
        <v>2250</v>
      </c>
      <c r="H729" s="46">
        <f>TRUNC(S729*(1-LOTE_02!$K$10),2)</f>
        <v>0.74</v>
      </c>
      <c r="I729" s="46">
        <f>TRUNC(T729*(1-LOTE_02!$K$10),2)</f>
        <v>1.1399999999999999</v>
      </c>
      <c r="J729" s="100">
        <f t="shared" si="87"/>
        <v>0.22470000000000001</v>
      </c>
      <c r="K729" s="48">
        <f t="shared" si="81"/>
        <v>0.9</v>
      </c>
      <c r="L729" s="48">
        <f t="shared" si="82"/>
        <v>1.39</v>
      </c>
      <c r="M729" s="48">
        <f t="shared" si="83"/>
        <v>2025</v>
      </c>
      <c r="N729" s="48">
        <f t="shared" si="84"/>
        <v>3127.5</v>
      </c>
      <c r="O729" s="50">
        <f t="shared" si="85"/>
        <v>5152.5</v>
      </c>
      <c r="P729" s="50">
        <v>0</v>
      </c>
      <c r="Q729" s="76"/>
      <c r="R729" s="139">
        <f>50*(S9+S10)</f>
        <v>2250</v>
      </c>
      <c r="S729" s="79">
        <v>0.74</v>
      </c>
      <c r="T729" s="80">
        <v>1.1399999999999999</v>
      </c>
    </row>
    <row r="730" spans="2:20" ht="28">
      <c r="B730" s="5" t="s">
        <v>1720</v>
      </c>
      <c r="C730" s="45" t="s">
        <v>135</v>
      </c>
      <c r="D730" s="45">
        <v>99822</v>
      </c>
      <c r="E730" s="6" t="s">
        <v>1848</v>
      </c>
      <c r="F730" s="45" t="s">
        <v>121</v>
      </c>
      <c r="G730" s="46">
        <f t="shared" si="86"/>
        <v>297</v>
      </c>
      <c r="H730" s="46">
        <f>TRUNC(S730*(1-LOTE_02!$K$10),2)</f>
        <v>0.48</v>
      </c>
      <c r="I730" s="46">
        <f>TRUNC(T730*(1-LOTE_02!$K$10),2)</f>
        <v>0.74</v>
      </c>
      <c r="J730" s="100">
        <f t="shared" si="87"/>
        <v>0.22470000000000001</v>
      </c>
      <c r="K730" s="48">
        <f t="shared" si="81"/>
        <v>0.57999999999999996</v>
      </c>
      <c r="L730" s="48">
        <f t="shared" si="82"/>
        <v>0.9</v>
      </c>
      <c r="M730" s="48">
        <f t="shared" si="83"/>
        <v>172.26</v>
      </c>
      <c r="N730" s="48">
        <f t="shared" si="84"/>
        <v>267.3</v>
      </c>
      <c r="O730" s="50">
        <f t="shared" si="85"/>
        <v>439.56</v>
      </c>
      <c r="P730" s="50">
        <v>0</v>
      </c>
      <c r="Q730" s="76"/>
      <c r="R730" s="139">
        <f>2.2*1*3*(S9+S10)</f>
        <v>297</v>
      </c>
      <c r="S730" s="79">
        <v>0.48</v>
      </c>
      <c r="T730" s="80">
        <v>0.74</v>
      </c>
    </row>
    <row r="731" spans="2:20" ht="42">
      <c r="B731" s="5" t="s">
        <v>1721</v>
      </c>
      <c r="C731" s="45" t="s">
        <v>135</v>
      </c>
      <c r="D731" s="45">
        <v>99825</v>
      </c>
      <c r="E731" s="6" t="s">
        <v>1849</v>
      </c>
      <c r="F731" s="45" t="s">
        <v>121</v>
      </c>
      <c r="G731" s="46">
        <f t="shared" si="86"/>
        <v>99</v>
      </c>
      <c r="H731" s="46">
        <f>TRUNC(S731*(1-LOTE_02!$K$10),2)</f>
        <v>2.96</v>
      </c>
      <c r="I731" s="46">
        <f>TRUNC(T731*(1-LOTE_02!$K$10),2)</f>
        <v>2.29</v>
      </c>
      <c r="J731" s="100">
        <f t="shared" si="87"/>
        <v>0.22470000000000001</v>
      </c>
      <c r="K731" s="48">
        <f t="shared" si="81"/>
        <v>3.62</v>
      </c>
      <c r="L731" s="48">
        <f t="shared" si="82"/>
        <v>2.8</v>
      </c>
      <c r="M731" s="48">
        <f t="shared" si="83"/>
        <v>358.38</v>
      </c>
      <c r="N731" s="48">
        <f t="shared" si="84"/>
        <v>277.2</v>
      </c>
      <c r="O731" s="50">
        <f t="shared" si="85"/>
        <v>635.58000000000004</v>
      </c>
      <c r="P731" s="50">
        <v>0</v>
      </c>
      <c r="Q731" s="76"/>
      <c r="R731" s="139">
        <f>2.2*1*(S9+S10)</f>
        <v>99.000000000000014</v>
      </c>
      <c r="S731" s="79">
        <v>2.96</v>
      </c>
      <c r="T731" s="80">
        <v>2.29</v>
      </c>
    </row>
    <row r="732" spans="2:20" ht="28">
      <c r="B732" s="5" t="s">
        <v>1722</v>
      </c>
      <c r="C732" s="45" t="s">
        <v>135</v>
      </c>
      <c r="D732" s="45">
        <v>99824</v>
      </c>
      <c r="E732" s="6" t="s">
        <v>1850</v>
      </c>
      <c r="F732" s="45" t="s">
        <v>121</v>
      </c>
      <c r="G732" s="46">
        <f t="shared" si="86"/>
        <v>297</v>
      </c>
      <c r="H732" s="46">
        <f>TRUNC(S732*(1-LOTE_02!$K$10),2)</f>
        <v>1.58</v>
      </c>
      <c r="I732" s="46">
        <f>TRUNC(T732*(1-LOTE_02!$K$10),2)</f>
        <v>1.5</v>
      </c>
      <c r="J732" s="100">
        <f t="shared" si="87"/>
        <v>0.22470000000000001</v>
      </c>
      <c r="K732" s="48">
        <f t="shared" si="81"/>
        <v>1.93</v>
      </c>
      <c r="L732" s="48">
        <f t="shared" si="82"/>
        <v>1.83</v>
      </c>
      <c r="M732" s="48">
        <f t="shared" si="83"/>
        <v>573.21</v>
      </c>
      <c r="N732" s="48">
        <f t="shared" si="84"/>
        <v>543.51</v>
      </c>
      <c r="O732" s="50">
        <f t="shared" si="85"/>
        <v>1116.72</v>
      </c>
      <c r="P732" s="50">
        <v>0</v>
      </c>
      <c r="Q732" s="76"/>
      <c r="R732" s="139">
        <f>2.2*1*3*(S9+S10)</f>
        <v>297</v>
      </c>
      <c r="S732" s="79">
        <v>1.58</v>
      </c>
      <c r="T732" s="80">
        <v>1.5</v>
      </c>
    </row>
    <row r="733" spans="2:20" ht="28">
      <c r="B733" s="5" t="s">
        <v>1723</v>
      </c>
      <c r="C733" s="45" t="s">
        <v>135</v>
      </c>
      <c r="D733" s="45">
        <v>99811</v>
      </c>
      <c r="E733" s="6" t="s">
        <v>1851</v>
      </c>
      <c r="F733" s="45" t="s">
        <v>121</v>
      </c>
      <c r="G733" s="46">
        <f t="shared" si="86"/>
        <v>2250</v>
      </c>
      <c r="H733" s="46">
        <f>TRUNC(S733*(1-LOTE_02!$K$10),2)</f>
        <v>0.3</v>
      </c>
      <c r="I733" s="46">
        <f>TRUNC(T733*(1-LOTE_02!$K$10),2)</f>
        <v>0.47</v>
      </c>
      <c r="J733" s="100">
        <f t="shared" si="87"/>
        <v>0.22470000000000001</v>
      </c>
      <c r="K733" s="48">
        <f t="shared" si="81"/>
        <v>0.36</v>
      </c>
      <c r="L733" s="48">
        <f t="shared" si="82"/>
        <v>0.56999999999999995</v>
      </c>
      <c r="M733" s="48">
        <f t="shared" si="83"/>
        <v>810</v>
      </c>
      <c r="N733" s="48">
        <f t="shared" si="84"/>
        <v>1282.5</v>
      </c>
      <c r="O733" s="50">
        <f t="shared" si="85"/>
        <v>2092.5</v>
      </c>
      <c r="P733" s="50">
        <v>0</v>
      </c>
      <c r="Q733" s="76"/>
      <c r="R733" s="139">
        <f>50*(S9+S10)</f>
        <v>2250</v>
      </c>
      <c r="S733" s="79">
        <v>0.30000000000000004</v>
      </c>
      <c r="T733" s="80">
        <v>0.47</v>
      </c>
    </row>
    <row r="734" spans="2:20" ht="42">
      <c r="B734" s="5" t="s">
        <v>1724</v>
      </c>
      <c r="C734" s="45" t="s">
        <v>135</v>
      </c>
      <c r="D734" s="45">
        <v>99805</v>
      </c>
      <c r="E734" s="6" t="s">
        <v>1840</v>
      </c>
      <c r="F734" s="45" t="s">
        <v>121</v>
      </c>
      <c r="G734" s="46">
        <f t="shared" si="86"/>
        <v>18000</v>
      </c>
      <c r="H734" s="46">
        <f>TRUNC(S734*(1-LOTE_02!$K$10),2)</f>
        <v>5.36</v>
      </c>
      <c r="I734" s="46">
        <f>TRUNC(T734*(1-LOTE_02!$K$10),2)</f>
        <v>7.33</v>
      </c>
      <c r="J734" s="100">
        <f t="shared" si="87"/>
        <v>0.22470000000000001</v>
      </c>
      <c r="K734" s="48">
        <f t="shared" si="81"/>
        <v>6.56</v>
      </c>
      <c r="L734" s="48">
        <f t="shared" si="82"/>
        <v>8.9700000000000006</v>
      </c>
      <c r="M734" s="48">
        <f t="shared" si="83"/>
        <v>118080</v>
      </c>
      <c r="N734" s="48">
        <f t="shared" si="84"/>
        <v>161460</v>
      </c>
      <c r="O734" s="50">
        <f t="shared" si="85"/>
        <v>279540</v>
      </c>
      <c r="P734" s="50">
        <v>0</v>
      </c>
      <c r="Q734" s="76"/>
      <c r="R734" s="139">
        <f>400*(S9+S10)</f>
        <v>18000</v>
      </c>
      <c r="S734" s="79">
        <v>5.3599999999999994</v>
      </c>
      <c r="T734" s="80">
        <v>7.33</v>
      </c>
    </row>
    <row r="735" spans="2:20">
      <c r="B735" s="5" t="s">
        <v>1725</v>
      </c>
      <c r="C735" s="45" t="s">
        <v>97</v>
      </c>
      <c r="D735" s="45" t="s">
        <v>1728</v>
      </c>
      <c r="E735" s="6" t="s">
        <v>1729</v>
      </c>
      <c r="F735" s="45" t="s">
        <v>104</v>
      </c>
      <c r="G735" s="46">
        <f t="shared" si="86"/>
        <v>45</v>
      </c>
      <c r="H735" s="46">
        <f>TRUNC(S735*(1-LOTE_02!$K$10),2)</f>
        <v>927.07</v>
      </c>
      <c r="I735" s="46">
        <f>TRUNC(T735*(1-LOTE_02!$K$10),2)</f>
        <v>208.43</v>
      </c>
      <c r="J735" s="100">
        <f t="shared" si="87"/>
        <v>0.22470000000000001</v>
      </c>
      <c r="K735" s="48">
        <f t="shared" si="81"/>
        <v>1135.3800000000001</v>
      </c>
      <c r="L735" s="48">
        <f t="shared" si="82"/>
        <v>255.26</v>
      </c>
      <c r="M735" s="48">
        <f t="shared" si="83"/>
        <v>51092.1</v>
      </c>
      <c r="N735" s="48">
        <f t="shared" si="84"/>
        <v>11486.7</v>
      </c>
      <c r="O735" s="50">
        <f t="shared" si="85"/>
        <v>62578.8</v>
      </c>
      <c r="P735" s="50">
        <v>0</v>
      </c>
      <c r="Q735" s="76"/>
      <c r="R735" s="139">
        <f>1*(S9+S10)</f>
        <v>45</v>
      </c>
      <c r="S735" s="79">
        <v>927.07</v>
      </c>
      <c r="T735" s="80">
        <v>208.43</v>
      </c>
    </row>
    <row r="736" spans="2:20">
      <c r="B736" s="5" t="s">
        <v>1726</v>
      </c>
      <c r="C736" s="45" t="s">
        <v>97</v>
      </c>
      <c r="D736" s="45" t="s">
        <v>1730</v>
      </c>
      <c r="E736" s="6" t="s">
        <v>1731</v>
      </c>
      <c r="F736" s="45" t="s">
        <v>104</v>
      </c>
      <c r="G736" s="46">
        <f t="shared" si="86"/>
        <v>45</v>
      </c>
      <c r="H736" s="46">
        <f>TRUNC(S736*(1-LOTE_02!$K$10),2)</f>
        <v>2303.42</v>
      </c>
      <c r="I736" s="46">
        <f>TRUNC(T736*(1-LOTE_02!$K$10),2)</f>
        <v>333.07</v>
      </c>
      <c r="J736" s="100">
        <f t="shared" si="87"/>
        <v>0.22470000000000001</v>
      </c>
      <c r="K736" s="48">
        <f t="shared" si="81"/>
        <v>2820.99</v>
      </c>
      <c r="L736" s="48">
        <f t="shared" si="82"/>
        <v>407.91</v>
      </c>
      <c r="M736" s="48">
        <f t="shared" si="83"/>
        <v>126944.55</v>
      </c>
      <c r="N736" s="48">
        <f t="shared" si="84"/>
        <v>18355.95</v>
      </c>
      <c r="O736" s="50">
        <f t="shared" si="85"/>
        <v>145300.5</v>
      </c>
      <c r="P736" s="50">
        <v>0</v>
      </c>
      <c r="Q736" s="76"/>
      <c r="R736" s="139">
        <f>1*(S9+S10)</f>
        <v>45</v>
      </c>
      <c r="S736" s="79">
        <v>2303.42</v>
      </c>
      <c r="T736" s="80">
        <v>333.07</v>
      </c>
    </row>
    <row r="737" spans="2:20">
      <c r="B737" s="5" t="s">
        <v>1727</v>
      </c>
      <c r="C737" s="45" t="s">
        <v>97</v>
      </c>
      <c r="D737" s="45" t="s">
        <v>1732</v>
      </c>
      <c r="E737" s="6" t="s">
        <v>1733</v>
      </c>
      <c r="F737" s="45" t="s">
        <v>104</v>
      </c>
      <c r="G737" s="46">
        <f t="shared" si="86"/>
        <v>45</v>
      </c>
      <c r="H737" s="46">
        <f>TRUNC(S737*(1-LOTE_02!$K$10),2)</f>
        <v>8381</v>
      </c>
      <c r="I737" s="46">
        <f>TRUNC(T737*(1-LOTE_02!$K$10),2)</f>
        <v>1034.9100000000001</v>
      </c>
      <c r="J737" s="100">
        <f t="shared" si="87"/>
        <v>0.22470000000000001</v>
      </c>
      <c r="K737" s="48">
        <f t="shared" si="81"/>
        <v>10264.209999999999</v>
      </c>
      <c r="L737" s="48">
        <f t="shared" si="82"/>
        <v>1267.45</v>
      </c>
      <c r="M737" s="48">
        <f t="shared" si="83"/>
        <v>461889.45</v>
      </c>
      <c r="N737" s="48">
        <f t="shared" si="84"/>
        <v>57035.25</v>
      </c>
      <c r="O737" s="50">
        <f t="shared" si="85"/>
        <v>518924.7</v>
      </c>
      <c r="P737" s="50">
        <v>0</v>
      </c>
      <c r="Q737" s="76"/>
      <c r="R737" s="139">
        <f>1*(S9+S10)</f>
        <v>45</v>
      </c>
      <c r="S737" s="79">
        <v>8381</v>
      </c>
      <c r="T737" s="80">
        <v>1034.9100000000001</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74522295.320000008</v>
      </c>
      <c r="N741" s="58">
        <f>SUM(N15:N740)</f>
        <v>20352094.539999992</v>
      </c>
      <c r="O741" s="58">
        <f t="shared" ref="O741:P741" si="91">SUM(O15:O740)</f>
        <v>94874389.860000014</v>
      </c>
      <c r="P741" s="58">
        <f t="shared" si="91"/>
        <v>94874389.859999999</v>
      </c>
      <c r="Q741" s="78"/>
      <c r="R741" s="78"/>
      <c r="S741" s="78"/>
    </row>
  </sheetData>
  <sheetProtection selectLockedCells="1"/>
  <protectedRanges>
    <protectedRange sqref="E15:F33 G739:O739 S15 E179:F471 G179:G429 G124 G132 G134 G150:G159 G431:G689 J179:J737 G15:J15 M738:O738 M15:Q15 G16:G114 E35:F176 J16:J176 P16:Q176 G161:G176 B15:B176 S16:T176 G691:G737 P179:Q740 B179:B739 S179:T738 E473:F739" name="Intervalo1_7_1"/>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B177 S177:T177 E177:G177 P177:Q177 J177" name="Intervalo1_3_1"/>
    <protectedRange sqref="G115:G123 G125:G131 G133 G135:G149 G160 G430 G690" name="Intervalo1_7_1_2"/>
    <protectedRange sqref="B178 S178:T178 E178:G178 P178:Q178 J178" name="Intervalo1_5_1_1_1"/>
    <protectedRange sqref="K15:L737" name="Intervalo1"/>
    <protectedRange sqref="M16:O737" name="Intervalo1_3"/>
    <protectedRange sqref="H16:I737" name="Intervalo1_2_1"/>
    <protectedRange sqref="R663 R684 R192:R194 R306 R310" name="Intervalo1_3_1_2"/>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7000000}"/>
  <mergeCells count="4">
    <mergeCell ref="H13:I13"/>
    <mergeCell ref="J13:J14"/>
    <mergeCell ref="M13:P13"/>
    <mergeCell ref="K13:L13"/>
  </mergeCells>
  <conditionalFormatting sqref="R15:R176 R179:R683">
    <cfRule type="expression" dxfId="34" priority="3" stopIfTrue="1">
      <formula>P15="-"</formula>
    </cfRule>
  </conditionalFormatting>
  <conditionalFormatting sqref="R15:R683">
    <cfRule type="cellIs" dxfId="33" priority="1" stopIfTrue="1" operator="equal">
      <formula>""</formula>
    </cfRule>
  </conditionalFormatting>
  <conditionalFormatting sqref="R177:R178">
    <cfRule type="expression" dxfId="32" priority="2" stopIfTrue="1">
      <formula>Q177="-"</formula>
    </cfRule>
  </conditionalFormatting>
  <conditionalFormatting sqref="R684">
    <cfRule type="cellIs" dxfId="31" priority="6" stopIfTrue="1" operator="equal">
      <formula>0</formula>
    </cfRule>
    <cfRule type="expression" dxfId="30" priority="7" stopIfTrue="1">
      <formula>I684="-"</formula>
    </cfRule>
  </conditionalFormatting>
  <conditionalFormatting sqref="R685:R737">
    <cfRule type="cellIs" dxfId="29" priority="4" stopIfTrue="1" operator="equal">
      <formula>""</formula>
    </cfRule>
    <cfRule type="expression" dxfId="28" priority="5" stopIfTrue="1">
      <formula>P685="-"</formula>
    </cfRule>
  </conditionalFormatting>
  <pageMargins left="0.51181102362204722" right="0.51181102362204722" top="0.59055118110236227" bottom="0.59055118110236227" header="0.31496062992125984" footer="0.31496062992125984"/>
  <pageSetup paperSize="9" scale="60" orientation="landscape" r:id="rId1"/>
  <headerFooter>
    <oddHeader>&amp;R&amp;"Aptos"&amp;12&amp;K000000 #INTERNA&amp;1#_x000D_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741"/>
  <sheetViews>
    <sheetView topLeftCell="E1" zoomScale="55" zoomScaleNormal="55" workbookViewId="0">
      <selection activeCell="N10" sqref="N10"/>
    </sheetView>
  </sheetViews>
  <sheetFormatPr defaultColWidth="9.1796875" defaultRowHeight="14"/>
  <cols>
    <col min="1" max="1" width="5.54296875" style="51" customWidth="1"/>
    <col min="2" max="3" width="9.1796875" style="63" customWidth="1"/>
    <col min="4" max="4" width="15.54296875" style="63" customWidth="1"/>
    <col min="5" max="5" width="44.26953125" style="64" customWidth="1"/>
    <col min="6" max="6" width="10.6328125" style="65" customWidth="1"/>
    <col min="7" max="7" width="12.90625" style="65" customWidth="1"/>
    <col min="8" max="8" width="11.453125" style="66" bestFit="1" customWidth="1"/>
    <col min="9" max="9" width="14.453125" style="66" bestFit="1" customWidth="1"/>
    <col min="10" max="10" width="8.7265625" style="66" customWidth="1"/>
    <col min="11" max="11" width="11.7265625" style="66" customWidth="1"/>
    <col min="12" max="12" width="12" style="66" customWidth="1"/>
    <col min="13" max="13" width="13.90625" style="51" customWidth="1"/>
    <col min="14" max="15" width="14.90625" style="51" customWidth="1"/>
    <col min="16" max="16" width="14.36328125" style="51" customWidth="1"/>
    <col min="17" max="17" width="5.08984375" style="51" customWidth="1"/>
    <col min="18" max="18" width="15.36328125" style="51" customWidth="1"/>
    <col min="19" max="19" width="14.7265625" style="51" customWidth="1"/>
    <col min="20" max="20" width="17.1796875" style="51" customWidth="1"/>
    <col min="21" max="21" width="9.1796875" style="51" customWidth="1"/>
    <col min="22" max="16384" width="9.1796875" style="51"/>
  </cols>
  <sheetData>
    <row r="1" spans="2:20" s="8" customFormat="1">
      <c r="D1" s="4"/>
      <c r="E1" s="9"/>
      <c r="F1" s="10"/>
      <c r="G1" s="10"/>
      <c r="H1" s="11"/>
      <c r="I1" s="11"/>
      <c r="J1" s="11"/>
      <c r="K1" s="11"/>
      <c r="L1" s="11"/>
      <c r="M1" s="12"/>
      <c r="N1" s="12"/>
      <c r="O1" s="13"/>
      <c r="P1" s="14"/>
      <c r="Q1" s="14"/>
      <c r="R1" s="14"/>
      <c r="S1" s="14"/>
    </row>
    <row r="2" spans="2:20" s="8" customFormat="1">
      <c r="D2" s="15"/>
      <c r="E2" s="16"/>
      <c r="F2" s="17"/>
      <c r="G2" s="17"/>
      <c r="H2" s="18"/>
      <c r="I2" s="18"/>
      <c r="J2" s="18"/>
      <c r="K2" s="18"/>
      <c r="L2" s="18"/>
      <c r="M2" s="13"/>
      <c r="N2" s="13"/>
      <c r="O2" s="13"/>
      <c r="P2" s="14"/>
      <c r="Q2" s="14"/>
      <c r="R2" s="14"/>
      <c r="S2" s="14"/>
    </row>
    <row r="3" spans="2:20" s="8" customFormat="1" ht="15.5">
      <c r="C3" s="19"/>
      <c r="E3" s="20"/>
      <c r="F3" s="21"/>
      <c r="G3" s="21"/>
      <c r="H3" s="113"/>
      <c r="I3" s="114" t="s">
        <v>90</v>
      </c>
      <c r="J3" s="115"/>
      <c r="K3" s="150"/>
      <c r="L3" s="150"/>
      <c r="M3" s="22"/>
      <c r="N3" s="111" t="s">
        <v>1734</v>
      </c>
      <c r="O3" s="112" t="s">
        <v>70</v>
      </c>
      <c r="P3" s="14"/>
      <c r="Q3" s="14"/>
      <c r="R3" s="14"/>
      <c r="S3" s="14"/>
    </row>
    <row r="4" spans="2:20" s="8" customFormat="1" ht="23" customHeight="1">
      <c r="B4" s="99" t="s">
        <v>92</v>
      </c>
      <c r="C4" s="98"/>
      <c r="E4" s="16"/>
      <c r="F4" s="17"/>
      <c r="G4" s="17"/>
      <c r="H4" s="116"/>
      <c r="I4" s="117" t="s">
        <v>94</v>
      </c>
      <c r="J4" s="118">
        <v>0.22470000000000001</v>
      </c>
      <c r="K4" s="151"/>
      <c r="L4" s="151"/>
      <c r="N4" s="111" t="s">
        <v>89</v>
      </c>
      <c r="O4" s="109">
        <v>46135</v>
      </c>
    </row>
    <row r="5" spans="2:20" s="8" customFormat="1">
      <c r="B5" s="99" t="s">
        <v>93</v>
      </c>
      <c r="C5" s="98"/>
      <c r="E5" s="16"/>
      <c r="F5" s="17"/>
      <c r="G5" s="17"/>
      <c r="H5" s="116"/>
      <c r="I5" s="117" t="s">
        <v>95</v>
      </c>
      <c r="J5" s="118">
        <v>0.16500000000000001</v>
      </c>
      <c r="K5" s="151"/>
      <c r="L5" s="151"/>
      <c r="N5" s="111" t="s">
        <v>1735</v>
      </c>
      <c r="O5" s="110">
        <v>1.1517999999999999</v>
      </c>
    </row>
    <row r="6" spans="2:20" s="8" customFormat="1">
      <c r="D6" s="4"/>
      <c r="E6" s="16" t="s">
        <v>2</v>
      </c>
      <c r="F6" s="23" t="s">
        <v>1762</v>
      </c>
      <c r="G6" s="121"/>
      <c r="H6" s="18"/>
      <c r="N6" s="27" t="s">
        <v>4</v>
      </c>
      <c r="O6" s="28">
        <f>O741</f>
        <v>9628113.7699999996</v>
      </c>
    </row>
    <row r="7" spans="2:20" s="8" customFormat="1">
      <c r="C7" s="24" t="s">
        <v>3</v>
      </c>
      <c r="D7" s="25" t="s">
        <v>64</v>
      </c>
      <c r="F7" s="18"/>
      <c r="G7" s="18"/>
      <c r="H7" s="18"/>
      <c r="I7" s="18"/>
      <c r="J7" s="18"/>
      <c r="K7" s="18"/>
      <c r="L7" s="18"/>
      <c r="M7" s="26"/>
      <c r="S7" s="81"/>
    </row>
    <row r="8" spans="2:20" s="8" customFormat="1">
      <c r="C8" s="24" t="s">
        <v>5</v>
      </c>
      <c r="D8" s="29" t="s">
        <v>1751</v>
      </c>
      <c r="F8" s="30"/>
      <c r="G8" s="30"/>
      <c r="H8" s="1"/>
      <c r="I8" s="2"/>
      <c r="J8" s="2"/>
      <c r="K8" s="2"/>
      <c r="L8" s="2"/>
      <c r="M8" s="31"/>
    </row>
    <row r="9" spans="2:20" s="8" customFormat="1">
      <c r="C9" s="24" t="s">
        <v>6</v>
      </c>
      <c r="D9" s="32" t="s">
        <v>1738</v>
      </c>
      <c r="F9" s="33"/>
      <c r="G9" s="34"/>
      <c r="H9" s="34"/>
      <c r="I9" s="35"/>
      <c r="J9" s="35"/>
      <c r="K9" s="35"/>
      <c r="L9" s="35"/>
      <c r="M9" s="31"/>
      <c r="N9" s="67"/>
      <c r="O9" s="68"/>
      <c r="R9" s="143" t="s">
        <v>1744</v>
      </c>
      <c r="S9" s="144">
        <v>3</v>
      </c>
    </row>
    <row r="10" spans="2:20" s="8" customFormat="1">
      <c r="C10" s="24" t="s">
        <v>1746</v>
      </c>
      <c r="D10" s="32" t="s">
        <v>135</v>
      </c>
      <c r="E10" s="132" t="s">
        <v>1747</v>
      </c>
      <c r="F10" s="133" t="s">
        <v>1852</v>
      </c>
      <c r="G10" s="134" t="s">
        <v>1748</v>
      </c>
      <c r="H10" s="2"/>
      <c r="I10" s="133">
        <v>46054</v>
      </c>
      <c r="J10" s="35"/>
      <c r="K10" s="35"/>
      <c r="L10" s="35"/>
      <c r="M10" s="31"/>
      <c r="N10" s="67"/>
      <c r="O10" s="68"/>
      <c r="R10" s="143" t="s">
        <v>1750</v>
      </c>
      <c r="S10" s="144">
        <v>1</v>
      </c>
    </row>
    <row r="11" spans="2:20" s="8" customFormat="1">
      <c r="C11" s="135"/>
      <c r="E11" s="136" t="s">
        <v>165</v>
      </c>
      <c r="F11" s="137" t="s">
        <v>1853</v>
      </c>
      <c r="G11" s="134" t="s">
        <v>1749</v>
      </c>
      <c r="H11" s="134"/>
      <c r="I11" s="133">
        <v>46082</v>
      </c>
      <c r="J11" s="35"/>
      <c r="K11" s="35"/>
      <c r="L11" s="35"/>
      <c r="M11" s="31"/>
      <c r="N11" s="67"/>
      <c r="O11" s="68"/>
      <c r="R11" s="145" t="s">
        <v>77</v>
      </c>
      <c r="S11" s="146">
        <f>S9+S10</f>
        <v>4</v>
      </c>
    </row>
    <row r="12" spans="2:20" s="8" customFormat="1" ht="14.5" thickBot="1">
      <c r="G12" s="121"/>
      <c r="M12" s="3"/>
      <c r="N12" s="3"/>
      <c r="O12" s="13"/>
      <c r="P12" s="14"/>
      <c r="Q12" s="14"/>
      <c r="R12" s="14"/>
      <c r="S12" s="14"/>
    </row>
    <row r="13" spans="2:20" s="8" customFormat="1" ht="14.5" customHeight="1" thickBot="1">
      <c r="B13" s="4"/>
      <c r="C13" s="4"/>
      <c r="D13" s="36"/>
      <c r="E13" s="37"/>
      <c r="F13" s="38"/>
      <c r="G13" s="39"/>
      <c r="H13" s="161" t="s">
        <v>7</v>
      </c>
      <c r="I13" s="162"/>
      <c r="J13" s="163" t="s">
        <v>90</v>
      </c>
      <c r="K13" s="161" t="s">
        <v>1758</v>
      </c>
      <c r="L13" s="162"/>
      <c r="M13" s="165" t="s">
        <v>91</v>
      </c>
      <c r="N13" s="166"/>
      <c r="O13" s="166"/>
      <c r="P13" s="168"/>
      <c r="Q13" s="138"/>
      <c r="R13" s="40"/>
      <c r="S13" s="40"/>
    </row>
    <row r="14" spans="2:20" s="8" customFormat="1" ht="28">
      <c r="B14" s="41" t="s">
        <v>9</v>
      </c>
      <c r="C14" s="41" t="s">
        <v>10</v>
      </c>
      <c r="D14" s="41" t="s">
        <v>11</v>
      </c>
      <c r="E14" s="42" t="s">
        <v>12</v>
      </c>
      <c r="F14" s="43" t="s">
        <v>13</v>
      </c>
      <c r="G14" s="43" t="s">
        <v>14</v>
      </c>
      <c r="H14" s="44" t="s">
        <v>15</v>
      </c>
      <c r="I14" s="44" t="s">
        <v>16</v>
      </c>
      <c r="J14" s="164"/>
      <c r="K14" s="44" t="s">
        <v>15</v>
      </c>
      <c r="L14" s="44" t="s">
        <v>16</v>
      </c>
      <c r="M14" s="95" t="s">
        <v>15</v>
      </c>
      <c r="N14" s="95" t="s">
        <v>17</v>
      </c>
      <c r="O14" s="96" t="s">
        <v>8</v>
      </c>
      <c r="P14" s="97" t="s">
        <v>18</v>
      </c>
      <c r="Q14" s="75"/>
      <c r="R14" s="75"/>
      <c r="S14" s="75"/>
    </row>
    <row r="15" spans="2:20">
      <c r="B15" s="101" t="s">
        <v>19</v>
      </c>
      <c r="C15" s="102" t="s">
        <v>21</v>
      </c>
      <c r="D15" s="102" t="s">
        <v>21</v>
      </c>
      <c r="E15" s="103" t="s">
        <v>20</v>
      </c>
      <c r="F15" s="102" t="s">
        <v>21</v>
      </c>
      <c r="G15" s="122"/>
      <c r="H15" s="102"/>
      <c r="I15" s="102"/>
      <c r="J15" s="102"/>
      <c r="K15" s="102"/>
      <c r="L15" s="102"/>
      <c r="M15" s="102"/>
      <c r="N15" s="28"/>
      <c r="O15" s="104"/>
      <c r="P15" s="104">
        <f>SUM(O16:O32)</f>
        <v>505101.32000000007</v>
      </c>
      <c r="Q15" s="107"/>
      <c r="R15" s="139"/>
      <c r="S15" s="76" t="s">
        <v>22</v>
      </c>
      <c r="T15" s="51" t="s">
        <v>22</v>
      </c>
    </row>
    <row r="16" spans="2:20" ht="28">
      <c r="B16" s="5" t="s">
        <v>96</v>
      </c>
      <c r="C16" s="45" t="s">
        <v>97</v>
      </c>
      <c r="D16" s="45" t="s">
        <v>98</v>
      </c>
      <c r="E16" s="6" t="s">
        <v>99</v>
      </c>
      <c r="F16" s="45" t="s">
        <v>100</v>
      </c>
      <c r="G16" s="46">
        <f>TRUNC(R16,2)</f>
        <v>4</v>
      </c>
      <c r="H16" s="46">
        <f>TRUNC(S16*(1-LOTE_02!$K$10),2)</f>
        <v>1083.29</v>
      </c>
      <c r="I16" s="46">
        <f>TRUNC(T16*(1-LOTE_02!$K$10),2)</f>
        <v>0</v>
      </c>
      <c r="J16" s="100">
        <f>$J$4</f>
        <v>0.22470000000000001</v>
      </c>
      <c r="K16" s="48">
        <f>TRUNC(H16*(1+J16),2)</f>
        <v>1326.7</v>
      </c>
      <c r="L16" s="48">
        <f>TRUNC(I16*(1+J16),2)</f>
        <v>0</v>
      </c>
      <c r="M16" s="48">
        <f>TRUNC(K16*G16,2)</f>
        <v>5306.8</v>
      </c>
      <c r="N16" s="48">
        <f>TRUNC(L16*G16,2)</f>
        <v>0</v>
      </c>
      <c r="O16" s="50">
        <f>TRUNC(M16+N16,2)</f>
        <v>5306.8</v>
      </c>
      <c r="P16" s="50">
        <v>0</v>
      </c>
      <c r="Q16" s="76"/>
      <c r="R16" s="140">
        <f>S9+S10</f>
        <v>4</v>
      </c>
      <c r="S16" s="79">
        <v>1083.29</v>
      </c>
      <c r="T16" s="80">
        <v>0</v>
      </c>
    </row>
    <row r="17" spans="2:20" ht="28">
      <c r="B17" s="5" t="s">
        <v>101</v>
      </c>
      <c r="C17" s="45" t="s">
        <v>97</v>
      </c>
      <c r="D17" s="45" t="s">
        <v>102</v>
      </c>
      <c r="E17" s="6" t="s">
        <v>103</v>
      </c>
      <c r="F17" s="45" t="s">
        <v>104</v>
      </c>
      <c r="G17" s="46">
        <f t="shared" ref="G17:G80" si="0">TRUNC(R17,2)</f>
        <v>4</v>
      </c>
      <c r="H17" s="46">
        <f>TRUNC(S17*(1-LOTE_02!$K$10),2)</f>
        <v>881.17</v>
      </c>
      <c r="I17" s="46">
        <f>TRUNC(T17*(1-LOTE_02!$K$10),2)</f>
        <v>0</v>
      </c>
      <c r="J17" s="100">
        <f t="shared" ref="J17:J80" si="1">$J$4</f>
        <v>0.22470000000000001</v>
      </c>
      <c r="K17" s="48">
        <f t="shared" ref="K17:K80" si="2">TRUNC(H17*(1+J17),2)</f>
        <v>1079.1600000000001</v>
      </c>
      <c r="L17" s="48">
        <f t="shared" ref="L17:L80" si="3">TRUNC(I17*(1+J17),2)</f>
        <v>0</v>
      </c>
      <c r="M17" s="48">
        <f t="shared" ref="M17:M80" si="4">TRUNC(K17*G17,2)</f>
        <v>4316.6400000000003</v>
      </c>
      <c r="N17" s="48">
        <f t="shared" ref="N17:N80" si="5">TRUNC(L17*G17,2)</f>
        <v>0</v>
      </c>
      <c r="O17" s="50">
        <f t="shared" ref="O17:O80" si="6">TRUNC(M17+N17,2)</f>
        <v>4316.6400000000003</v>
      </c>
      <c r="P17" s="50">
        <v>0</v>
      </c>
      <c r="Q17" s="76"/>
      <c r="R17" s="140">
        <f>IF((S9+S10)&gt;50,50,(S9+S10))</f>
        <v>4</v>
      </c>
      <c r="S17" s="79">
        <v>881.17</v>
      </c>
      <c r="T17" s="80">
        <v>0</v>
      </c>
    </row>
    <row r="18" spans="2:20" ht="70">
      <c r="B18" s="5" t="s">
        <v>105</v>
      </c>
      <c r="C18" s="45" t="s">
        <v>97</v>
      </c>
      <c r="D18" s="45" t="s">
        <v>106</v>
      </c>
      <c r="E18" s="6" t="s">
        <v>107</v>
      </c>
      <c r="F18" s="45" t="s">
        <v>104</v>
      </c>
      <c r="G18" s="46">
        <f t="shared" si="0"/>
        <v>4</v>
      </c>
      <c r="H18" s="46">
        <f>TRUNC(S18*(1-LOTE_02!$K$10),2)</f>
        <v>325.76</v>
      </c>
      <c r="I18" s="46">
        <f>TRUNC(T18*(1-LOTE_02!$K$10),2)</f>
        <v>0</v>
      </c>
      <c r="J18" s="100">
        <f t="shared" si="1"/>
        <v>0.22470000000000001</v>
      </c>
      <c r="K18" s="48">
        <f t="shared" si="2"/>
        <v>398.95</v>
      </c>
      <c r="L18" s="48">
        <f t="shared" si="3"/>
        <v>0</v>
      </c>
      <c r="M18" s="48">
        <f t="shared" si="4"/>
        <v>1595.8</v>
      </c>
      <c r="N18" s="48">
        <f t="shared" si="5"/>
        <v>0</v>
      </c>
      <c r="O18" s="50">
        <f t="shared" si="6"/>
        <v>1595.8</v>
      </c>
      <c r="P18" s="50">
        <v>0</v>
      </c>
      <c r="Q18" s="76"/>
      <c r="R18" s="140">
        <f>1*(S9+S10)</f>
        <v>4</v>
      </c>
      <c r="S18" s="79">
        <v>325.76</v>
      </c>
      <c r="T18" s="80">
        <v>0</v>
      </c>
    </row>
    <row r="19" spans="2:20" ht="84">
      <c r="B19" s="5" t="s">
        <v>108</v>
      </c>
      <c r="C19" s="45" t="s">
        <v>97</v>
      </c>
      <c r="D19" s="45" t="s">
        <v>109</v>
      </c>
      <c r="E19" s="6" t="s">
        <v>110</v>
      </c>
      <c r="F19" s="45" t="s">
        <v>111</v>
      </c>
      <c r="G19" s="46">
        <f t="shared" si="0"/>
        <v>4</v>
      </c>
      <c r="H19" s="46">
        <f>TRUNC(S19*(1-LOTE_02!$K$10),2)</f>
        <v>422.4</v>
      </c>
      <c r="I19" s="46">
        <f>TRUNC(T19*(1-LOTE_02!$K$10),2)</f>
        <v>24185.919999999998</v>
      </c>
      <c r="J19" s="100">
        <f t="shared" si="1"/>
        <v>0.22470000000000001</v>
      </c>
      <c r="K19" s="48">
        <f t="shared" si="2"/>
        <v>517.30999999999995</v>
      </c>
      <c r="L19" s="48">
        <f t="shared" si="3"/>
        <v>29620.49</v>
      </c>
      <c r="M19" s="48">
        <f t="shared" si="4"/>
        <v>2069.2399999999998</v>
      </c>
      <c r="N19" s="48">
        <f t="shared" si="5"/>
        <v>118481.96</v>
      </c>
      <c r="O19" s="50">
        <f t="shared" si="6"/>
        <v>120551.2</v>
      </c>
      <c r="P19" s="50">
        <v>0</v>
      </c>
      <c r="Q19" s="76"/>
      <c r="R19" s="140">
        <f>S9+S10</f>
        <v>4</v>
      </c>
      <c r="S19" s="79">
        <v>422.4</v>
      </c>
      <c r="T19" s="80">
        <v>24185.919999999998</v>
      </c>
    </row>
    <row r="20" spans="2:20" ht="70">
      <c r="B20" s="5" t="s">
        <v>112</v>
      </c>
      <c r="C20" s="45" t="s">
        <v>97</v>
      </c>
      <c r="D20" s="45" t="s">
        <v>113</v>
      </c>
      <c r="E20" s="6" t="s">
        <v>114</v>
      </c>
      <c r="F20" s="45" t="s">
        <v>111</v>
      </c>
      <c r="G20" s="46">
        <f t="shared" si="0"/>
        <v>8</v>
      </c>
      <c r="H20" s="46">
        <f>TRUNC(S20*(1-LOTE_02!$K$10),2)</f>
        <v>533.28</v>
      </c>
      <c r="I20" s="46">
        <f>TRUNC(T20*(1-LOTE_02!$K$10),2)</f>
        <v>7516.96</v>
      </c>
      <c r="J20" s="100">
        <f t="shared" si="1"/>
        <v>0.22470000000000001</v>
      </c>
      <c r="K20" s="48">
        <f t="shared" si="2"/>
        <v>653.1</v>
      </c>
      <c r="L20" s="48">
        <f t="shared" si="3"/>
        <v>9206.02</v>
      </c>
      <c r="M20" s="48">
        <f t="shared" si="4"/>
        <v>5224.8</v>
      </c>
      <c r="N20" s="48">
        <f t="shared" si="5"/>
        <v>73648.160000000003</v>
      </c>
      <c r="O20" s="50">
        <f t="shared" si="6"/>
        <v>78872.960000000006</v>
      </c>
      <c r="P20" s="50">
        <v>0</v>
      </c>
      <c r="Q20" s="76"/>
      <c r="R20" s="140">
        <f>2*S9+2*S10</f>
        <v>8</v>
      </c>
      <c r="S20" s="79">
        <v>533.28</v>
      </c>
      <c r="T20" s="80">
        <v>7516.96</v>
      </c>
    </row>
    <row r="21" spans="2:20" ht="70">
      <c r="B21" s="5" t="s">
        <v>115</v>
      </c>
      <c r="C21" s="45" t="s">
        <v>97</v>
      </c>
      <c r="D21" s="45" t="s">
        <v>116</v>
      </c>
      <c r="E21" s="6" t="s">
        <v>117</v>
      </c>
      <c r="F21" s="45" t="s">
        <v>111</v>
      </c>
      <c r="G21" s="46">
        <f t="shared" si="0"/>
        <v>8</v>
      </c>
      <c r="H21" s="46">
        <f>TRUNC(S21*(1-LOTE_02!$K$10),2)</f>
        <v>580.79999999999995</v>
      </c>
      <c r="I21" s="46">
        <f>TRUNC(T21*(1-LOTE_02!$K$10),2)</f>
        <v>5713.78</v>
      </c>
      <c r="J21" s="100">
        <f t="shared" si="1"/>
        <v>0.22470000000000001</v>
      </c>
      <c r="K21" s="48">
        <f t="shared" si="2"/>
        <v>711.3</v>
      </c>
      <c r="L21" s="48">
        <f t="shared" si="3"/>
        <v>6997.66</v>
      </c>
      <c r="M21" s="48">
        <f t="shared" si="4"/>
        <v>5690.4</v>
      </c>
      <c r="N21" s="48">
        <f t="shared" si="5"/>
        <v>55981.279999999999</v>
      </c>
      <c r="O21" s="50">
        <f t="shared" si="6"/>
        <v>61671.68</v>
      </c>
      <c r="P21" s="50">
        <v>0</v>
      </c>
      <c r="Q21" s="76"/>
      <c r="R21" s="140">
        <f>2*S9+2*S10</f>
        <v>8</v>
      </c>
      <c r="S21" s="79">
        <v>580.79999999999995</v>
      </c>
      <c r="T21" s="80">
        <v>5713.78</v>
      </c>
    </row>
    <row r="22" spans="2:20">
      <c r="B22" s="5" t="s">
        <v>118</v>
      </c>
      <c r="C22" s="45" t="s">
        <v>97</v>
      </c>
      <c r="D22" s="45" t="s">
        <v>119</v>
      </c>
      <c r="E22" s="6" t="s">
        <v>120</v>
      </c>
      <c r="F22" s="45" t="s">
        <v>121</v>
      </c>
      <c r="G22" s="46">
        <f t="shared" si="0"/>
        <v>1600</v>
      </c>
      <c r="H22" s="46">
        <f>TRUNC(S22*(1-LOTE_02!$K$10),2)</f>
        <v>0</v>
      </c>
      <c r="I22" s="46">
        <f>TRUNC(T22*(1-LOTE_02!$K$10),2)</f>
        <v>27.5</v>
      </c>
      <c r="J22" s="100">
        <f t="shared" si="1"/>
        <v>0.22470000000000001</v>
      </c>
      <c r="K22" s="48">
        <f t="shared" si="2"/>
        <v>0</v>
      </c>
      <c r="L22" s="48">
        <f t="shared" si="3"/>
        <v>33.67</v>
      </c>
      <c r="M22" s="48">
        <f t="shared" si="4"/>
        <v>0</v>
      </c>
      <c r="N22" s="48">
        <f t="shared" si="5"/>
        <v>53872</v>
      </c>
      <c r="O22" s="50">
        <f t="shared" si="6"/>
        <v>53872</v>
      </c>
      <c r="P22" s="50">
        <v>0</v>
      </c>
      <c r="Q22" s="76"/>
      <c r="R22" s="140">
        <f>400*(S9+S10)</f>
        <v>1600</v>
      </c>
      <c r="S22" s="79">
        <v>0</v>
      </c>
      <c r="T22" s="80">
        <v>27.5</v>
      </c>
    </row>
    <row r="23" spans="2:20" ht="28">
      <c r="B23" s="5" t="s">
        <v>122</v>
      </c>
      <c r="C23" s="45" t="s">
        <v>97</v>
      </c>
      <c r="D23" s="45" t="s">
        <v>123</v>
      </c>
      <c r="E23" s="6" t="s">
        <v>124</v>
      </c>
      <c r="F23" s="45" t="s">
        <v>121</v>
      </c>
      <c r="G23" s="46">
        <f t="shared" si="0"/>
        <v>1600</v>
      </c>
      <c r="H23" s="46">
        <f>TRUNC(S23*(1-LOTE_02!$K$10),2)</f>
        <v>0</v>
      </c>
      <c r="I23" s="46">
        <f>TRUNC(T23*(1-LOTE_02!$K$10),2)</f>
        <v>3.6</v>
      </c>
      <c r="J23" s="100">
        <f t="shared" si="1"/>
        <v>0.22470000000000001</v>
      </c>
      <c r="K23" s="48">
        <f t="shared" si="2"/>
        <v>0</v>
      </c>
      <c r="L23" s="48">
        <f t="shared" si="3"/>
        <v>4.4000000000000004</v>
      </c>
      <c r="M23" s="48">
        <f t="shared" si="4"/>
        <v>0</v>
      </c>
      <c r="N23" s="48">
        <f t="shared" si="5"/>
        <v>7040</v>
      </c>
      <c r="O23" s="50">
        <f t="shared" si="6"/>
        <v>7040</v>
      </c>
      <c r="P23" s="50">
        <v>0</v>
      </c>
      <c r="Q23" s="76"/>
      <c r="R23" s="140">
        <f>400*(S9+S10)</f>
        <v>1600</v>
      </c>
      <c r="S23" s="79">
        <v>0</v>
      </c>
      <c r="T23" s="80">
        <v>3.6</v>
      </c>
    </row>
    <row r="24" spans="2:20" ht="28">
      <c r="B24" s="5" t="s">
        <v>125</v>
      </c>
      <c r="C24" s="45" t="s">
        <v>97</v>
      </c>
      <c r="D24" s="45" t="s">
        <v>126</v>
      </c>
      <c r="E24" s="6" t="s">
        <v>127</v>
      </c>
      <c r="F24" s="45" t="s">
        <v>121</v>
      </c>
      <c r="G24" s="46">
        <f t="shared" si="0"/>
        <v>1600</v>
      </c>
      <c r="H24" s="46">
        <f>TRUNC(S24*(1-LOTE_02!$K$10),2)</f>
        <v>0</v>
      </c>
      <c r="I24" s="46">
        <f>TRUNC(T24*(1-LOTE_02!$K$10),2)</f>
        <v>8.5</v>
      </c>
      <c r="J24" s="100">
        <f t="shared" si="1"/>
        <v>0.22470000000000001</v>
      </c>
      <c r="K24" s="48">
        <f t="shared" si="2"/>
        <v>0</v>
      </c>
      <c r="L24" s="48">
        <f t="shared" si="3"/>
        <v>10.4</v>
      </c>
      <c r="M24" s="48">
        <f t="shared" si="4"/>
        <v>0</v>
      </c>
      <c r="N24" s="48">
        <f t="shared" si="5"/>
        <v>16640</v>
      </c>
      <c r="O24" s="50">
        <f t="shared" si="6"/>
        <v>16640</v>
      </c>
      <c r="P24" s="50">
        <v>0</v>
      </c>
      <c r="Q24" s="76"/>
      <c r="R24" s="140">
        <f>400*(S9+S10)</f>
        <v>1600</v>
      </c>
      <c r="S24" s="79">
        <v>0</v>
      </c>
      <c r="T24" s="80">
        <v>8.5</v>
      </c>
    </row>
    <row r="25" spans="2:20" ht="28">
      <c r="B25" s="5" t="s">
        <v>128</v>
      </c>
      <c r="C25" s="45" t="s">
        <v>97</v>
      </c>
      <c r="D25" s="45" t="s">
        <v>129</v>
      </c>
      <c r="E25" s="6" t="s">
        <v>130</v>
      </c>
      <c r="F25" s="45" t="s">
        <v>121</v>
      </c>
      <c r="G25" s="46">
        <f t="shared" si="0"/>
        <v>1600</v>
      </c>
      <c r="H25" s="46">
        <f>TRUNC(S25*(1-LOTE_02!$K$10),2)</f>
        <v>0</v>
      </c>
      <c r="I25" s="46">
        <f>TRUNC(T25*(1-LOTE_02!$K$10),2)</f>
        <v>5</v>
      </c>
      <c r="J25" s="100">
        <f t="shared" si="1"/>
        <v>0.22470000000000001</v>
      </c>
      <c r="K25" s="48">
        <f t="shared" si="2"/>
        <v>0</v>
      </c>
      <c r="L25" s="48">
        <f t="shared" si="3"/>
        <v>6.12</v>
      </c>
      <c r="M25" s="48">
        <f t="shared" si="4"/>
        <v>0</v>
      </c>
      <c r="N25" s="48">
        <f t="shared" si="5"/>
        <v>9792</v>
      </c>
      <c r="O25" s="50">
        <f t="shared" si="6"/>
        <v>9792</v>
      </c>
      <c r="P25" s="50">
        <v>0</v>
      </c>
      <c r="Q25" s="76"/>
      <c r="R25" s="140">
        <f>400*(S9+S10)</f>
        <v>1600</v>
      </c>
      <c r="S25" s="79">
        <v>0</v>
      </c>
      <c r="T25" s="80">
        <v>5</v>
      </c>
    </row>
    <row r="26" spans="2:20" ht="28">
      <c r="B26" s="5" t="s">
        <v>131</v>
      </c>
      <c r="C26" s="45" t="s">
        <v>97</v>
      </c>
      <c r="D26" s="45" t="s">
        <v>132</v>
      </c>
      <c r="E26" s="6" t="s">
        <v>133</v>
      </c>
      <c r="F26" s="45" t="s">
        <v>121</v>
      </c>
      <c r="G26" s="46">
        <f t="shared" si="0"/>
        <v>1600</v>
      </c>
      <c r="H26" s="46">
        <f>TRUNC(S26*(1-LOTE_02!$K$10),2)</f>
        <v>0</v>
      </c>
      <c r="I26" s="46">
        <f>TRUNC(T26*(1-LOTE_02!$K$10),2)</f>
        <v>5.5</v>
      </c>
      <c r="J26" s="100">
        <f t="shared" si="1"/>
        <v>0.22470000000000001</v>
      </c>
      <c r="K26" s="48">
        <f t="shared" si="2"/>
        <v>0</v>
      </c>
      <c r="L26" s="48">
        <f t="shared" si="3"/>
        <v>6.73</v>
      </c>
      <c r="M26" s="48">
        <f t="shared" si="4"/>
        <v>0</v>
      </c>
      <c r="N26" s="48">
        <f t="shared" si="5"/>
        <v>10768</v>
      </c>
      <c r="O26" s="50">
        <f t="shared" si="6"/>
        <v>10768</v>
      </c>
      <c r="P26" s="50">
        <v>0</v>
      </c>
      <c r="Q26" s="76"/>
      <c r="R26" s="140">
        <f>400*(S9+S10)</f>
        <v>1600</v>
      </c>
      <c r="S26" s="79">
        <v>0</v>
      </c>
      <c r="T26" s="80">
        <v>5.5</v>
      </c>
    </row>
    <row r="27" spans="2:20" ht="28">
      <c r="B27" s="5" t="s">
        <v>134</v>
      </c>
      <c r="C27" s="45" t="s">
        <v>135</v>
      </c>
      <c r="D27" s="45">
        <v>90769</v>
      </c>
      <c r="E27" s="6" t="s">
        <v>136</v>
      </c>
      <c r="F27" s="45" t="s">
        <v>137</v>
      </c>
      <c r="G27" s="46">
        <f t="shared" si="0"/>
        <v>200</v>
      </c>
      <c r="H27" s="46">
        <f>TRUNC(S27*(1-LOTE_02!$K$10),2)</f>
        <v>2.4</v>
      </c>
      <c r="I27" s="46">
        <f>TRUNC(T27*(1-LOTE_02!$K$10),2)</f>
        <v>141.96</v>
      </c>
      <c r="J27" s="100">
        <f t="shared" si="1"/>
        <v>0.22470000000000001</v>
      </c>
      <c r="K27" s="48">
        <f t="shared" si="2"/>
        <v>2.93</v>
      </c>
      <c r="L27" s="48">
        <f t="shared" si="3"/>
        <v>173.85</v>
      </c>
      <c r="M27" s="48">
        <f t="shared" si="4"/>
        <v>586</v>
      </c>
      <c r="N27" s="48">
        <f t="shared" si="5"/>
        <v>34770</v>
      </c>
      <c r="O27" s="50">
        <f t="shared" si="6"/>
        <v>35356</v>
      </c>
      <c r="P27" s="50">
        <v>0</v>
      </c>
      <c r="Q27" s="76"/>
      <c r="R27" s="140">
        <f>IF((50*S10+50*S9),(50*S10+50*S9))</f>
        <v>200</v>
      </c>
      <c r="S27" s="79">
        <v>2.4000000000000057</v>
      </c>
      <c r="T27" s="80">
        <v>141.96</v>
      </c>
    </row>
    <row r="28" spans="2:20" ht="28">
      <c r="B28" s="5" t="s">
        <v>138</v>
      </c>
      <c r="C28" s="45" t="s">
        <v>135</v>
      </c>
      <c r="D28" s="45">
        <v>90778</v>
      </c>
      <c r="E28" s="6" t="s">
        <v>139</v>
      </c>
      <c r="F28" s="45" t="s">
        <v>137</v>
      </c>
      <c r="G28" s="46">
        <f t="shared" si="0"/>
        <v>200</v>
      </c>
      <c r="H28" s="46">
        <f>TRUNC(S28*(1-LOTE_02!$K$10),2)</f>
        <v>2.39</v>
      </c>
      <c r="I28" s="46">
        <f>TRUNC(T28*(1-LOTE_02!$K$10),2)</f>
        <v>144.22</v>
      </c>
      <c r="J28" s="100">
        <f t="shared" si="1"/>
        <v>0.22470000000000001</v>
      </c>
      <c r="K28" s="48">
        <f t="shared" si="2"/>
        <v>2.92</v>
      </c>
      <c r="L28" s="48">
        <f t="shared" si="3"/>
        <v>176.62</v>
      </c>
      <c r="M28" s="48">
        <f t="shared" si="4"/>
        <v>584</v>
      </c>
      <c r="N28" s="48">
        <f t="shared" si="5"/>
        <v>35324</v>
      </c>
      <c r="O28" s="50">
        <f t="shared" si="6"/>
        <v>35908</v>
      </c>
      <c r="P28" s="50">
        <v>0</v>
      </c>
      <c r="Q28" s="76"/>
      <c r="R28" s="140">
        <f>IF((50*S10+50*S9)&gt;1000,1000,(50*S10+50*S9))</f>
        <v>200</v>
      </c>
      <c r="S28" s="79">
        <v>2.3900000000000148</v>
      </c>
      <c r="T28" s="80">
        <v>144.22</v>
      </c>
    </row>
    <row r="29" spans="2:20" ht="42">
      <c r="B29" s="5" t="s">
        <v>140</v>
      </c>
      <c r="C29" s="45" t="s">
        <v>97</v>
      </c>
      <c r="D29" s="45" t="s">
        <v>141</v>
      </c>
      <c r="E29" s="6" t="s">
        <v>142</v>
      </c>
      <c r="F29" s="45" t="s">
        <v>111</v>
      </c>
      <c r="G29" s="46">
        <f t="shared" si="0"/>
        <v>8</v>
      </c>
      <c r="H29" s="46">
        <f>TRUNC(S29*(1-LOTE_02!$K$10),2)</f>
        <v>58.08</v>
      </c>
      <c r="I29" s="46">
        <f>TRUNC(T29*(1-LOTE_02!$K$10),2)</f>
        <v>789.84</v>
      </c>
      <c r="J29" s="100">
        <f t="shared" si="1"/>
        <v>0.22470000000000001</v>
      </c>
      <c r="K29" s="48">
        <f t="shared" si="2"/>
        <v>71.13</v>
      </c>
      <c r="L29" s="48">
        <f t="shared" si="3"/>
        <v>967.31</v>
      </c>
      <c r="M29" s="48">
        <f t="shared" si="4"/>
        <v>569.04</v>
      </c>
      <c r="N29" s="48">
        <f t="shared" si="5"/>
        <v>7738.48</v>
      </c>
      <c r="O29" s="50">
        <f t="shared" si="6"/>
        <v>8307.52</v>
      </c>
      <c r="P29" s="50">
        <v>0</v>
      </c>
      <c r="Q29" s="76"/>
      <c r="R29" s="140">
        <f>IF((2*S9+2*S10)&gt;10,10,(2*S9+2*S10))</f>
        <v>8</v>
      </c>
      <c r="S29" s="79">
        <v>58.08</v>
      </c>
      <c r="T29" s="80">
        <v>789.84</v>
      </c>
    </row>
    <row r="30" spans="2:20">
      <c r="B30" s="5" t="s">
        <v>143</v>
      </c>
      <c r="C30" s="45" t="s">
        <v>97</v>
      </c>
      <c r="D30" s="45" t="s">
        <v>144</v>
      </c>
      <c r="E30" s="6" t="s">
        <v>145</v>
      </c>
      <c r="F30" s="45" t="s">
        <v>104</v>
      </c>
      <c r="G30" s="46">
        <f t="shared" si="0"/>
        <v>4</v>
      </c>
      <c r="H30" s="46">
        <f>TRUNC(S30*(1-LOTE_02!$K$10),2)</f>
        <v>812.84</v>
      </c>
      <c r="I30" s="46">
        <f>TRUNC(T30*(1-LOTE_02!$K$10),2)</f>
        <v>221.09</v>
      </c>
      <c r="J30" s="100">
        <f t="shared" si="1"/>
        <v>0.22470000000000001</v>
      </c>
      <c r="K30" s="48">
        <f t="shared" si="2"/>
        <v>995.48</v>
      </c>
      <c r="L30" s="48">
        <f t="shared" si="3"/>
        <v>270.76</v>
      </c>
      <c r="M30" s="48">
        <f t="shared" si="4"/>
        <v>3981.92</v>
      </c>
      <c r="N30" s="48">
        <f t="shared" si="5"/>
        <v>1083.04</v>
      </c>
      <c r="O30" s="50">
        <f t="shared" si="6"/>
        <v>5064.96</v>
      </c>
      <c r="P30" s="50">
        <v>0</v>
      </c>
      <c r="Q30" s="76"/>
      <c r="R30" s="140">
        <f>S9+S10</f>
        <v>4</v>
      </c>
      <c r="S30" s="79">
        <v>812.84</v>
      </c>
      <c r="T30" s="80">
        <v>221.09</v>
      </c>
    </row>
    <row r="31" spans="2:20" ht="28">
      <c r="B31" s="5" t="s">
        <v>146</v>
      </c>
      <c r="C31" s="45" t="s">
        <v>97</v>
      </c>
      <c r="D31" s="45" t="s">
        <v>147</v>
      </c>
      <c r="E31" s="6" t="s">
        <v>148</v>
      </c>
      <c r="F31" s="45" t="s">
        <v>104</v>
      </c>
      <c r="G31" s="46">
        <f t="shared" si="0"/>
        <v>4</v>
      </c>
      <c r="H31" s="46">
        <f>TRUNC(S31*(1-LOTE_02!$K$10),2)</f>
        <v>1545.49</v>
      </c>
      <c r="I31" s="46">
        <f>TRUNC(T31*(1-LOTE_02!$K$10),2)</f>
        <v>338.91</v>
      </c>
      <c r="J31" s="100">
        <f t="shared" si="1"/>
        <v>0.22470000000000001</v>
      </c>
      <c r="K31" s="48">
        <f t="shared" si="2"/>
        <v>1892.76</v>
      </c>
      <c r="L31" s="48">
        <f t="shared" si="3"/>
        <v>415.06</v>
      </c>
      <c r="M31" s="48">
        <f t="shared" si="4"/>
        <v>7571.04</v>
      </c>
      <c r="N31" s="48">
        <f t="shared" si="5"/>
        <v>1660.24</v>
      </c>
      <c r="O31" s="50">
        <f t="shared" si="6"/>
        <v>9231.2800000000007</v>
      </c>
      <c r="P31" s="50">
        <v>0</v>
      </c>
      <c r="Q31" s="76"/>
      <c r="R31" s="140">
        <f>S9+S10</f>
        <v>4</v>
      </c>
      <c r="S31" s="79">
        <v>1545.49</v>
      </c>
      <c r="T31" s="80">
        <v>338.91</v>
      </c>
    </row>
    <row r="32" spans="2:20" ht="28">
      <c r="B32" s="5" t="s">
        <v>149</v>
      </c>
      <c r="C32" s="45" t="s">
        <v>97</v>
      </c>
      <c r="D32" s="45" t="s">
        <v>150</v>
      </c>
      <c r="E32" s="6" t="s">
        <v>151</v>
      </c>
      <c r="F32" s="45" t="s">
        <v>104</v>
      </c>
      <c r="G32" s="46">
        <f t="shared" si="0"/>
        <v>4</v>
      </c>
      <c r="H32" s="46">
        <f>TRUNC(S32*(1-LOTE_02!$K$10),2)</f>
        <v>7399.39</v>
      </c>
      <c r="I32" s="46">
        <f>TRUNC(T32*(1-LOTE_02!$K$10),2)</f>
        <v>930.51</v>
      </c>
      <c r="J32" s="100">
        <f t="shared" si="1"/>
        <v>0.22470000000000001</v>
      </c>
      <c r="K32" s="48">
        <f t="shared" si="2"/>
        <v>9062.0300000000007</v>
      </c>
      <c r="L32" s="48">
        <f t="shared" si="3"/>
        <v>1139.5899999999999</v>
      </c>
      <c r="M32" s="48">
        <f t="shared" si="4"/>
        <v>36248.120000000003</v>
      </c>
      <c r="N32" s="48">
        <f t="shared" si="5"/>
        <v>4558.3599999999997</v>
      </c>
      <c r="O32" s="50">
        <f t="shared" si="6"/>
        <v>40806.480000000003</v>
      </c>
      <c r="P32" s="50">
        <v>0</v>
      </c>
      <c r="Q32" s="76"/>
      <c r="R32" s="140">
        <f>S9+S10</f>
        <v>4</v>
      </c>
      <c r="S32" s="79">
        <v>7399.39</v>
      </c>
      <c r="T32" s="80">
        <v>930.51</v>
      </c>
    </row>
    <row r="33" spans="2:20" s="108" customFormat="1">
      <c r="B33" s="101" t="s">
        <v>23</v>
      </c>
      <c r="C33" s="102" t="s">
        <v>21</v>
      </c>
      <c r="D33" s="102" t="s">
        <v>21</v>
      </c>
      <c r="E33" s="103" t="s">
        <v>24</v>
      </c>
      <c r="F33" s="102" t="s">
        <v>21</v>
      </c>
      <c r="G33" s="46">
        <f t="shared" si="0"/>
        <v>0</v>
      </c>
      <c r="H33" s="46"/>
      <c r="I33" s="46"/>
      <c r="J33" s="105"/>
      <c r="K33" s="48">
        <f t="shared" si="2"/>
        <v>0</v>
      </c>
      <c r="L33" s="48">
        <f t="shared" si="3"/>
        <v>0</v>
      </c>
      <c r="M33" s="48">
        <f t="shared" si="4"/>
        <v>0</v>
      </c>
      <c r="N33" s="48">
        <f t="shared" si="5"/>
        <v>0</v>
      </c>
      <c r="O33" s="50">
        <f t="shared" si="6"/>
        <v>0</v>
      </c>
      <c r="P33" s="104">
        <f>SUM(O34:O39)</f>
        <v>59575.619999999995</v>
      </c>
      <c r="Q33" s="107"/>
      <c r="R33" s="154"/>
      <c r="S33" s="43" t="s">
        <v>22</v>
      </c>
      <c r="T33" s="44" t="s">
        <v>22</v>
      </c>
    </row>
    <row r="34" spans="2:20" ht="56">
      <c r="B34" s="5" t="s">
        <v>152</v>
      </c>
      <c r="C34" s="45" t="s">
        <v>135</v>
      </c>
      <c r="D34" s="45">
        <v>103689</v>
      </c>
      <c r="E34" s="6" t="s">
        <v>153</v>
      </c>
      <c r="F34" s="45" t="s">
        <v>121</v>
      </c>
      <c r="G34" s="46">
        <f t="shared" si="0"/>
        <v>6</v>
      </c>
      <c r="H34" s="46">
        <f>TRUNC(S34*(1-LOTE_02!$K$10),2)</f>
        <v>462.98</v>
      </c>
      <c r="I34" s="46">
        <f>TRUNC(T34*(1-LOTE_02!$K$10),2)</f>
        <v>32.340000000000003</v>
      </c>
      <c r="J34" s="100">
        <f t="shared" si="1"/>
        <v>0.22470000000000001</v>
      </c>
      <c r="K34" s="48">
        <f t="shared" si="2"/>
        <v>567.01</v>
      </c>
      <c r="L34" s="48">
        <f t="shared" si="3"/>
        <v>39.6</v>
      </c>
      <c r="M34" s="48">
        <f t="shared" si="4"/>
        <v>3402.06</v>
      </c>
      <c r="N34" s="48">
        <f t="shared" si="5"/>
        <v>237.6</v>
      </c>
      <c r="O34" s="50">
        <f t="shared" si="6"/>
        <v>3639.66</v>
      </c>
      <c r="P34" s="50">
        <v>0</v>
      </c>
      <c r="Q34" s="76"/>
      <c r="R34" s="140">
        <f>1.5*1*(S9+S10)</f>
        <v>6</v>
      </c>
      <c r="S34" s="79">
        <v>462.98</v>
      </c>
      <c r="T34" s="80">
        <v>32.340000000000003</v>
      </c>
    </row>
    <row r="35" spans="2:20" ht="112">
      <c r="B35" s="5" t="s">
        <v>154</v>
      </c>
      <c r="C35" s="45" t="s">
        <v>97</v>
      </c>
      <c r="D35" s="45" t="s">
        <v>155</v>
      </c>
      <c r="E35" s="6" t="s">
        <v>156</v>
      </c>
      <c r="F35" s="45" t="s">
        <v>157</v>
      </c>
      <c r="G35" s="46">
        <f t="shared" si="0"/>
        <v>120</v>
      </c>
      <c r="H35" s="46">
        <f>TRUNC(S35*(1-LOTE_02!$K$10),2)</f>
        <v>27.62</v>
      </c>
      <c r="I35" s="46">
        <f>TRUNC(T35*(1-LOTE_02!$K$10),2)</f>
        <v>0</v>
      </c>
      <c r="J35" s="100">
        <f t="shared" si="1"/>
        <v>0.22470000000000001</v>
      </c>
      <c r="K35" s="48">
        <f t="shared" si="2"/>
        <v>33.82</v>
      </c>
      <c r="L35" s="48">
        <f t="shared" si="3"/>
        <v>0</v>
      </c>
      <c r="M35" s="48">
        <f t="shared" si="4"/>
        <v>4058.4</v>
      </c>
      <c r="N35" s="48">
        <f t="shared" si="5"/>
        <v>0</v>
      </c>
      <c r="O35" s="50">
        <f t="shared" si="6"/>
        <v>4058.4</v>
      </c>
      <c r="P35" s="50">
        <v>0</v>
      </c>
      <c r="Q35" s="76"/>
      <c r="R35" s="140">
        <f>10*3*(S9+S10)</f>
        <v>120</v>
      </c>
      <c r="S35" s="79">
        <v>27.62</v>
      </c>
      <c r="T35" s="80">
        <v>0</v>
      </c>
    </row>
    <row r="36" spans="2:20" ht="70">
      <c r="B36" s="5" t="s">
        <v>158</v>
      </c>
      <c r="C36" s="45" t="s">
        <v>135</v>
      </c>
      <c r="D36" s="45">
        <v>97063</v>
      </c>
      <c r="E36" s="6" t="s">
        <v>159</v>
      </c>
      <c r="F36" s="45" t="s">
        <v>121</v>
      </c>
      <c r="G36" s="46">
        <f t="shared" si="0"/>
        <v>288</v>
      </c>
      <c r="H36" s="46">
        <f>TRUNC(S36*(1-LOTE_02!$K$10),2)</f>
        <v>2.93</v>
      </c>
      <c r="I36" s="46">
        <f>TRUNC(T36*(1-LOTE_02!$K$10),2)</f>
        <v>14.78</v>
      </c>
      <c r="J36" s="100">
        <f t="shared" si="1"/>
        <v>0.22470000000000001</v>
      </c>
      <c r="K36" s="48">
        <f t="shared" si="2"/>
        <v>3.58</v>
      </c>
      <c r="L36" s="48">
        <f t="shared" si="3"/>
        <v>18.100000000000001</v>
      </c>
      <c r="M36" s="48">
        <f t="shared" si="4"/>
        <v>1031.04</v>
      </c>
      <c r="N36" s="48">
        <f t="shared" si="5"/>
        <v>5212.8</v>
      </c>
      <c r="O36" s="50">
        <f t="shared" si="6"/>
        <v>6243.84</v>
      </c>
      <c r="P36" s="50">
        <v>0</v>
      </c>
      <c r="Q36" s="76"/>
      <c r="R36" s="140">
        <f>6*12*(S9+S10)</f>
        <v>288</v>
      </c>
      <c r="S36" s="79">
        <v>2.9300000000000015</v>
      </c>
      <c r="T36" s="80">
        <v>14.78</v>
      </c>
    </row>
    <row r="37" spans="2:20" ht="84">
      <c r="B37" s="5" t="s">
        <v>160</v>
      </c>
      <c r="C37" s="45" t="s">
        <v>135</v>
      </c>
      <c r="D37" s="45">
        <v>100981</v>
      </c>
      <c r="E37" s="6" t="s">
        <v>1768</v>
      </c>
      <c r="F37" s="45" t="s">
        <v>161</v>
      </c>
      <c r="G37" s="46">
        <f t="shared" si="0"/>
        <v>144</v>
      </c>
      <c r="H37" s="46">
        <f>TRUNC(S37*(1-LOTE_02!$K$10),2)</f>
        <v>7.94</v>
      </c>
      <c r="I37" s="46">
        <f>TRUNC(T37*(1-LOTE_02!$K$10),2)</f>
        <v>1.57</v>
      </c>
      <c r="J37" s="100">
        <f t="shared" si="1"/>
        <v>0.22470000000000001</v>
      </c>
      <c r="K37" s="48">
        <f t="shared" si="2"/>
        <v>9.7200000000000006</v>
      </c>
      <c r="L37" s="48">
        <f t="shared" si="3"/>
        <v>1.92</v>
      </c>
      <c r="M37" s="48">
        <f t="shared" si="4"/>
        <v>1399.68</v>
      </c>
      <c r="N37" s="48">
        <f t="shared" si="5"/>
        <v>276.48</v>
      </c>
      <c r="O37" s="50">
        <f t="shared" si="6"/>
        <v>1676.16</v>
      </c>
      <c r="P37" s="50">
        <v>0</v>
      </c>
      <c r="Q37" s="76"/>
      <c r="R37" s="140">
        <f>6*6*(S9+S10)</f>
        <v>144</v>
      </c>
      <c r="S37" s="79">
        <v>7.9399999999999995</v>
      </c>
      <c r="T37" s="80">
        <v>1.57</v>
      </c>
    </row>
    <row r="38" spans="2:20" ht="56">
      <c r="B38" s="5" t="s">
        <v>162</v>
      </c>
      <c r="C38" s="45" t="s">
        <v>135</v>
      </c>
      <c r="D38" s="45">
        <v>97914</v>
      </c>
      <c r="E38" s="6" t="s">
        <v>1769</v>
      </c>
      <c r="F38" s="45" t="s">
        <v>163</v>
      </c>
      <c r="G38" s="46">
        <f t="shared" si="0"/>
        <v>8640</v>
      </c>
      <c r="H38" s="46">
        <f>TRUNC(S38*(1-LOTE_02!$K$10),2)</f>
        <v>2.71</v>
      </c>
      <c r="I38" s="46">
        <f>TRUNC(T38*(1-LOTE_02!$K$10),2)</f>
        <v>0.45</v>
      </c>
      <c r="J38" s="100">
        <f t="shared" si="1"/>
        <v>0.22470000000000001</v>
      </c>
      <c r="K38" s="48">
        <f t="shared" si="2"/>
        <v>3.31</v>
      </c>
      <c r="L38" s="48">
        <f t="shared" si="3"/>
        <v>0.55000000000000004</v>
      </c>
      <c r="M38" s="48">
        <f t="shared" si="4"/>
        <v>28598.400000000001</v>
      </c>
      <c r="N38" s="48">
        <f t="shared" si="5"/>
        <v>4752</v>
      </c>
      <c r="O38" s="50">
        <f t="shared" si="6"/>
        <v>33350.400000000001</v>
      </c>
      <c r="P38" s="50">
        <v>0</v>
      </c>
      <c r="Q38" s="76"/>
      <c r="R38" s="140">
        <f>R37*60</f>
        <v>8640</v>
      </c>
      <c r="S38" s="79">
        <v>2.71</v>
      </c>
      <c r="T38" s="80">
        <v>0.45</v>
      </c>
    </row>
    <row r="39" spans="2:20" ht="28">
      <c r="B39" s="5" t="s">
        <v>164</v>
      </c>
      <c r="C39" s="45" t="s">
        <v>165</v>
      </c>
      <c r="D39" s="45" t="s">
        <v>166</v>
      </c>
      <c r="E39" s="6" t="s">
        <v>167</v>
      </c>
      <c r="F39" s="45" t="s">
        <v>168</v>
      </c>
      <c r="G39" s="46">
        <f t="shared" si="0"/>
        <v>12</v>
      </c>
      <c r="H39" s="46">
        <f>TRUNC(S39*(1-LOTE_02!$K$10),2)</f>
        <v>487.75</v>
      </c>
      <c r="I39" s="46">
        <f>TRUNC(T39*(1-LOTE_02!$K$10),2)</f>
        <v>234.01</v>
      </c>
      <c r="J39" s="100">
        <f t="shared" si="1"/>
        <v>0.22470000000000001</v>
      </c>
      <c r="K39" s="48">
        <f t="shared" si="2"/>
        <v>597.34</v>
      </c>
      <c r="L39" s="48">
        <f t="shared" si="3"/>
        <v>286.58999999999997</v>
      </c>
      <c r="M39" s="48">
        <f t="shared" si="4"/>
        <v>7168.08</v>
      </c>
      <c r="N39" s="48">
        <f t="shared" si="5"/>
        <v>3439.08</v>
      </c>
      <c r="O39" s="50">
        <f t="shared" si="6"/>
        <v>10607.16</v>
      </c>
      <c r="P39" s="50">
        <v>0</v>
      </c>
      <c r="Q39" s="76"/>
      <c r="R39" s="140">
        <f>IF((3*S9+3*S10)&gt;50,50,(3*S9+3*S10))</f>
        <v>12</v>
      </c>
      <c r="S39" s="79">
        <v>487.75</v>
      </c>
      <c r="T39" s="80">
        <v>234.01</v>
      </c>
    </row>
    <row r="40" spans="2:20" s="108" customFormat="1">
      <c r="B40" s="101" t="s">
        <v>25</v>
      </c>
      <c r="C40" s="102" t="s">
        <v>21</v>
      </c>
      <c r="D40" s="102" t="s">
        <v>21</v>
      </c>
      <c r="E40" s="103" t="s">
        <v>26</v>
      </c>
      <c r="F40" s="102" t="s">
        <v>21</v>
      </c>
      <c r="G40" s="46">
        <f t="shared" si="0"/>
        <v>0</v>
      </c>
      <c r="H40" s="46"/>
      <c r="I40" s="46"/>
      <c r="J40" s="105"/>
      <c r="K40" s="48">
        <f t="shared" si="2"/>
        <v>0</v>
      </c>
      <c r="L40" s="48">
        <f t="shared" si="3"/>
        <v>0</v>
      </c>
      <c r="M40" s="48">
        <f t="shared" si="4"/>
        <v>0</v>
      </c>
      <c r="N40" s="48">
        <f t="shared" si="5"/>
        <v>0</v>
      </c>
      <c r="O40" s="50">
        <f t="shared" si="6"/>
        <v>0</v>
      </c>
      <c r="P40" s="104">
        <f>SUM(O41:O113)</f>
        <v>192344.56999999995</v>
      </c>
      <c r="Q40" s="107"/>
      <c r="R40" s="154"/>
      <c r="S40" s="43" t="s">
        <v>22</v>
      </c>
      <c r="T40" s="44" t="s">
        <v>22</v>
      </c>
    </row>
    <row r="41" spans="2:20" ht="42">
      <c r="B41" s="5" t="s">
        <v>169</v>
      </c>
      <c r="C41" s="45" t="s">
        <v>135</v>
      </c>
      <c r="D41" s="45">
        <v>97622</v>
      </c>
      <c r="E41" s="6" t="s">
        <v>170</v>
      </c>
      <c r="F41" s="45" t="s">
        <v>161</v>
      </c>
      <c r="G41" s="46">
        <f t="shared" si="0"/>
        <v>80</v>
      </c>
      <c r="H41" s="46">
        <f>TRUNC(S41*(1-LOTE_02!$K$10),2)</f>
        <v>12.25</v>
      </c>
      <c r="I41" s="46">
        <f>TRUNC(T41*(1-LOTE_02!$K$10),2)</f>
        <v>44.32</v>
      </c>
      <c r="J41" s="100">
        <f t="shared" si="1"/>
        <v>0.22470000000000001</v>
      </c>
      <c r="K41" s="48">
        <f t="shared" si="2"/>
        <v>15</v>
      </c>
      <c r="L41" s="48">
        <f t="shared" si="3"/>
        <v>54.27</v>
      </c>
      <c r="M41" s="48">
        <f t="shared" si="4"/>
        <v>1200</v>
      </c>
      <c r="N41" s="48">
        <f t="shared" si="5"/>
        <v>4341.6000000000004</v>
      </c>
      <c r="O41" s="50">
        <f t="shared" si="6"/>
        <v>5541.6</v>
      </c>
      <c r="P41" s="50">
        <v>0</v>
      </c>
      <c r="Q41" s="76"/>
      <c r="R41" s="140">
        <f>20*S9+20*S10</f>
        <v>80</v>
      </c>
      <c r="S41" s="79">
        <v>12.25</v>
      </c>
      <c r="T41" s="80">
        <v>44.32</v>
      </c>
    </row>
    <row r="42" spans="2:20" ht="42">
      <c r="B42" s="5" t="s">
        <v>171</v>
      </c>
      <c r="C42" s="45" t="s">
        <v>135</v>
      </c>
      <c r="D42" s="45">
        <v>97624</v>
      </c>
      <c r="E42" s="6" t="s">
        <v>172</v>
      </c>
      <c r="F42" s="45" t="s">
        <v>161</v>
      </c>
      <c r="G42" s="46">
        <f t="shared" si="0"/>
        <v>10</v>
      </c>
      <c r="H42" s="46">
        <f>TRUNC(S42*(1-LOTE_02!$K$10),2)</f>
        <v>23</v>
      </c>
      <c r="I42" s="46">
        <f>TRUNC(T42*(1-LOTE_02!$K$10),2)</f>
        <v>83.36</v>
      </c>
      <c r="J42" s="100">
        <f t="shared" si="1"/>
        <v>0.22470000000000001</v>
      </c>
      <c r="K42" s="48">
        <f t="shared" si="2"/>
        <v>28.16</v>
      </c>
      <c r="L42" s="48">
        <f t="shared" si="3"/>
        <v>102.09</v>
      </c>
      <c r="M42" s="48">
        <f t="shared" si="4"/>
        <v>281.60000000000002</v>
      </c>
      <c r="N42" s="48">
        <f t="shared" si="5"/>
        <v>1020.9</v>
      </c>
      <c r="O42" s="50">
        <f t="shared" si="6"/>
        <v>1302.5</v>
      </c>
      <c r="P42" s="50">
        <v>0</v>
      </c>
      <c r="Q42" s="76"/>
      <c r="R42" s="140">
        <f>IF((5*S9+5*S10)&gt;10,10,(5*S9+5*S10))</f>
        <v>10</v>
      </c>
      <c r="S42" s="79">
        <v>23</v>
      </c>
      <c r="T42" s="80">
        <v>83.36</v>
      </c>
    </row>
    <row r="43" spans="2:20" ht="56">
      <c r="B43" s="5" t="s">
        <v>173</v>
      </c>
      <c r="C43" s="45" t="s">
        <v>135</v>
      </c>
      <c r="D43" s="45">
        <v>97625</v>
      </c>
      <c r="E43" s="6" t="s">
        <v>174</v>
      </c>
      <c r="F43" s="45" t="s">
        <v>161</v>
      </c>
      <c r="G43" s="46">
        <f t="shared" si="0"/>
        <v>25</v>
      </c>
      <c r="H43" s="46">
        <f>TRUNC(S43*(1-LOTE_02!$K$10),2)</f>
        <v>42.95</v>
      </c>
      <c r="I43" s="46">
        <f>TRUNC(T43*(1-LOTE_02!$K$10),2)</f>
        <v>8.25</v>
      </c>
      <c r="J43" s="100">
        <f t="shared" si="1"/>
        <v>0.22470000000000001</v>
      </c>
      <c r="K43" s="48">
        <f t="shared" si="2"/>
        <v>52.6</v>
      </c>
      <c r="L43" s="48">
        <f t="shared" si="3"/>
        <v>10.1</v>
      </c>
      <c r="M43" s="48">
        <f t="shared" si="4"/>
        <v>1315</v>
      </c>
      <c r="N43" s="48">
        <f t="shared" si="5"/>
        <v>252.5</v>
      </c>
      <c r="O43" s="50">
        <f t="shared" si="6"/>
        <v>1567.5</v>
      </c>
      <c r="P43" s="50">
        <v>0</v>
      </c>
      <c r="Q43" s="76"/>
      <c r="R43" s="140">
        <f>IF((5*S9+10*S10)&gt;200,200,(5*S9+10*S10))</f>
        <v>25</v>
      </c>
      <c r="S43" s="79">
        <v>42.95</v>
      </c>
      <c r="T43" s="80">
        <v>8.25</v>
      </c>
    </row>
    <row r="44" spans="2:20" ht="56">
      <c r="B44" s="5" t="s">
        <v>175</v>
      </c>
      <c r="C44" s="45" t="s">
        <v>135</v>
      </c>
      <c r="D44" s="45">
        <v>97626</v>
      </c>
      <c r="E44" s="6" t="s">
        <v>176</v>
      </c>
      <c r="F44" s="45" t="s">
        <v>161</v>
      </c>
      <c r="G44" s="46">
        <f t="shared" si="0"/>
        <v>4</v>
      </c>
      <c r="H44" s="46">
        <f>TRUNC(S44*(1-LOTE_02!$K$10),2)</f>
        <v>122.92</v>
      </c>
      <c r="I44" s="46">
        <f>TRUNC(T44*(1-LOTE_02!$K$10),2)</f>
        <v>445.61</v>
      </c>
      <c r="J44" s="100">
        <f t="shared" si="1"/>
        <v>0.22470000000000001</v>
      </c>
      <c r="K44" s="48">
        <f t="shared" si="2"/>
        <v>150.54</v>
      </c>
      <c r="L44" s="48">
        <f t="shared" si="3"/>
        <v>545.73</v>
      </c>
      <c r="M44" s="48">
        <f t="shared" si="4"/>
        <v>602.16</v>
      </c>
      <c r="N44" s="48">
        <f t="shared" si="5"/>
        <v>2182.92</v>
      </c>
      <c r="O44" s="50">
        <f t="shared" si="6"/>
        <v>2785.08</v>
      </c>
      <c r="P44" s="50">
        <v>0</v>
      </c>
      <c r="Q44" s="76"/>
      <c r="R44" s="140">
        <f>IF((S9+S10)&gt;10,10,(S9+S10))</f>
        <v>4</v>
      </c>
      <c r="S44" s="79">
        <v>122.91999999999996</v>
      </c>
      <c r="T44" s="80">
        <v>445.61</v>
      </c>
    </row>
    <row r="45" spans="2:20" ht="42">
      <c r="B45" s="5" t="s">
        <v>177</v>
      </c>
      <c r="C45" s="45" t="s">
        <v>135</v>
      </c>
      <c r="D45" s="45">
        <v>97628</v>
      </c>
      <c r="E45" s="6" t="s">
        <v>178</v>
      </c>
      <c r="F45" s="45" t="s">
        <v>161</v>
      </c>
      <c r="G45" s="46">
        <f t="shared" si="0"/>
        <v>4</v>
      </c>
      <c r="H45" s="46">
        <f>TRUNC(S45*(1-LOTE_02!$K$10),2)</f>
        <v>57.25</v>
      </c>
      <c r="I45" s="46">
        <f>TRUNC(T45*(1-LOTE_02!$K$10),2)</f>
        <v>207.54</v>
      </c>
      <c r="J45" s="100">
        <f t="shared" si="1"/>
        <v>0.22470000000000001</v>
      </c>
      <c r="K45" s="48">
        <f t="shared" si="2"/>
        <v>70.11</v>
      </c>
      <c r="L45" s="48">
        <f t="shared" si="3"/>
        <v>254.17</v>
      </c>
      <c r="M45" s="48">
        <f t="shared" si="4"/>
        <v>280.44</v>
      </c>
      <c r="N45" s="48">
        <f t="shared" si="5"/>
        <v>1016.68</v>
      </c>
      <c r="O45" s="50">
        <f t="shared" si="6"/>
        <v>1297.1199999999999</v>
      </c>
      <c r="P45" s="50">
        <v>0</v>
      </c>
      <c r="Q45" s="76"/>
      <c r="R45" s="140">
        <f>IF((S10+S9)&gt;5,5,(S10+S9))</f>
        <v>4</v>
      </c>
      <c r="S45" s="79">
        <v>57.250000000000028</v>
      </c>
      <c r="T45" s="80">
        <v>207.54</v>
      </c>
    </row>
    <row r="46" spans="2:20" ht="28">
      <c r="B46" s="5" t="s">
        <v>179</v>
      </c>
      <c r="C46" s="45" t="s">
        <v>165</v>
      </c>
      <c r="D46" s="45" t="s">
        <v>180</v>
      </c>
      <c r="E46" s="6" t="s">
        <v>181</v>
      </c>
      <c r="F46" s="45" t="s">
        <v>182</v>
      </c>
      <c r="G46" s="46">
        <f t="shared" si="0"/>
        <v>4</v>
      </c>
      <c r="H46" s="46">
        <f>TRUNC(S46*(1-LOTE_02!$K$10),2)</f>
        <v>0</v>
      </c>
      <c r="I46" s="46">
        <f>TRUNC(T46*(1-LOTE_02!$K$10),2)</f>
        <v>195</v>
      </c>
      <c r="J46" s="100">
        <f t="shared" si="1"/>
        <v>0.22470000000000001</v>
      </c>
      <c r="K46" s="48">
        <f t="shared" si="2"/>
        <v>0</v>
      </c>
      <c r="L46" s="48">
        <f t="shared" si="3"/>
        <v>238.81</v>
      </c>
      <c r="M46" s="48">
        <f t="shared" si="4"/>
        <v>0</v>
      </c>
      <c r="N46" s="48">
        <f t="shared" si="5"/>
        <v>955.24</v>
      </c>
      <c r="O46" s="50">
        <f t="shared" si="6"/>
        <v>955.24</v>
      </c>
      <c r="P46" s="50">
        <v>0</v>
      </c>
      <c r="Q46" s="76"/>
      <c r="R46" s="140">
        <f>IF((S10+S9)&gt;5,5,(S10+S9))</f>
        <v>4</v>
      </c>
      <c r="S46" s="79">
        <v>0</v>
      </c>
      <c r="T46" s="80">
        <v>195</v>
      </c>
    </row>
    <row r="47" spans="2:20" ht="42">
      <c r="B47" s="5" t="s">
        <v>183</v>
      </c>
      <c r="C47" s="45" t="s">
        <v>135</v>
      </c>
      <c r="D47" s="45">
        <v>97631</v>
      </c>
      <c r="E47" s="6" t="s">
        <v>184</v>
      </c>
      <c r="F47" s="45" t="s">
        <v>121</v>
      </c>
      <c r="G47" s="46">
        <f t="shared" si="0"/>
        <v>250</v>
      </c>
      <c r="H47" s="46">
        <f>TRUNC(S47*(1-LOTE_02!$K$10),2)</f>
        <v>2.41</v>
      </c>
      <c r="I47" s="46">
        <f>TRUNC(T47*(1-LOTE_02!$K$10),2)</f>
        <v>9.01</v>
      </c>
      <c r="J47" s="100">
        <f t="shared" si="1"/>
        <v>0.22470000000000001</v>
      </c>
      <c r="K47" s="48">
        <f t="shared" si="2"/>
        <v>2.95</v>
      </c>
      <c r="L47" s="48">
        <f t="shared" si="3"/>
        <v>11.03</v>
      </c>
      <c r="M47" s="48">
        <f t="shared" si="4"/>
        <v>737.5</v>
      </c>
      <c r="N47" s="48">
        <f t="shared" si="5"/>
        <v>2757.5</v>
      </c>
      <c r="O47" s="50">
        <f t="shared" si="6"/>
        <v>3495</v>
      </c>
      <c r="P47" s="50">
        <v>0</v>
      </c>
      <c r="Q47" s="76"/>
      <c r="R47" s="140">
        <f>IF((50*S9+100*S10)&gt;1000,1000,(50*S9+100*S10))</f>
        <v>250</v>
      </c>
      <c r="S47" s="79">
        <v>2.41</v>
      </c>
      <c r="T47" s="80">
        <v>9.01</v>
      </c>
    </row>
    <row r="48" spans="2:20" ht="42">
      <c r="B48" s="5" t="s">
        <v>185</v>
      </c>
      <c r="C48" s="45" t="s">
        <v>135</v>
      </c>
      <c r="D48" s="45">
        <v>97632</v>
      </c>
      <c r="E48" s="6" t="s">
        <v>186</v>
      </c>
      <c r="F48" s="45" t="s">
        <v>187</v>
      </c>
      <c r="G48" s="46">
        <f t="shared" si="0"/>
        <v>400</v>
      </c>
      <c r="H48" s="46">
        <f>TRUNC(S48*(1-LOTE_02!$K$10),2)</f>
        <v>0.56000000000000005</v>
      </c>
      <c r="I48" s="46">
        <f>TRUNC(T48*(1-LOTE_02!$K$10),2)</f>
        <v>2.16</v>
      </c>
      <c r="J48" s="100">
        <f t="shared" si="1"/>
        <v>0.22470000000000001</v>
      </c>
      <c r="K48" s="48">
        <f t="shared" si="2"/>
        <v>0.68</v>
      </c>
      <c r="L48" s="48">
        <f t="shared" si="3"/>
        <v>2.64</v>
      </c>
      <c r="M48" s="48">
        <f t="shared" si="4"/>
        <v>272</v>
      </c>
      <c r="N48" s="48">
        <f t="shared" si="5"/>
        <v>1056</v>
      </c>
      <c r="O48" s="50">
        <f t="shared" si="6"/>
        <v>1328</v>
      </c>
      <c r="P48" s="50">
        <v>0</v>
      </c>
      <c r="Q48" s="76"/>
      <c r="R48" s="140">
        <f>100*S9+100*S10</f>
        <v>400</v>
      </c>
      <c r="S48" s="79">
        <v>0.56000000000000005</v>
      </c>
      <c r="T48" s="80">
        <v>2.16</v>
      </c>
    </row>
    <row r="49" spans="2:20" ht="42">
      <c r="B49" s="5" t="s">
        <v>188</v>
      </c>
      <c r="C49" s="45" t="s">
        <v>135</v>
      </c>
      <c r="D49" s="45">
        <v>97633</v>
      </c>
      <c r="E49" s="6" t="s">
        <v>189</v>
      </c>
      <c r="F49" s="45" t="s">
        <v>121</v>
      </c>
      <c r="G49" s="46">
        <f t="shared" si="0"/>
        <v>550</v>
      </c>
      <c r="H49" s="46">
        <f>TRUNC(S49*(1-LOTE_02!$K$10),2)</f>
        <v>4.82</v>
      </c>
      <c r="I49" s="46">
        <f>TRUNC(T49*(1-LOTE_02!$K$10),2)</f>
        <v>18.97</v>
      </c>
      <c r="J49" s="100">
        <f t="shared" si="1"/>
        <v>0.22470000000000001</v>
      </c>
      <c r="K49" s="48">
        <f t="shared" si="2"/>
        <v>5.9</v>
      </c>
      <c r="L49" s="48">
        <f t="shared" si="3"/>
        <v>23.23</v>
      </c>
      <c r="M49" s="48">
        <f t="shared" si="4"/>
        <v>3245</v>
      </c>
      <c r="N49" s="48">
        <f t="shared" si="5"/>
        <v>12776.5</v>
      </c>
      <c r="O49" s="50">
        <f t="shared" si="6"/>
        <v>16021.5</v>
      </c>
      <c r="P49" s="50">
        <v>0</v>
      </c>
      <c r="Q49" s="76"/>
      <c r="R49" s="140">
        <f>400*S10+50*S9</f>
        <v>550</v>
      </c>
      <c r="S49" s="79">
        <v>4.82</v>
      </c>
      <c r="T49" s="80">
        <v>18.97</v>
      </c>
    </row>
    <row r="50" spans="2:20" ht="28">
      <c r="B50" s="5" t="s">
        <v>190</v>
      </c>
      <c r="C50" s="45" t="s">
        <v>165</v>
      </c>
      <c r="D50" s="45" t="s">
        <v>191</v>
      </c>
      <c r="E50" s="6" t="s">
        <v>192</v>
      </c>
      <c r="F50" s="45" t="s">
        <v>168</v>
      </c>
      <c r="G50" s="46">
        <f t="shared" si="0"/>
        <v>460</v>
      </c>
      <c r="H50" s="46">
        <f>TRUNC(S50*(1-LOTE_02!$K$10),2)</f>
        <v>0</v>
      </c>
      <c r="I50" s="46">
        <f>TRUNC(T50*(1-LOTE_02!$K$10),2)</f>
        <v>3.75</v>
      </c>
      <c r="J50" s="100">
        <f t="shared" si="1"/>
        <v>0.22470000000000001</v>
      </c>
      <c r="K50" s="48">
        <f t="shared" si="2"/>
        <v>0</v>
      </c>
      <c r="L50" s="48">
        <f t="shared" si="3"/>
        <v>4.59</v>
      </c>
      <c r="M50" s="48">
        <f t="shared" si="4"/>
        <v>0</v>
      </c>
      <c r="N50" s="48">
        <f t="shared" si="5"/>
        <v>2111.4</v>
      </c>
      <c r="O50" s="50">
        <f t="shared" si="6"/>
        <v>2111.4</v>
      </c>
      <c r="P50" s="50">
        <v>0</v>
      </c>
      <c r="Q50" s="76"/>
      <c r="R50" s="140">
        <f>400*S10+20*S9</f>
        <v>460</v>
      </c>
      <c r="S50" s="79">
        <v>0</v>
      </c>
      <c r="T50" s="80">
        <v>3.75</v>
      </c>
    </row>
    <row r="51" spans="2:20" ht="56">
      <c r="B51" s="5" t="s">
        <v>193</v>
      </c>
      <c r="C51" s="45" t="s">
        <v>135</v>
      </c>
      <c r="D51" s="45">
        <v>97627</v>
      </c>
      <c r="E51" s="6" t="s">
        <v>194</v>
      </c>
      <c r="F51" s="45" t="s">
        <v>161</v>
      </c>
      <c r="G51" s="46">
        <f t="shared" si="0"/>
        <v>4</v>
      </c>
      <c r="H51" s="46">
        <f>TRUNC(S51*(1-LOTE_02!$K$10),2)</f>
        <v>39.9</v>
      </c>
      <c r="I51" s="46">
        <f>TRUNC(T51*(1-LOTE_02!$K$10),2)</f>
        <v>122</v>
      </c>
      <c r="J51" s="100">
        <f t="shared" si="1"/>
        <v>0.22470000000000001</v>
      </c>
      <c r="K51" s="48">
        <f t="shared" si="2"/>
        <v>48.86</v>
      </c>
      <c r="L51" s="48">
        <f t="shared" si="3"/>
        <v>149.41</v>
      </c>
      <c r="M51" s="48">
        <f t="shared" si="4"/>
        <v>195.44</v>
      </c>
      <c r="N51" s="48">
        <f t="shared" si="5"/>
        <v>597.64</v>
      </c>
      <c r="O51" s="50">
        <f t="shared" si="6"/>
        <v>793.08</v>
      </c>
      <c r="P51" s="50">
        <v>0</v>
      </c>
      <c r="Q51" s="76"/>
      <c r="R51" s="140">
        <f>IF((S9+S10)&gt;10,10,(S9+S10))</f>
        <v>4</v>
      </c>
      <c r="S51" s="79">
        <v>39.900000000000006</v>
      </c>
      <c r="T51" s="80">
        <v>122</v>
      </c>
    </row>
    <row r="52" spans="2:20" ht="28">
      <c r="B52" s="5" t="s">
        <v>195</v>
      </c>
      <c r="C52" s="45" t="s">
        <v>165</v>
      </c>
      <c r="D52" s="45" t="s">
        <v>196</v>
      </c>
      <c r="E52" s="6" t="s">
        <v>197</v>
      </c>
      <c r="F52" s="45" t="s">
        <v>168</v>
      </c>
      <c r="G52" s="46">
        <f t="shared" si="0"/>
        <v>250</v>
      </c>
      <c r="H52" s="46">
        <f>TRUNC(S52*(1-LOTE_02!$K$10),2)</f>
        <v>0</v>
      </c>
      <c r="I52" s="46">
        <f>TRUNC(T52*(1-LOTE_02!$K$10),2)</f>
        <v>19.5</v>
      </c>
      <c r="J52" s="100">
        <f t="shared" si="1"/>
        <v>0.22470000000000001</v>
      </c>
      <c r="K52" s="48">
        <f t="shared" si="2"/>
        <v>0</v>
      </c>
      <c r="L52" s="48">
        <f t="shared" si="3"/>
        <v>23.88</v>
      </c>
      <c r="M52" s="48">
        <f t="shared" si="4"/>
        <v>0</v>
      </c>
      <c r="N52" s="48">
        <f t="shared" si="5"/>
        <v>5970</v>
      </c>
      <c r="O52" s="50">
        <f t="shared" si="6"/>
        <v>5970</v>
      </c>
      <c r="P52" s="50">
        <v>0</v>
      </c>
      <c r="Q52" s="76"/>
      <c r="R52" s="140">
        <f>IF((50*S9+100*S10)&gt;1000,1000,(50*S9+100*S10))</f>
        <v>250</v>
      </c>
      <c r="S52" s="79">
        <v>0</v>
      </c>
      <c r="T52" s="80">
        <v>19.5</v>
      </c>
    </row>
    <row r="53" spans="2:20" ht="28">
      <c r="B53" s="5" t="s">
        <v>198</v>
      </c>
      <c r="C53" s="45" t="s">
        <v>165</v>
      </c>
      <c r="D53" s="45" t="s">
        <v>199</v>
      </c>
      <c r="E53" s="6" t="s">
        <v>200</v>
      </c>
      <c r="F53" s="45" t="s">
        <v>168</v>
      </c>
      <c r="G53" s="46">
        <f t="shared" si="0"/>
        <v>200</v>
      </c>
      <c r="H53" s="46">
        <f>TRUNC(S53*(1-LOTE_02!$K$10),2)</f>
        <v>0</v>
      </c>
      <c r="I53" s="46">
        <f>TRUNC(T53*(1-LOTE_02!$K$10),2)</f>
        <v>10.5</v>
      </c>
      <c r="J53" s="100">
        <f t="shared" si="1"/>
        <v>0.22470000000000001</v>
      </c>
      <c r="K53" s="48">
        <f t="shared" si="2"/>
        <v>0</v>
      </c>
      <c r="L53" s="48">
        <f t="shared" si="3"/>
        <v>12.85</v>
      </c>
      <c r="M53" s="48">
        <f t="shared" si="4"/>
        <v>0</v>
      </c>
      <c r="N53" s="48">
        <f t="shared" si="5"/>
        <v>2570</v>
      </c>
      <c r="O53" s="50">
        <f t="shared" si="6"/>
        <v>2570</v>
      </c>
      <c r="P53" s="50">
        <v>0</v>
      </c>
      <c r="Q53" s="76"/>
      <c r="R53" s="140">
        <f>IF(50*(S10+S9)&gt;200,200,50*(S10+S9))</f>
        <v>200</v>
      </c>
      <c r="S53" s="79">
        <v>0</v>
      </c>
      <c r="T53" s="80">
        <v>10.5</v>
      </c>
    </row>
    <row r="54" spans="2:20" ht="28">
      <c r="B54" s="5" t="s">
        <v>201</v>
      </c>
      <c r="C54" s="45" t="s">
        <v>165</v>
      </c>
      <c r="D54" s="45" t="s">
        <v>202</v>
      </c>
      <c r="E54" s="6" t="s">
        <v>203</v>
      </c>
      <c r="F54" s="45" t="s">
        <v>168</v>
      </c>
      <c r="G54" s="46">
        <f t="shared" si="0"/>
        <v>80</v>
      </c>
      <c r="H54" s="46">
        <f>TRUNC(S54*(1-LOTE_02!$K$10),2)</f>
        <v>0</v>
      </c>
      <c r="I54" s="46">
        <f>TRUNC(T54*(1-LOTE_02!$K$10),2)</f>
        <v>18.59</v>
      </c>
      <c r="J54" s="100">
        <f t="shared" si="1"/>
        <v>0.22470000000000001</v>
      </c>
      <c r="K54" s="48">
        <f t="shared" si="2"/>
        <v>0</v>
      </c>
      <c r="L54" s="48">
        <f t="shared" si="3"/>
        <v>22.76</v>
      </c>
      <c r="M54" s="48">
        <f t="shared" si="4"/>
        <v>0</v>
      </c>
      <c r="N54" s="48">
        <f t="shared" si="5"/>
        <v>1820.8</v>
      </c>
      <c r="O54" s="50">
        <f t="shared" si="6"/>
        <v>1820.8</v>
      </c>
      <c r="P54" s="50">
        <v>0</v>
      </c>
      <c r="Q54" s="76"/>
      <c r="R54" s="140">
        <f>IF(20*(S10+S9)&gt;200,200,20*(S10+S9))</f>
        <v>80</v>
      </c>
      <c r="S54" s="79">
        <v>0</v>
      </c>
      <c r="T54" s="80">
        <v>18.59</v>
      </c>
    </row>
    <row r="55" spans="2:20" ht="42">
      <c r="B55" s="5" t="s">
        <v>204</v>
      </c>
      <c r="C55" s="45" t="s">
        <v>165</v>
      </c>
      <c r="D55" s="45" t="s">
        <v>205</v>
      </c>
      <c r="E55" s="6" t="s">
        <v>206</v>
      </c>
      <c r="F55" s="45" t="s">
        <v>168</v>
      </c>
      <c r="G55" s="46">
        <f t="shared" si="0"/>
        <v>1600</v>
      </c>
      <c r="H55" s="46">
        <f>TRUNC(S55*(1-LOTE_02!$K$10),2)</f>
        <v>0</v>
      </c>
      <c r="I55" s="46">
        <f>TRUNC(T55*(1-LOTE_02!$K$10),2)</f>
        <v>21</v>
      </c>
      <c r="J55" s="100">
        <f t="shared" si="1"/>
        <v>0.22470000000000001</v>
      </c>
      <c r="K55" s="48">
        <f t="shared" si="2"/>
        <v>0</v>
      </c>
      <c r="L55" s="48">
        <f t="shared" si="3"/>
        <v>25.71</v>
      </c>
      <c r="M55" s="48">
        <f t="shared" si="4"/>
        <v>0</v>
      </c>
      <c r="N55" s="48">
        <f t="shared" si="5"/>
        <v>41136</v>
      </c>
      <c r="O55" s="50">
        <f t="shared" si="6"/>
        <v>41136</v>
      </c>
      <c r="P55" s="50">
        <v>0</v>
      </c>
      <c r="Q55" s="76"/>
      <c r="R55" s="140">
        <f>400*(S10+S9)</f>
        <v>1600</v>
      </c>
      <c r="S55" s="79">
        <v>0</v>
      </c>
      <c r="T55" s="80">
        <v>21</v>
      </c>
    </row>
    <row r="56" spans="2:20" ht="28">
      <c r="B56" s="5" t="s">
        <v>207</v>
      </c>
      <c r="C56" s="45" t="s">
        <v>165</v>
      </c>
      <c r="D56" s="45" t="s">
        <v>196</v>
      </c>
      <c r="E56" s="6" t="s">
        <v>197</v>
      </c>
      <c r="F56" s="45" t="s">
        <v>168</v>
      </c>
      <c r="G56" s="46">
        <f t="shared" si="0"/>
        <v>250</v>
      </c>
      <c r="H56" s="46">
        <f>TRUNC(S56*(1-LOTE_02!$K$10),2)</f>
        <v>0</v>
      </c>
      <c r="I56" s="46">
        <f>TRUNC(T56*(1-LOTE_02!$K$10),2)</f>
        <v>19.5</v>
      </c>
      <c r="J56" s="100">
        <f t="shared" si="1"/>
        <v>0.22470000000000001</v>
      </c>
      <c r="K56" s="48">
        <f t="shared" si="2"/>
        <v>0</v>
      </c>
      <c r="L56" s="48">
        <f t="shared" si="3"/>
        <v>23.88</v>
      </c>
      <c r="M56" s="48">
        <f t="shared" si="4"/>
        <v>0</v>
      </c>
      <c r="N56" s="48">
        <f t="shared" si="5"/>
        <v>5970</v>
      </c>
      <c r="O56" s="50">
        <f t="shared" si="6"/>
        <v>5970</v>
      </c>
      <c r="P56" s="50">
        <v>0</v>
      </c>
      <c r="Q56" s="76"/>
      <c r="R56" s="140">
        <f>IF((50*S9+100*S10)&gt;1000,1000,(50*S9+100*S10))</f>
        <v>250</v>
      </c>
      <c r="S56" s="79">
        <v>0</v>
      </c>
      <c r="T56" s="80">
        <v>19.5</v>
      </c>
    </row>
    <row r="57" spans="2:20" ht="42">
      <c r="B57" s="5" t="s">
        <v>208</v>
      </c>
      <c r="C57" s="45" t="s">
        <v>135</v>
      </c>
      <c r="D57" s="45">
        <v>97666</v>
      </c>
      <c r="E57" s="6" t="s">
        <v>209</v>
      </c>
      <c r="F57" s="45" t="s">
        <v>210</v>
      </c>
      <c r="G57" s="46">
        <f t="shared" si="0"/>
        <v>14</v>
      </c>
      <c r="H57" s="46">
        <f>TRUNC(S57*(1-LOTE_02!$K$10),2)</f>
        <v>1.88</v>
      </c>
      <c r="I57" s="46">
        <f>TRUNC(T57*(1-LOTE_02!$K$10),2)</f>
        <v>7.33</v>
      </c>
      <c r="J57" s="100">
        <f t="shared" si="1"/>
        <v>0.22470000000000001</v>
      </c>
      <c r="K57" s="48">
        <f t="shared" si="2"/>
        <v>2.2999999999999998</v>
      </c>
      <c r="L57" s="48">
        <f t="shared" si="3"/>
        <v>8.9700000000000006</v>
      </c>
      <c r="M57" s="48">
        <f t="shared" si="4"/>
        <v>32.200000000000003</v>
      </c>
      <c r="N57" s="48">
        <f t="shared" si="5"/>
        <v>125.58</v>
      </c>
      <c r="O57" s="50">
        <f t="shared" si="6"/>
        <v>157.78</v>
      </c>
      <c r="P57" s="50">
        <v>0</v>
      </c>
      <c r="Q57" s="76"/>
      <c r="R57" s="140">
        <f>IF((2*S9+8*S10)&gt;30,30,(2*S9+8*S10))</f>
        <v>14</v>
      </c>
      <c r="S57" s="79">
        <v>1.8800000000000008</v>
      </c>
      <c r="T57" s="80">
        <v>7.33</v>
      </c>
    </row>
    <row r="58" spans="2:20" ht="56">
      <c r="B58" s="5" t="s">
        <v>211</v>
      </c>
      <c r="C58" s="45" t="s">
        <v>135</v>
      </c>
      <c r="D58" s="45">
        <v>97635</v>
      </c>
      <c r="E58" s="6" t="s">
        <v>212</v>
      </c>
      <c r="F58" s="45" t="s">
        <v>121</v>
      </c>
      <c r="G58" s="46">
        <f t="shared" si="0"/>
        <v>250</v>
      </c>
      <c r="H58" s="46">
        <f>TRUNC(S58*(1-LOTE_02!$K$10),2)</f>
        <v>3.32</v>
      </c>
      <c r="I58" s="46">
        <f>TRUNC(T58*(1-LOTE_02!$K$10),2)</f>
        <v>13.31</v>
      </c>
      <c r="J58" s="100">
        <f t="shared" si="1"/>
        <v>0.22470000000000001</v>
      </c>
      <c r="K58" s="48">
        <f t="shared" si="2"/>
        <v>4.0599999999999996</v>
      </c>
      <c r="L58" s="48">
        <f t="shared" si="3"/>
        <v>16.3</v>
      </c>
      <c r="M58" s="48">
        <f t="shared" si="4"/>
        <v>1015</v>
      </c>
      <c r="N58" s="48">
        <f t="shared" si="5"/>
        <v>4075</v>
      </c>
      <c r="O58" s="50">
        <f t="shared" si="6"/>
        <v>5090</v>
      </c>
      <c r="P58" s="50">
        <v>0</v>
      </c>
      <c r="Q58" s="76"/>
      <c r="R58" s="140">
        <f>IF((50*S9+100*S10)&gt;300,300,(50*S9+100*S10))</f>
        <v>250</v>
      </c>
      <c r="S58" s="79">
        <v>3.3199999999999985</v>
      </c>
      <c r="T58" s="80">
        <v>13.31</v>
      </c>
    </row>
    <row r="59" spans="2:20" ht="56">
      <c r="B59" s="5" t="s">
        <v>213</v>
      </c>
      <c r="C59" s="45" t="s">
        <v>135</v>
      </c>
      <c r="D59" s="45">
        <v>97643</v>
      </c>
      <c r="E59" s="6" t="s">
        <v>214</v>
      </c>
      <c r="F59" s="45" t="s">
        <v>121</v>
      </c>
      <c r="G59" s="46">
        <f t="shared" si="0"/>
        <v>200</v>
      </c>
      <c r="H59" s="46">
        <f>TRUNC(S59*(1-LOTE_02!$K$10),2)</f>
        <v>5.25</v>
      </c>
      <c r="I59" s="46">
        <f>TRUNC(T59*(1-LOTE_02!$K$10),2)</f>
        <v>19.96</v>
      </c>
      <c r="J59" s="100">
        <f t="shared" si="1"/>
        <v>0.22470000000000001</v>
      </c>
      <c r="K59" s="48">
        <f t="shared" si="2"/>
        <v>6.42</v>
      </c>
      <c r="L59" s="48">
        <f t="shared" si="3"/>
        <v>24.44</v>
      </c>
      <c r="M59" s="48">
        <f t="shared" si="4"/>
        <v>1284</v>
      </c>
      <c r="N59" s="48">
        <f t="shared" si="5"/>
        <v>4888</v>
      </c>
      <c r="O59" s="50">
        <f t="shared" si="6"/>
        <v>6172</v>
      </c>
      <c r="P59" s="50">
        <v>0</v>
      </c>
      <c r="Q59" s="76"/>
      <c r="R59" s="140">
        <f>IF((50*S9+50*S10)&gt;200,200,(50*S9+50*S10))</f>
        <v>200</v>
      </c>
      <c r="S59" s="79">
        <v>5.25</v>
      </c>
      <c r="T59" s="80">
        <v>19.96</v>
      </c>
    </row>
    <row r="60" spans="2:20" ht="28">
      <c r="B60" s="5" t="s">
        <v>215</v>
      </c>
      <c r="C60" s="45" t="s">
        <v>165</v>
      </c>
      <c r="D60" s="45" t="s">
        <v>216</v>
      </c>
      <c r="E60" s="6" t="s">
        <v>217</v>
      </c>
      <c r="F60" s="45" t="s">
        <v>168</v>
      </c>
      <c r="G60" s="46">
        <f t="shared" si="0"/>
        <v>50</v>
      </c>
      <c r="H60" s="46">
        <f>TRUNC(S60*(1-LOTE_02!$K$10),2)</f>
        <v>0</v>
      </c>
      <c r="I60" s="46">
        <f>TRUNC(T60*(1-LOTE_02!$K$10),2)</f>
        <v>1.5</v>
      </c>
      <c r="J60" s="100">
        <f t="shared" si="1"/>
        <v>0.22470000000000001</v>
      </c>
      <c r="K60" s="48">
        <f t="shared" si="2"/>
        <v>0</v>
      </c>
      <c r="L60" s="48">
        <f t="shared" si="3"/>
        <v>1.83</v>
      </c>
      <c r="M60" s="48">
        <f t="shared" si="4"/>
        <v>0</v>
      </c>
      <c r="N60" s="48">
        <f t="shared" si="5"/>
        <v>91.5</v>
      </c>
      <c r="O60" s="50">
        <f t="shared" si="6"/>
        <v>91.5</v>
      </c>
      <c r="P60" s="50">
        <v>0</v>
      </c>
      <c r="Q60" s="76"/>
      <c r="R60" s="140">
        <f>IF((50*S9+50*S10)&gt;50,50,(50*S9+50*S10))</f>
        <v>50</v>
      </c>
      <c r="S60" s="79">
        <v>0</v>
      </c>
      <c r="T60" s="80">
        <v>1.5</v>
      </c>
    </row>
    <row r="61" spans="2:20" ht="28">
      <c r="B61" s="5" t="s">
        <v>218</v>
      </c>
      <c r="C61" s="45" t="s">
        <v>165</v>
      </c>
      <c r="D61" s="45" t="s">
        <v>219</v>
      </c>
      <c r="E61" s="6" t="s">
        <v>220</v>
      </c>
      <c r="F61" s="45" t="s">
        <v>168</v>
      </c>
      <c r="G61" s="46">
        <f t="shared" si="0"/>
        <v>260</v>
      </c>
      <c r="H61" s="46">
        <f>TRUNC(S61*(1-LOTE_02!$K$10),2)</f>
        <v>0</v>
      </c>
      <c r="I61" s="46">
        <f>TRUNC(T61*(1-LOTE_02!$K$10),2)</f>
        <v>13.5</v>
      </c>
      <c r="J61" s="100">
        <f t="shared" si="1"/>
        <v>0.22470000000000001</v>
      </c>
      <c r="K61" s="48">
        <f t="shared" si="2"/>
        <v>0</v>
      </c>
      <c r="L61" s="48">
        <f t="shared" si="3"/>
        <v>16.53</v>
      </c>
      <c r="M61" s="48">
        <f t="shared" si="4"/>
        <v>0</v>
      </c>
      <c r="N61" s="48">
        <f t="shared" si="5"/>
        <v>4297.8</v>
      </c>
      <c r="O61" s="50">
        <f t="shared" si="6"/>
        <v>4297.8</v>
      </c>
      <c r="P61" s="50">
        <v>0</v>
      </c>
      <c r="Q61" s="76"/>
      <c r="R61" s="140">
        <f>IF((20*S9+200*S10)&gt;500,500,((20*S9+200*S10)))</f>
        <v>260</v>
      </c>
      <c r="S61" s="79">
        <v>0</v>
      </c>
      <c r="T61" s="80">
        <v>13.5</v>
      </c>
    </row>
    <row r="62" spans="2:20" ht="42">
      <c r="B62" s="5" t="s">
        <v>221</v>
      </c>
      <c r="C62" s="45" t="s">
        <v>135</v>
      </c>
      <c r="D62" s="45">
        <v>97641</v>
      </c>
      <c r="E62" s="6" t="s">
        <v>222</v>
      </c>
      <c r="F62" s="45" t="s">
        <v>121</v>
      </c>
      <c r="G62" s="46">
        <f t="shared" si="0"/>
        <v>35</v>
      </c>
      <c r="H62" s="46">
        <f>TRUNC(S62*(1-LOTE_02!$K$10),2)</f>
        <v>0.61</v>
      </c>
      <c r="I62" s="46">
        <f>TRUNC(T62*(1-LOTE_02!$K$10),2)</f>
        <v>2.2999999999999998</v>
      </c>
      <c r="J62" s="100">
        <f t="shared" si="1"/>
        <v>0.22470000000000001</v>
      </c>
      <c r="K62" s="48">
        <f t="shared" si="2"/>
        <v>0.74</v>
      </c>
      <c r="L62" s="48">
        <f t="shared" si="3"/>
        <v>2.81</v>
      </c>
      <c r="M62" s="48">
        <f t="shared" si="4"/>
        <v>25.9</v>
      </c>
      <c r="N62" s="48">
        <f t="shared" si="5"/>
        <v>98.35</v>
      </c>
      <c r="O62" s="50">
        <f t="shared" si="6"/>
        <v>124.25</v>
      </c>
      <c r="P62" s="50">
        <v>0</v>
      </c>
      <c r="Q62" s="76"/>
      <c r="R62" s="140">
        <f>IF((5*S9+20*S10)&gt;500,500,(5*S9+20*S10))</f>
        <v>35</v>
      </c>
      <c r="S62" s="79">
        <v>0.61000000000000032</v>
      </c>
      <c r="T62" s="80">
        <v>2.2999999999999998</v>
      </c>
    </row>
    <row r="63" spans="2:20" ht="56">
      <c r="B63" s="5" t="s">
        <v>223</v>
      </c>
      <c r="C63" s="45" t="s">
        <v>135</v>
      </c>
      <c r="D63" s="45">
        <v>97640</v>
      </c>
      <c r="E63" s="6" t="s">
        <v>224</v>
      </c>
      <c r="F63" s="45" t="s">
        <v>121</v>
      </c>
      <c r="G63" s="46">
        <f t="shared" si="0"/>
        <v>260</v>
      </c>
      <c r="H63" s="46">
        <f>TRUNC(S63*(1-LOTE_02!$K$10),2)</f>
        <v>0.4</v>
      </c>
      <c r="I63" s="46">
        <f>TRUNC(T63*(1-LOTE_02!$K$10),2)</f>
        <v>1.51</v>
      </c>
      <c r="J63" s="100">
        <f t="shared" si="1"/>
        <v>0.22470000000000001</v>
      </c>
      <c r="K63" s="48">
        <f t="shared" si="2"/>
        <v>0.48</v>
      </c>
      <c r="L63" s="48">
        <f t="shared" si="3"/>
        <v>1.84</v>
      </c>
      <c r="M63" s="48">
        <f t="shared" si="4"/>
        <v>124.8</v>
      </c>
      <c r="N63" s="48">
        <f t="shared" si="5"/>
        <v>478.4</v>
      </c>
      <c r="O63" s="50">
        <f t="shared" si="6"/>
        <v>603.20000000000005</v>
      </c>
      <c r="P63" s="50">
        <v>0</v>
      </c>
      <c r="Q63" s="76"/>
      <c r="R63" s="140">
        <f>IF((200*S9+200*S10)&gt;2000,2000,((20*S9+200*S10)))</f>
        <v>260</v>
      </c>
      <c r="S63" s="79">
        <v>0.39999999999999991</v>
      </c>
      <c r="T63" s="80">
        <v>1.51</v>
      </c>
    </row>
    <row r="64" spans="2:20" ht="42">
      <c r="B64" s="5" t="s">
        <v>225</v>
      </c>
      <c r="C64" s="45" t="s">
        <v>135</v>
      </c>
      <c r="D64" s="45">
        <v>97663</v>
      </c>
      <c r="E64" s="6" t="s">
        <v>226</v>
      </c>
      <c r="F64" s="45" t="s">
        <v>210</v>
      </c>
      <c r="G64" s="46">
        <f t="shared" si="0"/>
        <v>200</v>
      </c>
      <c r="H64" s="46">
        <f>TRUNC(S64*(1-LOTE_02!$K$10),2)</f>
        <v>2.58</v>
      </c>
      <c r="I64" s="46">
        <f>TRUNC(T64*(1-LOTE_02!$K$10),2)</f>
        <v>10.06</v>
      </c>
      <c r="J64" s="100">
        <f t="shared" si="1"/>
        <v>0.22470000000000001</v>
      </c>
      <c r="K64" s="48">
        <f t="shared" si="2"/>
        <v>3.15</v>
      </c>
      <c r="L64" s="48">
        <f t="shared" si="3"/>
        <v>12.32</v>
      </c>
      <c r="M64" s="48">
        <f t="shared" si="4"/>
        <v>630</v>
      </c>
      <c r="N64" s="48">
        <f t="shared" si="5"/>
        <v>2464</v>
      </c>
      <c r="O64" s="50">
        <f t="shared" si="6"/>
        <v>3094</v>
      </c>
      <c r="P64" s="50">
        <v>0</v>
      </c>
      <c r="Q64" s="76"/>
      <c r="R64" s="140">
        <f>50*(S9+S10)</f>
        <v>200</v>
      </c>
      <c r="S64" s="79">
        <v>2.58</v>
      </c>
      <c r="T64" s="80">
        <v>10.06</v>
      </c>
    </row>
    <row r="65" spans="2:20" ht="42">
      <c r="B65" s="5" t="s">
        <v>227</v>
      </c>
      <c r="C65" s="45" t="s">
        <v>135</v>
      </c>
      <c r="D65" s="45">
        <v>97638</v>
      </c>
      <c r="E65" s="6" t="s">
        <v>228</v>
      </c>
      <c r="F65" s="45" t="s">
        <v>121</v>
      </c>
      <c r="G65" s="46">
        <f t="shared" si="0"/>
        <v>160</v>
      </c>
      <c r="H65" s="46">
        <f>TRUNC(S65*(1-LOTE_02!$K$10),2)</f>
        <v>1.67</v>
      </c>
      <c r="I65" s="46">
        <f>TRUNC(T65*(1-LOTE_02!$K$10),2)</f>
        <v>6.56</v>
      </c>
      <c r="J65" s="100">
        <f t="shared" si="1"/>
        <v>0.22470000000000001</v>
      </c>
      <c r="K65" s="48">
        <f t="shared" si="2"/>
        <v>2.04</v>
      </c>
      <c r="L65" s="48">
        <f t="shared" si="3"/>
        <v>8.0299999999999994</v>
      </c>
      <c r="M65" s="48">
        <f t="shared" si="4"/>
        <v>326.39999999999998</v>
      </c>
      <c r="N65" s="48">
        <f t="shared" si="5"/>
        <v>1284.8</v>
      </c>
      <c r="O65" s="50">
        <f t="shared" si="6"/>
        <v>1611.2</v>
      </c>
      <c r="P65" s="50">
        <v>0</v>
      </c>
      <c r="Q65" s="76"/>
      <c r="R65" s="140">
        <f>IF((20*S9+100*S10)&gt;500,500,(20*S9+100*S10))</f>
        <v>160</v>
      </c>
      <c r="S65" s="79">
        <v>1.6700000000000008</v>
      </c>
      <c r="T65" s="80">
        <v>6.56</v>
      </c>
    </row>
    <row r="66" spans="2:20" ht="56">
      <c r="B66" s="5" t="s">
        <v>229</v>
      </c>
      <c r="C66" s="45" t="s">
        <v>135</v>
      </c>
      <c r="D66" s="45">
        <v>97642</v>
      </c>
      <c r="E66" s="6" t="s">
        <v>230</v>
      </c>
      <c r="F66" s="45" t="s">
        <v>121</v>
      </c>
      <c r="G66" s="46">
        <f t="shared" si="0"/>
        <v>230</v>
      </c>
      <c r="H66" s="46">
        <f>TRUNC(S66*(1-LOTE_02!$K$10),2)</f>
        <v>0.56999999999999995</v>
      </c>
      <c r="I66" s="46">
        <f>TRUNC(T66*(1-LOTE_02!$K$10),2)</f>
        <v>2.1800000000000002</v>
      </c>
      <c r="J66" s="100">
        <f t="shared" si="1"/>
        <v>0.22470000000000001</v>
      </c>
      <c r="K66" s="48">
        <f t="shared" si="2"/>
        <v>0.69</v>
      </c>
      <c r="L66" s="48">
        <f t="shared" si="3"/>
        <v>2.66</v>
      </c>
      <c r="M66" s="48">
        <f t="shared" si="4"/>
        <v>158.69999999999999</v>
      </c>
      <c r="N66" s="48">
        <f t="shared" si="5"/>
        <v>611.79999999999995</v>
      </c>
      <c r="O66" s="50">
        <f t="shared" si="6"/>
        <v>770.5</v>
      </c>
      <c r="P66" s="50">
        <v>0</v>
      </c>
      <c r="Q66" s="76"/>
      <c r="R66" s="140">
        <f>IF((10*S9+200*S10)&gt;2000,2000,((10*S9+200*S10)))</f>
        <v>230</v>
      </c>
      <c r="S66" s="79">
        <v>0.56999999999999984</v>
      </c>
      <c r="T66" s="80">
        <v>2.1800000000000002</v>
      </c>
    </row>
    <row r="67" spans="2:20" ht="42">
      <c r="B67" s="5" t="s">
        <v>231</v>
      </c>
      <c r="C67" s="45" t="s">
        <v>135</v>
      </c>
      <c r="D67" s="45">
        <v>97650</v>
      </c>
      <c r="E67" s="6" t="s">
        <v>232</v>
      </c>
      <c r="F67" s="45" t="s">
        <v>121</v>
      </c>
      <c r="G67" s="46">
        <f t="shared" si="0"/>
        <v>160</v>
      </c>
      <c r="H67" s="46">
        <f>TRUNC(S67*(1-LOTE_02!$K$10),2)</f>
        <v>1.59</v>
      </c>
      <c r="I67" s="46">
        <f>TRUNC(T67*(1-LOTE_02!$K$10),2)</f>
        <v>6.05</v>
      </c>
      <c r="J67" s="100">
        <f t="shared" si="1"/>
        <v>0.22470000000000001</v>
      </c>
      <c r="K67" s="48">
        <f t="shared" si="2"/>
        <v>1.94</v>
      </c>
      <c r="L67" s="48">
        <f t="shared" si="3"/>
        <v>7.4</v>
      </c>
      <c r="M67" s="48">
        <f t="shared" si="4"/>
        <v>310.39999999999998</v>
      </c>
      <c r="N67" s="48">
        <f t="shared" si="5"/>
        <v>1184</v>
      </c>
      <c r="O67" s="50">
        <f t="shared" si="6"/>
        <v>1494.4</v>
      </c>
      <c r="P67" s="50">
        <v>0</v>
      </c>
      <c r="Q67" s="76"/>
      <c r="R67" s="140">
        <f>IF((20*S9+300*S10)&gt;1000,1000,(20*S9+100*S10))</f>
        <v>160</v>
      </c>
      <c r="S67" s="79">
        <v>1.5899999999999999</v>
      </c>
      <c r="T67" s="80">
        <v>6.05</v>
      </c>
    </row>
    <row r="68" spans="2:20" ht="56">
      <c r="B68" s="5" t="s">
        <v>233</v>
      </c>
      <c r="C68" s="45" t="s">
        <v>135</v>
      </c>
      <c r="D68" s="45">
        <v>97637</v>
      </c>
      <c r="E68" s="6" t="s">
        <v>234</v>
      </c>
      <c r="F68" s="45" t="s">
        <v>121</v>
      </c>
      <c r="G68" s="46">
        <f t="shared" si="0"/>
        <v>100</v>
      </c>
      <c r="H68" s="46">
        <f>TRUNC(S68*(1-LOTE_02!$K$10),2)</f>
        <v>0.56999999999999995</v>
      </c>
      <c r="I68" s="46">
        <f>TRUNC(T68*(1-LOTE_02!$K$10),2)</f>
        <v>2.25</v>
      </c>
      <c r="J68" s="100">
        <f t="shared" si="1"/>
        <v>0.22470000000000001</v>
      </c>
      <c r="K68" s="48">
        <f t="shared" si="2"/>
        <v>0.69</v>
      </c>
      <c r="L68" s="48">
        <f t="shared" si="3"/>
        <v>2.75</v>
      </c>
      <c r="M68" s="48">
        <f t="shared" si="4"/>
        <v>69</v>
      </c>
      <c r="N68" s="48">
        <f t="shared" si="5"/>
        <v>275</v>
      </c>
      <c r="O68" s="50">
        <f t="shared" si="6"/>
        <v>344</v>
      </c>
      <c r="P68" s="50">
        <v>0</v>
      </c>
      <c r="Q68" s="76"/>
      <c r="R68" s="140">
        <f>IF((10*S9+30*3*S10)&gt;100,100,(10*S9+15*3*S10))</f>
        <v>100</v>
      </c>
      <c r="S68" s="79">
        <v>0.56999999999999984</v>
      </c>
      <c r="T68" s="80">
        <v>2.25</v>
      </c>
    </row>
    <row r="69" spans="2:20" ht="42">
      <c r="B69" s="5" t="s">
        <v>235</v>
      </c>
      <c r="C69" s="45" t="s">
        <v>135</v>
      </c>
      <c r="D69" s="45">
        <v>97644</v>
      </c>
      <c r="E69" s="6" t="s">
        <v>236</v>
      </c>
      <c r="F69" s="45" t="s">
        <v>121</v>
      </c>
      <c r="G69" s="46">
        <f t="shared" si="0"/>
        <v>22.68</v>
      </c>
      <c r="H69" s="46">
        <f>TRUNC(S69*(1-LOTE_02!$K$10),2)</f>
        <v>2</v>
      </c>
      <c r="I69" s="46">
        <f>TRUNC(T69*(1-LOTE_02!$K$10),2)</f>
        <v>7.54</v>
      </c>
      <c r="J69" s="100">
        <f t="shared" si="1"/>
        <v>0.22470000000000001</v>
      </c>
      <c r="K69" s="48">
        <f t="shared" si="2"/>
        <v>2.44</v>
      </c>
      <c r="L69" s="48">
        <f t="shared" si="3"/>
        <v>9.23</v>
      </c>
      <c r="M69" s="48">
        <f t="shared" si="4"/>
        <v>55.33</v>
      </c>
      <c r="N69" s="48">
        <f t="shared" si="5"/>
        <v>209.33</v>
      </c>
      <c r="O69" s="50">
        <f t="shared" si="6"/>
        <v>264.66000000000003</v>
      </c>
      <c r="P69" s="50">
        <v>0</v>
      </c>
      <c r="Q69" s="76"/>
      <c r="R69" s="140">
        <f>IF((0.9*2.1*3*S9+0.9*2.1*3*S10)&gt;100,100,(0.9*2.1*3*S9+0.9*2.1*3*S10))</f>
        <v>22.68</v>
      </c>
      <c r="S69" s="79">
        <v>1.9999999999999991</v>
      </c>
      <c r="T69" s="80">
        <v>7.54</v>
      </c>
    </row>
    <row r="70" spans="2:20" ht="42">
      <c r="B70" s="5" t="s">
        <v>237</v>
      </c>
      <c r="C70" s="45" t="s">
        <v>135</v>
      </c>
      <c r="D70" s="45">
        <v>97645</v>
      </c>
      <c r="E70" s="6" t="s">
        <v>238</v>
      </c>
      <c r="F70" s="45" t="s">
        <v>121</v>
      </c>
      <c r="G70" s="46">
        <f t="shared" si="0"/>
        <v>51.75</v>
      </c>
      <c r="H70" s="46">
        <f>TRUNC(S70*(1-LOTE_02!$K$10),2)</f>
        <v>5.16</v>
      </c>
      <c r="I70" s="46">
        <f>TRUNC(T70*(1-LOTE_02!$K$10),2)</f>
        <v>19.489999999999998</v>
      </c>
      <c r="J70" s="100">
        <f t="shared" si="1"/>
        <v>0.22470000000000001</v>
      </c>
      <c r="K70" s="48">
        <f t="shared" si="2"/>
        <v>6.31</v>
      </c>
      <c r="L70" s="48">
        <f t="shared" si="3"/>
        <v>23.86</v>
      </c>
      <c r="M70" s="48">
        <f t="shared" si="4"/>
        <v>326.54000000000002</v>
      </c>
      <c r="N70" s="48">
        <f t="shared" si="5"/>
        <v>1234.75</v>
      </c>
      <c r="O70" s="50">
        <f t="shared" si="6"/>
        <v>1561.29</v>
      </c>
      <c r="P70" s="50">
        <v>0</v>
      </c>
      <c r="Q70" s="76"/>
      <c r="R70" s="140">
        <f>IF((1.5*1*5*2*S9+1.5*1.5*3*(S10))&gt;100,100,(1.5*1*5*2*S9+1.5*1.5*3*(S10)))</f>
        <v>51.75</v>
      </c>
      <c r="S70" s="79">
        <v>5.16</v>
      </c>
      <c r="T70" s="80">
        <v>19.489999999999998</v>
      </c>
    </row>
    <row r="71" spans="2:20" ht="56">
      <c r="B71" s="5" t="s">
        <v>239</v>
      </c>
      <c r="C71" s="45" t="s">
        <v>135</v>
      </c>
      <c r="D71" s="45">
        <v>97647</v>
      </c>
      <c r="E71" s="6" t="s">
        <v>240</v>
      </c>
      <c r="F71" s="45" t="s">
        <v>121</v>
      </c>
      <c r="G71" s="46">
        <f t="shared" si="0"/>
        <v>260</v>
      </c>
      <c r="H71" s="46">
        <f>TRUNC(S71*(1-LOTE_02!$K$10),2)</f>
        <v>0.74</v>
      </c>
      <c r="I71" s="46">
        <f>TRUNC(T71*(1-LOTE_02!$K$10),2)</f>
        <v>2.79</v>
      </c>
      <c r="J71" s="100">
        <f t="shared" si="1"/>
        <v>0.22470000000000001</v>
      </c>
      <c r="K71" s="48">
        <f t="shared" si="2"/>
        <v>0.9</v>
      </c>
      <c r="L71" s="48">
        <f t="shared" si="3"/>
        <v>3.41</v>
      </c>
      <c r="M71" s="48">
        <f t="shared" si="4"/>
        <v>234</v>
      </c>
      <c r="N71" s="48">
        <f t="shared" si="5"/>
        <v>886.6</v>
      </c>
      <c r="O71" s="50">
        <f t="shared" si="6"/>
        <v>1120.5999999999999</v>
      </c>
      <c r="P71" s="50">
        <v>0</v>
      </c>
      <c r="Q71" s="76"/>
      <c r="R71" s="140">
        <f>IF((200*S9+300*S10)&gt;3000,3000,(20*S9+200*S10))</f>
        <v>260</v>
      </c>
      <c r="S71" s="79">
        <v>0.73999999999999977</v>
      </c>
      <c r="T71" s="80">
        <v>2.79</v>
      </c>
    </row>
    <row r="72" spans="2:20" ht="42">
      <c r="B72" s="5" t="s">
        <v>241</v>
      </c>
      <c r="C72" s="45" t="s">
        <v>97</v>
      </c>
      <c r="D72" s="45" t="s">
        <v>242</v>
      </c>
      <c r="E72" s="6" t="s">
        <v>243</v>
      </c>
      <c r="F72" s="45" t="s">
        <v>121</v>
      </c>
      <c r="G72" s="46">
        <f t="shared" si="0"/>
        <v>230</v>
      </c>
      <c r="H72" s="46">
        <f>TRUNC(S72*(1-LOTE_02!$K$10),2)</f>
        <v>3.36</v>
      </c>
      <c r="I72" s="46">
        <f>TRUNC(T72*(1-LOTE_02!$K$10),2)</f>
        <v>12.81</v>
      </c>
      <c r="J72" s="100">
        <f t="shared" si="1"/>
        <v>0.22470000000000001</v>
      </c>
      <c r="K72" s="48">
        <f t="shared" si="2"/>
        <v>4.1100000000000003</v>
      </c>
      <c r="L72" s="48">
        <f t="shared" si="3"/>
        <v>15.68</v>
      </c>
      <c r="M72" s="48">
        <f t="shared" si="4"/>
        <v>945.3</v>
      </c>
      <c r="N72" s="48">
        <f t="shared" si="5"/>
        <v>3606.4</v>
      </c>
      <c r="O72" s="50">
        <f t="shared" si="6"/>
        <v>4551.7</v>
      </c>
      <c r="P72" s="50">
        <v>0</v>
      </c>
      <c r="Q72" s="76"/>
      <c r="R72" s="140">
        <f>10*S9+200*S10</f>
        <v>230</v>
      </c>
      <c r="S72" s="79">
        <v>3.36</v>
      </c>
      <c r="T72" s="80">
        <v>12.81</v>
      </c>
    </row>
    <row r="73" spans="2:20" ht="42">
      <c r="B73" s="5" t="s">
        <v>244</v>
      </c>
      <c r="C73" s="45" t="s">
        <v>135</v>
      </c>
      <c r="D73" s="45">
        <v>97655</v>
      </c>
      <c r="E73" s="6" t="s">
        <v>245</v>
      </c>
      <c r="F73" s="45" t="s">
        <v>121</v>
      </c>
      <c r="G73" s="46">
        <f t="shared" si="0"/>
        <v>160</v>
      </c>
      <c r="H73" s="46">
        <f>TRUNC(S73*(1-LOTE_02!$K$10),2)</f>
        <v>25.07</v>
      </c>
      <c r="I73" s="46">
        <f>TRUNC(T73*(1-LOTE_02!$K$10),2)</f>
        <v>13.66</v>
      </c>
      <c r="J73" s="100">
        <f t="shared" si="1"/>
        <v>0.22470000000000001</v>
      </c>
      <c r="K73" s="48">
        <f t="shared" si="2"/>
        <v>30.7</v>
      </c>
      <c r="L73" s="48">
        <f t="shared" si="3"/>
        <v>16.72</v>
      </c>
      <c r="M73" s="48">
        <f t="shared" si="4"/>
        <v>4912</v>
      </c>
      <c r="N73" s="48">
        <f t="shared" si="5"/>
        <v>2675.2</v>
      </c>
      <c r="O73" s="50">
        <f t="shared" si="6"/>
        <v>7587.2</v>
      </c>
      <c r="P73" s="50">
        <v>0</v>
      </c>
      <c r="Q73" s="76"/>
      <c r="R73" s="140">
        <f>IF((20*S9+100*S10)&gt;500,500,(20*S9+100*S10))</f>
        <v>160</v>
      </c>
      <c r="S73" s="79">
        <v>25.069999999999997</v>
      </c>
      <c r="T73" s="80">
        <v>13.66</v>
      </c>
    </row>
    <row r="74" spans="2:20" ht="42">
      <c r="B74" s="5" t="s">
        <v>246</v>
      </c>
      <c r="C74" s="45" t="s">
        <v>97</v>
      </c>
      <c r="D74" s="45" t="s">
        <v>247</v>
      </c>
      <c r="E74" s="6" t="s">
        <v>248</v>
      </c>
      <c r="F74" s="45" t="s">
        <v>104</v>
      </c>
      <c r="G74" s="46">
        <f t="shared" si="0"/>
        <v>4</v>
      </c>
      <c r="H74" s="46">
        <f>TRUNC(S74*(1-LOTE_02!$K$10),2)</f>
        <v>0</v>
      </c>
      <c r="I74" s="46">
        <f>TRUNC(T74*(1-LOTE_02!$K$10),2)</f>
        <v>67.260000000000005</v>
      </c>
      <c r="J74" s="100">
        <f t="shared" si="1"/>
        <v>0.22470000000000001</v>
      </c>
      <c r="K74" s="48">
        <f t="shared" si="2"/>
        <v>0</v>
      </c>
      <c r="L74" s="48">
        <f t="shared" si="3"/>
        <v>82.37</v>
      </c>
      <c r="M74" s="48">
        <f t="shared" si="4"/>
        <v>0</v>
      </c>
      <c r="N74" s="48">
        <f t="shared" si="5"/>
        <v>329.48</v>
      </c>
      <c r="O74" s="50">
        <f t="shared" si="6"/>
        <v>329.48</v>
      </c>
      <c r="P74" s="50">
        <v>0</v>
      </c>
      <c r="Q74" s="76"/>
      <c r="R74" s="140">
        <f>IF((1*S9+2*S10)&gt;20,20,(1*S9+1*S10))</f>
        <v>4</v>
      </c>
      <c r="S74" s="79">
        <v>0</v>
      </c>
      <c r="T74" s="80">
        <v>67.260000000000005</v>
      </c>
    </row>
    <row r="75" spans="2:20" ht="42">
      <c r="B75" s="5" t="s">
        <v>249</v>
      </c>
      <c r="C75" s="45" t="s">
        <v>135</v>
      </c>
      <c r="D75" s="45">
        <v>102190</v>
      </c>
      <c r="E75" s="6" t="s">
        <v>1770</v>
      </c>
      <c r="F75" s="45" t="s">
        <v>121</v>
      </c>
      <c r="G75" s="46">
        <f t="shared" si="0"/>
        <v>20</v>
      </c>
      <c r="H75" s="46">
        <f>TRUNC(S75*(1-LOTE_02!$K$10),2)</f>
        <v>3.53</v>
      </c>
      <c r="I75" s="46">
        <f>TRUNC(T75*(1-LOTE_02!$K$10),2)</f>
        <v>13.39</v>
      </c>
      <c r="J75" s="100">
        <f t="shared" si="1"/>
        <v>0.22470000000000001</v>
      </c>
      <c r="K75" s="48">
        <f t="shared" si="2"/>
        <v>4.32</v>
      </c>
      <c r="L75" s="48">
        <f t="shared" si="3"/>
        <v>16.39</v>
      </c>
      <c r="M75" s="48">
        <f t="shared" si="4"/>
        <v>86.4</v>
      </c>
      <c r="N75" s="48">
        <f t="shared" si="5"/>
        <v>327.8</v>
      </c>
      <c r="O75" s="50">
        <f t="shared" si="6"/>
        <v>414.2</v>
      </c>
      <c r="P75" s="50">
        <v>0</v>
      </c>
      <c r="Q75" s="76"/>
      <c r="R75" s="140">
        <f>IF((5*S9+5*S10)&gt;100,100,(5*S9+5*S10))</f>
        <v>20</v>
      </c>
      <c r="S75" s="79">
        <v>3.5300000000000011</v>
      </c>
      <c r="T75" s="80">
        <v>13.39</v>
      </c>
    </row>
    <row r="76" spans="2:20" ht="56">
      <c r="B76" s="5" t="s">
        <v>250</v>
      </c>
      <c r="C76" s="45" t="s">
        <v>135</v>
      </c>
      <c r="D76" s="45">
        <v>97662</v>
      </c>
      <c r="E76" s="6" t="s">
        <v>251</v>
      </c>
      <c r="F76" s="45" t="s">
        <v>187</v>
      </c>
      <c r="G76" s="46">
        <f t="shared" si="0"/>
        <v>115</v>
      </c>
      <c r="H76" s="46">
        <f>TRUNC(S76*(1-LOTE_02!$K$10),2)</f>
        <v>0.11</v>
      </c>
      <c r="I76" s="46">
        <f>TRUNC(T76*(1-LOTE_02!$K$10),2)</f>
        <v>0.39</v>
      </c>
      <c r="J76" s="100">
        <f t="shared" si="1"/>
        <v>0.22470000000000001</v>
      </c>
      <c r="K76" s="48">
        <f t="shared" si="2"/>
        <v>0.13</v>
      </c>
      <c r="L76" s="48">
        <f t="shared" si="3"/>
        <v>0.47</v>
      </c>
      <c r="M76" s="48">
        <f t="shared" si="4"/>
        <v>14.95</v>
      </c>
      <c r="N76" s="48">
        <f t="shared" si="5"/>
        <v>54.05</v>
      </c>
      <c r="O76" s="50">
        <f t="shared" si="6"/>
        <v>69</v>
      </c>
      <c r="P76" s="50">
        <v>0</v>
      </c>
      <c r="Q76" s="76"/>
      <c r="R76" s="140">
        <f>IF((5*S9+100*S10)&gt;500,500,(5*S9+100*S10))</f>
        <v>115</v>
      </c>
      <c r="S76" s="79">
        <v>0.10999999999999999</v>
      </c>
      <c r="T76" s="80">
        <v>0.39</v>
      </c>
    </row>
    <row r="77" spans="2:20" ht="42">
      <c r="B77" s="5" t="s">
        <v>252</v>
      </c>
      <c r="C77" s="45" t="s">
        <v>135</v>
      </c>
      <c r="D77" s="45">
        <v>97664</v>
      </c>
      <c r="E77" s="6" t="s">
        <v>253</v>
      </c>
      <c r="F77" s="45" t="s">
        <v>210</v>
      </c>
      <c r="G77" s="46">
        <f t="shared" si="0"/>
        <v>14</v>
      </c>
      <c r="H77" s="46">
        <f>TRUNC(S77*(1-LOTE_02!$K$10),2)</f>
        <v>0.33</v>
      </c>
      <c r="I77" s="46">
        <f>TRUNC(T77*(1-LOTE_02!$K$10),2)</f>
        <v>1.24</v>
      </c>
      <c r="J77" s="100">
        <f t="shared" si="1"/>
        <v>0.22470000000000001</v>
      </c>
      <c r="K77" s="48">
        <f t="shared" si="2"/>
        <v>0.4</v>
      </c>
      <c r="L77" s="48">
        <f t="shared" si="3"/>
        <v>1.51</v>
      </c>
      <c r="M77" s="48">
        <f t="shared" si="4"/>
        <v>5.6</v>
      </c>
      <c r="N77" s="48">
        <f t="shared" si="5"/>
        <v>21.14</v>
      </c>
      <c r="O77" s="50">
        <f t="shared" si="6"/>
        <v>26.74</v>
      </c>
      <c r="P77" s="50">
        <v>0</v>
      </c>
      <c r="Q77" s="76"/>
      <c r="R77" s="140">
        <f>IF((2*S9+8*S10)&gt;30,30,(2*S9+8*S10))</f>
        <v>14</v>
      </c>
      <c r="S77" s="79">
        <v>0.33000000000000007</v>
      </c>
      <c r="T77" s="80">
        <v>1.24</v>
      </c>
    </row>
    <row r="78" spans="2:20" ht="28">
      <c r="B78" s="5" t="s">
        <v>254</v>
      </c>
      <c r="C78" s="45" t="s">
        <v>97</v>
      </c>
      <c r="D78" s="45" t="s">
        <v>255</v>
      </c>
      <c r="E78" s="6" t="s">
        <v>256</v>
      </c>
      <c r="F78" s="45" t="s">
        <v>121</v>
      </c>
      <c r="G78" s="46">
        <f t="shared" si="0"/>
        <v>150</v>
      </c>
      <c r="H78" s="46">
        <f>TRUNC(S78*(1-LOTE_02!$K$10),2)</f>
        <v>1.44</v>
      </c>
      <c r="I78" s="46">
        <f>TRUNC(T78*(1-LOTE_02!$K$10),2)</f>
        <v>4.95</v>
      </c>
      <c r="J78" s="100">
        <f t="shared" si="1"/>
        <v>0.22470000000000001</v>
      </c>
      <c r="K78" s="48">
        <f t="shared" si="2"/>
        <v>1.76</v>
      </c>
      <c r="L78" s="48">
        <f t="shared" si="3"/>
        <v>6.06</v>
      </c>
      <c r="M78" s="48">
        <f t="shared" si="4"/>
        <v>264</v>
      </c>
      <c r="N78" s="48">
        <f t="shared" si="5"/>
        <v>909</v>
      </c>
      <c r="O78" s="50">
        <f t="shared" si="6"/>
        <v>1173</v>
      </c>
      <c r="P78" s="50">
        <v>0</v>
      </c>
      <c r="Q78" s="76"/>
      <c r="R78" s="140">
        <f>IF((30*S9+3*20*S10)&gt;500,500,(30*S9+3*20*S10))</f>
        <v>150</v>
      </c>
      <c r="S78" s="79">
        <v>1.44</v>
      </c>
      <c r="T78" s="80">
        <v>4.95</v>
      </c>
    </row>
    <row r="79" spans="2:20" ht="28">
      <c r="B79" s="5" t="s">
        <v>257</v>
      </c>
      <c r="C79" s="45" t="s">
        <v>97</v>
      </c>
      <c r="D79" s="45" t="s">
        <v>258</v>
      </c>
      <c r="E79" s="6" t="s">
        <v>259</v>
      </c>
      <c r="F79" s="45" t="s">
        <v>121</v>
      </c>
      <c r="G79" s="46">
        <f t="shared" si="0"/>
        <v>4</v>
      </c>
      <c r="H79" s="46">
        <f>TRUNC(S79*(1-LOTE_02!$K$10),2)</f>
        <v>5.53</v>
      </c>
      <c r="I79" s="46">
        <f>TRUNC(T79*(1-LOTE_02!$K$10),2)</f>
        <v>19.920000000000002</v>
      </c>
      <c r="J79" s="100">
        <f t="shared" si="1"/>
        <v>0.22470000000000001</v>
      </c>
      <c r="K79" s="48">
        <f t="shared" si="2"/>
        <v>6.77</v>
      </c>
      <c r="L79" s="48">
        <f t="shared" si="3"/>
        <v>24.39</v>
      </c>
      <c r="M79" s="48">
        <f t="shared" si="4"/>
        <v>27.08</v>
      </c>
      <c r="N79" s="48">
        <f t="shared" si="5"/>
        <v>97.56</v>
      </c>
      <c r="O79" s="50">
        <f t="shared" si="6"/>
        <v>124.64</v>
      </c>
      <c r="P79" s="50">
        <v>0</v>
      </c>
      <c r="Q79" s="76"/>
      <c r="R79" s="140">
        <f>IF((S9+S10)&gt;20,20,(S9+S10))</f>
        <v>4</v>
      </c>
      <c r="S79" s="79">
        <v>5.53</v>
      </c>
      <c r="T79" s="80">
        <v>19.920000000000002</v>
      </c>
    </row>
    <row r="80" spans="2:20" ht="28">
      <c r="B80" s="5" t="s">
        <v>260</v>
      </c>
      <c r="C80" s="45" t="s">
        <v>97</v>
      </c>
      <c r="D80" s="45" t="s">
        <v>261</v>
      </c>
      <c r="E80" s="6" t="s">
        <v>262</v>
      </c>
      <c r="F80" s="45" t="s">
        <v>121</v>
      </c>
      <c r="G80" s="46">
        <f t="shared" si="0"/>
        <v>11</v>
      </c>
      <c r="H80" s="46">
        <f>TRUNC(S80*(1-LOTE_02!$K$10),2)</f>
        <v>4.42</v>
      </c>
      <c r="I80" s="46">
        <f>TRUNC(T80*(1-LOTE_02!$K$10),2)</f>
        <v>17.190000000000001</v>
      </c>
      <c r="J80" s="100">
        <f t="shared" si="1"/>
        <v>0.22470000000000001</v>
      </c>
      <c r="K80" s="48">
        <f t="shared" si="2"/>
        <v>5.41</v>
      </c>
      <c r="L80" s="48">
        <f t="shared" si="3"/>
        <v>21.05</v>
      </c>
      <c r="M80" s="48">
        <f t="shared" si="4"/>
        <v>59.51</v>
      </c>
      <c r="N80" s="48">
        <f t="shared" si="5"/>
        <v>231.55</v>
      </c>
      <c r="O80" s="50">
        <f t="shared" si="6"/>
        <v>291.06</v>
      </c>
      <c r="P80" s="50">
        <v>0</v>
      </c>
      <c r="Q80" s="76"/>
      <c r="R80" s="140">
        <f>IF((5*S10)&gt;50,50,(2*S9+5*S10))</f>
        <v>11</v>
      </c>
      <c r="S80" s="79">
        <v>4.42</v>
      </c>
      <c r="T80" s="80">
        <v>17.190000000000001</v>
      </c>
    </row>
    <row r="81" spans="2:20" ht="28">
      <c r="B81" s="5" t="s">
        <v>263</v>
      </c>
      <c r="C81" s="45" t="s">
        <v>97</v>
      </c>
      <c r="D81" s="45" t="s">
        <v>264</v>
      </c>
      <c r="E81" s="6" t="s">
        <v>265</v>
      </c>
      <c r="F81" s="45" t="s">
        <v>104</v>
      </c>
      <c r="G81" s="46">
        <f t="shared" ref="G81:G134" si="7">TRUNC(R81,2)</f>
        <v>4</v>
      </c>
      <c r="H81" s="46">
        <f>TRUNC(S81*(1-LOTE_02!$K$10),2)</f>
        <v>4.8099999999999996</v>
      </c>
      <c r="I81" s="46">
        <f>TRUNC(T81*(1-LOTE_02!$K$10),2)</f>
        <v>16.510000000000002</v>
      </c>
      <c r="J81" s="100">
        <f t="shared" ref="J81:J144" si="8">$J$4</f>
        <v>0.22470000000000001</v>
      </c>
      <c r="K81" s="48">
        <f t="shared" ref="K81:K144" si="9">TRUNC(H81*(1+J81),2)</f>
        <v>5.89</v>
      </c>
      <c r="L81" s="48">
        <f t="shared" ref="L81:L144" si="10">TRUNC(I81*(1+J81),2)</f>
        <v>20.21</v>
      </c>
      <c r="M81" s="48">
        <f t="shared" ref="M81:M144" si="11">TRUNC(K81*G81,2)</f>
        <v>23.56</v>
      </c>
      <c r="N81" s="48">
        <f t="shared" ref="N81:N144" si="12">TRUNC(L81*G81,2)</f>
        <v>80.84</v>
      </c>
      <c r="O81" s="50">
        <f t="shared" ref="O81:O144" si="13">TRUNC(M81+N81,2)</f>
        <v>104.4</v>
      </c>
      <c r="P81" s="50">
        <v>0</v>
      </c>
      <c r="Q81" s="76"/>
      <c r="R81" s="140">
        <f>1*S9+1*S10</f>
        <v>4</v>
      </c>
      <c r="S81" s="79">
        <v>4.8099999999999996</v>
      </c>
      <c r="T81" s="80">
        <v>16.510000000000002</v>
      </c>
    </row>
    <row r="82" spans="2:20" ht="28">
      <c r="B82" s="5" t="s">
        <v>266</v>
      </c>
      <c r="C82" s="45" t="s">
        <v>97</v>
      </c>
      <c r="D82" s="45" t="s">
        <v>267</v>
      </c>
      <c r="E82" s="6" t="s">
        <v>268</v>
      </c>
      <c r="F82" s="45" t="s">
        <v>104</v>
      </c>
      <c r="G82" s="46">
        <f t="shared" si="7"/>
        <v>8</v>
      </c>
      <c r="H82" s="46">
        <f>TRUNC(S82*(1-LOTE_02!$K$10),2)</f>
        <v>1.92</v>
      </c>
      <c r="I82" s="46">
        <f>TRUNC(T82*(1-LOTE_02!$K$10),2)</f>
        <v>6.6</v>
      </c>
      <c r="J82" s="100">
        <f t="shared" si="8"/>
        <v>0.22470000000000001</v>
      </c>
      <c r="K82" s="48">
        <f t="shared" si="9"/>
        <v>2.35</v>
      </c>
      <c r="L82" s="48">
        <f t="shared" si="10"/>
        <v>8.08</v>
      </c>
      <c r="M82" s="48">
        <f t="shared" si="11"/>
        <v>18.8</v>
      </c>
      <c r="N82" s="48">
        <f t="shared" si="12"/>
        <v>64.64</v>
      </c>
      <c r="O82" s="50">
        <f t="shared" si="13"/>
        <v>83.44</v>
      </c>
      <c r="P82" s="50">
        <v>0</v>
      </c>
      <c r="Q82" s="76"/>
      <c r="R82" s="140">
        <f>2*S9+2*(S10)</f>
        <v>8</v>
      </c>
      <c r="S82" s="79">
        <v>1.92</v>
      </c>
      <c r="T82" s="80">
        <v>6.6</v>
      </c>
    </row>
    <row r="83" spans="2:20" ht="28">
      <c r="B83" s="5" t="s">
        <v>269</v>
      </c>
      <c r="C83" s="45" t="s">
        <v>97</v>
      </c>
      <c r="D83" s="45" t="s">
        <v>270</v>
      </c>
      <c r="E83" s="6" t="s">
        <v>271</v>
      </c>
      <c r="F83" s="45" t="s">
        <v>104</v>
      </c>
      <c r="G83" s="46">
        <f t="shared" si="7"/>
        <v>8</v>
      </c>
      <c r="H83" s="46">
        <f>TRUNC(S83*(1-LOTE_02!$K$10),2)</f>
        <v>2.4</v>
      </c>
      <c r="I83" s="46">
        <f>TRUNC(T83*(1-LOTE_02!$K$10),2)</f>
        <v>8.25</v>
      </c>
      <c r="J83" s="100">
        <f t="shared" si="8"/>
        <v>0.22470000000000001</v>
      </c>
      <c r="K83" s="48">
        <f t="shared" si="9"/>
        <v>2.93</v>
      </c>
      <c r="L83" s="48">
        <f t="shared" si="10"/>
        <v>10.1</v>
      </c>
      <c r="M83" s="48">
        <f t="shared" si="11"/>
        <v>23.44</v>
      </c>
      <c r="N83" s="48">
        <f t="shared" si="12"/>
        <v>80.8</v>
      </c>
      <c r="O83" s="50">
        <f t="shared" si="13"/>
        <v>104.24</v>
      </c>
      <c r="P83" s="50">
        <v>0</v>
      </c>
      <c r="Q83" s="76"/>
      <c r="R83" s="140">
        <f>2*S9+2*(S10)</f>
        <v>8</v>
      </c>
      <c r="S83" s="79">
        <v>2.4</v>
      </c>
      <c r="T83" s="80">
        <v>8.25</v>
      </c>
    </row>
    <row r="84" spans="2:20">
      <c r="B84" s="5" t="s">
        <v>272</v>
      </c>
      <c r="C84" s="45" t="s">
        <v>97</v>
      </c>
      <c r="D84" s="45" t="s">
        <v>273</v>
      </c>
      <c r="E84" s="6" t="s">
        <v>274</v>
      </c>
      <c r="F84" s="45" t="s">
        <v>104</v>
      </c>
      <c r="G84" s="46">
        <f t="shared" si="7"/>
        <v>40</v>
      </c>
      <c r="H84" s="46">
        <f>TRUNC(S84*(1-LOTE_02!$K$10),2)</f>
        <v>0.96</v>
      </c>
      <c r="I84" s="46">
        <f>TRUNC(T84*(1-LOTE_02!$K$10),2)</f>
        <v>3.3</v>
      </c>
      <c r="J84" s="100">
        <f t="shared" si="8"/>
        <v>0.22470000000000001</v>
      </c>
      <c r="K84" s="48">
        <f t="shared" si="9"/>
        <v>1.17</v>
      </c>
      <c r="L84" s="48">
        <f t="shared" si="10"/>
        <v>4.04</v>
      </c>
      <c r="M84" s="48">
        <f t="shared" si="11"/>
        <v>46.8</v>
      </c>
      <c r="N84" s="48">
        <f t="shared" si="12"/>
        <v>161.6</v>
      </c>
      <c r="O84" s="50">
        <f t="shared" si="13"/>
        <v>208.4</v>
      </c>
      <c r="P84" s="50">
        <v>0</v>
      </c>
      <c r="Q84" s="76"/>
      <c r="R84" s="140">
        <f>10*S9+10*S10</f>
        <v>40</v>
      </c>
      <c r="S84" s="79">
        <v>0.96</v>
      </c>
      <c r="T84" s="80">
        <v>3.3</v>
      </c>
    </row>
    <row r="85" spans="2:20" ht="28">
      <c r="B85" s="5" t="s">
        <v>275</v>
      </c>
      <c r="C85" s="45" t="s">
        <v>97</v>
      </c>
      <c r="D85" s="45" t="s">
        <v>276</v>
      </c>
      <c r="E85" s="6" t="s">
        <v>277</v>
      </c>
      <c r="F85" s="45" t="s">
        <v>104</v>
      </c>
      <c r="G85" s="46">
        <f t="shared" si="7"/>
        <v>20</v>
      </c>
      <c r="H85" s="46">
        <f>TRUNC(S85*(1-LOTE_02!$K$10),2)</f>
        <v>1.92</v>
      </c>
      <c r="I85" s="46">
        <f>TRUNC(T85*(1-LOTE_02!$K$10),2)</f>
        <v>6.6</v>
      </c>
      <c r="J85" s="100">
        <f t="shared" si="8"/>
        <v>0.22470000000000001</v>
      </c>
      <c r="K85" s="48">
        <f t="shared" si="9"/>
        <v>2.35</v>
      </c>
      <c r="L85" s="48">
        <f t="shared" si="10"/>
        <v>8.08</v>
      </c>
      <c r="M85" s="48">
        <f t="shared" si="11"/>
        <v>47</v>
      </c>
      <c r="N85" s="48">
        <f t="shared" si="12"/>
        <v>161.6</v>
      </c>
      <c r="O85" s="50">
        <f t="shared" si="13"/>
        <v>208.6</v>
      </c>
      <c r="P85" s="50">
        <v>0</v>
      </c>
      <c r="Q85" s="76"/>
      <c r="R85" s="140">
        <f>5*S9+5*(S10)</f>
        <v>20</v>
      </c>
      <c r="S85" s="79">
        <v>1.92</v>
      </c>
      <c r="T85" s="80">
        <v>6.6</v>
      </c>
    </row>
    <row r="86" spans="2:20" ht="28">
      <c r="B86" s="5" t="s">
        <v>278</v>
      </c>
      <c r="C86" s="45" t="s">
        <v>97</v>
      </c>
      <c r="D86" s="45" t="s">
        <v>279</v>
      </c>
      <c r="E86" s="6" t="s">
        <v>280</v>
      </c>
      <c r="F86" s="45" t="s">
        <v>104</v>
      </c>
      <c r="G86" s="46">
        <f t="shared" si="7"/>
        <v>4</v>
      </c>
      <c r="H86" s="46">
        <f>TRUNC(S86*(1-LOTE_02!$K$10),2)</f>
        <v>604.64</v>
      </c>
      <c r="I86" s="46">
        <f>TRUNC(T86*(1-LOTE_02!$K$10),2)</f>
        <v>137.36000000000001</v>
      </c>
      <c r="J86" s="100">
        <f t="shared" si="8"/>
        <v>0.22470000000000001</v>
      </c>
      <c r="K86" s="48">
        <f t="shared" si="9"/>
        <v>740.5</v>
      </c>
      <c r="L86" s="48">
        <f t="shared" si="10"/>
        <v>168.22</v>
      </c>
      <c r="M86" s="48">
        <f t="shared" si="11"/>
        <v>2962</v>
      </c>
      <c r="N86" s="48">
        <f t="shared" si="12"/>
        <v>672.88</v>
      </c>
      <c r="O86" s="50">
        <f t="shared" si="13"/>
        <v>3634.88</v>
      </c>
      <c r="P86" s="50">
        <v>0</v>
      </c>
      <c r="Q86" s="76"/>
      <c r="R86" s="140">
        <f>IF((1*S9+1*S10)&gt;10,10,(1*S9+1*S10))</f>
        <v>4</v>
      </c>
      <c r="S86" s="79">
        <v>604.64</v>
      </c>
      <c r="T86" s="80">
        <v>137.36000000000001</v>
      </c>
    </row>
    <row r="87" spans="2:20" ht="42">
      <c r="B87" s="5" t="s">
        <v>281</v>
      </c>
      <c r="C87" s="45" t="s">
        <v>97</v>
      </c>
      <c r="D87" s="45" t="s">
        <v>282</v>
      </c>
      <c r="E87" s="6" t="s">
        <v>283</v>
      </c>
      <c r="F87" s="45" t="s">
        <v>104</v>
      </c>
      <c r="G87" s="46">
        <f t="shared" si="7"/>
        <v>4</v>
      </c>
      <c r="H87" s="46">
        <f>TRUNC(S87*(1-LOTE_02!$K$10),2)</f>
        <v>304.06</v>
      </c>
      <c r="I87" s="46">
        <f>TRUNC(T87*(1-LOTE_02!$K$10),2)</f>
        <v>65.02</v>
      </c>
      <c r="J87" s="100">
        <f t="shared" si="8"/>
        <v>0.22470000000000001</v>
      </c>
      <c r="K87" s="48">
        <f t="shared" si="9"/>
        <v>372.38</v>
      </c>
      <c r="L87" s="48">
        <f t="shared" si="10"/>
        <v>79.62</v>
      </c>
      <c r="M87" s="48">
        <f t="shared" si="11"/>
        <v>1489.52</v>
      </c>
      <c r="N87" s="48">
        <f t="shared" si="12"/>
        <v>318.48</v>
      </c>
      <c r="O87" s="50">
        <f t="shared" si="13"/>
        <v>1808</v>
      </c>
      <c r="P87" s="50">
        <v>0</v>
      </c>
      <c r="Q87" s="76"/>
      <c r="R87" s="140">
        <f>1*S9+1*S10</f>
        <v>4</v>
      </c>
      <c r="S87" s="79">
        <v>304.06</v>
      </c>
      <c r="T87" s="80">
        <v>65.02</v>
      </c>
    </row>
    <row r="88" spans="2:20" ht="42">
      <c r="B88" s="5" t="s">
        <v>284</v>
      </c>
      <c r="C88" s="45" t="s">
        <v>97</v>
      </c>
      <c r="D88" s="45" t="s">
        <v>285</v>
      </c>
      <c r="E88" s="6" t="s">
        <v>286</v>
      </c>
      <c r="F88" s="45" t="s">
        <v>104</v>
      </c>
      <c r="G88" s="46">
        <f t="shared" si="7"/>
        <v>8</v>
      </c>
      <c r="H88" s="46">
        <f>TRUNC(S88*(1-LOTE_02!$K$10),2)</f>
        <v>9.36</v>
      </c>
      <c r="I88" s="46">
        <f>TRUNC(T88*(1-LOTE_02!$K$10),2)</f>
        <v>38.94</v>
      </c>
      <c r="J88" s="100">
        <f t="shared" si="8"/>
        <v>0.22470000000000001</v>
      </c>
      <c r="K88" s="48">
        <f t="shared" si="9"/>
        <v>11.46</v>
      </c>
      <c r="L88" s="48">
        <f t="shared" si="10"/>
        <v>47.68</v>
      </c>
      <c r="M88" s="48">
        <f t="shared" si="11"/>
        <v>91.68</v>
      </c>
      <c r="N88" s="48">
        <f t="shared" si="12"/>
        <v>381.44</v>
      </c>
      <c r="O88" s="50">
        <f t="shared" si="13"/>
        <v>473.12</v>
      </c>
      <c r="P88" s="50">
        <v>0</v>
      </c>
      <c r="Q88" s="76"/>
      <c r="R88" s="140">
        <f>IF((1*S9+5*S10)&gt;30,30,(1*S9+5*S10))</f>
        <v>8</v>
      </c>
      <c r="S88" s="79">
        <v>9.36</v>
      </c>
      <c r="T88" s="80">
        <v>38.94</v>
      </c>
    </row>
    <row r="89" spans="2:20" ht="28">
      <c r="B89" s="5" t="s">
        <v>287</v>
      </c>
      <c r="C89" s="45" t="s">
        <v>97</v>
      </c>
      <c r="D89" s="45" t="s">
        <v>288</v>
      </c>
      <c r="E89" s="6" t="s">
        <v>289</v>
      </c>
      <c r="F89" s="45" t="s">
        <v>104</v>
      </c>
      <c r="G89" s="46">
        <f t="shared" si="7"/>
        <v>8</v>
      </c>
      <c r="H89" s="46">
        <f>TRUNC(S89*(1-LOTE_02!$K$10),2)</f>
        <v>4.8</v>
      </c>
      <c r="I89" s="46">
        <f>TRUNC(T89*(1-LOTE_02!$K$10),2)</f>
        <v>19.64</v>
      </c>
      <c r="J89" s="100">
        <f t="shared" si="8"/>
        <v>0.22470000000000001</v>
      </c>
      <c r="K89" s="48">
        <f t="shared" si="9"/>
        <v>5.87</v>
      </c>
      <c r="L89" s="48">
        <f t="shared" si="10"/>
        <v>24.05</v>
      </c>
      <c r="M89" s="48">
        <f t="shared" si="11"/>
        <v>46.96</v>
      </c>
      <c r="N89" s="48">
        <f t="shared" si="12"/>
        <v>192.4</v>
      </c>
      <c r="O89" s="50">
        <f t="shared" si="13"/>
        <v>239.36</v>
      </c>
      <c r="P89" s="50">
        <v>0</v>
      </c>
      <c r="Q89" s="76"/>
      <c r="R89" s="140">
        <f>IF((1*S9+5*S10)&gt;30,30,(1*S9+5*S10))</f>
        <v>8</v>
      </c>
      <c r="S89" s="79">
        <v>4.8</v>
      </c>
      <c r="T89" s="80">
        <v>19.64</v>
      </c>
    </row>
    <row r="90" spans="2:20" ht="28">
      <c r="B90" s="5" t="s">
        <v>290</v>
      </c>
      <c r="C90" s="45" t="s">
        <v>135</v>
      </c>
      <c r="D90" s="45">
        <v>102192</v>
      </c>
      <c r="E90" s="6" t="s">
        <v>1771</v>
      </c>
      <c r="F90" s="45" t="s">
        <v>121</v>
      </c>
      <c r="G90" s="46">
        <f t="shared" si="7"/>
        <v>110</v>
      </c>
      <c r="H90" s="46">
        <f>TRUNC(S90*(1-LOTE_02!$K$10),2)</f>
        <v>3.36</v>
      </c>
      <c r="I90" s="46">
        <f>TRUNC(T90*(1-LOTE_02!$K$10),2)</f>
        <v>12.81</v>
      </c>
      <c r="J90" s="100">
        <f t="shared" si="8"/>
        <v>0.22470000000000001</v>
      </c>
      <c r="K90" s="48">
        <f t="shared" si="9"/>
        <v>4.1100000000000003</v>
      </c>
      <c r="L90" s="48">
        <f t="shared" si="10"/>
        <v>15.68</v>
      </c>
      <c r="M90" s="48">
        <f t="shared" si="11"/>
        <v>452.1</v>
      </c>
      <c r="N90" s="48">
        <f t="shared" si="12"/>
        <v>1724.8</v>
      </c>
      <c r="O90" s="50">
        <f t="shared" si="13"/>
        <v>2176.9</v>
      </c>
      <c r="P90" s="50">
        <v>0</v>
      </c>
      <c r="Q90" s="76"/>
      <c r="R90" s="140">
        <f>IF((20*S9+50*S10)&gt;500,500,50*S10+20*S9)</f>
        <v>110</v>
      </c>
      <c r="S90" s="79">
        <v>3.3600000000000012</v>
      </c>
      <c r="T90" s="80">
        <v>12.81</v>
      </c>
    </row>
    <row r="91" spans="2:20" ht="42">
      <c r="B91" s="5" t="s">
        <v>291</v>
      </c>
      <c r="C91" s="45" t="s">
        <v>97</v>
      </c>
      <c r="D91" s="45" t="s">
        <v>292</v>
      </c>
      <c r="E91" s="6" t="s">
        <v>293</v>
      </c>
      <c r="F91" s="45" t="s">
        <v>104</v>
      </c>
      <c r="G91" s="46">
        <f t="shared" si="7"/>
        <v>4</v>
      </c>
      <c r="H91" s="46">
        <f>TRUNC(S91*(1-LOTE_02!$K$10),2)</f>
        <v>304.06</v>
      </c>
      <c r="I91" s="46">
        <f>TRUNC(T91*(1-LOTE_02!$K$10),2)</f>
        <v>64.02</v>
      </c>
      <c r="J91" s="100">
        <f t="shared" si="8"/>
        <v>0.22470000000000001</v>
      </c>
      <c r="K91" s="48">
        <f t="shared" si="9"/>
        <v>372.38</v>
      </c>
      <c r="L91" s="48">
        <f t="shared" si="10"/>
        <v>78.400000000000006</v>
      </c>
      <c r="M91" s="48">
        <f t="shared" si="11"/>
        <v>1489.52</v>
      </c>
      <c r="N91" s="48">
        <f t="shared" si="12"/>
        <v>313.60000000000002</v>
      </c>
      <c r="O91" s="50">
        <f t="shared" si="13"/>
        <v>1803.12</v>
      </c>
      <c r="P91" s="50">
        <v>0</v>
      </c>
      <c r="Q91" s="76"/>
      <c r="R91" s="140">
        <f>1*S9+1*S10</f>
        <v>4</v>
      </c>
      <c r="S91" s="79">
        <v>304.06</v>
      </c>
      <c r="T91" s="80">
        <v>64.02</v>
      </c>
    </row>
    <row r="92" spans="2:20" ht="28">
      <c r="B92" s="5" t="s">
        <v>294</v>
      </c>
      <c r="C92" s="45" t="s">
        <v>97</v>
      </c>
      <c r="D92" s="45" t="s">
        <v>295</v>
      </c>
      <c r="E92" s="6" t="s">
        <v>296</v>
      </c>
      <c r="F92" s="45" t="s">
        <v>121</v>
      </c>
      <c r="G92" s="46">
        <f t="shared" si="7"/>
        <v>4</v>
      </c>
      <c r="H92" s="46">
        <f>TRUNC(S92*(1-LOTE_02!$K$10),2)</f>
        <v>4.8</v>
      </c>
      <c r="I92" s="46">
        <f>TRUNC(T92*(1-LOTE_02!$K$10),2)</f>
        <v>22.56</v>
      </c>
      <c r="J92" s="100">
        <f t="shared" si="8"/>
        <v>0.22470000000000001</v>
      </c>
      <c r="K92" s="48">
        <f t="shared" si="9"/>
        <v>5.87</v>
      </c>
      <c r="L92" s="48">
        <f t="shared" si="10"/>
        <v>27.62</v>
      </c>
      <c r="M92" s="48">
        <f t="shared" si="11"/>
        <v>23.48</v>
      </c>
      <c r="N92" s="48">
        <f t="shared" si="12"/>
        <v>110.48</v>
      </c>
      <c r="O92" s="50">
        <f t="shared" si="13"/>
        <v>133.96</v>
      </c>
      <c r="P92" s="50">
        <v>0</v>
      </c>
      <c r="Q92" s="76"/>
      <c r="R92" s="140">
        <f>IF((1*S9+1*S10)&gt;10,10,(1*S9+1*S10))</f>
        <v>4</v>
      </c>
      <c r="S92" s="79">
        <v>4.8</v>
      </c>
      <c r="T92" s="80">
        <v>22.56</v>
      </c>
    </row>
    <row r="93" spans="2:20" ht="70">
      <c r="B93" s="5" t="s">
        <v>297</v>
      </c>
      <c r="C93" s="45" t="s">
        <v>97</v>
      </c>
      <c r="D93" s="45" t="s">
        <v>298</v>
      </c>
      <c r="E93" s="6" t="s">
        <v>299</v>
      </c>
      <c r="F93" s="45" t="s">
        <v>121</v>
      </c>
      <c r="G93" s="46">
        <f t="shared" si="7"/>
        <v>80</v>
      </c>
      <c r="H93" s="46">
        <f>TRUNC(S93*(1-LOTE_02!$K$10),2)</f>
        <v>0</v>
      </c>
      <c r="I93" s="46">
        <f>TRUNC(T93*(1-LOTE_02!$K$10),2)</f>
        <v>51.7</v>
      </c>
      <c r="J93" s="100">
        <f t="shared" si="8"/>
        <v>0.22470000000000001</v>
      </c>
      <c r="K93" s="48">
        <f t="shared" si="9"/>
        <v>0</v>
      </c>
      <c r="L93" s="48">
        <f t="shared" si="10"/>
        <v>63.31</v>
      </c>
      <c r="M93" s="48">
        <f t="shared" si="11"/>
        <v>0</v>
      </c>
      <c r="N93" s="48">
        <f t="shared" si="12"/>
        <v>5064.8</v>
      </c>
      <c r="O93" s="50">
        <f t="shared" si="13"/>
        <v>5064.8</v>
      </c>
      <c r="P93" s="50">
        <v>0</v>
      </c>
      <c r="Q93" s="76"/>
      <c r="R93" s="140">
        <f>20*S9+20*S10</f>
        <v>80</v>
      </c>
      <c r="S93" s="79">
        <v>0</v>
      </c>
      <c r="T93" s="80">
        <v>51.7</v>
      </c>
    </row>
    <row r="94" spans="2:20" ht="28">
      <c r="B94" s="5" t="s">
        <v>300</v>
      </c>
      <c r="C94" s="45" t="s">
        <v>97</v>
      </c>
      <c r="D94" s="45" t="s">
        <v>301</v>
      </c>
      <c r="E94" s="6" t="s">
        <v>302</v>
      </c>
      <c r="F94" s="45" t="s">
        <v>104</v>
      </c>
      <c r="G94" s="46">
        <f t="shared" si="7"/>
        <v>12</v>
      </c>
      <c r="H94" s="46">
        <f>TRUNC(S94*(1-LOTE_02!$K$10),2)</f>
        <v>0.96</v>
      </c>
      <c r="I94" s="46">
        <f>TRUNC(T94*(1-LOTE_02!$K$10),2)</f>
        <v>3.3</v>
      </c>
      <c r="J94" s="100">
        <f t="shared" si="8"/>
        <v>0.22470000000000001</v>
      </c>
      <c r="K94" s="48">
        <f t="shared" si="9"/>
        <v>1.17</v>
      </c>
      <c r="L94" s="48">
        <f t="shared" si="10"/>
        <v>4.04</v>
      </c>
      <c r="M94" s="48">
        <f t="shared" si="11"/>
        <v>14.04</v>
      </c>
      <c r="N94" s="48">
        <f t="shared" si="12"/>
        <v>48.48</v>
      </c>
      <c r="O94" s="50">
        <f t="shared" si="13"/>
        <v>62.52</v>
      </c>
      <c r="P94" s="50">
        <v>0</v>
      </c>
      <c r="Q94" s="76"/>
      <c r="R94" s="140">
        <f>3*S9+3*S10</f>
        <v>12</v>
      </c>
      <c r="S94" s="79">
        <v>0.96</v>
      </c>
      <c r="T94" s="80">
        <v>3.3</v>
      </c>
    </row>
    <row r="95" spans="2:20" ht="28">
      <c r="B95" s="5" t="s">
        <v>303</v>
      </c>
      <c r="C95" s="45" t="s">
        <v>97</v>
      </c>
      <c r="D95" s="45" t="s">
        <v>304</v>
      </c>
      <c r="E95" s="6" t="s">
        <v>305</v>
      </c>
      <c r="F95" s="45" t="s">
        <v>121</v>
      </c>
      <c r="G95" s="46">
        <f t="shared" si="7"/>
        <v>13</v>
      </c>
      <c r="H95" s="46">
        <f>TRUNC(S95*(1-LOTE_02!$K$10),2)</f>
        <v>3.7</v>
      </c>
      <c r="I95" s="46">
        <f>TRUNC(T95*(1-LOTE_02!$K$10),2)</f>
        <v>13.15</v>
      </c>
      <c r="J95" s="100">
        <f t="shared" si="8"/>
        <v>0.22470000000000001</v>
      </c>
      <c r="K95" s="48">
        <f t="shared" si="9"/>
        <v>4.53</v>
      </c>
      <c r="L95" s="48">
        <f t="shared" si="10"/>
        <v>16.100000000000001</v>
      </c>
      <c r="M95" s="48">
        <f t="shared" si="11"/>
        <v>58.89</v>
      </c>
      <c r="N95" s="48">
        <f t="shared" si="12"/>
        <v>209.3</v>
      </c>
      <c r="O95" s="50">
        <f t="shared" si="13"/>
        <v>268.19</v>
      </c>
      <c r="P95" s="50">
        <v>0</v>
      </c>
      <c r="Q95" s="76"/>
      <c r="R95" s="140">
        <f>IF((10*S10+1*S9)&gt;50,50,(10*S10+1*S9))</f>
        <v>13</v>
      </c>
      <c r="S95" s="79">
        <v>3.7</v>
      </c>
      <c r="T95" s="80">
        <v>13.15</v>
      </c>
    </row>
    <row r="96" spans="2:20" ht="28">
      <c r="B96" s="5" t="s">
        <v>306</v>
      </c>
      <c r="C96" s="45" t="s">
        <v>97</v>
      </c>
      <c r="D96" s="45" t="s">
        <v>307</v>
      </c>
      <c r="E96" s="6" t="s">
        <v>308</v>
      </c>
      <c r="F96" s="45" t="s">
        <v>104</v>
      </c>
      <c r="G96" s="46">
        <f t="shared" si="7"/>
        <v>5</v>
      </c>
      <c r="H96" s="46">
        <f>TRUNC(S96*(1-LOTE_02!$K$10),2)</f>
        <v>6.29</v>
      </c>
      <c r="I96" s="46">
        <f>TRUNC(T96*(1-LOTE_02!$K$10),2)</f>
        <v>23.5</v>
      </c>
      <c r="J96" s="100">
        <f t="shared" si="8"/>
        <v>0.22470000000000001</v>
      </c>
      <c r="K96" s="48">
        <f t="shared" si="9"/>
        <v>7.7</v>
      </c>
      <c r="L96" s="48">
        <f t="shared" si="10"/>
        <v>28.78</v>
      </c>
      <c r="M96" s="48">
        <f t="shared" si="11"/>
        <v>38.5</v>
      </c>
      <c r="N96" s="48">
        <f t="shared" si="12"/>
        <v>143.9</v>
      </c>
      <c r="O96" s="50">
        <f t="shared" si="13"/>
        <v>182.4</v>
      </c>
      <c r="P96" s="50">
        <v>0</v>
      </c>
      <c r="Q96" s="76"/>
      <c r="R96" s="140">
        <f>IF((1*S9+2*S10)&gt;10,10,(1*S9+2*S10))</f>
        <v>5</v>
      </c>
      <c r="S96" s="79">
        <v>6.29</v>
      </c>
      <c r="T96" s="80">
        <v>23.5</v>
      </c>
    </row>
    <row r="97" spans="2:20">
      <c r="B97" s="5" t="s">
        <v>309</v>
      </c>
      <c r="C97" s="45" t="s">
        <v>97</v>
      </c>
      <c r="D97" s="45" t="s">
        <v>310</v>
      </c>
      <c r="E97" s="6" t="s">
        <v>311</v>
      </c>
      <c r="F97" s="45" t="s">
        <v>104</v>
      </c>
      <c r="G97" s="46">
        <f t="shared" si="7"/>
        <v>80</v>
      </c>
      <c r="H97" s="46">
        <f>TRUNC(S97*(1-LOTE_02!$K$10),2)</f>
        <v>0.48</v>
      </c>
      <c r="I97" s="46">
        <f>TRUNC(T97*(1-LOTE_02!$K$10),2)</f>
        <v>1.65</v>
      </c>
      <c r="J97" s="100">
        <f t="shared" si="8"/>
        <v>0.22470000000000001</v>
      </c>
      <c r="K97" s="48">
        <f t="shared" si="9"/>
        <v>0.57999999999999996</v>
      </c>
      <c r="L97" s="48">
        <f t="shared" si="10"/>
        <v>2.02</v>
      </c>
      <c r="M97" s="48">
        <f t="shared" si="11"/>
        <v>46.4</v>
      </c>
      <c r="N97" s="48">
        <f t="shared" si="12"/>
        <v>161.6</v>
      </c>
      <c r="O97" s="50">
        <f t="shared" si="13"/>
        <v>208</v>
      </c>
      <c r="P97" s="50">
        <v>0</v>
      </c>
      <c r="Q97" s="76"/>
      <c r="R97" s="140">
        <f>20*S9+20*S10</f>
        <v>80</v>
      </c>
      <c r="S97" s="79">
        <v>0.48</v>
      </c>
      <c r="T97" s="80">
        <v>1.65</v>
      </c>
    </row>
    <row r="98" spans="2:20" ht="42">
      <c r="B98" s="5" t="s">
        <v>312</v>
      </c>
      <c r="C98" s="45" t="s">
        <v>97</v>
      </c>
      <c r="D98" s="45" t="s">
        <v>313</v>
      </c>
      <c r="E98" s="6" t="s">
        <v>314</v>
      </c>
      <c r="F98" s="45" t="s">
        <v>104</v>
      </c>
      <c r="G98" s="46">
        <f t="shared" si="7"/>
        <v>4</v>
      </c>
      <c r="H98" s="46">
        <f>TRUNC(S98*(1-LOTE_02!$K$10),2)</f>
        <v>9.61</v>
      </c>
      <c r="I98" s="46">
        <f>TRUNC(T98*(1-LOTE_02!$K$10),2)</f>
        <v>39.29</v>
      </c>
      <c r="J98" s="100">
        <f t="shared" si="8"/>
        <v>0.22470000000000001</v>
      </c>
      <c r="K98" s="48">
        <f t="shared" si="9"/>
        <v>11.76</v>
      </c>
      <c r="L98" s="48">
        <f t="shared" si="10"/>
        <v>48.11</v>
      </c>
      <c r="M98" s="48">
        <f t="shared" si="11"/>
        <v>47.04</v>
      </c>
      <c r="N98" s="48">
        <f t="shared" si="12"/>
        <v>192.44</v>
      </c>
      <c r="O98" s="50">
        <f t="shared" si="13"/>
        <v>239.48</v>
      </c>
      <c r="P98" s="50">
        <v>0</v>
      </c>
      <c r="Q98" s="76"/>
      <c r="R98" s="140">
        <f>IF((1*S9+1*S10)&gt;5,5,(1*S9+1*S10))</f>
        <v>4</v>
      </c>
      <c r="S98" s="79">
        <v>9.61</v>
      </c>
      <c r="T98" s="80">
        <v>39.29</v>
      </c>
    </row>
    <row r="99" spans="2:20" ht="28">
      <c r="B99" s="5" t="s">
        <v>315</v>
      </c>
      <c r="C99" s="45" t="s">
        <v>97</v>
      </c>
      <c r="D99" s="45" t="s">
        <v>316</v>
      </c>
      <c r="E99" s="6" t="s">
        <v>317</v>
      </c>
      <c r="F99" s="45" t="s">
        <v>104</v>
      </c>
      <c r="G99" s="46">
        <f t="shared" si="7"/>
        <v>8</v>
      </c>
      <c r="H99" s="46">
        <f>TRUNC(S99*(1-LOTE_02!$K$10),2)</f>
        <v>1.1299999999999999</v>
      </c>
      <c r="I99" s="46">
        <f>TRUNC(T99*(1-LOTE_02!$K$10),2)</f>
        <v>5.29</v>
      </c>
      <c r="J99" s="100">
        <f t="shared" si="8"/>
        <v>0.22470000000000001</v>
      </c>
      <c r="K99" s="48">
        <f t="shared" si="9"/>
        <v>1.38</v>
      </c>
      <c r="L99" s="48">
        <f t="shared" si="10"/>
        <v>6.47</v>
      </c>
      <c r="M99" s="48">
        <f t="shared" si="11"/>
        <v>11.04</v>
      </c>
      <c r="N99" s="48">
        <f t="shared" si="12"/>
        <v>51.76</v>
      </c>
      <c r="O99" s="50">
        <f t="shared" si="13"/>
        <v>62.8</v>
      </c>
      <c r="P99" s="50">
        <v>0</v>
      </c>
      <c r="Q99" s="76"/>
      <c r="R99" s="140">
        <f>IF((2*S9+2*S10)&gt;50,50,(2*S9+2*S10))</f>
        <v>8</v>
      </c>
      <c r="S99" s="79">
        <v>1.1299999999999999</v>
      </c>
      <c r="T99" s="80">
        <v>5.29</v>
      </c>
    </row>
    <row r="100" spans="2:20" ht="28">
      <c r="B100" s="5" t="s">
        <v>318</v>
      </c>
      <c r="C100" s="45" t="s">
        <v>97</v>
      </c>
      <c r="D100" s="45" t="s">
        <v>319</v>
      </c>
      <c r="E100" s="6" t="s">
        <v>320</v>
      </c>
      <c r="F100" s="45" t="s">
        <v>187</v>
      </c>
      <c r="G100" s="46">
        <f t="shared" si="7"/>
        <v>60</v>
      </c>
      <c r="H100" s="46">
        <f>TRUNC(S100*(1-LOTE_02!$K$10),2)</f>
        <v>1.34</v>
      </c>
      <c r="I100" s="46">
        <f>TRUNC(T100*(1-LOTE_02!$K$10),2)</f>
        <v>4.58</v>
      </c>
      <c r="J100" s="100">
        <f t="shared" si="8"/>
        <v>0.22470000000000001</v>
      </c>
      <c r="K100" s="48">
        <f t="shared" si="9"/>
        <v>1.64</v>
      </c>
      <c r="L100" s="48">
        <f t="shared" si="10"/>
        <v>5.6</v>
      </c>
      <c r="M100" s="48">
        <f t="shared" si="11"/>
        <v>98.4</v>
      </c>
      <c r="N100" s="48">
        <f t="shared" si="12"/>
        <v>336</v>
      </c>
      <c r="O100" s="50">
        <f t="shared" si="13"/>
        <v>434.4</v>
      </c>
      <c r="P100" s="50">
        <v>0</v>
      </c>
      <c r="Q100" s="76"/>
      <c r="R100" s="140">
        <f>IF((10*S9+30*S10)&gt;100,100,(10*S9+30*S10))</f>
        <v>60</v>
      </c>
      <c r="S100" s="79">
        <v>1.34</v>
      </c>
      <c r="T100" s="80">
        <v>4.58</v>
      </c>
    </row>
    <row r="101" spans="2:20" ht="28">
      <c r="B101" s="5" t="s">
        <v>321</v>
      </c>
      <c r="C101" s="45" t="s">
        <v>97</v>
      </c>
      <c r="D101" s="45" t="s">
        <v>322</v>
      </c>
      <c r="E101" s="6" t="s">
        <v>323</v>
      </c>
      <c r="F101" s="45" t="s">
        <v>121</v>
      </c>
      <c r="G101" s="46">
        <f t="shared" si="7"/>
        <v>40</v>
      </c>
      <c r="H101" s="46">
        <f>TRUNC(S101*(1-LOTE_02!$K$10),2)</f>
        <v>5.76</v>
      </c>
      <c r="I101" s="46">
        <f>TRUNC(T101*(1-LOTE_02!$K$10),2)</f>
        <v>22.32</v>
      </c>
      <c r="J101" s="100">
        <f t="shared" si="8"/>
        <v>0.22470000000000001</v>
      </c>
      <c r="K101" s="48">
        <f t="shared" si="9"/>
        <v>7.05</v>
      </c>
      <c r="L101" s="48">
        <f t="shared" si="10"/>
        <v>27.33</v>
      </c>
      <c r="M101" s="48">
        <f t="shared" si="11"/>
        <v>282</v>
      </c>
      <c r="N101" s="48">
        <f t="shared" si="12"/>
        <v>1093.2</v>
      </c>
      <c r="O101" s="50">
        <f t="shared" si="13"/>
        <v>1375.2</v>
      </c>
      <c r="P101" s="50">
        <v>0</v>
      </c>
      <c r="Q101" s="76"/>
      <c r="R101" s="140">
        <f>10*S9+10*S10</f>
        <v>40</v>
      </c>
      <c r="S101" s="79">
        <v>5.76</v>
      </c>
      <c r="T101" s="80">
        <v>22.32</v>
      </c>
    </row>
    <row r="102" spans="2:20" ht="28">
      <c r="B102" s="5" t="s">
        <v>324</v>
      </c>
      <c r="C102" s="45" t="s">
        <v>97</v>
      </c>
      <c r="D102" s="45" t="s">
        <v>325</v>
      </c>
      <c r="E102" s="6" t="s">
        <v>326</v>
      </c>
      <c r="F102" s="45" t="s">
        <v>104</v>
      </c>
      <c r="G102" s="46">
        <f t="shared" si="7"/>
        <v>9</v>
      </c>
      <c r="H102" s="46">
        <f>TRUNC(S102*(1-LOTE_02!$K$10),2)</f>
        <v>2.27</v>
      </c>
      <c r="I102" s="46">
        <f>TRUNC(T102*(1-LOTE_02!$K$10),2)</f>
        <v>10.59</v>
      </c>
      <c r="J102" s="100">
        <f t="shared" si="8"/>
        <v>0.22470000000000001</v>
      </c>
      <c r="K102" s="48">
        <f t="shared" si="9"/>
        <v>2.78</v>
      </c>
      <c r="L102" s="48">
        <f t="shared" si="10"/>
        <v>12.96</v>
      </c>
      <c r="M102" s="48">
        <f t="shared" si="11"/>
        <v>25.02</v>
      </c>
      <c r="N102" s="48">
        <f t="shared" si="12"/>
        <v>116.64</v>
      </c>
      <c r="O102" s="50">
        <f t="shared" si="13"/>
        <v>141.66</v>
      </c>
      <c r="P102" s="50">
        <v>0</v>
      </c>
      <c r="Q102" s="76"/>
      <c r="R102" s="140">
        <f>2*S9+3*S10</f>
        <v>9</v>
      </c>
      <c r="S102" s="79">
        <v>2.27</v>
      </c>
      <c r="T102" s="80">
        <v>10.59</v>
      </c>
    </row>
    <row r="103" spans="2:20" ht="28">
      <c r="B103" s="5" t="s">
        <v>327</v>
      </c>
      <c r="C103" s="45" t="s">
        <v>97</v>
      </c>
      <c r="D103" s="45" t="s">
        <v>328</v>
      </c>
      <c r="E103" s="6" t="s">
        <v>329</v>
      </c>
      <c r="F103" s="45" t="s">
        <v>104</v>
      </c>
      <c r="G103" s="46">
        <f t="shared" si="7"/>
        <v>4</v>
      </c>
      <c r="H103" s="46">
        <f>TRUNC(S103*(1-LOTE_02!$K$10),2)</f>
        <v>17.22</v>
      </c>
      <c r="I103" s="46">
        <f>TRUNC(T103*(1-LOTE_02!$K$10),2)</f>
        <v>65.489999999999995</v>
      </c>
      <c r="J103" s="100">
        <f t="shared" si="8"/>
        <v>0.22470000000000001</v>
      </c>
      <c r="K103" s="48">
        <f t="shared" si="9"/>
        <v>21.08</v>
      </c>
      <c r="L103" s="48">
        <f t="shared" si="10"/>
        <v>80.2</v>
      </c>
      <c r="M103" s="48">
        <f t="shared" si="11"/>
        <v>84.32</v>
      </c>
      <c r="N103" s="48">
        <f t="shared" si="12"/>
        <v>320.8</v>
      </c>
      <c r="O103" s="50">
        <f t="shared" si="13"/>
        <v>405.12</v>
      </c>
      <c r="P103" s="50">
        <v>0</v>
      </c>
      <c r="Q103" s="76"/>
      <c r="R103" s="140">
        <f>IF((1*S9+1*S10)&gt;10,10,(1*S9+1*S10))</f>
        <v>4</v>
      </c>
      <c r="S103" s="79">
        <v>17.22</v>
      </c>
      <c r="T103" s="80">
        <v>65.489999999999995</v>
      </c>
    </row>
    <row r="104" spans="2:20" ht="28">
      <c r="B104" s="5" t="s">
        <v>330</v>
      </c>
      <c r="C104" s="45" t="s">
        <v>97</v>
      </c>
      <c r="D104" s="45" t="s">
        <v>331</v>
      </c>
      <c r="E104" s="6" t="s">
        <v>332</v>
      </c>
      <c r="F104" s="45" t="s">
        <v>104</v>
      </c>
      <c r="G104" s="46">
        <f t="shared" si="7"/>
        <v>4</v>
      </c>
      <c r="H104" s="46">
        <f>TRUNC(S104*(1-LOTE_02!$K$10),2)</f>
        <v>6460.25</v>
      </c>
      <c r="I104" s="46">
        <f>TRUNC(T104*(1-LOTE_02!$K$10),2)</f>
        <v>651.99</v>
      </c>
      <c r="J104" s="100">
        <f t="shared" si="8"/>
        <v>0.22470000000000001</v>
      </c>
      <c r="K104" s="48">
        <f t="shared" si="9"/>
        <v>7911.86</v>
      </c>
      <c r="L104" s="48">
        <f t="shared" si="10"/>
        <v>798.49</v>
      </c>
      <c r="M104" s="48">
        <f t="shared" si="11"/>
        <v>31647.439999999999</v>
      </c>
      <c r="N104" s="48">
        <f t="shared" si="12"/>
        <v>3193.96</v>
      </c>
      <c r="O104" s="50">
        <f t="shared" si="13"/>
        <v>34841.4</v>
      </c>
      <c r="P104" s="50">
        <v>0</v>
      </c>
      <c r="Q104" s="76"/>
      <c r="R104" s="140">
        <f>IF((1*S9+1*S10)&gt;10,10,(1*S9+1*S10))</f>
        <v>4</v>
      </c>
      <c r="S104" s="79">
        <v>6460.25</v>
      </c>
      <c r="T104" s="80">
        <v>651.99</v>
      </c>
    </row>
    <row r="105" spans="2:20" ht="28">
      <c r="B105" s="5" t="s">
        <v>333</v>
      </c>
      <c r="C105" s="45" t="s">
        <v>97</v>
      </c>
      <c r="D105" s="45" t="s">
        <v>334</v>
      </c>
      <c r="E105" s="6" t="s">
        <v>335</v>
      </c>
      <c r="F105" s="45" t="s">
        <v>104</v>
      </c>
      <c r="G105" s="46">
        <f t="shared" si="7"/>
        <v>10</v>
      </c>
      <c r="H105" s="46">
        <f>TRUNC(S105*(1-LOTE_02!$K$10),2)</f>
        <v>1.44</v>
      </c>
      <c r="I105" s="46">
        <f>TRUNC(T105*(1-LOTE_02!$K$10),2)</f>
        <v>4.95</v>
      </c>
      <c r="J105" s="100">
        <f t="shared" si="8"/>
        <v>0.22470000000000001</v>
      </c>
      <c r="K105" s="48">
        <f t="shared" si="9"/>
        <v>1.76</v>
      </c>
      <c r="L105" s="48">
        <f t="shared" si="10"/>
        <v>6.06</v>
      </c>
      <c r="M105" s="48">
        <f t="shared" si="11"/>
        <v>17.600000000000001</v>
      </c>
      <c r="N105" s="48">
        <f t="shared" si="12"/>
        <v>60.6</v>
      </c>
      <c r="O105" s="50">
        <f t="shared" si="13"/>
        <v>78.2</v>
      </c>
      <c r="P105" s="50">
        <v>0</v>
      </c>
      <c r="Q105" s="76"/>
      <c r="R105" s="140">
        <f>2*S9+4*S10</f>
        <v>10</v>
      </c>
      <c r="S105" s="79">
        <v>1.44</v>
      </c>
      <c r="T105" s="80">
        <v>4.95</v>
      </c>
    </row>
    <row r="106" spans="2:20">
      <c r="B106" s="5" t="s">
        <v>336</v>
      </c>
      <c r="C106" s="45" t="s">
        <v>97</v>
      </c>
      <c r="D106" s="45" t="s">
        <v>337</v>
      </c>
      <c r="E106" s="6" t="s">
        <v>338</v>
      </c>
      <c r="F106" s="45" t="s">
        <v>104</v>
      </c>
      <c r="G106" s="46">
        <f t="shared" si="7"/>
        <v>90</v>
      </c>
      <c r="H106" s="46">
        <f>TRUNC(S106*(1-LOTE_02!$K$10),2)</f>
        <v>0.48</v>
      </c>
      <c r="I106" s="46">
        <f>TRUNC(T106*(1-LOTE_02!$K$10),2)</f>
        <v>1.65</v>
      </c>
      <c r="J106" s="100">
        <f t="shared" si="8"/>
        <v>0.22470000000000001</v>
      </c>
      <c r="K106" s="48">
        <f t="shared" si="9"/>
        <v>0.57999999999999996</v>
      </c>
      <c r="L106" s="48">
        <f t="shared" si="10"/>
        <v>2.02</v>
      </c>
      <c r="M106" s="48">
        <f t="shared" si="11"/>
        <v>52.2</v>
      </c>
      <c r="N106" s="48">
        <f t="shared" si="12"/>
        <v>181.8</v>
      </c>
      <c r="O106" s="50">
        <f t="shared" si="13"/>
        <v>234</v>
      </c>
      <c r="P106" s="50">
        <v>0</v>
      </c>
      <c r="Q106" s="76"/>
      <c r="R106" s="140">
        <f>20*S9+30*S10</f>
        <v>90</v>
      </c>
      <c r="S106" s="79">
        <v>0.48</v>
      </c>
      <c r="T106" s="80">
        <v>1.65</v>
      </c>
    </row>
    <row r="107" spans="2:20" ht="28">
      <c r="B107" s="5" t="s">
        <v>339</v>
      </c>
      <c r="C107" s="45" t="s">
        <v>97</v>
      </c>
      <c r="D107" s="45" t="s">
        <v>301</v>
      </c>
      <c r="E107" s="6" t="s">
        <v>302</v>
      </c>
      <c r="F107" s="45" t="s">
        <v>104</v>
      </c>
      <c r="G107" s="46">
        <f t="shared" si="7"/>
        <v>8</v>
      </c>
      <c r="H107" s="46">
        <f>TRUNC(S107*(1-LOTE_02!$K$10),2)</f>
        <v>0.96</v>
      </c>
      <c r="I107" s="46">
        <f>TRUNC(T107*(1-LOTE_02!$K$10),2)</f>
        <v>3.3</v>
      </c>
      <c r="J107" s="100">
        <f t="shared" si="8"/>
        <v>0.22470000000000001</v>
      </c>
      <c r="K107" s="48">
        <f t="shared" si="9"/>
        <v>1.17</v>
      </c>
      <c r="L107" s="48">
        <f t="shared" si="10"/>
        <v>4.04</v>
      </c>
      <c r="M107" s="48">
        <f t="shared" si="11"/>
        <v>9.36</v>
      </c>
      <c r="N107" s="48">
        <f t="shared" si="12"/>
        <v>32.32</v>
      </c>
      <c r="O107" s="50">
        <f t="shared" si="13"/>
        <v>41.68</v>
      </c>
      <c r="P107" s="50">
        <v>0</v>
      </c>
      <c r="Q107" s="76"/>
      <c r="R107" s="140">
        <f>2*S9+2*S10</f>
        <v>8</v>
      </c>
      <c r="S107" s="79">
        <v>0.96</v>
      </c>
      <c r="T107" s="80">
        <v>3.3</v>
      </c>
    </row>
    <row r="108" spans="2:20" ht="42">
      <c r="B108" s="5" t="s">
        <v>340</v>
      </c>
      <c r="C108" s="45" t="s">
        <v>135</v>
      </c>
      <c r="D108" s="45">
        <v>90436</v>
      </c>
      <c r="E108" s="6" t="s">
        <v>341</v>
      </c>
      <c r="F108" s="45" t="s">
        <v>210</v>
      </c>
      <c r="G108" s="46">
        <f t="shared" si="7"/>
        <v>8</v>
      </c>
      <c r="H108" s="46">
        <f>TRUNC(S108*(1-LOTE_02!$K$10),2)</f>
        <v>2.33</v>
      </c>
      <c r="I108" s="46">
        <f>TRUNC(T108*(1-LOTE_02!$K$10),2)</f>
        <v>12.29</v>
      </c>
      <c r="J108" s="100">
        <f t="shared" si="8"/>
        <v>0.22470000000000001</v>
      </c>
      <c r="K108" s="48">
        <f t="shared" si="9"/>
        <v>2.85</v>
      </c>
      <c r="L108" s="48">
        <f t="shared" si="10"/>
        <v>15.05</v>
      </c>
      <c r="M108" s="48">
        <f t="shared" si="11"/>
        <v>22.8</v>
      </c>
      <c r="N108" s="48">
        <f t="shared" si="12"/>
        <v>120.4</v>
      </c>
      <c r="O108" s="50">
        <f t="shared" si="13"/>
        <v>143.19999999999999</v>
      </c>
      <c r="P108" s="50">
        <v>0</v>
      </c>
      <c r="Q108" s="76"/>
      <c r="R108" s="140">
        <f>IF((2*S9+2*S10)&gt;20,20,(2*S9+2*S10))</f>
        <v>8</v>
      </c>
      <c r="S108" s="79">
        <v>2.33</v>
      </c>
      <c r="T108" s="80">
        <v>12.29</v>
      </c>
    </row>
    <row r="109" spans="2:20" ht="56">
      <c r="B109" s="5" t="s">
        <v>342</v>
      </c>
      <c r="C109" s="45" t="s">
        <v>135</v>
      </c>
      <c r="D109" s="45">
        <v>90437</v>
      </c>
      <c r="E109" s="6" t="s">
        <v>343</v>
      </c>
      <c r="F109" s="45" t="s">
        <v>210</v>
      </c>
      <c r="G109" s="46">
        <f t="shared" si="7"/>
        <v>8</v>
      </c>
      <c r="H109" s="46">
        <f>TRUNC(S109*(1-LOTE_02!$K$10),2)</f>
        <v>6.2</v>
      </c>
      <c r="I109" s="46">
        <f>TRUNC(T109*(1-LOTE_02!$K$10),2)</f>
        <v>32.78</v>
      </c>
      <c r="J109" s="100">
        <f t="shared" si="8"/>
        <v>0.22470000000000001</v>
      </c>
      <c r="K109" s="48">
        <f t="shared" si="9"/>
        <v>7.59</v>
      </c>
      <c r="L109" s="48">
        <f t="shared" si="10"/>
        <v>40.14</v>
      </c>
      <c r="M109" s="48">
        <f t="shared" si="11"/>
        <v>60.72</v>
      </c>
      <c r="N109" s="48">
        <f t="shared" si="12"/>
        <v>321.12</v>
      </c>
      <c r="O109" s="50">
        <f t="shared" si="13"/>
        <v>381.84</v>
      </c>
      <c r="P109" s="50">
        <v>0</v>
      </c>
      <c r="Q109" s="76"/>
      <c r="R109" s="140">
        <f>IF((2*S9+2*S10)&gt;20,20,(2*S9+2*S10))</f>
        <v>8</v>
      </c>
      <c r="S109" s="79">
        <v>6.1999999999999957</v>
      </c>
      <c r="T109" s="80">
        <v>32.78</v>
      </c>
    </row>
    <row r="110" spans="2:20" ht="56">
      <c r="B110" s="5" t="s">
        <v>344</v>
      </c>
      <c r="C110" s="45" t="s">
        <v>135</v>
      </c>
      <c r="D110" s="45">
        <v>90438</v>
      </c>
      <c r="E110" s="6" t="s">
        <v>345</v>
      </c>
      <c r="F110" s="45" t="s">
        <v>210</v>
      </c>
      <c r="G110" s="46">
        <f t="shared" si="7"/>
        <v>8</v>
      </c>
      <c r="H110" s="46">
        <f>TRUNC(S110*(1-LOTE_02!$K$10),2)</f>
        <v>9.06</v>
      </c>
      <c r="I110" s="46">
        <f>TRUNC(T110*(1-LOTE_02!$K$10),2)</f>
        <v>47.87</v>
      </c>
      <c r="J110" s="100">
        <f t="shared" si="8"/>
        <v>0.22470000000000001</v>
      </c>
      <c r="K110" s="48">
        <f t="shared" si="9"/>
        <v>11.09</v>
      </c>
      <c r="L110" s="48">
        <f t="shared" si="10"/>
        <v>58.62</v>
      </c>
      <c r="M110" s="48">
        <f t="shared" si="11"/>
        <v>88.72</v>
      </c>
      <c r="N110" s="48">
        <f t="shared" si="12"/>
        <v>468.96</v>
      </c>
      <c r="O110" s="50">
        <f t="shared" si="13"/>
        <v>557.67999999999995</v>
      </c>
      <c r="P110" s="50">
        <v>0</v>
      </c>
      <c r="Q110" s="76"/>
      <c r="R110" s="140">
        <f>IF((2*S9+2*S10)&gt;20,20,(2*S9+2*S10))</f>
        <v>8</v>
      </c>
      <c r="S110" s="79">
        <v>9.0600000000000023</v>
      </c>
      <c r="T110" s="80">
        <v>47.87</v>
      </c>
    </row>
    <row r="111" spans="2:20" ht="56">
      <c r="B111" s="5" t="s">
        <v>346</v>
      </c>
      <c r="C111" s="45" t="s">
        <v>135</v>
      </c>
      <c r="D111" s="45">
        <v>90439</v>
      </c>
      <c r="E111" s="6" t="s">
        <v>347</v>
      </c>
      <c r="F111" s="45" t="s">
        <v>210</v>
      </c>
      <c r="G111" s="46">
        <f t="shared" si="7"/>
        <v>8</v>
      </c>
      <c r="H111" s="46">
        <f>TRUNC(S111*(1-LOTE_02!$K$10),2)</f>
        <v>1.82</v>
      </c>
      <c r="I111" s="46">
        <f>TRUNC(T111*(1-LOTE_02!$K$10),2)</f>
        <v>6.48</v>
      </c>
      <c r="J111" s="100">
        <f t="shared" si="8"/>
        <v>0.22470000000000001</v>
      </c>
      <c r="K111" s="48">
        <f t="shared" si="9"/>
        <v>2.2200000000000002</v>
      </c>
      <c r="L111" s="48">
        <f t="shared" si="10"/>
        <v>7.93</v>
      </c>
      <c r="M111" s="48">
        <f t="shared" si="11"/>
        <v>17.760000000000002</v>
      </c>
      <c r="N111" s="48">
        <f t="shared" si="12"/>
        <v>63.44</v>
      </c>
      <c r="O111" s="50">
        <f t="shared" si="13"/>
        <v>81.2</v>
      </c>
      <c r="P111" s="50">
        <v>0</v>
      </c>
      <c r="Q111" s="76"/>
      <c r="R111" s="140">
        <f>IF((2*S9+2*S10)&gt;10,10,(2*S9+2*S10))</f>
        <v>8</v>
      </c>
      <c r="S111" s="79">
        <v>1.8200000000000003</v>
      </c>
      <c r="T111" s="80">
        <v>6.48</v>
      </c>
    </row>
    <row r="112" spans="2:20" ht="70">
      <c r="B112" s="5" t="s">
        <v>348</v>
      </c>
      <c r="C112" s="45" t="s">
        <v>135</v>
      </c>
      <c r="D112" s="45">
        <v>90440</v>
      </c>
      <c r="E112" s="6" t="s">
        <v>349</v>
      </c>
      <c r="F112" s="45" t="s">
        <v>210</v>
      </c>
      <c r="G112" s="46">
        <f t="shared" si="7"/>
        <v>8</v>
      </c>
      <c r="H112" s="46">
        <f>TRUNC(S112*(1-LOTE_02!$K$10),2)</f>
        <v>4.8600000000000003</v>
      </c>
      <c r="I112" s="46">
        <f>TRUNC(T112*(1-LOTE_02!$K$10),2)</f>
        <v>17.27</v>
      </c>
      <c r="J112" s="100">
        <f t="shared" si="8"/>
        <v>0.22470000000000001</v>
      </c>
      <c r="K112" s="48">
        <f t="shared" si="9"/>
        <v>5.95</v>
      </c>
      <c r="L112" s="48">
        <f t="shared" si="10"/>
        <v>21.15</v>
      </c>
      <c r="M112" s="48">
        <f t="shared" si="11"/>
        <v>47.6</v>
      </c>
      <c r="N112" s="48">
        <f t="shared" si="12"/>
        <v>169.2</v>
      </c>
      <c r="O112" s="50">
        <f t="shared" si="13"/>
        <v>216.8</v>
      </c>
      <c r="P112" s="50">
        <v>0</v>
      </c>
      <c r="Q112" s="76"/>
      <c r="R112" s="140">
        <f>IF((2*S9+2*S10)&gt;10,10,(2*S9+2*S10))</f>
        <v>8</v>
      </c>
      <c r="S112" s="79">
        <v>4.8599999999999994</v>
      </c>
      <c r="T112" s="80">
        <v>17.27</v>
      </c>
    </row>
    <row r="113" spans="2:20" ht="70">
      <c r="B113" s="5" t="s">
        <v>350</v>
      </c>
      <c r="C113" s="45" t="s">
        <v>135</v>
      </c>
      <c r="D113" s="45">
        <v>90441</v>
      </c>
      <c r="E113" s="6" t="s">
        <v>351</v>
      </c>
      <c r="F113" s="45" t="s">
        <v>210</v>
      </c>
      <c r="G113" s="46">
        <f t="shared" si="7"/>
        <v>8</v>
      </c>
      <c r="H113" s="46">
        <f>TRUNC(S113*(1-LOTE_02!$K$10),2)</f>
        <v>7.09</v>
      </c>
      <c r="I113" s="46">
        <f>TRUNC(T113*(1-LOTE_02!$K$10),2)</f>
        <v>25.23</v>
      </c>
      <c r="J113" s="100">
        <f t="shared" si="8"/>
        <v>0.22470000000000001</v>
      </c>
      <c r="K113" s="48">
        <f t="shared" si="9"/>
        <v>8.68</v>
      </c>
      <c r="L113" s="48">
        <f t="shared" si="10"/>
        <v>30.89</v>
      </c>
      <c r="M113" s="48">
        <f t="shared" si="11"/>
        <v>69.44</v>
      </c>
      <c r="N113" s="48">
        <f t="shared" si="12"/>
        <v>247.12</v>
      </c>
      <c r="O113" s="50">
        <f t="shared" si="13"/>
        <v>316.56</v>
      </c>
      <c r="P113" s="50">
        <v>0</v>
      </c>
      <c r="Q113" s="76"/>
      <c r="R113" s="140">
        <f>IF((2*S9+2*S10)&gt;10,10,(2*S9+2*S10))</f>
        <v>8</v>
      </c>
      <c r="S113" s="79">
        <v>7.09</v>
      </c>
      <c r="T113" s="80">
        <v>25.23</v>
      </c>
    </row>
    <row r="114" spans="2:20">
      <c r="B114" s="101" t="s">
        <v>27</v>
      </c>
      <c r="C114" s="102" t="s">
        <v>21</v>
      </c>
      <c r="D114" s="102" t="s">
        <v>21</v>
      </c>
      <c r="E114" s="103" t="s">
        <v>29</v>
      </c>
      <c r="F114" s="102" t="s">
        <v>21</v>
      </c>
      <c r="G114" s="46">
        <f t="shared" si="7"/>
        <v>0</v>
      </c>
      <c r="H114" s="46"/>
      <c r="I114" s="46"/>
      <c r="J114" s="105"/>
      <c r="K114" s="48">
        <f t="shared" si="9"/>
        <v>0</v>
      </c>
      <c r="L114" s="48">
        <f t="shared" si="10"/>
        <v>0</v>
      </c>
      <c r="M114" s="48">
        <f t="shared" si="11"/>
        <v>0</v>
      </c>
      <c r="N114" s="48">
        <f t="shared" si="12"/>
        <v>0</v>
      </c>
      <c r="O114" s="50">
        <f t="shared" si="13"/>
        <v>0</v>
      </c>
      <c r="P114" s="104">
        <f>SUM(O115:O123)</f>
        <v>608.03</v>
      </c>
      <c r="Q114" s="76"/>
      <c r="R114" s="154"/>
      <c r="S114" s="79" t="s">
        <v>22</v>
      </c>
      <c r="T114" s="80" t="s">
        <v>22</v>
      </c>
    </row>
    <row r="115" spans="2:20" ht="28">
      <c r="B115" s="5" t="s">
        <v>352</v>
      </c>
      <c r="C115" s="45" t="s">
        <v>135</v>
      </c>
      <c r="D115" s="45">
        <v>94319</v>
      </c>
      <c r="E115" s="6" t="s">
        <v>353</v>
      </c>
      <c r="F115" s="45" t="s">
        <v>161</v>
      </c>
      <c r="G115" s="46">
        <f>IF($S$11=0,0,TRUNC(R115,2))</f>
        <v>1</v>
      </c>
      <c r="H115" s="46">
        <f>TRUNC(S115*(1-LOTE_02!$K$10),2)</f>
        <v>62.51</v>
      </c>
      <c r="I115" s="46">
        <f>TRUNC(T115*(1-LOTE_02!$K$10),2)</f>
        <v>18.75</v>
      </c>
      <c r="J115" s="100">
        <f t="shared" si="8"/>
        <v>0.22470000000000001</v>
      </c>
      <c r="K115" s="48">
        <f t="shared" si="9"/>
        <v>76.55</v>
      </c>
      <c r="L115" s="48">
        <f t="shared" si="10"/>
        <v>22.96</v>
      </c>
      <c r="M115" s="48">
        <f t="shared" si="11"/>
        <v>76.55</v>
      </c>
      <c r="N115" s="48">
        <f t="shared" si="12"/>
        <v>22.96</v>
      </c>
      <c r="O115" s="50">
        <f t="shared" si="13"/>
        <v>99.51</v>
      </c>
      <c r="P115" s="50">
        <v>0</v>
      </c>
      <c r="Q115" s="76"/>
      <c r="R115" s="140">
        <f>IF((1*S10)&gt;5,5,1)</f>
        <v>1</v>
      </c>
      <c r="S115" s="79">
        <v>62.510000000000005</v>
      </c>
      <c r="T115" s="80">
        <v>18.75</v>
      </c>
    </row>
    <row r="116" spans="2:20" ht="28">
      <c r="B116" s="5" t="s">
        <v>354</v>
      </c>
      <c r="C116" s="45" t="s">
        <v>135</v>
      </c>
      <c r="D116" s="45">
        <v>94342</v>
      </c>
      <c r="E116" s="6" t="s">
        <v>355</v>
      </c>
      <c r="F116" s="45" t="s">
        <v>161</v>
      </c>
      <c r="G116" s="46">
        <f t="shared" ref="G116:G123" si="14">IF($S$11=0,0,TRUNC(R116,2))</f>
        <v>1</v>
      </c>
      <c r="H116" s="46">
        <f>TRUNC(S116*(1-LOTE_02!$K$10),2)</f>
        <v>112.98</v>
      </c>
      <c r="I116" s="46">
        <f>TRUNC(T116*(1-LOTE_02!$K$10),2)</f>
        <v>18.61</v>
      </c>
      <c r="J116" s="100">
        <f t="shared" si="8"/>
        <v>0.22470000000000001</v>
      </c>
      <c r="K116" s="48">
        <f t="shared" si="9"/>
        <v>138.36000000000001</v>
      </c>
      <c r="L116" s="48">
        <f t="shared" si="10"/>
        <v>22.79</v>
      </c>
      <c r="M116" s="48">
        <f t="shared" si="11"/>
        <v>138.36000000000001</v>
      </c>
      <c r="N116" s="48">
        <f t="shared" si="12"/>
        <v>22.79</v>
      </c>
      <c r="O116" s="50">
        <f t="shared" si="13"/>
        <v>161.15</v>
      </c>
      <c r="P116" s="50">
        <v>0</v>
      </c>
      <c r="Q116" s="76"/>
      <c r="R116" s="140">
        <f>IF((1*S10)&gt;5,5,1)</f>
        <v>1</v>
      </c>
      <c r="S116" s="79">
        <v>112.98</v>
      </c>
      <c r="T116" s="80">
        <v>18.61</v>
      </c>
    </row>
    <row r="117" spans="2:20" ht="28">
      <c r="B117" s="5" t="s">
        <v>356</v>
      </c>
      <c r="C117" s="45" t="s">
        <v>165</v>
      </c>
      <c r="D117" s="45" t="s">
        <v>357</v>
      </c>
      <c r="E117" s="6" t="s">
        <v>358</v>
      </c>
      <c r="F117" s="45" t="s">
        <v>182</v>
      </c>
      <c r="G117" s="46">
        <f t="shared" si="14"/>
        <v>1</v>
      </c>
      <c r="H117" s="46">
        <f>TRUNC(S117*(1-LOTE_02!$K$10),2)</f>
        <v>14.6</v>
      </c>
      <c r="I117" s="46">
        <f>TRUNC(T117*(1-LOTE_02!$K$10),2)</f>
        <v>0.7</v>
      </c>
      <c r="J117" s="100">
        <f t="shared" si="8"/>
        <v>0.22470000000000001</v>
      </c>
      <c r="K117" s="48">
        <f t="shared" si="9"/>
        <v>17.88</v>
      </c>
      <c r="L117" s="48">
        <f t="shared" si="10"/>
        <v>0.85</v>
      </c>
      <c r="M117" s="48">
        <f t="shared" si="11"/>
        <v>17.88</v>
      </c>
      <c r="N117" s="48">
        <f t="shared" si="12"/>
        <v>0.85</v>
      </c>
      <c r="O117" s="50">
        <f t="shared" si="13"/>
        <v>18.73</v>
      </c>
      <c r="P117" s="50">
        <v>0</v>
      </c>
      <c r="Q117" s="76"/>
      <c r="R117" s="140">
        <f>IF((1*S10)&gt;5,5,1)</f>
        <v>1</v>
      </c>
      <c r="S117" s="79">
        <v>14.6</v>
      </c>
      <c r="T117" s="80">
        <v>0.7</v>
      </c>
    </row>
    <row r="118" spans="2:20" ht="28">
      <c r="B118" s="5" t="s">
        <v>359</v>
      </c>
      <c r="C118" s="45" t="s">
        <v>165</v>
      </c>
      <c r="D118" s="45" t="s">
        <v>360</v>
      </c>
      <c r="E118" s="6" t="s">
        <v>361</v>
      </c>
      <c r="F118" s="45" t="s">
        <v>182</v>
      </c>
      <c r="G118" s="46">
        <f t="shared" si="14"/>
        <v>1</v>
      </c>
      <c r="H118" s="46">
        <f>TRUNC(S118*(1-LOTE_02!$K$10),2)</f>
        <v>24.77</v>
      </c>
      <c r="I118" s="46">
        <f>TRUNC(T118*(1-LOTE_02!$K$10),2)</f>
        <v>28.37</v>
      </c>
      <c r="J118" s="100">
        <f t="shared" si="8"/>
        <v>0.22470000000000001</v>
      </c>
      <c r="K118" s="48">
        <f t="shared" si="9"/>
        <v>30.33</v>
      </c>
      <c r="L118" s="48">
        <f t="shared" si="10"/>
        <v>34.74</v>
      </c>
      <c r="M118" s="48">
        <f t="shared" si="11"/>
        <v>30.33</v>
      </c>
      <c r="N118" s="48">
        <f t="shared" si="12"/>
        <v>34.74</v>
      </c>
      <c r="O118" s="50">
        <f t="shared" si="13"/>
        <v>65.069999999999993</v>
      </c>
      <c r="P118" s="50">
        <v>0</v>
      </c>
      <c r="Q118" s="76"/>
      <c r="R118" s="140">
        <f>IF((1*S10)&gt;5,5,1)</f>
        <v>1</v>
      </c>
      <c r="S118" s="79">
        <v>24.77</v>
      </c>
      <c r="T118" s="80">
        <v>28.37</v>
      </c>
    </row>
    <row r="119" spans="2:20" ht="28">
      <c r="B119" s="5" t="s">
        <v>362</v>
      </c>
      <c r="C119" s="45" t="s">
        <v>135</v>
      </c>
      <c r="D119" s="45">
        <v>93358</v>
      </c>
      <c r="E119" s="6" t="s">
        <v>363</v>
      </c>
      <c r="F119" s="45" t="s">
        <v>161</v>
      </c>
      <c r="G119" s="46">
        <f t="shared" si="14"/>
        <v>1</v>
      </c>
      <c r="H119" s="46">
        <f>TRUNC(S119*(1-LOTE_02!$K$10),2)</f>
        <v>19</v>
      </c>
      <c r="I119" s="46">
        <f>TRUNC(T119*(1-LOTE_02!$K$10),2)</f>
        <v>65.33</v>
      </c>
      <c r="J119" s="100">
        <f t="shared" si="8"/>
        <v>0.22470000000000001</v>
      </c>
      <c r="K119" s="48">
        <f t="shared" si="9"/>
        <v>23.26</v>
      </c>
      <c r="L119" s="48">
        <f t="shared" si="10"/>
        <v>80</v>
      </c>
      <c r="M119" s="48">
        <f t="shared" si="11"/>
        <v>23.26</v>
      </c>
      <c r="N119" s="48">
        <f t="shared" si="12"/>
        <v>80</v>
      </c>
      <c r="O119" s="50">
        <f t="shared" si="13"/>
        <v>103.26</v>
      </c>
      <c r="P119" s="50">
        <v>0</v>
      </c>
      <c r="Q119" s="76"/>
      <c r="R119" s="140">
        <f>IF((1*S10)&gt;5,5,1)</f>
        <v>1</v>
      </c>
      <c r="S119" s="79">
        <v>19</v>
      </c>
      <c r="T119" s="80">
        <v>65.33</v>
      </c>
    </row>
    <row r="120" spans="2:20" ht="28">
      <c r="B120" s="5" t="s">
        <v>364</v>
      </c>
      <c r="C120" s="45" t="s">
        <v>165</v>
      </c>
      <c r="D120" s="45" t="s">
        <v>365</v>
      </c>
      <c r="E120" s="6" t="s">
        <v>366</v>
      </c>
      <c r="F120" s="45" t="s">
        <v>182</v>
      </c>
      <c r="G120" s="46">
        <f t="shared" si="14"/>
        <v>1</v>
      </c>
      <c r="H120" s="46">
        <f>TRUNC(S120*(1-LOTE_02!$K$10),2)</f>
        <v>0</v>
      </c>
      <c r="I120" s="46">
        <f>TRUNC(T120*(1-LOTE_02!$K$10),2)</f>
        <v>52.71</v>
      </c>
      <c r="J120" s="100">
        <f t="shared" si="8"/>
        <v>0.22470000000000001</v>
      </c>
      <c r="K120" s="48">
        <f t="shared" si="9"/>
        <v>0</v>
      </c>
      <c r="L120" s="48">
        <f t="shared" si="10"/>
        <v>64.55</v>
      </c>
      <c r="M120" s="48">
        <f t="shared" si="11"/>
        <v>0</v>
      </c>
      <c r="N120" s="48">
        <f t="shared" si="12"/>
        <v>64.55</v>
      </c>
      <c r="O120" s="50">
        <f t="shared" si="13"/>
        <v>64.55</v>
      </c>
      <c r="P120" s="50">
        <v>0</v>
      </c>
      <c r="Q120" s="76"/>
      <c r="R120" s="140">
        <f>IF((1*S10)&gt;5,5,1)</f>
        <v>1</v>
      </c>
      <c r="S120" s="79">
        <v>0</v>
      </c>
      <c r="T120" s="80">
        <v>52.71</v>
      </c>
    </row>
    <row r="121" spans="2:20" ht="28">
      <c r="B121" s="5" t="s">
        <v>367</v>
      </c>
      <c r="C121" s="45" t="s">
        <v>165</v>
      </c>
      <c r="D121" s="45" t="s">
        <v>368</v>
      </c>
      <c r="E121" s="6" t="s">
        <v>369</v>
      </c>
      <c r="F121" s="45" t="s">
        <v>182</v>
      </c>
      <c r="G121" s="46">
        <f t="shared" si="14"/>
        <v>1</v>
      </c>
      <c r="H121" s="46">
        <f>TRUNC(S121*(1-LOTE_02!$K$10),2)</f>
        <v>0</v>
      </c>
      <c r="I121" s="46">
        <f>TRUNC(T121*(1-LOTE_02!$K$10),2)</f>
        <v>5.93</v>
      </c>
      <c r="J121" s="100">
        <f t="shared" si="8"/>
        <v>0.22470000000000001</v>
      </c>
      <c r="K121" s="48">
        <f t="shared" si="9"/>
        <v>0</v>
      </c>
      <c r="L121" s="48">
        <f t="shared" si="10"/>
        <v>7.26</v>
      </c>
      <c r="M121" s="48">
        <f t="shared" si="11"/>
        <v>0</v>
      </c>
      <c r="N121" s="48">
        <f t="shared" si="12"/>
        <v>7.26</v>
      </c>
      <c r="O121" s="50">
        <f t="shared" si="13"/>
        <v>7.26</v>
      </c>
      <c r="P121" s="50">
        <v>0</v>
      </c>
      <c r="Q121" s="76"/>
      <c r="R121" s="140">
        <f>IF((1*S10)&gt;5,5,1)</f>
        <v>1</v>
      </c>
      <c r="S121" s="79">
        <v>0</v>
      </c>
      <c r="T121" s="80">
        <v>5.93</v>
      </c>
    </row>
    <row r="122" spans="2:20" ht="28">
      <c r="B122" s="5" t="s">
        <v>370</v>
      </c>
      <c r="C122" s="45" t="s">
        <v>165</v>
      </c>
      <c r="D122" s="45" t="s">
        <v>371</v>
      </c>
      <c r="E122" s="6" t="s">
        <v>372</v>
      </c>
      <c r="F122" s="45" t="s">
        <v>182</v>
      </c>
      <c r="G122" s="46">
        <f t="shared" si="14"/>
        <v>1</v>
      </c>
      <c r="H122" s="46">
        <f>TRUNC(S122*(1-LOTE_02!$K$10),2)</f>
        <v>0</v>
      </c>
      <c r="I122" s="46">
        <f>TRUNC(T122*(1-LOTE_02!$K$10),2)</f>
        <v>52.5</v>
      </c>
      <c r="J122" s="100">
        <f t="shared" si="8"/>
        <v>0.22470000000000001</v>
      </c>
      <c r="K122" s="48">
        <f t="shared" si="9"/>
        <v>0</v>
      </c>
      <c r="L122" s="48">
        <f t="shared" si="10"/>
        <v>64.290000000000006</v>
      </c>
      <c r="M122" s="48">
        <f t="shared" si="11"/>
        <v>0</v>
      </c>
      <c r="N122" s="48">
        <f t="shared" si="12"/>
        <v>64.290000000000006</v>
      </c>
      <c r="O122" s="50">
        <f t="shared" si="13"/>
        <v>64.290000000000006</v>
      </c>
      <c r="P122" s="50">
        <v>0</v>
      </c>
      <c r="Q122" s="76"/>
      <c r="R122" s="140">
        <f>IF((1*S10)&gt;5,5,1)</f>
        <v>1</v>
      </c>
      <c r="S122" s="79">
        <v>0</v>
      </c>
      <c r="T122" s="80">
        <v>52.5</v>
      </c>
    </row>
    <row r="123" spans="2:20" ht="28">
      <c r="B123" s="5" t="s">
        <v>373</v>
      </c>
      <c r="C123" s="45" t="s">
        <v>165</v>
      </c>
      <c r="D123" s="45" t="s">
        <v>374</v>
      </c>
      <c r="E123" s="6" t="s">
        <v>375</v>
      </c>
      <c r="F123" s="45" t="s">
        <v>168</v>
      </c>
      <c r="G123" s="46">
        <f t="shared" si="14"/>
        <v>1</v>
      </c>
      <c r="H123" s="46">
        <f>TRUNC(S123*(1-LOTE_02!$K$10),2)</f>
        <v>0</v>
      </c>
      <c r="I123" s="46">
        <f>TRUNC(T123*(1-LOTE_02!$K$10),2)</f>
        <v>19.77</v>
      </c>
      <c r="J123" s="100">
        <f t="shared" si="8"/>
        <v>0.22470000000000001</v>
      </c>
      <c r="K123" s="48">
        <f t="shared" si="9"/>
        <v>0</v>
      </c>
      <c r="L123" s="48">
        <f t="shared" si="10"/>
        <v>24.21</v>
      </c>
      <c r="M123" s="48">
        <f t="shared" si="11"/>
        <v>0</v>
      </c>
      <c r="N123" s="48">
        <f t="shared" si="12"/>
        <v>24.21</v>
      </c>
      <c r="O123" s="50">
        <f t="shared" si="13"/>
        <v>24.21</v>
      </c>
      <c r="P123" s="50">
        <v>0</v>
      </c>
      <c r="Q123" s="76"/>
      <c r="R123" s="140">
        <f>IF((1*S10)&gt;5,5,1)</f>
        <v>1</v>
      </c>
      <c r="S123" s="79">
        <v>0</v>
      </c>
      <c r="T123" s="80">
        <v>19.77</v>
      </c>
    </row>
    <row r="124" spans="2:20">
      <c r="B124" s="101" t="s">
        <v>28</v>
      </c>
      <c r="C124" s="102" t="s">
        <v>21</v>
      </c>
      <c r="D124" s="102" t="s">
        <v>21</v>
      </c>
      <c r="E124" s="103" t="s">
        <v>31</v>
      </c>
      <c r="F124" s="102" t="s">
        <v>21</v>
      </c>
      <c r="G124" s="46">
        <f t="shared" si="7"/>
        <v>0</v>
      </c>
      <c r="H124" s="46"/>
      <c r="I124" s="46"/>
      <c r="J124" s="105"/>
      <c r="K124" s="48">
        <f t="shared" si="9"/>
        <v>0</v>
      </c>
      <c r="L124" s="48">
        <f t="shared" si="10"/>
        <v>0</v>
      </c>
      <c r="M124" s="48">
        <f t="shared" si="11"/>
        <v>0</v>
      </c>
      <c r="N124" s="48">
        <f t="shared" si="12"/>
        <v>0</v>
      </c>
      <c r="O124" s="50">
        <f t="shared" si="13"/>
        <v>0</v>
      </c>
      <c r="P124" s="104">
        <f>SUM(O125:O133)</f>
        <v>7450.64</v>
      </c>
      <c r="Q124" s="76"/>
      <c r="R124" s="154"/>
      <c r="S124" s="79" t="s">
        <v>22</v>
      </c>
      <c r="T124" s="80" t="s">
        <v>22</v>
      </c>
    </row>
    <row r="125" spans="2:20" ht="70">
      <c r="B125" s="5" t="s">
        <v>376</v>
      </c>
      <c r="C125" s="45" t="s">
        <v>135</v>
      </c>
      <c r="D125" s="45">
        <v>94962</v>
      </c>
      <c r="E125" s="6" t="s">
        <v>377</v>
      </c>
      <c r="F125" s="45" t="s">
        <v>161</v>
      </c>
      <c r="G125" s="46">
        <f t="shared" ref="G125:G131" si="15">IF($S$11=0,0,TRUNC(R125,2))</f>
        <v>1</v>
      </c>
      <c r="H125" s="46">
        <f>TRUNC(S125*(1-LOTE_02!$K$10),2)</f>
        <v>559.13</v>
      </c>
      <c r="I125" s="46">
        <f>TRUNC(T125*(1-LOTE_02!$K$10),2)</f>
        <v>60.19</v>
      </c>
      <c r="J125" s="100">
        <f t="shared" si="8"/>
        <v>0.22470000000000001</v>
      </c>
      <c r="K125" s="48">
        <f t="shared" si="9"/>
        <v>684.76</v>
      </c>
      <c r="L125" s="48">
        <f t="shared" si="10"/>
        <v>73.709999999999994</v>
      </c>
      <c r="M125" s="48">
        <f t="shared" si="11"/>
        <v>684.76</v>
      </c>
      <c r="N125" s="48">
        <f t="shared" si="12"/>
        <v>73.709999999999994</v>
      </c>
      <c r="O125" s="50">
        <f t="shared" si="13"/>
        <v>758.47</v>
      </c>
      <c r="P125" s="50">
        <v>0</v>
      </c>
      <c r="Q125" s="76"/>
      <c r="R125" s="140">
        <f>IF((1*S10)&gt;5,5,1)</f>
        <v>1</v>
      </c>
      <c r="S125" s="79">
        <v>559.13000000000011</v>
      </c>
      <c r="T125" s="80">
        <v>60.19</v>
      </c>
    </row>
    <row r="126" spans="2:20" ht="56">
      <c r="B126" s="5" t="s">
        <v>378</v>
      </c>
      <c r="C126" s="45" t="s">
        <v>135</v>
      </c>
      <c r="D126" s="45">
        <v>94963</v>
      </c>
      <c r="E126" s="6" t="s">
        <v>379</v>
      </c>
      <c r="F126" s="45" t="s">
        <v>161</v>
      </c>
      <c r="G126" s="46">
        <f t="shared" si="15"/>
        <v>1</v>
      </c>
      <c r="H126" s="46">
        <f>TRUNC(S126*(1-LOTE_02!$K$10),2)</f>
        <v>625.54999999999995</v>
      </c>
      <c r="I126" s="46">
        <f>TRUNC(T126*(1-LOTE_02!$K$10),2)</f>
        <v>59.75</v>
      </c>
      <c r="J126" s="100">
        <f t="shared" si="8"/>
        <v>0.22470000000000001</v>
      </c>
      <c r="K126" s="48">
        <f t="shared" si="9"/>
        <v>766.11</v>
      </c>
      <c r="L126" s="48">
        <f t="shared" si="10"/>
        <v>73.17</v>
      </c>
      <c r="M126" s="48">
        <f t="shared" si="11"/>
        <v>766.11</v>
      </c>
      <c r="N126" s="48">
        <f t="shared" si="12"/>
        <v>73.17</v>
      </c>
      <c r="O126" s="50">
        <f t="shared" si="13"/>
        <v>839.28</v>
      </c>
      <c r="P126" s="50">
        <v>0</v>
      </c>
      <c r="Q126" s="76"/>
      <c r="R126" s="140">
        <f>IF((1*S10)&gt;5,5,1)</f>
        <v>1</v>
      </c>
      <c r="S126" s="79">
        <v>625.54999999999995</v>
      </c>
      <c r="T126" s="80">
        <v>59.75</v>
      </c>
    </row>
    <row r="127" spans="2:20" ht="56">
      <c r="B127" s="5" t="s">
        <v>380</v>
      </c>
      <c r="C127" s="45" t="s">
        <v>135</v>
      </c>
      <c r="D127" s="45">
        <v>94964</v>
      </c>
      <c r="E127" s="6" t="s">
        <v>381</v>
      </c>
      <c r="F127" s="45" t="s">
        <v>161</v>
      </c>
      <c r="G127" s="46">
        <f t="shared" si="15"/>
        <v>1</v>
      </c>
      <c r="H127" s="46">
        <f>TRUNC(S127*(1-LOTE_02!$K$10),2)</f>
        <v>679.26</v>
      </c>
      <c r="I127" s="46">
        <f>TRUNC(T127*(1-LOTE_02!$K$10),2)</f>
        <v>65.209999999999994</v>
      </c>
      <c r="J127" s="100">
        <f t="shared" si="8"/>
        <v>0.22470000000000001</v>
      </c>
      <c r="K127" s="48">
        <f t="shared" si="9"/>
        <v>831.88</v>
      </c>
      <c r="L127" s="48">
        <f t="shared" si="10"/>
        <v>79.86</v>
      </c>
      <c r="M127" s="48">
        <f t="shared" si="11"/>
        <v>831.88</v>
      </c>
      <c r="N127" s="48">
        <f t="shared" si="12"/>
        <v>79.86</v>
      </c>
      <c r="O127" s="50">
        <f t="shared" si="13"/>
        <v>911.74</v>
      </c>
      <c r="P127" s="50">
        <v>0</v>
      </c>
      <c r="Q127" s="76"/>
      <c r="R127" s="140">
        <f>IF((1*S10)&gt;5,5,1)</f>
        <v>1</v>
      </c>
      <c r="S127" s="79">
        <v>679.26</v>
      </c>
      <c r="T127" s="80">
        <v>65.209999999999994</v>
      </c>
    </row>
    <row r="128" spans="2:20" ht="56">
      <c r="B128" s="5" t="s">
        <v>382</v>
      </c>
      <c r="C128" s="45" t="s">
        <v>135</v>
      </c>
      <c r="D128" s="45">
        <v>94965</v>
      </c>
      <c r="E128" s="6" t="s">
        <v>383</v>
      </c>
      <c r="F128" s="45" t="s">
        <v>161</v>
      </c>
      <c r="G128" s="46">
        <f t="shared" si="15"/>
        <v>1</v>
      </c>
      <c r="H128" s="46">
        <f>TRUNC(S128*(1-LOTE_02!$K$10),2)</f>
        <v>719.44</v>
      </c>
      <c r="I128" s="46">
        <f>TRUNC(T128*(1-LOTE_02!$K$10),2)</f>
        <v>59.51</v>
      </c>
      <c r="J128" s="100">
        <f t="shared" si="8"/>
        <v>0.22470000000000001</v>
      </c>
      <c r="K128" s="48">
        <f t="shared" si="9"/>
        <v>881.09</v>
      </c>
      <c r="L128" s="48">
        <f t="shared" si="10"/>
        <v>72.88</v>
      </c>
      <c r="M128" s="48">
        <f t="shared" si="11"/>
        <v>881.09</v>
      </c>
      <c r="N128" s="48">
        <f t="shared" si="12"/>
        <v>72.88</v>
      </c>
      <c r="O128" s="50">
        <f t="shared" si="13"/>
        <v>953.97</v>
      </c>
      <c r="P128" s="50">
        <v>0</v>
      </c>
      <c r="Q128" s="76"/>
      <c r="R128" s="140">
        <f>IF((1*S10)&gt;5,5,1)</f>
        <v>1</v>
      </c>
      <c r="S128" s="79">
        <v>719.44</v>
      </c>
      <c r="T128" s="80">
        <v>59.51</v>
      </c>
    </row>
    <row r="129" spans="2:20" ht="42">
      <c r="B129" s="5" t="s">
        <v>384</v>
      </c>
      <c r="C129" s="45" t="s">
        <v>135</v>
      </c>
      <c r="D129" s="45">
        <v>102487</v>
      </c>
      <c r="E129" s="6" t="s">
        <v>385</v>
      </c>
      <c r="F129" s="45" t="s">
        <v>161</v>
      </c>
      <c r="G129" s="46">
        <f t="shared" si="15"/>
        <v>1</v>
      </c>
      <c r="H129" s="46">
        <f>TRUNC(S129*(1-LOTE_02!$K$10),2)</f>
        <v>676.39</v>
      </c>
      <c r="I129" s="46">
        <f>TRUNC(T129*(1-LOTE_02!$K$10),2)</f>
        <v>187.34</v>
      </c>
      <c r="J129" s="100">
        <f t="shared" si="8"/>
        <v>0.22470000000000001</v>
      </c>
      <c r="K129" s="48">
        <f t="shared" si="9"/>
        <v>828.37</v>
      </c>
      <c r="L129" s="48">
        <f t="shared" si="10"/>
        <v>229.43</v>
      </c>
      <c r="M129" s="48">
        <f t="shared" si="11"/>
        <v>828.37</v>
      </c>
      <c r="N129" s="48">
        <f t="shared" si="12"/>
        <v>229.43</v>
      </c>
      <c r="O129" s="50">
        <f t="shared" si="13"/>
        <v>1057.8</v>
      </c>
      <c r="P129" s="50">
        <v>0</v>
      </c>
      <c r="Q129" s="76"/>
      <c r="R129" s="140">
        <f>IF((1*S10)&gt;5,5,1)</f>
        <v>1</v>
      </c>
      <c r="S129" s="79">
        <v>676.39</v>
      </c>
      <c r="T129" s="80">
        <v>187.34</v>
      </c>
    </row>
    <row r="130" spans="2:20" ht="28">
      <c r="B130" s="5" t="s">
        <v>386</v>
      </c>
      <c r="C130" s="45" t="s">
        <v>165</v>
      </c>
      <c r="D130" s="45" t="s">
        <v>387</v>
      </c>
      <c r="E130" s="6" t="s">
        <v>388</v>
      </c>
      <c r="F130" s="45" t="s">
        <v>168</v>
      </c>
      <c r="G130" s="46">
        <f t="shared" si="15"/>
        <v>5</v>
      </c>
      <c r="H130" s="46">
        <f>TRUNC(S130*(1-LOTE_02!$K$10),2)</f>
        <v>112.26</v>
      </c>
      <c r="I130" s="46">
        <f>TRUNC(T130*(1-LOTE_02!$K$10),2)</f>
        <v>69.27</v>
      </c>
      <c r="J130" s="100">
        <f t="shared" si="8"/>
        <v>0.22470000000000001</v>
      </c>
      <c r="K130" s="48">
        <f t="shared" si="9"/>
        <v>137.47999999999999</v>
      </c>
      <c r="L130" s="48">
        <f t="shared" si="10"/>
        <v>84.83</v>
      </c>
      <c r="M130" s="48">
        <f t="shared" si="11"/>
        <v>687.4</v>
      </c>
      <c r="N130" s="48">
        <f t="shared" si="12"/>
        <v>424.15</v>
      </c>
      <c r="O130" s="50">
        <f t="shared" si="13"/>
        <v>1111.55</v>
      </c>
      <c r="P130" s="50">
        <v>0</v>
      </c>
      <c r="Q130" s="76"/>
      <c r="R130" s="140">
        <f>IF((5*S10)&gt;20,20,5)</f>
        <v>5</v>
      </c>
      <c r="S130" s="79">
        <v>112.26</v>
      </c>
      <c r="T130" s="80">
        <v>69.27</v>
      </c>
    </row>
    <row r="131" spans="2:20" ht="42">
      <c r="B131" s="5" t="s">
        <v>389</v>
      </c>
      <c r="C131" s="45" t="s">
        <v>135</v>
      </c>
      <c r="D131" s="45">
        <v>103670</v>
      </c>
      <c r="E131" s="6" t="s">
        <v>390</v>
      </c>
      <c r="F131" s="45" t="s">
        <v>161</v>
      </c>
      <c r="G131" s="46">
        <f t="shared" si="15"/>
        <v>1</v>
      </c>
      <c r="H131" s="46">
        <f>TRUNC(S131*(1-LOTE_02!$K$10),2)</f>
        <v>60.67</v>
      </c>
      <c r="I131" s="46">
        <f>TRUNC(T131*(1-LOTE_02!$K$10),2)</f>
        <v>233.12</v>
      </c>
      <c r="J131" s="100">
        <f t="shared" si="8"/>
        <v>0.22470000000000001</v>
      </c>
      <c r="K131" s="48">
        <f t="shared" si="9"/>
        <v>74.3</v>
      </c>
      <c r="L131" s="48">
        <f t="shared" si="10"/>
        <v>285.5</v>
      </c>
      <c r="M131" s="48">
        <f t="shared" si="11"/>
        <v>74.3</v>
      </c>
      <c r="N131" s="48">
        <f t="shared" si="12"/>
        <v>285.5</v>
      </c>
      <c r="O131" s="50">
        <f t="shared" si="13"/>
        <v>359.8</v>
      </c>
      <c r="P131" s="50">
        <v>0</v>
      </c>
      <c r="Q131" s="76"/>
      <c r="R131" s="140">
        <f>IF((1*S10)&gt;5,5,1)</f>
        <v>1</v>
      </c>
      <c r="S131" s="79">
        <v>60.670000000000016</v>
      </c>
      <c r="T131" s="80">
        <v>233.12</v>
      </c>
    </row>
    <row r="132" spans="2:20" ht="56">
      <c r="B132" s="5" t="s">
        <v>391</v>
      </c>
      <c r="C132" s="45" t="s">
        <v>135</v>
      </c>
      <c r="D132" s="45">
        <v>95240</v>
      </c>
      <c r="E132" s="6" t="s">
        <v>392</v>
      </c>
      <c r="F132" s="45" t="s">
        <v>121</v>
      </c>
      <c r="G132" s="46">
        <f t="shared" si="7"/>
        <v>5</v>
      </c>
      <c r="H132" s="46">
        <f>TRUNC(S132*(1-LOTE_02!$K$10),2)</f>
        <v>20.25</v>
      </c>
      <c r="I132" s="46">
        <f>TRUNC(T132*(1-LOTE_02!$K$10),2)</f>
        <v>6.13</v>
      </c>
      <c r="J132" s="100">
        <f t="shared" si="8"/>
        <v>0.22470000000000001</v>
      </c>
      <c r="K132" s="48">
        <f t="shared" si="9"/>
        <v>24.8</v>
      </c>
      <c r="L132" s="48">
        <f t="shared" si="10"/>
        <v>7.5</v>
      </c>
      <c r="M132" s="48">
        <f t="shared" si="11"/>
        <v>124</v>
      </c>
      <c r="N132" s="48">
        <f t="shared" si="12"/>
        <v>37.5</v>
      </c>
      <c r="O132" s="50">
        <f t="shared" si="13"/>
        <v>161.5</v>
      </c>
      <c r="P132" s="50">
        <v>0</v>
      </c>
      <c r="Q132" s="76"/>
      <c r="R132" s="140">
        <f>IF((S9+2*S10)&gt;20,20,(S9+2*S10))</f>
        <v>5</v>
      </c>
      <c r="S132" s="79">
        <v>20.25</v>
      </c>
      <c r="T132" s="80">
        <v>6.13</v>
      </c>
    </row>
    <row r="133" spans="2:20" ht="28">
      <c r="B133" s="5" t="s">
        <v>393</v>
      </c>
      <c r="C133" s="45" t="s">
        <v>97</v>
      </c>
      <c r="D133" s="45" t="s">
        <v>394</v>
      </c>
      <c r="E133" s="6" t="s">
        <v>395</v>
      </c>
      <c r="F133" s="45" t="s">
        <v>161</v>
      </c>
      <c r="G133" s="46">
        <f>IF($S$11=0,0,TRUNC(R133,2))</f>
        <v>1</v>
      </c>
      <c r="H133" s="46">
        <f>TRUNC(S133*(1-LOTE_02!$K$10),2)</f>
        <v>748.94</v>
      </c>
      <c r="I133" s="46">
        <f>TRUNC(T133*(1-LOTE_02!$K$10),2)</f>
        <v>309.72000000000003</v>
      </c>
      <c r="J133" s="100">
        <f t="shared" si="8"/>
        <v>0.22470000000000001</v>
      </c>
      <c r="K133" s="48">
        <f t="shared" si="9"/>
        <v>917.22</v>
      </c>
      <c r="L133" s="48">
        <f t="shared" si="10"/>
        <v>379.31</v>
      </c>
      <c r="M133" s="48">
        <f t="shared" si="11"/>
        <v>917.22</v>
      </c>
      <c r="N133" s="48">
        <f t="shared" si="12"/>
        <v>379.31</v>
      </c>
      <c r="O133" s="50">
        <f t="shared" si="13"/>
        <v>1296.53</v>
      </c>
      <c r="P133" s="50">
        <v>0</v>
      </c>
      <c r="Q133" s="76"/>
      <c r="R133" s="140">
        <f>IF((1*S10)&gt;5,5,1)</f>
        <v>1</v>
      </c>
      <c r="S133" s="79">
        <v>748.94</v>
      </c>
      <c r="T133" s="80">
        <v>309.72000000000003</v>
      </c>
    </row>
    <row r="134" spans="2:20">
      <c r="B134" s="101" t="s">
        <v>30</v>
      </c>
      <c r="C134" s="102" t="s">
        <v>21</v>
      </c>
      <c r="D134" s="102" t="s">
        <v>21</v>
      </c>
      <c r="E134" s="103" t="s">
        <v>33</v>
      </c>
      <c r="F134" s="102" t="s">
        <v>21</v>
      </c>
      <c r="G134" s="46">
        <f t="shared" si="7"/>
        <v>0</v>
      </c>
      <c r="H134" s="46"/>
      <c r="I134" s="46"/>
      <c r="J134" s="105"/>
      <c r="K134" s="48">
        <f t="shared" si="9"/>
        <v>0</v>
      </c>
      <c r="L134" s="48">
        <f t="shared" si="10"/>
        <v>0</v>
      </c>
      <c r="M134" s="48">
        <f t="shared" si="11"/>
        <v>0</v>
      </c>
      <c r="N134" s="48">
        <f t="shared" si="12"/>
        <v>0</v>
      </c>
      <c r="O134" s="50">
        <f t="shared" si="13"/>
        <v>0</v>
      </c>
      <c r="P134" s="104">
        <f>SUM(O135:O149)</f>
        <v>35480.1</v>
      </c>
      <c r="Q134" s="76"/>
      <c r="R134" s="154"/>
      <c r="S134" s="79" t="s">
        <v>22</v>
      </c>
      <c r="T134" s="80" t="s">
        <v>22</v>
      </c>
    </row>
    <row r="135" spans="2:20" ht="28">
      <c r="B135" s="5" t="s">
        <v>396</v>
      </c>
      <c r="C135" s="45" t="s">
        <v>135</v>
      </c>
      <c r="D135" s="45">
        <v>96543</v>
      </c>
      <c r="E135" s="6" t="s">
        <v>397</v>
      </c>
      <c r="F135" s="45" t="s">
        <v>398</v>
      </c>
      <c r="G135" s="46">
        <f t="shared" ref="G135:G149" si="16">IF($S$11=0,0,TRUNC(R135,2))</f>
        <v>50</v>
      </c>
      <c r="H135" s="46">
        <f>TRUNC(S135*(1-LOTE_02!$K$10),2)</f>
        <v>12.49</v>
      </c>
      <c r="I135" s="46">
        <f>TRUNC(T135*(1-LOTE_02!$K$10),2)</f>
        <v>8.35</v>
      </c>
      <c r="J135" s="100">
        <f t="shared" si="8"/>
        <v>0.22470000000000001</v>
      </c>
      <c r="K135" s="48">
        <f t="shared" si="9"/>
        <v>15.29</v>
      </c>
      <c r="L135" s="48">
        <f t="shared" si="10"/>
        <v>10.220000000000001</v>
      </c>
      <c r="M135" s="48">
        <f t="shared" si="11"/>
        <v>764.5</v>
      </c>
      <c r="N135" s="48">
        <f t="shared" si="12"/>
        <v>511</v>
      </c>
      <c r="O135" s="50">
        <f t="shared" si="13"/>
        <v>1275.5</v>
      </c>
      <c r="P135" s="50">
        <v>0</v>
      </c>
      <c r="Q135" s="76"/>
      <c r="R135" s="140">
        <f>IF(20*S10&gt;=80,200,50)</f>
        <v>50</v>
      </c>
      <c r="S135" s="79">
        <v>12.49</v>
      </c>
      <c r="T135" s="80">
        <v>8.35</v>
      </c>
    </row>
    <row r="136" spans="2:20" ht="42">
      <c r="B136" s="5" t="s">
        <v>399</v>
      </c>
      <c r="C136" s="45" t="s">
        <v>165</v>
      </c>
      <c r="D136" s="45" t="s">
        <v>400</v>
      </c>
      <c r="E136" s="6" t="s">
        <v>401</v>
      </c>
      <c r="F136" s="45" t="s">
        <v>402</v>
      </c>
      <c r="G136" s="46">
        <f t="shared" si="16"/>
        <v>50</v>
      </c>
      <c r="H136" s="46">
        <f>TRUNC(S136*(1-LOTE_02!$K$10),2)</f>
        <v>9.11</v>
      </c>
      <c r="I136" s="46">
        <f>TRUNC(T136*(1-LOTE_02!$K$10),2)</f>
        <v>4.1900000000000004</v>
      </c>
      <c r="J136" s="100">
        <f t="shared" si="8"/>
        <v>0.22470000000000001</v>
      </c>
      <c r="K136" s="48">
        <f t="shared" si="9"/>
        <v>11.15</v>
      </c>
      <c r="L136" s="48">
        <f t="shared" si="10"/>
        <v>5.13</v>
      </c>
      <c r="M136" s="48">
        <f t="shared" si="11"/>
        <v>557.5</v>
      </c>
      <c r="N136" s="48">
        <f t="shared" si="12"/>
        <v>256.5</v>
      </c>
      <c r="O136" s="50">
        <f t="shared" si="13"/>
        <v>814</v>
      </c>
      <c r="P136" s="50">
        <v>0</v>
      </c>
      <c r="Q136" s="76"/>
      <c r="R136" s="140">
        <f>IF(20*S10&gt;=80,200,50)</f>
        <v>50</v>
      </c>
      <c r="S136" s="79">
        <v>9.11</v>
      </c>
      <c r="T136" s="80">
        <v>4.1900000000000004</v>
      </c>
    </row>
    <row r="137" spans="2:20" ht="42">
      <c r="B137" s="5" t="s">
        <v>403</v>
      </c>
      <c r="C137" s="45" t="s">
        <v>165</v>
      </c>
      <c r="D137" s="45" t="s">
        <v>404</v>
      </c>
      <c r="E137" s="6" t="s">
        <v>405</v>
      </c>
      <c r="F137" s="45" t="s">
        <v>402</v>
      </c>
      <c r="G137" s="46">
        <f t="shared" si="16"/>
        <v>50</v>
      </c>
      <c r="H137" s="46">
        <f>TRUNC(S137*(1-LOTE_02!$K$10),2)</f>
        <v>18.34</v>
      </c>
      <c r="I137" s="46">
        <f>TRUNC(T137*(1-LOTE_02!$K$10),2)</f>
        <v>4.1900000000000004</v>
      </c>
      <c r="J137" s="100">
        <f t="shared" si="8"/>
        <v>0.22470000000000001</v>
      </c>
      <c r="K137" s="48">
        <f t="shared" si="9"/>
        <v>22.46</v>
      </c>
      <c r="L137" s="48">
        <f t="shared" si="10"/>
        <v>5.13</v>
      </c>
      <c r="M137" s="48">
        <f t="shared" si="11"/>
        <v>1123</v>
      </c>
      <c r="N137" s="48">
        <f t="shared" si="12"/>
        <v>256.5</v>
      </c>
      <c r="O137" s="50">
        <f t="shared" si="13"/>
        <v>1379.5</v>
      </c>
      <c r="P137" s="50">
        <v>0</v>
      </c>
      <c r="Q137" s="76"/>
      <c r="R137" s="140">
        <f>IF(20*S10&gt;=80,200,50)</f>
        <v>50</v>
      </c>
      <c r="S137" s="79">
        <v>18.34</v>
      </c>
      <c r="T137" s="80">
        <v>4.1900000000000004</v>
      </c>
    </row>
    <row r="138" spans="2:20" ht="42">
      <c r="B138" s="5" t="s">
        <v>406</v>
      </c>
      <c r="C138" s="45" t="s">
        <v>165</v>
      </c>
      <c r="D138" s="45" t="s">
        <v>407</v>
      </c>
      <c r="E138" s="6" t="s">
        <v>408</v>
      </c>
      <c r="F138" s="45" t="s">
        <v>402</v>
      </c>
      <c r="G138" s="46">
        <f t="shared" si="16"/>
        <v>50</v>
      </c>
      <c r="H138" s="46">
        <f>TRUNC(S138*(1-LOTE_02!$K$10),2)</f>
        <v>24.48</v>
      </c>
      <c r="I138" s="46">
        <f>TRUNC(T138*(1-LOTE_02!$K$10),2)</f>
        <v>2.62</v>
      </c>
      <c r="J138" s="100">
        <f t="shared" si="8"/>
        <v>0.22470000000000001</v>
      </c>
      <c r="K138" s="48">
        <f t="shared" si="9"/>
        <v>29.98</v>
      </c>
      <c r="L138" s="48">
        <f t="shared" si="10"/>
        <v>3.2</v>
      </c>
      <c r="M138" s="48">
        <f t="shared" si="11"/>
        <v>1499</v>
      </c>
      <c r="N138" s="48">
        <f t="shared" si="12"/>
        <v>160</v>
      </c>
      <c r="O138" s="50">
        <f t="shared" si="13"/>
        <v>1659</v>
      </c>
      <c r="P138" s="50">
        <v>0</v>
      </c>
      <c r="Q138" s="76"/>
      <c r="R138" s="140">
        <f>IF(20*S10&gt;=80,200,50)</f>
        <v>50</v>
      </c>
      <c r="S138" s="79">
        <v>24.48</v>
      </c>
      <c r="T138" s="80">
        <v>2.62</v>
      </c>
    </row>
    <row r="139" spans="2:20" ht="28">
      <c r="B139" s="5" t="s">
        <v>409</v>
      </c>
      <c r="C139" s="45" t="s">
        <v>165</v>
      </c>
      <c r="D139" s="45" t="s">
        <v>410</v>
      </c>
      <c r="E139" s="6" t="s">
        <v>411</v>
      </c>
      <c r="F139" s="45" t="s">
        <v>168</v>
      </c>
      <c r="G139" s="46">
        <f t="shared" si="16"/>
        <v>50</v>
      </c>
      <c r="H139" s="46">
        <f>TRUNC(S139*(1-LOTE_02!$K$10),2)</f>
        <v>53.04</v>
      </c>
      <c r="I139" s="46">
        <f>TRUNC(T139*(1-LOTE_02!$K$10),2)</f>
        <v>2</v>
      </c>
      <c r="J139" s="100">
        <f t="shared" si="8"/>
        <v>0.22470000000000001</v>
      </c>
      <c r="K139" s="48">
        <f t="shared" si="9"/>
        <v>64.95</v>
      </c>
      <c r="L139" s="48">
        <f t="shared" si="10"/>
        <v>2.44</v>
      </c>
      <c r="M139" s="48">
        <f t="shared" si="11"/>
        <v>3247.5</v>
      </c>
      <c r="N139" s="48">
        <f t="shared" si="12"/>
        <v>122</v>
      </c>
      <c r="O139" s="50">
        <f t="shared" si="13"/>
        <v>3369.5</v>
      </c>
      <c r="P139" s="50">
        <v>0</v>
      </c>
      <c r="Q139" s="76"/>
      <c r="R139" s="140">
        <f>IF(20*S10&gt;=50,100,50)</f>
        <v>50</v>
      </c>
      <c r="S139" s="79">
        <v>53.04</v>
      </c>
      <c r="T139" s="80">
        <v>2</v>
      </c>
    </row>
    <row r="140" spans="2:20" ht="70">
      <c r="B140" s="5" t="s">
        <v>412</v>
      </c>
      <c r="C140" s="45" t="s">
        <v>135</v>
      </c>
      <c r="D140" s="45">
        <v>102475</v>
      </c>
      <c r="E140" s="6" t="s">
        <v>413</v>
      </c>
      <c r="F140" s="45" t="s">
        <v>161</v>
      </c>
      <c r="G140" s="46">
        <f t="shared" si="16"/>
        <v>1</v>
      </c>
      <c r="H140" s="46">
        <f>TRUNC(S140*(1-LOTE_02!$K$10),2)</f>
        <v>647.63</v>
      </c>
      <c r="I140" s="46">
        <f>TRUNC(T140*(1-LOTE_02!$K$10),2)</f>
        <v>67.349999999999994</v>
      </c>
      <c r="J140" s="100">
        <f t="shared" si="8"/>
        <v>0.22470000000000001</v>
      </c>
      <c r="K140" s="48">
        <f t="shared" si="9"/>
        <v>793.15</v>
      </c>
      <c r="L140" s="48">
        <f t="shared" si="10"/>
        <v>82.48</v>
      </c>
      <c r="M140" s="48">
        <f t="shared" si="11"/>
        <v>793.15</v>
      </c>
      <c r="N140" s="48">
        <f t="shared" si="12"/>
        <v>82.48</v>
      </c>
      <c r="O140" s="50">
        <f t="shared" si="13"/>
        <v>875.63</v>
      </c>
      <c r="P140" s="50">
        <v>0</v>
      </c>
      <c r="Q140" s="76"/>
      <c r="R140" s="140">
        <f>IF(S10&gt;5,5,1)</f>
        <v>1</v>
      </c>
      <c r="S140" s="79">
        <v>647.63</v>
      </c>
      <c r="T140" s="80">
        <v>67.349999999999994</v>
      </c>
    </row>
    <row r="141" spans="2:20" ht="42">
      <c r="B141" s="5" t="s">
        <v>414</v>
      </c>
      <c r="C141" s="45" t="s">
        <v>165</v>
      </c>
      <c r="D141" s="45" t="s">
        <v>415</v>
      </c>
      <c r="E141" s="6" t="s">
        <v>416</v>
      </c>
      <c r="F141" s="45" t="s">
        <v>168</v>
      </c>
      <c r="G141" s="46">
        <f t="shared" si="16"/>
        <v>10</v>
      </c>
      <c r="H141" s="46">
        <f>TRUNC(S141*(1-LOTE_02!$K$10),2)</f>
        <v>107.75</v>
      </c>
      <c r="I141" s="46">
        <f>TRUNC(T141*(1-LOTE_02!$K$10),2)</f>
        <v>6.92</v>
      </c>
      <c r="J141" s="100">
        <f t="shared" si="8"/>
        <v>0.22470000000000001</v>
      </c>
      <c r="K141" s="48">
        <f t="shared" si="9"/>
        <v>131.96</v>
      </c>
      <c r="L141" s="48">
        <f t="shared" si="10"/>
        <v>8.4700000000000006</v>
      </c>
      <c r="M141" s="48">
        <f t="shared" si="11"/>
        <v>1319.6</v>
      </c>
      <c r="N141" s="48">
        <f t="shared" si="12"/>
        <v>84.7</v>
      </c>
      <c r="O141" s="50">
        <f t="shared" si="13"/>
        <v>1404.3</v>
      </c>
      <c r="P141" s="50">
        <v>0</v>
      </c>
      <c r="Q141" s="76"/>
      <c r="R141" s="140">
        <f>IF(S10*10&gt;100,100,10)</f>
        <v>10</v>
      </c>
      <c r="S141" s="79">
        <v>107.75</v>
      </c>
      <c r="T141" s="80">
        <v>6.92</v>
      </c>
    </row>
    <row r="142" spans="2:20" ht="56">
      <c r="B142" s="5" t="s">
        <v>417</v>
      </c>
      <c r="C142" s="45" t="s">
        <v>135</v>
      </c>
      <c r="D142" s="45">
        <v>94969</v>
      </c>
      <c r="E142" s="6" t="s">
        <v>418</v>
      </c>
      <c r="F142" s="45" t="s">
        <v>161</v>
      </c>
      <c r="G142" s="46">
        <f t="shared" si="16"/>
        <v>1</v>
      </c>
      <c r="H142" s="46">
        <f>TRUNC(S142*(1-LOTE_02!$K$10),2)</f>
        <v>628.5</v>
      </c>
      <c r="I142" s="46">
        <f>TRUNC(T142*(1-LOTE_02!$K$10),2)</f>
        <v>52.06</v>
      </c>
      <c r="J142" s="100">
        <f t="shared" si="8"/>
        <v>0.22470000000000001</v>
      </c>
      <c r="K142" s="48">
        <f t="shared" si="9"/>
        <v>769.72</v>
      </c>
      <c r="L142" s="48">
        <f t="shared" si="10"/>
        <v>63.75</v>
      </c>
      <c r="M142" s="48">
        <f t="shared" si="11"/>
        <v>769.72</v>
      </c>
      <c r="N142" s="48">
        <f t="shared" si="12"/>
        <v>63.75</v>
      </c>
      <c r="O142" s="50">
        <f t="shared" si="13"/>
        <v>833.47</v>
      </c>
      <c r="P142" s="50">
        <v>0</v>
      </c>
      <c r="Q142" s="76"/>
      <c r="R142" s="140">
        <f>IF(S10&gt;5,10,1)</f>
        <v>1</v>
      </c>
      <c r="S142" s="79">
        <v>628.5</v>
      </c>
      <c r="T142" s="80">
        <v>52.06</v>
      </c>
    </row>
    <row r="143" spans="2:20" ht="56">
      <c r="B143" s="5" t="s">
        <v>419</v>
      </c>
      <c r="C143" s="45" t="s">
        <v>135</v>
      </c>
      <c r="D143" s="45">
        <v>92263</v>
      </c>
      <c r="E143" s="6" t="s">
        <v>420</v>
      </c>
      <c r="F143" s="45" t="s">
        <v>121</v>
      </c>
      <c r="G143" s="46">
        <f t="shared" si="16"/>
        <v>20</v>
      </c>
      <c r="H143" s="46">
        <f>TRUNC(S143*(1-LOTE_02!$K$10),2)</f>
        <v>150.38999999999999</v>
      </c>
      <c r="I143" s="46">
        <f>TRUNC(T143*(1-LOTE_02!$K$10),2)</f>
        <v>40.99</v>
      </c>
      <c r="J143" s="100">
        <f t="shared" si="8"/>
        <v>0.22470000000000001</v>
      </c>
      <c r="K143" s="48">
        <f t="shared" si="9"/>
        <v>184.18</v>
      </c>
      <c r="L143" s="48">
        <f t="shared" si="10"/>
        <v>50.2</v>
      </c>
      <c r="M143" s="48">
        <f t="shared" si="11"/>
        <v>3683.6</v>
      </c>
      <c r="N143" s="48">
        <f t="shared" si="12"/>
        <v>1004</v>
      </c>
      <c r="O143" s="50">
        <f t="shared" si="13"/>
        <v>4687.6000000000004</v>
      </c>
      <c r="P143" s="50">
        <v>0</v>
      </c>
      <c r="Q143" s="76"/>
      <c r="R143" s="140">
        <f>IF(S10&gt;5,100,20)</f>
        <v>20</v>
      </c>
      <c r="S143" s="79">
        <v>150.38999999999999</v>
      </c>
      <c r="T143" s="80">
        <v>40.99</v>
      </c>
    </row>
    <row r="144" spans="2:20" ht="70">
      <c r="B144" s="5" t="s">
        <v>421</v>
      </c>
      <c r="C144" s="45" t="s">
        <v>135</v>
      </c>
      <c r="D144" s="45">
        <v>92409</v>
      </c>
      <c r="E144" s="6" t="s">
        <v>422</v>
      </c>
      <c r="F144" s="45" t="s">
        <v>121</v>
      </c>
      <c r="G144" s="46">
        <f t="shared" si="16"/>
        <v>20</v>
      </c>
      <c r="H144" s="46">
        <f>TRUNC(S144*(1-LOTE_02!$K$10),2)</f>
        <v>148.16</v>
      </c>
      <c r="I144" s="46">
        <f>TRUNC(T144*(1-LOTE_02!$K$10),2)</f>
        <v>104.53</v>
      </c>
      <c r="J144" s="100">
        <f t="shared" si="8"/>
        <v>0.22470000000000001</v>
      </c>
      <c r="K144" s="48">
        <f t="shared" si="9"/>
        <v>181.45</v>
      </c>
      <c r="L144" s="48">
        <f t="shared" si="10"/>
        <v>128.01</v>
      </c>
      <c r="M144" s="48">
        <f t="shared" si="11"/>
        <v>3629</v>
      </c>
      <c r="N144" s="48">
        <f t="shared" si="12"/>
        <v>2560.1999999999998</v>
      </c>
      <c r="O144" s="50">
        <f t="shared" si="13"/>
        <v>6189.2</v>
      </c>
      <c r="P144" s="50">
        <v>0</v>
      </c>
      <c r="Q144" s="76"/>
      <c r="R144" s="140">
        <f>IF(S10&gt;5,100,20)</f>
        <v>20</v>
      </c>
      <c r="S144" s="79">
        <v>148.16</v>
      </c>
      <c r="T144" s="80">
        <v>104.53</v>
      </c>
    </row>
    <row r="145" spans="2:20" ht="56">
      <c r="B145" s="5" t="s">
        <v>423</v>
      </c>
      <c r="C145" s="45" t="s">
        <v>135</v>
      </c>
      <c r="D145" s="45">
        <v>92482</v>
      </c>
      <c r="E145" s="6" t="s">
        <v>424</v>
      </c>
      <c r="F145" s="45" t="s">
        <v>121</v>
      </c>
      <c r="G145" s="46">
        <f t="shared" si="16"/>
        <v>20</v>
      </c>
      <c r="H145" s="46">
        <f>TRUNC(S145*(1-LOTE_02!$K$10),2)</f>
        <v>172.55</v>
      </c>
      <c r="I145" s="46">
        <f>TRUNC(T145*(1-LOTE_02!$K$10),2)</f>
        <v>105.93</v>
      </c>
      <c r="J145" s="100">
        <f t="shared" ref="J145:J209" si="17">$J$4</f>
        <v>0.22470000000000001</v>
      </c>
      <c r="K145" s="48">
        <f t="shared" ref="K145:K207" si="18">TRUNC(H145*(1+J145),2)</f>
        <v>211.32</v>
      </c>
      <c r="L145" s="48">
        <f t="shared" ref="L145:L207" si="19">TRUNC(I145*(1+J145),2)</f>
        <v>129.72999999999999</v>
      </c>
      <c r="M145" s="48">
        <f t="shared" ref="M145:M207" si="20">TRUNC(K145*G145,2)</f>
        <v>4226.3999999999996</v>
      </c>
      <c r="N145" s="48">
        <f t="shared" ref="N145:N207" si="21">TRUNC(L145*G145,2)</f>
        <v>2594.6</v>
      </c>
      <c r="O145" s="50">
        <f t="shared" ref="O145:O207" si="22">TRUNC(M145+N145,2)</f>
        <v>6821</v>
      </c>
      <c r="P145" s="50">
        <v>0</v>
      </c>
      <c r="Q145" s="76"/>
      <c r="R145" s="140">
        <f>IF(S10&gt;5,100,20)</f>
        <v>20</v>
      </c>
      <c r="S145" s="79">
        <v>172.55</v>
      </c>
      <c r="T145" s="80">
        <v>105.93</v>
      </c>
    </row>
    <row r="146" spans="2:20" ht="70">
      <c r="B146" s="5" t="s">
        <v>425</v>
      </c>
      <c r="C146" s="45" t="s">
        <v>135</v>
      </c>
      <c r="D146" s="45">
        <v>101963</v>
      </c>
      <c r="E146" s="6" t="s">
        <v>426</v>
      </c>
      <c r="F146" s="45" t="s">
        <v>121</v>
      </c>
      <c r="G146" s="46">
        <f t="shared" si="16"/>
        <v>20</v>
      </c>
      <c r="H146" s="46">
        <f>TRUNC(S146*(1-LOTE_02!$K$10),2)</f>
        <v>175.2</v>
      </c>
      <c r="I146" s="46">
        <f>TRUNC(T146*(1-LOTE_02!$K$10),2)</f>
        <v>29.92</v>
      </c>
      <c r="J146" s="100">
        <f t="shared" si="17"/>
        <v>0.22470000000000001</v>
      </c>
      <c r="K146" s="48">
        <f t="shared" si="18"/>
        <v>214.56</v>
      </c>
      <c r="L146" s="48">
        <f t="shared" si="19"/>
        <v>36.64</v>
      </c>
      <c r="M146" s="48">
        <f t="shared" si="20"/>
        <v>4291.2</v>
      </c>
      <c r="N146" s="48">
        <f t="shared" si="21"/>
        <v>732.8</v>
      </c>
      <c r="O146" s="50">
        <f t="shared" si="22"/>
        <v>5024</v>
      </c>
      <c r="P146" s="50">
        <v>0</v>
      </c>
      <c r="Q146" s="76"/>
      <c r="R146" s="140">
        <f>IF(S10&gt;5,100,20)</f>
        <v>20</v>
      </c>
      <c r="S146" s="79">
        <v>175.2</v>
      </c>
      <c r="T146" s="80">
        <v>29.92</v>
      </c>
    </row>
    <row r="147" spans="2:20" ht="42">
      <c r="B147" s="5" t="s">
        <v>427</v>
      </c>
      <c r="C147" s="45" t="s">
        <v>135</v>
      </c>
      <c r="D147" s="45">
        <v>103670</v>
      </c>
      <c r="E147" s="6" t="s">
        <v>390</v>
      </c>
      <c r="F147" s="45" t="s">
        <v>161</v>
      </c>
      <c r="G147" s="46">
        <f t="shared" si="16"/>
        <v>1</v>
      </c>
      <c r="H147" s="46">
        <f>TRUNC(S147*(1-LOTE_02!$K$10),2)</f>
        <v>60.67</v>
      </c>
      <c r="I147" s="46">
        <f>TRUNC(T147*(1-LOTE_02!$K$10),2)</f>
        <v>233.12</v>
      </c>
      <c r="J147" s="100">
        <f t="shared" si="17"/>
        <v>0.22470000000000001</v>
      </c>
      <c r="K147" s="48">
        <f t="shared" si="18"/>
        <v>74.3</v>
      </c>
      <c r="L147" s="48">
        <f t="shared" si="19"/>
        <v>285.5</v>
      </c>
      <c r="M147" s="48">
        <f t="shared" si="20"/>
        <v>74.3</v>
      </c>
      <c r="N147" s="48">
        <f t="shared" si="21"/>
        <v>285.5</v>
      </c>
      <c r="O147" s="50">
        <f t="shared" si="22"/>
        <v>359.8</v>
      </c>
      <c r="P147" s="50">
        <v>0</v>
      </c>
      <c r="Q147" s="76"/>
      <c r="R147" s="140">
        <f>IF(S10&gt;5,5,1)</f>
        <v>1</v>
      </c>
      <c r="S147" s="79">
        <v>60.670000000000016</v>
      </c>
      <c r="T147" s="80">
        <v>233.12</v>
      </c>
    </row>
    <row r="148" spans="2:20" ht="42">
      <c r="B148" s="5" t="s">
        <v>428</v>
      </c>
      <c r="C148" s="45" t="s">
        <v>135</v>
      </c>
      <c r="D148" s="45">
        <v>105036</v>
      </c>
      <c r="E148" s="6" t="s">
        <v>429</v>
      </c>
      <c r="F148" s="45" t="s">
        <v>187</v>
      </c>
      <c r="G148" s="46">
        <f t="shared" si="16"/>
        <v>5</v>
      </c>
      <c r="H148" s="46">
        <f>TRUNC(S148*(1-LOTE_02!$K$10),2)</f>
        <v>27.31</v>
      </c>
      <c r="I148" s="46">
        <f>TRUNC(T148*(1-LOTE_02!$K$10),2)</f>
        <v>25.32</v>
      </c>
      <c r="J148" s="100">
        <f t="shared" si="17"/>
        <v>0.22470000000000001</v>
      </c>
      <c r="K148" s="48">
        <f t="shared" si="18"/>
        <v>33.44</v>
      </c>
      <c r="L148" s="48">
        <f t="shared" si="19"/>
        <v>31</v>
      </c>
      <c r="M148" s="48">
        <f t="shared" si="20"/>
        <v>167.2</v>
      </c>
      <c r="N148" s="48">
        <f t="shared" si="21"/>
        <v>155</v>
      </c>
      <c r="O148" s="50">
        <f t="shared" si="22"/>
        <v>322.2</v>
      </c>
      <c r="P148" s="50">
        <v>0</v>
      </c>
      <c r="Q148" s="76"/>
      <c r="R148" s="140">
        <f>IF(S10&gt;=5,20,5)</f>
        <v>5</v>
      </c>
      <c r="S148" s="79">
        <v>27.310000000000002</v>
      </c>
      <c r="T148" s="80">
        <v>25.32</v>
      </c>
    </row>
    <row r="149" spans="2:20" ht="42">
      <c r="B149" s="5" t="s">
        <v>430</v>
      </c>
      <c r="C149" s="45" t="s">
        <v>135</v>
      </c>
      <c r="D149" s="45">
        <v>94588</v>
      </c>
      <c r="E149" s="6" t="s">
        <v>431</v>
      </c>
      <c r="F149" s="45" t="s">
        <v>187</v>
      </c>
      <c r="G149" s="46">
        <f t="shared" si="16"/>
        <v>5</v>
      </c>
      <c r="H149" s="46">
        <f>TRUNC(S149*(1-LOTE_02!$K$10),2)</f>
        <v>49.84</v>
      </c>
      <c r="I149" s="46">
        <f>TRUNC(T149*(1-LOTE_02!$K$10),2)</f>
        <v>26.17</v>
      </c>
      <c r="J149" s="100">
        <f t="shared" si="17"/>
        <v>0.22470000000000001</v>
      </c>
      <c r="K149" s="48">
        <f t="shared" si="18"/>
        <v>61.03</v>
      </c>
      <c r="L149" s="48">
        <f t="shared" si="19"/>
        <v>32.049999999999997</v>
      </c>
      <c r="M149" s="48">
        <f t="shared" si="20"/>
        <v>305.14999999999998</v>
      </c>
      <c r="N149" s="48">
        <f t="shared" si="21"/>
        <v>160.25</v>
      </c>
      <c r="O149" s="50">
        <f t="shared" si="22"/>
        <v>465.4</v>
      </c>
      <c r="P149" s="50">
        <v>0</v>
      </c>
      <c r="Q149" s="76"/>
      <c r="R149" s="140">
        <f>IF(S10&gt;=5,20,5)</f>
        <v>5</v>
      </c>
      <c r="S149" s="79">
        <v>49.84</v>
      </c>
      <c r="T149" s="80">
        <v>26.17</v>
      </c>
    </row>
    <row r="150" spans="2:20">
      <c r="B150" s="101" t="s">
        <v>32</v>
      </c>
      <c r="C150" s="102" t="s">
        <v>21</v>
      </c>
      <c r="D150" s="102" t="s">
        <v>21</v>
      </c>
      <c r="E150" s="103" t="s">
        <v>85</v>
      </c>
      <c r="F150" s="102" t="s">
        <v>21</v>
      </c>
      <c r="G150" s="46">
        <f t="shared" ref="G150:G209" si="23">TRUNC(R150,2)</f>
        <v>0</v>
      </c>
      <c r="H150" s="46"/>
      <c r="I150" s="46"/>
      <c r="J150" s="105"/>
      <c r="K150" s="48">
        <f t="shared" si="18"/>
        <v>0</v>
      </c>
      <c r="L150" s="48">
        <f t="shared" si="19"/>
        <v>0</v>
      </c>
      <c r="M150" s="48">
        <f t="shared" si="20"/>
        <v>0</v>
      </c>
      <c r="N150" s="48">
        <f t="shared" si="21"/>
        <v>0</v>
      </c>
      <c r="O150" s="50">
        <f t="shared" si="22"/>
        <v>0</v>
      </c>
      <c r="P150" s="104">
        <f>SUM(O151:O169)</f>
        <v>647037.35</v>
      </c>
      <c r="Q150" s="76"/>
      <c r="R150" s="154"/>
      <c r="S150" s="79" t="s">
        <v>22</v>
      </c>
      <c r="T150" s="80" t="s">
        <v>22</v>
      </c>
    </row>
    <row r="151" spans="2:20" ht="28">
      <c r="B151" s="5" t="s">
        <v>432</v>
      </c>
      <c r="C151" s="45" t="s">
        <v>135</v>
      </c>
      <c r="D151" s="45">
        <v>98458</v>
      </c>
      <c r="E151" s="6" t="s">
        <v>433</v>
      </c>
      <c r="F151" s="45" t="s">
        <v>121</v>
      </c>
      <c r="G151" s="46">
        <f t="shared" si="23"/>
        <v>180</v>
      </c>
      <c r="H151" s="46">
        <f>TRUNC(S151*(1-LOTE_02!$K$10),2)</f>
        <v>79.13</v>
      </c>
      <c r="I151" s="46">
        <f>TRUNC(T151*(1-LOTE_02!$K$10),2)</f>
        <v>28.71</v>
      </c>
      <c r="J151" s="100">
        <f t="shared" si="17"/>
        <v>0.22470000000000001</v>
      </c>
      <c r="K151" s="48">
        <f t="shared" si="18"/>
        <v>96.91</v>
      </c>
      <c r="L151" s="48">
        <f t="shared" si="19"/>
        <v>35.159999999999997</v>
      </c>
      <c r="M151" s="48">
        <f t="shared" si="20"/>
        <v>17443.8</v>
      </c>
      <c r="N151" s="48">
        <f t="shared" si="21"/>
        <v>6328.8</v>
      </c>
      <c r="O151" s="50">
        <f t="shared" si="22"/>
        <v>23772.6</v>
      </c>
      <c r="P151" s="50">
        <v>0</v>
      </c>
      <c r="Q151" s="76"/>
      <c r="R151" s="140">
        <f>IF((15*3*S9+15*3*S10)&gt;200,200,(15*3*S9+15*3*S10))</f>
        <v>180</v>
      </c>
      <c r="S151" s="79">
        <v>79.13</v>
      </c>
      <c r="T151" s="80">
        <v>28.71</v>
      </c>
    </row>
    <row r="152" spans="2:20" ht="70">
      <c r="B152" s="5" t="s">
        <v>434</v>
      </c>
      <c r="C152" s="45" t="s">
        <v>135</v>
      </c>
      <c r="D152" s="45">
        <v>103329</v>
      </c>
      <c r="E152" s="6" t="s">
        <v>435</v>
      </c>
      <c r="F152" s="45" t="s">
        <v>121</v>
      </c>
      <c r="G152" s="46">
        <f t="shared" si="23"/>
        <v>110</v>
      </c>
      <c r="H152" s="46">
        <f>TRUNC(S152*(1-LOTE_02!$K$10),2)</f>
        <v>48.79</v>
      </c>
      <c r="I152" s="46">
        <f>TRUNC(T152*(1-LOTE_02!$K$10),2)</f>
        <v>52.15</v>
      </c>
      <c r="J152" s="100">
        <f t="shared" si="17"/>
        <v>0.22470000000000001</v>
      </c>
      <c r="K152" s="48">
        <f t="shared" si="18"/>
        <v>59.75</v>
      </c>
      <c r="L152" s="48">
        <f t="shared" si="19"/>
        <v>63.86</v>
      </c>
      <c r="M152" s="48">
        <f t="shared" si="20"/>
        <v>6572.5</v>
      </c>
      <c r="N152" s="48">
        <f t="shared" si="21"/>
        <v>7024.6</v>
      </c>
      <c r="O152" s="50">
        <f t="shared" si="22"/>
        <v>13597.1</v>
      </c>
      <c r="P152" s="50">
        <v>0</v>
      </c>
      <c r="Q152" s="76"/>
      <c r="R152" s="140">
        <f>IF((20*S9+50*S10)&gt;1000,1000,(20*S9+50*S10))</f>
        <v>110</v>
      </c>
      <c r="S152" s="79">
        <v>48.79</v>
      </c>
      <c r="T152" s="80">
        <v>52.15</v>
      </c>
    </row>
    <row r="153" spans="2:20" ht="70">
      <c r="B153" s="5" t="s">
        <v>436</v>
      </c>
      <c r="C153" s="45" t="s">
        <v>135</v>
      </c>
      <c r="D153" s="45">
        <v>103331</v>
      </c>
      <c r="E153" s="6" t="s">
        <v>437</v>
      </c>
      <c r="F153" s="45" t="s">
        <v>121</v>
      </c>
      <c r="G153" s="46">
        <f t="shared" si="23"/>
        <v>110</v>
      </c>
      <c r="H153" s="46">
        <f>TRUNC(S153*(1-LOTE_02!$K$10),2)</f>
        <v>51.09</v>
      </c>
      <c r="I153" s="46">
        <f>TRUNC(T153*(1-LOTE_02!$K$10),2)</f>
        <v>39.47</v>
      </c>
      <c r="J153" s="100">
        <f t="shared" si="17"/>
        <v>0.22470000000000001</v>
      </c>
      <c r="K153" s="48">
        <f t="shared" si="18"/>
        <v>62.56</v>
      </c>
      <c r="L153" s="48">
        <f t="shared" si="19"/>
        <v>48.33</v>
      </c>
      <c r="M153" s="48">
        <f t="shared" si="20"/>
        <v>6881.6</v>
      </c>
      <c r="N153" s="48">
        <f t="shared" si="21"/>
        <v>5316.3</v>
      </c>
      <c r="O153" s="50">
        <f t="shared" si="22"/>
        <v>12197.9</v>
      </c>
      <c r="P153" s="50">
        <v>0</v>
      </c>
      <c r="Q153" s="76"/>
      <c r="R153" s="140">
        <f>IF((20*S9+50*S10)&gt;1000,1000,(20*S9+50*S10))</f>
        <v>110</v>
      </c>
      <c r="S153" s="79">
        <v>51.09</v>
      </c>
      <c r="T153" s="80">
        <v>39.47</v>
      </c>
    </row>
    <row r="154" spans="2:20" ht="70">
      <c r="B154" s="5" t="s">
        <v>438</v>
      </c>
      <c r="C154" s="45" t="s">
        <v>135</v>
      </c>
      <c r="D154" s="45">
        <v>96358</v>
      </c>
      <c r="E154" s="6" t="s">
        <v>439</v>
      </c>
      <c r="F154" s="45" t="s">
        <v>121</v>
      </c>
      <c r="G154" s="46">
        <f t="shared" si="23"/>
        <v>110</v>
      </c>
      <c r="H154" s="46">
        <f>TRUNC(S154*(1-LOTE_02!$K$10),2)</f>
        <v>88.4</v>
      </c>
      <c r="I154" s="46">
        <f>TRUNC(T154*(1-LOTE_02!$K$10),2)</f>
        <v>12.87</v>
      </c>
      <c r="J154" s="100">
        <f t="shared" si="17"/>
        <v>0.22470000000000001</v>
      </c>
      <c r="K154" s="48">
        <f t="shared" si="18"/>
        <v>108.26</v>
      </c>
      <c r="L154" s="48">
        <f t="shared" si="19"/>
        <v>15.76</v>
      </c>
      <c r="M154" s="48">
        <f t="shared" si="20"/>
        <v>11908.6</v>
      </c>
      <c r="N154" s="48">
        <f t="shared" si="21"/>
        <v>1733.6</v>
      </c>
      <c r="O154" s="50">
        <f t="shared" si="22"/>
        <v>13642.2</v>
      </c>
      <c r="P154" s="50">
        <v>0</v>
      </c>
      <c r="Q154" s="76"/>
      <c r="R154" s="140">
        <f>IF((20*S9+50*S10)&gt;500,500,(20*S9+50*S10))</f>
        <v>110</v>
      </c>
      <c r="S154" s="79">
        <v>88.399999999999991</v>
      </c>
      <c r="T154" s="80">
        <v>12.87</v>
      </c>
    </row>
    <row r="155" spans="2:20" ht="98">
      <c r="B155" s="5" t="s">
        <v>440</v>
      </c>
      <c r="C155" s="45" t="s">
        <v>135</v>
      </c>
      <c r="D155" s="45">
        <v>96359</v>
      </c>
      <c r="E155" s="6" t="s">
        <v>441</v>
      </c>
      <c r="F155" s="45" t="s">
        <v>121</v>
      </c>
      <c r="G155" s="46">
        <f t="shared" si="23"/>
        <v>110</v>
      </c>
      <c r="H155" s="46">
        <f>TRUNC(S155*(1-LOTE_02!$K$10),2)</f>
        <v>99.74</v>
      </c>
      <c r="I155" s="46">
        <f>TRUNC(T155*(1-LOTE_02!$K$10),2)</f>
        <v>14.65</v>
      </c>
      <c r="J155" s="100">
        <f t="shared" si="17"/>
        <v>0.22470000000000001</v>
      </c>
      <c r="K155" s="48">
        <f t="shared" si="18"/>
        <v>122.15</v>
      </c>
      <c r="L155" s="48">
        <f t="shared" si="19"/>
        <v>17.940000000000001</v>
      </c>
      <c r="M155" s="48">
        <f t="shared" si="20"/>
        <v>13436.5</v>
      </c>
      <c r="N155" s="48">
        <f t="shared" si="21"/>
        <v>1973.4</v>
      </c>
      <c r="O155" s="50">
        <f t="shared" si="22"/>
        <v>15409.9</v>
      </c>
      <c r="P155" s="50">
        <v>0</v>
      </c>
      <c r="Q155" s="76"/>
      <c r="R155" s="140">
        <f>IF((20*S9+50*S10)&gt;500,500,(20*S9+50*S10))</f>
        <v>110</v>
      </c>
      <c r="S155" s="79">
        <v>99.74</v>
      </c>
      <c r="T155" s="80">
        <v>14.65</v>
      </c>
    </row>
    <row r="156" spans="2:20" ht="42">
      <c r="B156" s="5" t="s">
        <v>442</v>
      </c>
      <c r="C156" s="45" t="s">
        <v>97</v>
      </c>
      <c r="D156" s="45" t="s">
        <v>443</v>
      </c>
      <c r="E156" s="6" t="s">
        <v>444</v>
      </c>
      <c r="F156" s="45" t="s">
        <v>121</v>
      </c>
      <c r="G156" s="46">
        <f t="shared" si="23"/>
        <v>80</v>
      </c>
      <c r="H156" s="46">
        <f>TRUNC(S156*(1-LOTE_02!$K$10),2)</f>
        <v>438.36</v>
      </c>
      <c r="I156" s="46">
        <f>TRUNC(T156*(1-LOTE_02!$K$10),2)</f>
        <v>119.83</v>
      </c>
      <c r="J156" s="100">
        <f t="shared" si="17"/>
        <v>0.22470000000000001</v>
      </c>
      <c r="K156" s="48">
        <f t="shared" si="18"/>
        <v>536.85</v>
      </c>
      <c r="L156" s="48">
        <f t="shared" si="19"/>
        <v>146.75</v>
      </c>
      <c r="M156" s="48">
        <f t="shared" si="20"/>
        <v>42948</v>
      </c>
      <c r="N156" s="48">
        <f t="shared" si="21"/>
        <v>11740</v>
      </c>
      <c r="O156" s="50">
        <f t="shared" si="22"/>
        <v>54688</v>
      </c>
      <c r="P156" s="50">
        <v>0</v>
      </c>
      <c r="Q156" s="76"/>
      <c r="R156" s="140">
        <f>IF((20*S9+20*S10)&gt;200,200,(20*S9+20*S10))</f>
        <v>80</v>
      </c>
      <c r="S156" s="79">
        <v>438.36</v>
      </c>
      <c r="T156" s="80">
        <v>119.83</v>
      </c>
    </row>
    <row r="157" spans="2:20" ht="42">
      <c r="B157" s="5" t="s">
        <v>445</v>
      </c>
      <c r="C157" s="45" t="s">
        <v>135</v>
      </c>
      <c r="D157" s="45">
        <v>102180</v>
      </c>
      <c r="E157" s="6" t="s">
        <v>1772</v>
      </c>
      <c r="F157" s="45" t="s">
        <v>121</v>
      </c>
      <c r="G157" s="46">
        <f t="shared" si="23"/>
        <v>80</v>
      </c>
      <c r="H157" s="46">
        <f>TRUNC(S157*(1-LOTE_02!$K$10),2)</f>
        <v>499.54</v>
      </c>
      <c r="I157" s="46">
        <f>TRUNC(T157*(1-LOTE_02!$K$10),2)</f>
        <v>51.7</v>
      </c>
      <c r="J157" s="100">
        <f t="shared" si="17"/>
        <v>0.22470000000000001</v>
      </c>
      <c r="K157" s="48">
        <f t="shared" si="18"/>
        <v>611.78</v>
      </c>
      <c r="L157" s="48">
        <f t="shared" si="19"/>
        <v>63.31</v>
      </c>
      <c r="M157" s="48">
        <f t="shared" si="20"/>
        <v>48942.400000000001</v>
      </c>
      <c r="N157" s="48">
        <f t="shared" si="21"/>
        <v>5064.8</v>
      </c>
      <c r="O157" s="50">
        <f t="shared" si="22"/>
        <v>54007.199999999997</v>
      </c>
      <c r="P157" s="50">
        <v>0</v>
      </c>
      <c r="Q157" s="76"/>
      <c r="R157" s="140">
        <f>IF((20*S9+20*S10)&gt;100,100,(20*S9+20*S10))</f>
        <v>80</v>
      </c>
      <c r="S157" s="79">
        <v>499.54</v>
      </c>
      <c r="T157" s="80">
        <v>51.7</v>
      </c>
    </row>
    <row r="158" spans="2:20" ht="42">
      <c r="B158" s="5" t="s">
        <v>446</v>
      </c>
      <c r="C158" s="45" t="s">
        <v>135</v>
      </c>
      <c r="D158" s="45">
        <v>102181</v>
      </c>
      <c r="E158" s="6" t="s">
        <v>1773</v>
      </c>
      <c r="F158" s="45" t="s">
        <v>121</v>
      </c>
      <c r="G158" s="46">
        <f t="shared" si="23"/>
        <v>80</v>
      </c>
      <c r="H158" s="46">
        <f>TRUNC(S158*(1-LOTE_02!$K$10),2)</f>
        <v>626.45000000000005</v>
      </c>
      <c r="I158" s="46">
        <f>TRUNC(T158*(1-LOTE_02!$K$10),2)</f>
        <v>48.89</v>
      </c>
      <c r="J158" s="100">
        <f t="shared" si="17"/>
        <v>0.22470000000000001</v>
      </c>
      <c r="K158" s="48">
        <f t="shared" si="18"/>
        <v>767.21</v>
      </c>
      <c r="L158" s="48">
        <f t="shared" si="19"/>
        <v>59.87</v>
      </c>
      <c r="M158" s="48">
        <f t="shared" si="20"/>
        <v>61376.800000000003</v>
      </c>
      <c r="N158" s="48">
        <f t="shared" si="21"/>
        <v>4789.6000000000004</v>
      </c>
      <c r="O158" s="50">
        <f t="shared" si="22"/>
        <v>66166.399999999994</v>
      </c>
      <c r="P158" s="50">
        <v>0</v>
      </c>
      <c r="Q158" s="76"/>
      <c r="R158" s="140">
        <f>IF((20*S9+20*S10)&gt;200,200,(20*S9+20*S10))</f>
        <v>80</v>
      </c>
      <c r="S158" s="79">
        <v>626.45000000000005</v>
      </c>
      <c r="T158" s="80">
        <v>48.89</v>
      </c>
    </row>
    <row r="159" spans="2:20" ht="56">
      <c r="B159" s="5" t="s">
        <v>447</v>
      </c>
      <c r="C159" s="45" t="s">
        <v>97</v>
      </c>
      <c r="D159" s="45" t="s">
        <v>448</v>
      </c>
      <c r="E159" s="6" t="s">
        <v>449</v>
      </c>
      <c r="F159" s="45" t="s">
        <v>121</v>
      </c>
      <c r="G159" s="46">
        <f t="shared" si="23"/>
        <v>80</v>
      </c>
      <c r="H159" s="46">
        <f>TRUNC(S159*(1-LOTE_02!$K$10),2)</f>
        <v>143.80000000000001</v>
      </c>
      <c r="I159" s="46">
        <f>TRUNC(T159*(1-LOTE_02!$K$10),2)</f>
        <v>48.89</v>
      </c>
      <c r="J159" s="100">
        <f t="shared" si="17"/>
        <v>0.22470000000000001</v>
      </c>
      <c r="K159" s="48">
        <f t="shared" si="18"/>
        <v>176.11</v>
      </c>
      <c r="L159" s="48">
        <f t="shared" si="19"/>
        <v>59.87</v>
      </c>
      <c r="M159" s="48">
        <f t="shared" si="20"/>
        <v>14088.8</v>
      </c>
      <c r="N159" s="48">
        <f t="shared" si="21"/>
        <v>4789.6000000000004</v>
      </c>
      <c r="O159" s="50">
        <f t="shared" si="22"/>
        <v>18878.400000000001</v>
      </c>
      <c r="P159" s="50">
        <v>0</v>
      </c>
      <c r="Q159" s="76"/>
      <c r="R159" s="140">
        <f>IF((20*S9+20*S10)&gt;200,200,(20*S9+20*S10))</f>
        <v>80</v>
      </c>
      <c r="S159" s="79">
        <v>143.80000000000001</v>
      </c>
      <c r="T159" s="80">
        <v>48.89</v>
      </c>
    </row>
    <row r="160" spans="2:20" ht="56">
      <c r="B160" s="5" t="s">
        <v>450</v>
      </c>
      <c r="C160" s="45" t="s">
        <v>135</v>
      </c>
      <c r="D160" s="45">
        <v>102253</v>
      </c>
      <c r="E160" s="6" t="s">
        <v>1774</v>
      </c>
      <c r="F160" s="45" t="s">
        <v>121</v>
      </c>
      <c r="G160" s="46">
        <f>IF($S$11=0,0,TRUNC(R160,2))</f>
        <v>5</v>
      </c>
      <c r="H160" s="46">
        <f>TRUNC(S160*(1-LOTE_02!$K$10),2)</f>
        <v>1130.94</v>
      </c>
      <c r="I160" s="46">
        <f>TRUNC(T160*(1-LOTE_02!$K$10),2)</f>
        <v>92.35</v>
      </c>
      <c r="J160" s="100">
        <f t="shared" si="17"/>
        <v>0.22470000000000001</v>
      </c>
      <c r="K160" s="48">
        <f t="shared" si="18"/>
        <v>1385.06</v>
      </c>
      <c r="L160" s="48">
        <f t="shared" si="19"/>
        <v>113.1</v>
      </c>
      <c r="M160" s="48">
        <f t="shared" si="20"/>
        <v>6925.3</v>
      </c>
      <c r="N160" s="48">
        <f t="shared" si="21"/>
        <v>565.5</v>
      </c>
      <c r="O160" s="50">
        <f t="shared" si="22"/>
        <v>7490.8</v>
      </c>
      <c r="P160" s="50">
        <v>0</v>
      </c>
      <c r="Q160" s="76"/>
      <c r="R160" s="140">
        <f>IF(S10&gt;=5,10,5)</f>
        <v>5</v>
      </c>
      <c r="S160" s="79">
        <v>1130.94</v>
      </c>
      <c r="T160" s="80">
        <v>92.35</v>
      </c>
    </row>
    <row r="161" spans="2:20" ht="42">
      <c r="B161" s="5" t="s">
        <v>451</v>
      </c>
      <c r="C161" s="45" t="s">
        <v>165</v>
      </c>
      <c r="D161" s="45" t="s">
        <v>452</v>
      </c>
      <c r="E161" s="6" t="s">
        <v>453</v>
      </c>
      <c r="F161" s="45" t="s">
        <v>168</v>
      </c>
      <c r="G161" s="46">
        <f t="shared" si="23"/>
        <v>200</v>
      </c>
      <c r="H161" s="46">
        <f>TRUNC(S161*(1-LOTE_02!$K$10),2)</f>
        <v>406.96</v>
      </c>
      <c r="I161" s="46">
        <f>TRUNC(T161*(1-LOTE_02!$K$10),2)</f>
        <v>0</v>
      </c>
      <c r="J161" s="100">
        <f t="shared" si="17"/>
        <v>0.22470000000000001</v>
      </c>
      <c r="K161" s="48">
        <f t="shared" si="18"/>
        <v>498.4</v>
      </c>
      <c r="L161" s="48">
        <f t="shared" si="19"/>
        <v>0</v>
      </c>
      <c r="M161" s="48">
        <f t="shared" si="20"/>
        <v>99680</v>
      </c>
      <c r="N161" s="48">
        <f t="shared" si="21"/>
        <v>0</v>
      </c>
      <c r="O161" s="50">
        <f t="shared" si="22"/>
        <v>99680</v>
      </c>
      <c r="P161" s="50">
        <v>0</v>
      </c>
      <c r="Q161" s="76"/>
      <c r="R161" s="140">
        <f>IF((50*S9+50*S10)&gt;500,500,(50*S9+50*S10))</f>
        <v>200</v>
      </c>
      <c r="S161" s="79">
        <v>406.96</v>
      </c>
      <c r="T161" s="80">
        <v>0</v>
      </c>
    </row>
    <row r="162" spans="2:20" ht="56">
      <c r="B162" s="5" t="s">
        <v>454</v>
      </c>
      <c r="C162" s="45" t="s">
        <v>165</v>
      </c>
      <c r="D162" s="45" t="s">
        <v>455</v>
      </c>
      <c r="E162" s="6" t="s">
        <v>456</v>
      </c>
      <c r="F162" s="45" t="s">
        <v>168</v>
      </c>
      <c r="G162" s="46">
        <f t="shared" si="23"/>
        <v>100</v>
      </c>
      <c r="H162" s="46">
        <f>TRUNC(S162*(1-LOTE_02!$K$10),2)</f>
        <v>772.2</v>
      </c>
      <c r="I162" s="46">
        <f>TRUNC(T162*(1-LOTE_02!$K$10),2)</f>
        <v>0</v>
      </c>
      <c r="J162" s="100">
        <f t="shared" si="17"/>
        <v>0.22470000000000001</v>
      </c>
      <c r="K162" s="48">
        <f t="shared" si="18"/>
        <v>945.71</v>
      </c>
      <c r="L162" s="48">
        <f t="shared" si="19"/>
        <v>0</v>
      </c>
      <c r="M162" s="48">
        <f t="shared" si="20"/>
        <v>94571</v>
      </c>
      <c r="N162" s="48">
        <f t="shared" si="21"/>
        <v>0</v>
      </c>
      <c r="O162" s="50">
        <f t="shared" si="22"/>
        <v>94571</v>
      </c>
      <c r="P162" s="50">
        <v>0</v>
      </c>
      <c r="Q162" s="76"/>
      <c r="R162" s="140">
        <f>IF((50*S9+50*S10)&gt;100,100,(50*S9+50*S10))</f>
        <v>100</v>
      </c>
      <c r="S162" s="79">
        <v>772.2</v>
      </c>
      <c r="T162" s="80">
        <v>0</v>
      </c>
    </row>
    <row r="163" spans="2:20" ht="56">
      <c r="B163" s="5" t="s">
        <v>457</v>
      </c>
      <c r="C163" s="45" t="s">
        <v>97</v>
      </c>
      <c r="D163" s="45" t="s">
        <v>458</v>
      </c>
      <c r="E163" s="6" t="s">
        <v>459</v>
      </c>
      <c r="F163" s="45" t="s">
        <v>121</v>
      </c>
      <c r="G163" s="46">
        <f t="shared" si="23"/>
        <v>100</v>
      </c>
      <c r="H163" s="46">
        <f>TRUNC(S163*(1-LOTE_02!$K$10),2)</f>
        <v>86.98</v>
      </c>
      <c r="I163" s="46">
        <f>TRUNC(T163*(1-LOTE_02!$K$10),2)</f>
        <v>28.01</v>
      </c>
      <c r="J163" s="100">
        <f t="shared" si="17"/>
        <v>0.22470000000000001</v>
      </c>
      <c r="K163" s="48">
        <f t="shared" si="18"/>
        <v>106.52</v>
      </c>
      <c r="L163" s="48">
        <f t="shared" si="19"/>
        <v>34.299999999999997</v>
      </c>
      <c r="M163" s="48">
        <f t="shared" si="20"/>
        <v>10652</v>
      </c>
      <c r="N163" s="48">
        <f t="shared" si="21"/>
        <v>3430</v>
      </c>
      <c r="O163" s="50">
        <f t="shared" si="22"/>
        <v>14082</v>
      </c>
      <c r="P163" s="50">
        <v>0</v>
      </c>
      <c r="Q163" s="76"/>
      <c r="R163" s="140">
        <f>IF((50*S9+50*S10)&gt;100,100,(50*S9+50*S10))</f>
        <v>100</v>
      </c>
      <c r="S163" s="79">
        <v>86.98</v>
      </c>
      <c r="T163" s="80">
        <v>28.01</v>
      </c>
    </row>
    <row r="164" spans="2:20" ht="42">
      <c r="B164" s="5" t="s">
        <v>460</v>
      </c>
      <c r="C164" s="45" t="s">
        <v>97</v>
      </c>
      <c r="D164" s="45" t="s">
        <v>461</v>
      </c>
      <c r="E164" s="6" t="s">
        <v>462</v>
      </c>
      <c r="F164" s="45" t="s">
        <v>121</v>
      </c>
      <c r="G164" s="46">
        <f t="shared" si="23"/>
        <v>200</v>
      </c>
      <c r="H164" s="46">
        <f>TRUNC(S164*(1-LOTE_02!$K$10),2)</f>
        <v>76.45</v>
      </c>
      <c r="I164" s="46">
        <f>TRUNC(T164*(1-LOTE_02!$K$10),2)</f>
        <v>28.01</v>
      </c>
      <c r="J164" s="100">
        <f t="shared" si="17"/>
        <v>0.22470000000000001</v>
      </c>
      <c r="K164" s="48">
        <f t="shared" si="18"/>
        <v>93.62</v>
      </c>
      <c r="L164" s="48">
        <f t="shared" si="19"/>
        <v>34.299999999999997</v>
      </c>
      <c r="M164" s="48">
        <f t="shared" si="20"/>
        <v>18724</v>
      </c>
      <c r="N164" s="48">
        <f t="shared" si="21"/>
        <v>6860</v>
      </c>
      <c r="O164" s="50">
        <f t="shared" si="22"/>
        <v>25584</v>
      </c>
      <c r="P164" s="50">
        <v>0</v>
      </c>
      <c r="Q164" s="76"/>
      <c r="R164" s="140">
        <f>IF((50*S9+50*S10)&gt;200,200,(50*S9+50*S10))</f>
        <v>200</v>
      </c>
      <c r="S164" s="79">
        <v>76.45</v>
      </c>
      <c r="T164" s="80">
        <v>28.01</v>
      </c>
    </row>
    <row r="165" spans="2:20" ht="28">
      <c r="B165" s="5" t="s">
        <v>463</v>
      </c>
      <c r="C165" s="45" t="s">
        <v>97</v>
      </c>
      <c r="D165" s="45" t="s">
        <v>464</v>
      </c>
      <c r="E165" s="6" t="s">
        <v>465</v>
      </c>
      <c r="F165" s="45" t="s">
        <v>121</v>
      </c>
      <c r="G165" s="46">
        <f t="shared" si="23"/>
        <v>200</v>
      </c>
      <c r="H165" s="46">
        <f>TRUNC(S165*(1-LOTE_02!$K$10),2)</f>
        <v>4.67</v>
      </c>
      <c r="I165" s="46">
        <f>TRUNC(T165*(1-LOTE_02!$K$10),2)</f>
        <v>18.850000000000001</v>
      </c>
      <c r="J165" s="100">
        <f t="shared" si="17"/>
        <v>0.22470000000000001</v>
      </c>
      <c r="K165" s="48">
        <f t="shared" si="18"/>
        <v>5.71</v>
      </c>
      <c r="L165" s="48">
        <f t="shared" si="19"/>
        <v>23.08</v>
      </c>
      <c r="M165" s="48">
        <f t="shared" si="20"/>
        <v>1142</v>
      </c>
      <c r="N165" s="48">
        <f t="shared" si="21"/>
        <v>4616</v>
      </c>
      <c r="O165" s="50">
        <f t="shared" si="22"/>
        <v>5758</v>
      </c>
      <c r="P165" s="50">
        <v>0</v>
      </c>
      <c r="Q165" s="76"/>
      <c r="R165" s="140">
        <f>IF((50*S9+50*S10)&gt;500,500,(50*S9+50*S10))</f>
        <v>200</v>
      </c>
      <c r="S165" s="79">
        <v>4.67</v>
      </c>
      <c r="T165" s="80">
        <v>18.850000000000001</v>
      </c>
    </row>
    <row r="166" spans="2:20" ht="56">
      <c r="B166" s="5" t="s">
        <v>466</v>
      </c>
      <c r="C166" s="45" t="s">
        <v>97</v>
      </c>
      <c r="D166" s="45" t="s">
        <v>467</v>
      </c>
      <c r="E166" s="6" t="s">
        <v>468</v>
      </c>
      <c r="F166" s="45" t="s">
        <v>121</v>
      </c>
      <c r="G166" s="46">
        <f t="shared" si="23"/>
        <v>120</v>
      </c>
      <c r="H166" s="46">
        <f>TRUNC(S166*(1-LOTE_02!$K$10),2)</f>
        <v>360.4</v>
      </c>
      <c r="I166" s="46">
        <f>TRUNC(T166*(1-LOTE_02!$K$10),2)</f>
        <v>156</v>
      </c>
      <c r="J166" s="100">
        <f t="shared" si="17"/>
        <v>0.22470000000000001</v>
      </c>
      <c r="K166" s="48">
        <f t="shared" si="18"/>
        <v>441.38</v>
      </c>
      <c r="L166" s="48">
        <f t="shared" si="19"/>
        <v>191.05</v>
      </c>
      <c r="M166" s="48">
        <f t="shared" si="20"/>
        <v>52965.599999999999</v>
      </c>
      <c r="N166" s="48">
        <f t="shared" si="21"/>
        <v>22926</v>
      </c>
      <c r="O166" s="50">
        <f t="shared" si="22"/>
        <v>75891.600000000006</v>
      </c>
      <c r="P166" s="50">
        <v>0</v>
      </c>
      <c r="Q166" s="76"/>
      <c r="R166" s="140">
        <f>30*S9+30*S10</f>
        <v>120</v>
      </c>
      <c r="S166" s="79">
        <v>360.4</v>
      </c>
      <c r="T166" s="80">
        <v>156</v>
      </c>
    </row>
    <row r="167" spans="2:20" ht="42">
      <c r="B167" s="5" t="s">
        <v>469</v>
      </c>
      <c r="C167" s="45" t="s">
        <v>135</v>
      </c>
      <c r="D167" s="45">
        <v>102162</v>
      </c>
      <c r="E167" s="6" t="s">
        <v>1775</v>
      </c>
      <c r="F167" s="45" t="s">
        <v>121</v>
      </c>
      <c r="G167" s="46">
        <f t="shared" si="23"/>
        <v>25</v>
      </c>
      <c r="H167" s="46">
        <f>TRUNC(S167*(1-LOTE_02!$K$10),2)</f>
        <v>395.28</v>
      </c>
      <c r="I167" s="46">
        <f>TRUNC(T167*(1-LOTE_02!$K$10),2)</f>
        <v>23.36</v>
      </c>
      <c r="J167" s="100">
        <f t="shared" si="17"/>
        <v>0.22470000000000001</v>
      </c>
      <c r="K167" s="48">
        <f t="shared" si="18"/>
        <v>484.09</v>
      </c>
      <c r="L167" s="48">
        <f t="shared" si="19"/>
        <v>28.6</v>
      </c>
      <c r="M167" s="48">
        <f t="shared" si="20"/>
        <v>12102.25</v>
      </c>
      <c r="N167" s="48">
        <f t="shared" si="21"/>
        <v>715</v>
      </c>
      <c r="O167" s="50">
        <f t="shared" si="22"/>
        <v>12817.25</v>
      </c>
      <c r="P167" s="50">
        <v>0</v>
      </c>
      <c r="Q167" s="76"/>
      <c r="R167" s="140">
        <f>IF((5*S9+10*S10)&gt;50,50,(5*S9+10*S10))</f>
        <v>25</v>
      </c>
      <c r="S167" s="79">
        <v>395.28</v>
      </c>
      <c r="T167" s="80">
        <v>23.36</v>
      </c>
    </row>
    <row r="168" spans="2:20" ht="42">
      <c r="B168" s="5" t="s">
        <v>470</v>
      </c>
      <c r="C168" s="45" t="s">
        <v>135</v>
      </c>
      <c r="D168" s="45">
        <v>102166</v>
      </c>
      <c r="E168" s="6" t="s">
        <v>1776</v>
      </c>
      <c r="F168" s="45" t="s">
        <v>121</v>
      </c>
      <c r="G168" s="46">
        <f t="shared" si="23"/>
        <v>25</v>
      </c>
      <c r="H168" s="46">
        <f>TRUNC(S168*(1-LOTE_02!$K$10),2)</f>
        <v>462.2</v>
      </c>
      <c r="I168" s="46">
        <f>TRUNC(T168*(1-LOTE_02!$K$10),2)</f>
        <v>13.99</v>
      </c>
      <c r="J168" s="100">
        <f t="shared" si="17"/>
        <v>0.22470000000000001</v>
      </c>
      <c r="K168" s="48">
        <f t="shared" si="18"/>
        <v>566.04999999999995</v>
      </c>
      <c r="L168" s="48">
        <f t="shared" si="19"/>
        <v>17.13</v>
      </c>
      <c r="M168" s="48">
        <f t="shared" si="20"/>
        <v>14151.25</v>
      </c>
      <c r="N168" s="48">
        <f t="shared" si="21"/>
        <v>428.25</v>
      </c>
      <c r="O168" s="50">
        <f t="shared" si="22"/>
        <v>14579.5</v>
      </c>
      <c r="P168" s="50">
        <v>0</v>
      </c>
      <c r="Q168" s="76"/>
      <c r="R168" s="140">
        <f>IF((5*S9+10*S10)&gt;50,50,(5*S9+10*S10))</f>
        <v>25</v>
      </c>
      <c r="S168" s="79">
        <v>462.2</v>
      </c>
      <c r="T168" s="80">
        <v>13.99</v>
      </c>
    </row>
    <row r="169" spans="2:20" ht="42">
      <c r="B169" s="5" t="s">
        <v>471</v>
      </c>
      <c r="C169" s="45" t="s">
        <v>135</v>
      </c>
      <c r="D169" s="45">
        <v>102172</v>
      </c>
      <c r="E169" s="6" t="s">
        <v>1777</v>
      </c>
      <c r="F169" s="45" t="s">
        <v>121</v>
      </c>
      <c r="G169" s="46">
        <f t="shared" si="23"/>
        <v>25</v>
      </c>
      <c r="H169" s="46">
        <f>TRUNC(S169*(1-LOTE_02!$K$10),2)</f>
        <v>777.34</v>
      </c>
      <c r="I169" s="46">
        <f>TRUNC(T169*(1-LOTE_02!$K$10),2)</f>
        <v>13.84</v>
      </c>
      <c r="J169" s="100">
        <f t="shared" si="17"/>
        <v>0.22470000000000001</v>
      </c>
      <c r="K169" s="48">
        <f t="shared" si="18"/>
        <v>952</v>
      </c>
      <c r="L169" s="48">
        <f t="shared" si="19"/>
        <v>16.940000000000001</v>
      </c>
      <c r="M169" s="48">
        <f t="shared" si="20"/>
        <v>23800</v>
      </c>
      <c r="N169" s="48">
        <f t="shared" si="21"/>
        <v>423.5</v>
      </c>
      <c r="O169" s="50">
        <f t="shared" si="22"/>
        <v>24223.5</v>
      </c>
      <c r="P169" s="50">
        <v>0</v>
      </c>
      <c r="Q169" s="76"/>
      <c r="R169" s="140">
        <f>IF((5*S9+10*S10)&gt;50,50,(5*S9+10*S10))</f>
        <v>25</v>
      </c>
      <c r="S169" s="79">
        <v>777.33999999999992</v>
      </c>
      <c r="T169" s="80">
        <v>13.84</v>
      </c>
    </row>
    <row r="170" spans="2:20">
      <c r="B170" s="101" t="s">
        <v>34</v>
      </c>
      <c r="C170" s="102" t="s">
        <v>21</v>
      </c>
      <c r="D170" s="102" t="s">
        <v>21</v>
      </c>
      <c r="E170" s="103" t="s">
        <v>36</v>
      </c>
      <c r="F170" s="102" t="s">
        <v>21</v>
      </c>
      <c r="G170" s="46">
        <f t="shared" si="23"/>
        <v>0</v>
      </c>
      <c r="H170" s="46"/>
      <c r="I170" s="46"/>
      <c r="J170" s="105"/>
      <c r="K170" s="48">
        <f t="shared" si="18"/>
        <v>0</v>
      </c>
      <c r="L170" s="48">
        <f t="shared" si="19"/>
        <v>0</v>
      </c>
      <c r="M170" s="48">
        <f t="shared" si="20"/>
        <v>0</v>
      </c>
      <c r="N170" s="48">
        <f t="shared" si="21"/>
        <v>0</v>
      </c>
      <c r="O170" s="50">
        <f t="shared" si="22"/>
        <v>0</v>
      </c>
      <c r="P170" s="104">
        <f>SUM(O171:O178)</f>
        <v>134383.4</v>
      </c>
      <c r="Q170" s="76"/>
      <c r="R170" s="154"/>
      <c r="S170" s="79" t="s">
        <v>22</v>
      </c>
      <c r="T170" s="80" t="s">
        <v>22</v>
      </c>
    </row>
    <row r="171" spans="2:20" ht="84">
      <c r="B171" s="5" t="s">
        <v>472</v>
      </c>
      <c r="C171" s="45" t="s">
        <v>135</v>
      </c>
      <c r="D171" s="45">
        <v>87893</v>
      </c>
      <c r="E171" s="6" t="s">
        <v>473</v>
      </c>
      <c r="F171" s="45" t="s">
        <v>121</v>
      </c>
      <c r="G171" s="46">
        <f t="shared" si="23"/>
        <v>440</v>
      </c>
      <c r="H171" s="46">
        <f>TRUNC(S171*(1-LOTE_02!$K$10),2)</f>
        <v>3.47</v>
      </c>
      <c r="I171" s="46">
        <f>TRUNC(T171*(1-LOTE_02!$K$10),2)</f>
        <v>4.54</v>
      </c>
      <c r="J171" s="100">
        <f t="shared" si="17"/>
        <v>0.22470000000000001</v>
      </c>
      <c r="K171" s="48">
        <f t="shared" si="18"/>
        <v>4.24</v>
      </c>
      <c r="L171" s="48">
        <f t="shared" si="19"/>
        <v>5.56</v>
      </c>
      <c r="M171" s="48">
        <f t="shared" si="20"/>
        <v>1865.6</v>
      </c>
      <c r="N171" s="48">
        <f t="shared" si="21"/>
        <v>2446.4</v>
      </c>
      <c r="O171" s="50">
        <f t="shared" si="22"/>
        <v>4312</v>
      </c>
      <c r="P171" s="50">
        <v>0</v>
      </c>
      <c r="Q171" s="76"/>
      <c r="R171" s="140">
        <f>(R152+R153)*2</f>
        <v>440</v>
      </c>
      <c r="S171" s="79">
        <v>3.4699999999999998</v>
      </c>
      <c r="T171" s="80">
        <v>4.54</v>
      </c>
    </row>
    <row r="172" spans="2:20" ht="84">
      <c r="B172" s="5" t="s">
        <v>474</v>
      </c>
      <c r="C172" s="45" t="s">
        <v>135</v>
      </c>
      <c r="D172" s="45">
        <v>87530</v>
      </c>
      <c r="E172" s="6" t="s">
        <v>475</v>
      </c>
      <c r="F172" s="45" t="s">
        <v>121</v>
      </c>
      <c r="G172" s="46">
        <f t="shared" si="23"/>
        <v>440</v>
      </c>
      <c r="H172" s="46">
        <f>TRUNC(S172*(1-LOTE_02!$K$10),2)</f>
        <v>24</v>
      </c>
      <c r="I172" s="46">
        <f>TRUNC(T172*(1-LOTE_02!$K$10),2)</f>
        <v>19.87</v>
      </c>
      <c r="J172" s="100">
        <f t="shared" si="17"/>
        <v>0.22470000000000001</v>
      </c>
      <c r="K172" s="48">
        <f t="shared" si="18"/>
        <v>29.39</v>
      </c>
      <c r="L172" s="48">
        <f t="shared" si="19"/>
        <v>24.33</v>
      </c>
      <c r="M172" s="48">
        <f t="shared" si="20"/>
        <v>12931.6</v>
      </c>
      <c r="N172" s="48">
        <f t="shared" si="21"/>
        <v>10705.2</v>
      </c>
      <c r="O172" s="50">
        <f t="shared" si="22"/>
        <v>23636.799999999999</v>
      </c>
      <c r="P172" s="50">
        <v>0</v>
      </c>
      <c r="Q172" s="76"/>
      <c r="R172" s="140">
        <f>(R152+R153)*2</f>
        <v>440</v>
      </c>
      <c r="S172" s="79">
        <v>23.999999999999996</v>
      </c>
      <c r="T172" s="80">
        <v>19.87</v>
      </c>
    </row>
    <row r="173" spans="2:20" ht="84">
      <c r="B173" s="5" t="s">
        <v>476</v>
      </c>
      <c r="C173" s="45" t="s">
        <v>135</v>
      </c>
      <c r="D173" s="45">
        <v>87528</v>
      </c>
      <c r="E173" s="6" t="s">
        <v>477</v>
      </c>
      <c r="F173" s="45" t="s">
        <v>121</v>
      </c>
      <c r="G173" s="46">
        <f t="shared" si="23"/>
        <v>80</v>
      </c>
      <c r="H173" s="46">
        <f>TRUNC(S173*(1-LOTE_02!$K$10),2)</f>
        <v>24.58</v>
      </c>
      <c r="I173" s="46">
        <f>TRUNC(T173*(1-LOTE_02!$K$10),2)</f>
        <v>22.31</v>
      </c>
      <c r="J173" s="100">
        <f t="shared" si="17"/>
        <v>0.22470000000000001</v>
      </c>
      <c r="K173" s="48">
        <f t="shared" si="18"/>
        <v>30.1</v>
      </c>
      <c r="L173" s="48">
        <f t="shared" si="19"/>
        <v>27.32</v>
      </c>
      <c r="M173" s="48">
        <f t="shared" si="20"/>
        <v>2408</v>
      </c>
      <c r="N173" s="48">
        <f t="shared" si="21"/>
        <v>2185.6</v>
      </c>
      <c r="O173" s="50">
        <f t="shared" si="22"/>
        <v>4593.6000000000004</v>
      </c>
      <c r="P173" s="50">
        <v>0</v>
      </c>
      <c r="Q173" s="76"/>
      <c r="R173" s="140">
        <f>R175</f>
        <v>80</v>
      </c>
      <c r="S173" s="79">
        <v>24.580000000000002</v>
      </c>
      <c r="T173" s="80">
        <v>22.31</v>
      </c>
    </row>
    <row r="174" spans="2:20" ht="56">
      <c r="B174" s="5" t="s">
        <v>478</v>
      </c>
      <c r="C174" s="45" t="s">
        <v>135</v>
      </c>
      <c r="D174" s="45">
        <v>87244</v>
      </c>
      <c r="E174" s="6" t="s">
        <v>479</v>
      </c>
      <c r="F174" s="45" t="s">
        <v>121</v>
      </c>
      <c r="G174" s="46">
        <f t="shared" si="23"/>
        <v>80</v>
      </c>
      <c r="H174" s="46">
        <f>TRUNC(S174*(1-LOTE_02!$K$10),2)</f>
        <v>319.36</v>
      </c>
      <c r="I174" s="46">
        <f>TRUNC(T174*(1-LOTE_02!$K$10),2)</f>
        <v>39.590000000000003</v>
      </c>
      <c r="J174" s="100">
        <f t="shared" si="17"/>
        <v>0.22470000000000001</v>
      </c>
      <c r="K174" s="48">
        <f t="shared" si="18"/>
        <v>391.12</v>
      </c>
      <c r="L174" s="48">
        <f t="shared" si="19"/>
        <v>48.48</v>
      </c>
      <c r="M174" s="48">
        <f t="shared" si="20"/>
        <v>31289.599999999999</v>
      </c>
      <c r="N174" s="48">
        <f t="shared" si="21"/>
        <v>3878.4</v>
      </c>
      <c r="O174" s="50">
        <f t="shared" si="22"/>
        <v>35168</v>
      </c>
      <c r="P174" s="50">
        <v>0</v>
      </c>
      <c r="Q174" s="76"/>
      <c r="R174" s="140">
        <f>IF((50*S10)&gt;200,200,(10*S9+50*S10))</f>
        <v>80</v>
      </c>
      <c r="S174" s="79">
        <v>319.36</v>
      </c>
      <c r="T174" s="80">
        <v>39.590000000000003</v>
      </c>
    </row>
    <row r="175" spans="2:20" ht="70">
      <c r="B175" s="5" t="s">
        <v>480</v>
      </c>
      <c r="C175" s="45" t="s">
        <v>135</v>
      </c>
      <c r="D175" s="45">
        <v>87265</v>
      </c>
      <c r="E175" s="6" t="s">
        <v>481</v>
      </c>
      <c r="F175" s="45" t="s">
        <v>121</v>
      </c>
      <c r="G175" s="46">
        <f t="shared" si="23"/>
        <v>80</v>
      </c>
      <c r="H175" s="46">
        <f>TRUNC(S175*(1-LOTE_02!$K$10),2)</f>
        <v>54.67</v>
      </c>
      <c r="I175" s="46">
        <f>TRUNC(T175*(1-LOTE_02!$K$10),2)</f>
        <v>18.45</v>
      </c>
      <c r="J175" s="100">
        <f t="shared" si="17"/>
        <v>0.22470000000000001</v>
      </c>
      <c r="K175" s="48">
        <f t="shared" si="18"/>
        <v>66.95</v>
      </c>
      <c r="L175" s="48">
        <f t="shared" si="19"/>
        <v>22.59</v>
      </c>
      <c r="M175" s="48">
        <f t="shared" si="20"/>
        <v>5356</v>
      </c>
      <c r="N175" s="48">
        <f t="shared" si="21"/>
        <v>1807.2</v>
      </c>
      <c r="O175" s="50">
        <f t="shared" si="22"/>
        <v>7163.2</v>
      </c>
      <c r="P175" s="50">
        <v>0</v>
      </c>
      <c r="Q175" s="76"/>
      <c r="R175" s="140">
        <f>IF((50*S10)&gt;200,200,(10*S9+50*S10))</f>
        <v>80</v>
      </c>
      <c r="S175" s="79">
        <v>54.67</v>
      </c>
      <c r="T175" s="80">
        <v>18.45</v>
      </c>
    </row>
    <row r="176" spans="2:20" ht="70">
      <c r="B176" s="5" t="s">
        <v>482</v>
      </c>
      <c r="C176" s="45" t="s">
        <v>135</v>
      </c>
      <c r="D176" s="45">
        <v>87251</v>
      </c>
      <c r="E176" s="6" t="s">
        <v>483</v>
      </c>
      <c r="F176" s="45" t="s">
        <v>121</v>
      </c>
      <c r="G176" s="46">
        <f t="shared" si="23"/>
        <v>60</v>
      </c>
      <c r="H176" s="46">
        <f>TRUNC(S176*(1-LOTE_02!$K$10),2)</f>
        <v>59.02</v>
      </c>
      <c r="I176" s="46">
        <f>TRUNC(T176*(1-LOTE_02!$K$10),2)</f>
        <v>8.7799999999999994</v>
      </c>
      <c r="J176" s="100">
        <f t="shared" si="17"/>
        <v>0.22470000000000001</v>
      </c>
      <c r="K176" s="48">
        <f t="shared" si="18"/>
        <v>72.28</v>
      </c>
      <c r="L176" s="48">
        <f t="shared" si="19"/>
        <v>10.75</v>
      </c>
      <c r="M176" s="48">
        <f t="shared" si="20"/>
        <v>4336.8</v>
      </c>
      <c r="N176" s="48">
        <f t="shared" si="21"/>
        <v>645</v>
      </c>
      <c r="O176" s="50">
        <f t="shared" si="22"/>
        <v>4981.8</v>
      </c>
      <c r="P176" s="50">
        <v>0</v>
      </c>
      <c r="Q176" s="76"/>
      <c r="R176" s="140">
        <f>IF((30*S10)&gt;100,100,(10*S9+30*S10))</f>
        <v>60</v>
      </c>
      <c r="S176" s="79">
        <v>59.019999999999996</v>
      </c>
      <c r="T176" s="80">
        <v>8.7799999999999994</v>
      </c>
    </row>
    <row r="177" spans="2:20" ht="42">
      <c r="B177" s="5" t="s">
        <v>1752</v>
      </c>
      <c r="C177" s="45" t="s">
        <v>165</v>
      </c>
      <c r="D177" s="45" t="s">
        <v>1753</v>
      </c>
      <c r="E177" s="6" t="s">
        <v>1754</v>
      </c>
      <c r="F177" s="45" t="s">
        <v>168</v>
      </c>
      <c r="G177" s="46">
        <f t="shared" si="23"/>
        <v>200</v>
      </c>
      <c r="H177" s="46">
        <f>TRUNC(S177*(1-LOTE_02!$K$10),2)</f>
        <v>128.02000000000001</v>
      </c>
      <c r="I177" s="46">
        <f>TRUNC(T177*(1-LOTE_02!$K$10),2)</f>
        <v>5.74</v>
      </c>
      <c r="J177" s="100">
        <f t="shared" si="17"/>
        <v>0.22470000000000001</v>
      </c>
      <c r="K177" s="48">
        <f t="shared" si="18"/>
        <v>156.78</v>
      </c>
      <c r="L177" s="48">
        <f t="shared" si="19"/>
        <v>7.02</v>
      </c>
      <c r="M177" s="48">
        <f t="shared" si="20"/>
        <v>31356</v>
      </c>
      <c r="N177" s="48">
        <f t="shared" si="21"/>
        <v>1404</v>
      </c>
      <c r="O177" s="50">
        <f t="shared" si="22"/>
        <v>32760</v>
      </c>
      <c r="P177" s="50"/>
      <c r="Q177" s="76"/>
      <c r="R177" s="148">
        <f>50*(S9+S10)</f>
        <v>200</v>
      </c>
      <c r="S177" s="46">
        <v>128.02000000000001</v>
      </c>
      <c r="T177" s="47">
        <v>5.74</v>
      </c>
    </row>
    <row r="178" spans="2:20" ht="42">
      <c r="B178" s="5" t="s">
        <v>1755</v>
      </c>
      <c r="C178" s="45" t="s">
        <v>97</v>
      </c>
      <c r="D178" s="45" t="s">
        <v>1756</v>
      </c>
      <c r="E178" s="6" t="s">
        <v>1757</v>
      </c>
      <c r="F178" s="45" t="s">
        <v>121</v>
      </c>
      <c r="G178" s="46">
        <f t="shared" si="23"/>
        <v>200</v>
      </c>
      <c r="H178" s="46">
        <f>TRUNC(S178*(1-LOTE_02!$K$10),2)</f>
        <v>60.92</v>
      </c>
      <c r="I178" s="46">
        <f>TRUNC(T178*(1-LOTE_02!$K$10),2)</f>
        <v>27.96</v>
      </c>
      <c r="J178" s="100">
        <f t="shared" si="17"/>
        <v>0.22470000000000001</v>
      </c>
      <c r="K178" s="48">
        <f t="shared" si="18"/>
        <v>74.599999999999994</v>
      </c>
      <c r="L178" s="48">
        <f t="shared" si="19"/>
        <v>34.24</v>
      </c>
      <c r="M178" s="48">
        <f t="shared" si="20"/>
        <v>14920</v>
      </c>
      <c r="N178" s="48">
        <f t="shared" si="21"/>
        <v>6848</v>
      </c>
      <c r="O178" s="50">
        <f t="shared" si="22"/>
        <v>21768</v>
      </c>
      <c r="P178" s="50"/>
      <c r="Q178" s="76"/>
      <c r="R178" s="140">
        <f>50*(S9+S10)</f>
        <v>200</v>
      </c>
      <c r="S178" s="46">
        <v>60.92</v>
      </c>
      <c r="T178" s="47">
        <v>27.96</v>
      </c>
    </row>
    <row r="179" spans="2:20">
      <c r="B179" s="101" t="s">
        <v>35</v>
      </c>
      <c r="C179" s="102" t="s">
        <v>21</v>
      </c>
      <c r="D179" s="102" t="s">
        <v>21</v>
      </c>
      <c r="E179" s="103" t="s">
        <v>38</v>
      </c>
      <c r="F179" s="102" t="s">
        <v>21</v>
      </c>
      <c r="G179" s="46">
        <f t="shared" si="23"/>
        <v>0</v>
      </c>
      <c r="H179" s="46"/>
      <c r="I179" s="46"/>
      <c r="J179" s="105"/>
      <c r="K179" s="48">
        <f t="shared" si="18"/>
        <v>0</v>
      </c>
      <c r="L179" s="48">
        <f t="shared" si="19"/>
        <v>0</v>
      </c>
      <c r="M179" s="48">
        <f t="shared" si="20"/>
        <v>0</v>
      </c>
      <c r="N179" s="48">
        <f t="shared" si="21"/>
        <v>0</v>
      </c>
      <c r="O179" s="50">
        <f t="shared" si="22"/>
        <v>0</v>
      </c>
      <c r="P179" s="104">
        <f>SUM(O180:O187)</f>
        <v>106237.00000000001</v>
      </c>
      <c r="Q179" s="76"/>
      <c r="R179" s="154"/>
      <c r="S179" s="79" t="s">
        <v>22</v>
      </c>
      <c r="T179" s="80" t="s">
        <v>22</v>
      </c>
    </row>
    <row r="180" spans="2:20" ht="70">
      <c r="B180" s="5" t="s">
        <v>484</v>
      </c>
      <c r="C180" s="45" t="s">
        <v>97</v>
      </c>
      <c r="D180" s="45" t="s">
        <v>485</v>
      </c>
      <c r="E180" s="6" t="s">
        <v>486</v>
      </c>
      <c r="F180" s="45" t="s">
        <v>121</v>
      </c>
      <c r="G180" s="46">
        <f t="shared" si="23"/>
        <v>200</v>
      </c>
      <c r="H180" s="46">
        <f>TRUNC(S180*(1-LOTE_02!$K$10),2)</f>
        <v>13.05</v>
      </c>
      <c r="I180" s="46">
        <f>TRUNC(T180*(1-LOTE_02!$K$10),2)</f>
        <v>13.42</v>
      </c>
      <c r="J180" s="100">
        <f t="shared" si="17"/>
        <v>0.22470000000000001</v>
      </c>
      <c r="K180" s="48">
        <f t="shared" si="18"/>
        <v>15.98</v>
      </c>
      <c r="L180" s="48">
        <f t="shared" si="19"/>
        <v>16.43</v>
      </c>
      <c r="M180" s="48">
        <f t="shared" si="20"/>
        <v>3196</v>
      </c>
      <c r="N180" s="48">
        <f t="shared" si="21"/>
        <v>3286</v>
      </c>
      <c r="O180" s="50">
        <f t="shared" si="22"/>
        <v>6482</v>
      </c>
      <c r="P180" s="50">
        <v>0</v>
      </c>
      <c r="Q180" s="76"/>
      <c r="R180" s="140">
        <f>50*S9+50*S10</f>
        <v>200</v>
      </c>
      <c r="S180" s="79">
        <v>13.05</v>
      </c>
      <c r="T180" s="80">
        <v>13.42</v>
      </c>
    </row>
    <row r="181" spans="2:20" ht="42">
      <c r="B181" s="5" t="s">
        <v>487</v>
      </c>
      <c r="C181" s="45" t="s">
        <v>165</v>
      </c>
      <c r="D181" s="45" t="s">
        <v>488</v>
      </c>
      <c r="E181" s="6" t="s">
        <v>489</v>
      </c>
      <c r="F181" s="45" t="s">
        <v>168</v>
      </c>
      <c r="G181" s="46">
        <f t="shared" si="23"/>
        <v>460</v>
      </c>
      <c r="H181" s="46">
        <f>TRUNC(S181*(1-LOTE_02!$K$10),2)</f>
        <v>134.74</v>
      </c>
      <c r="I181" s="46">
        <f>TRUNC(T181*(1-LOTE_02!$K$10),2)</f>
        <v>0</v>
      </c>
      <c r="J181" s="100">
        <f t="shared" si="17"/>
        <v>0.22470000000000001</v>
      </c>
      <c r="K181" s="48">
        <f t="shared" si="18"/>
        <v>165.01</v>
      </c>
      <c r="L181" s="48">
        <f t="shared" si="19"/>
        <v>0</v>
      </c>
      <c r="M181" s="48">
        <f t="shared" si="20"/>
        <v>75904.600000000006</v>
      </c>
      <c r="N181" s="48">
        <f t="shared" si="21"/>
        <v>0</v>
      </c>
      <c r="O181" s="50">
        <f t="shared" si="22"/>
        <v>75904.600000000006</v>
      </c>
      <c r="P181" s="50">
        <v>0</v>
      </c>
      <c r="Q181" s="76"/>
      <c r="R181" s="140">
        <f>20*S9+400*S10</f>
        <v>460</v>
      </c>
      <c r="S181" s="79">
        <v>134.74</v>
      </c>
      <c r="T181" s="80">
        <v>0</v>
      </c>
    </row>
    <row r="182" spans="2:20" ht="28">
      <c r="B182" s="5" t="s">
        <v>490</v>
      </c>
      <c r="C182" s="45" t="s">
        <v>135</v>
      </c>
      <c r="D182" s="45">
        <v>96113</v>
      </c>
      <c r="E182" s="6" t="s">
        <v>491</v>
      </c>
      <c r="F182" s="45" t="s">
        <v>121</v>
      </c>
      <c r="G182" s="46">
        <f t="shared" si="23"/>
        <v>40</v>
      </c>
      <c r="H182" s="46">
        <f>TRUNC(S182*(1-LOTE_02!$K$10),2)</f>
        <v>23.08</v>
      </c>
      <c r="I182" s="46">
        <f>TRUNC(T182*(1-LOTE_02!$K$10),2)</f>
        <v>24.14</v>
      </c>
      <c r="J182" s="100">
        <f t="shared" si="17"/>
        <v>0.22470000000000001</v>
      </c>
      <c r="K182" s="48">
        <f t="shared" si="18"/>
        <v>28.26</v>
      </c>
      <c r="L182" s="48">
        <f t="shared" si="19"/>
        <v>29.56</v>
      </c>
      <c r="M182" s="48">
        <f t="shared" si="20"/>
        <v>1130.4000000000001</v>
      </c>
      <c r="N182" s="48">
        <f t="shared" si="21"/>
        <v>1182.4000000000001</v>
      </c>
      <c r="O182" s="50">
        <f t="shared" si="22"/>
        <v>2312.8000000000002</v>
      </c>
      <c r="P182" s="50">
        <v>0</v>
      </c>
      <c r="Q182" s="76"/>
      <c r="R182" s="140">
        <f>IF((10*S10)&gt;100,100,(10*S9+10*S10))</f>
        <v>40</v>
      </c>
      <c r="S182" s="79">
        <v>23.08</v>
      </c>
      <c r="T182" s="80">
        <v>24.14</v>
      </c>
    </row>
    <row r="183" spans="2:20" ht="42">
      <c r="B183" s="5" t="s">
        <v>492</v>
      </c>
      <c r="C183" s="45" t="s">
        <v>135</v>
      </c>
      <c r="D183" s="45">
        <v>99054</v>
      </c>
      <c r="E183" s="6" t="s">
        <v>493</v>
      </c>
      <c r="F183" s="45" t="s">
        <v>121</v>
      </c>
      <c r="G183" s="46">
        <f t="shared" si="23"/>
        <v>80</v>
      </c>
      <c r="H183" s="46">
        <f>TRUNC(S183*(1-LOTE_02!$K$10),2)</f>
        <v>25.55</v>
      </c>
      <c r="I183" s="46">
        <f>TRUNC(T183*(1-LOTE_02!$K$10),2)</f>
        <v>33.78</v>
      </c>
      <c r="J183" s="100">
        <f t="shared" si="17"/>
        <v>0.22470000000000001</v>
      </c>
      <c r="K183" s="48">
        <f t="shared" si="18"/>
        <v>31.29</v>
      </c>
      <c r="L183" s="48">
        <f t="shared" si="19"/>
        <v>41.37</v>
      </c>
      <c r="M183" s="48">
        <f t="shared" si="20"/>
        <v>2503.1999999999998</v>
      </c>
      <c r="N183" s="48">
        <f t="shared" si="21"/>
        <v>3309.6</v>
      </c>
      <c r="O183" s="50">
        <f t="shared" si="22"/>
        <v>5812.8</v>
      </c>
      <c r="P183" s="50">
        <v>0</v>
      </c>
      <c r="Q183" s="76"/>
      <c r="R183" s="140">
        <f>IF((20*S10+20*S9)&gt;100,100,(20*S10+20*S9))</f>
        <v>80</v>
      </c>
      <c r="S183" s="79">
        <v>25.549999999999997</v>
      </c>
      <c r="T183" s="80">
        <v>33.78</v>
      </c>
    </row>
    <row r="184" spans="2:20" ht="28">
      <c r="B184" s="5" t="s">
        <v>494</v>
      </c>
      <c r="C184" s="45" t="s">
        <v>135</v>
      </c>
      <c r="D184" s="45">
        <v>96120</v>
      </c>
      <c r="E184" s="6" t="s">
        <v>495</v>
      </c>
      <c r="F184" s="45" t="s">
        <v>187</v>
      </c>
      <c r="G184" s="46">
        <f t="shared" si="23"/>
        <v>80</v>
      </c>
      <c r="H184" s="46">
        <f>TRUNC(S184*(1-LOTE_02!$K$10),2)</f>
        <v>1.69</v>
      </c>
      <c r="I184" s="46">
        <f>TRUNC(T184*(1-LOTE_02!$K$10),2)</f>
        <v>1.37</v>
      </c>
      <c r="J184" s="100">
        <f t="shared" si="17"/>
        <v>0.22470000000000001</v>
      </c>
      <c r="K184" s="48">
        <f t="shared" si="18"/>
        <v>2.06</v>
      </c>
      <c r="L184" s="48">
        <f t="shared" si="19"/>
        <v>1.67</v>
      </c>
      <c r="M184" s="48">
        <f t="shared" si="20"/>
        <v>164.8</v>
      </c>
      <c r="N184" s="48">
        <f t="shared" si="21"/>
        <v>133.6</v>
      </c>
      <c r="O184" s="50">
        <f t="shared" si="22"/>
        <v>298.39999999999998</v>
      </c>
      <c r="P184" s="50">
        <v>0</v>
      </c>
      <c r="Q184" s="76"/>
      <c r="R184" s="140">
        <f>IF((20*S10+20*S9)&gt;500,500,(20*S10+20*S9))</f>
        <v>80</v>
      </c>
      <c r="S184" s="79">
        <v>1.69</v>
      </c>
      <c r="T184" s="80">
        <v>1.37</v>
      </c>
    </row>
    <row r="185" spans="2:20" ht="56">
      <c r="B185" s="5" t="s">
        <v>496</v>
      </c>
      <c r="C185" s="45" t="s">
        <v>135</v>
      </c>
      <c r="D185" s="45">
        <v>96486</v>
      </c>
      <c r="E185" s="6" t="s">
        <v>497</v>
      </c>
      <c r="F185" s="45" t="s">
        <v>121</v>
      </c>
      <c r="G185" s="46">
        <f t="shared" si="23"/>
        <v>80</v>
      </c>
      <c r="H185" s="46">
        <f>TRUNC(S185*(1-LOTE_02!$K$10),2)</f>
        <v>72.42</v>
      </c>
      <c r="I185" s="46">
        <f>TRUNC(T185*(1-LOTE_02!$K$10),2)</f>
        <v>11.82</v>
      </c>
      <c r="J185" s="100">
        <f t="shared" si="17"/>
        <v>0.22470000000000001</v>
      </c>
      <c r="K185" s="48">
        <f t="shared" si="18"/>
        <v>88.69</v>
      </c>
      <c r="L185" s="48">
        <f t="shared" si="19"/>
        <v>14.47</v>
      </c>
      <c r="M185" s="48">
        <f t="shared" si="20"/>
        <v>7095.2</v>
      </c>
      <c r="N185" s="48">
        <f t="shared" si="21"/>
        <v>1157.5999999999999</v>
      </c>
      <c r="O185" s="50">
        <f t="shared" si="22"/>
        <v>8252.7999999999993</v>
      </c>
      <c r="P185" s="50">
        <v>0</v>
      </c>
      <c r="Q185" s="76"/>
      <c r="R185" s="140">
        <f>IF((20*S10+20*S9)&gt;100,100,(20*S10+20*S9))</f>
        <v>80</v>
      </c>
      <c r="S185" s="79">
        <v>72.419999999999987</v>
      </c>
      <c r="T185" s="80">
        <v>11.82</v>
      </c>
    </row>
    <row r="186" spans="2:20" ht="42">
      <c r="B186" s="5" t="s">
        <v>498</v>
      </c>
      <c r="C186" s="45" t="s">
        <v>135</v>
      </c>
      <c r="D186" s="45">
        <v>96114</v>
      </c>
      <c r="E186" s="6" t="s">
        <v>499</v>
      </c>
      <c r="F186" s="45" t="s">
        <v>121</v>
      </c>
      <c r="G186" s="46">
        <f t="shared" si="23"/>
        <v>40</v>
      </c>
      <c r="H186" s="46">
        <f>TRUNC(S186*(1-LOTE_02!$K$10),2)</f>
        <v>65.319999999999993</v>
      </c>
      <c r="I186" s="46">
        <f>TRUNC(T186*(1-LOTE_02!$K$10),2)</f>
        <v>16.850000000000001</v>
      </c>
      <c r="J186" s="100">
        <f t="shared" si="17"/>
        <v>0.22470000000000001</v>
      </c>
      <c r="K186" s="48">
        <f t="shared" si="18"/>
        <v>79.989999999999995</v>
      </c>
      <c r="L186" s="48">
        <f t="shared" si="19"/>
        <v>20.63</v>
      </c>
      <c r="M186" s="48">
        <f t="shared" si="20"/>
        <v>3199.6</v>
      </c>
      <c r="N186" s="48">
        <f t="shared" si="21"/>
        <v>825.2</v>
      </c>
      <c r="O186" s="50">
        <f t="shared" si="22"/>
        <v>4024.8</v>
      </c>
      <c r="P186" s="50">
        <v>0</v>
      </c>
      <c r="Q186" s="76"/>
      <c r="R186" s="140">
        <f>IF((10*S10)&gt;100,100,(10*S9+10*S10))</f>
        <v>40</v>
      </c>
      <c r="S186" s="79">
        <v>65.319999999999993</v>
      </c>
      <c r="T186" s="80">
        <v>16.850000000000001</v>
      </c>
    </row>
    <row r="187" spans="2:20" ht="42">
      <c r="B187" s="5" t="s">
        <v>500</v>
      </c>
      <c r="C187" s="45" t="s">
        <v>135</v>
      </c>
      <c r="D187" s="45">
        <v>96123</v>
      </c>
      <c r="E187" s="6" t="s">
        <v>501</v>
      </c>
      <c r="F187" s="45" t="s">
        <v>187</v>
      </c>
      <c r="G187" s="46">
        <f t="shared" si="23"/>
        <v>80</v>
      </c>
      <c r="H187" s="46">
        <f>TRUNC(S187*(1-LOTE_02!$K$10),2)</f>
        <v>24.44</v>
      </c>
      <c r="I187" s="46">
        <f>TRUNC(T187*(1-LOTE_02!$K$10),2)</f>
        <v>7.7</v>
      </c>
      <c r="J187" s="100">
        <f t="shared" si="17"/>
        <v>0.22470000000000001</v>
      </c>
      <c r="K187" s="48">
        <f t="shared" si="18"/>
        <v>29.93</v>
      </c>
      <c r="L187" s="48">
        <f t="shared" si="19"/>
        <v>9.43</v>
      </c>
      <c r="M187" s="48">
        <f t="shared" si="20"/>
        <v>2394.4</v>
      </c>
      <c r="N187" s="48">
        <f t="shared" si="21"/>
        <v>754.4</v>
      </c>
      <c r="O187" s="50">
        <f t="shared" si="22"/>
        <v>3148.8</v>
      </c>
      <c r="P187" s="50">
        <v>0</v>
      </c>
      <c r="Q187" s="76"/>
      <c r="R187" s="140">
        <f>20*S10+20*S9</f>
        <v>80</v>
      </c>
      <c r="S187" s="79">
        <v>24.44</v>
      </c>
      <c r="T187" s="80">
        <v>7.7</v>
      </c>
    </row>
    <row r="188" spans="2:20">
      <c r="B188" s="101" t="s">
        <v>37</v>
      </c>
      <c r="C188" s="102" t="s">
        <v>21</v>
      </c>
      <c r="D188" s="102" t="s">
        <v>21</v>
      </c>
      <c r="E188" s="103" t="s">
        <v>40</v>
      </c>
      <c r="F188" s="102" t="s">
        <v>21</v>
      </c>
      <c r="G188" s="46">
        <f t="shared" si="23"/>
        <v>0</v>
      </c>
      <c r="H188" s="46"/>
      <c r="I188" s="46"/>
      <c r="J188" s="105"/>
      <c r="K188" s="48">
        <f t="shared" si="18"/>
        <v>0</v>
      </c>
      <c r="L188" s="48">
        <f t="shared" si="19"/>
        <v>0</v>
      </c>
      <c r="M188" s="48">
        <f t="shared" si="20"/>
        <v>0</v>
      </c>
      <c r="N188" s="48">
        <f t="shared" si="21"/>
        <v>0</v>
      </c>
      <c r="O188" s="50">
        <f t="shared" si="22"/>
        <v>0</v>
      </c>
      <c r="P188" s="104">
        <f>SUM(O189:O196)</f>
        <v>553749.88</v>
      </c>
      <c r="Q188" s="76"/>
      <c r="R188" s="154"/>
      <c r="S188" s="79" t="s">
        <v>22</v>
      </c>
      <c r="T188" s="80" t="s">
        <v>22</v>
      </c>
    </row>
    <row r="189" spans="2:20" ht="84">
      <c r="B189" s="5" t="s">
        <v>502</v>
      </c>
      <c r="C189" s="45" t="s">
        <v>135</v>
      </c>
      <c r="D189" s="45">
        <v>87632</v>
      </c>
      <c r="E189" s="6" t="s">
        <v>503</v>
      </c>
      <c r="F189" s="45" t="s">
        <v>121</v>
      </c>
      <c r="G189" s="46">
        <f t="shared" si="23"/>
        <v>1600</v>
      </c>
      <c r="H189" s="46">
        <f>TRUNC(S189*(1-LOTE_02!$K$10),2)</f>
        <v>40.39</v>
      </c>
      <c r="I189" s="46">
        <f>TRUNC(T189*(1-LOTE_02!$K$10),2)</f>
        <v>14.81</v>
      </c>
      <c r="J189" s="100">
        <f t="shared" si="17"/>
        <v>0.22470000000000001</v>
      </c>
      <c r="K189" s="48">
        <f t="shared" si="18"/>
        <v>49.46</v>
      </c>
      <c r="L189" s="48">
        <f t="shared" si="19"/>
        <v>18.13</v>
      </c>
      <c r="M189" s="48">
        <f t="shared" si="20"/>
        <v>79136</v>
      </c>
      <c r="N189" s="48">
        <f t="shared" si="21"/>
        <v>29008</v>
      </c>
      <c r="O189" s="50">
        <f t="shared" si="22"/>
        <v>108144</v>
      </c>
      <c r="P189" s="50">
        <v>0</v>
      </c>
      <c r="Q189" s="76"/>
      <c r="R189" s="140">
        <f>400*S10+400*S9</f>
        <v>1600</v>
      </c>
      <c r="S189" s="79">
        <v>40.39</v>
      </c>
      <c r="T189" s="80">
        <v>14.81</v>
      </c>
    </row>
    <row r="190" spans="2:20" ht="56">
      <c r="B190" s="5" t="s">
        <v>504</v>
      </c>
      <c r="C190" s="45" t="s">
        <v>135</v>
      </c>
      <c r="D190" s="45">
        <v>101749</v>
      </c>
      <c r="E190" s="6" t="s">
        <v>1778</v>
      </c>
      <c r="F190" s="45" t="s">
        <v>121</v>
      </c>
      <c r="G190" s="46">
        <f t="shared" si="23"/>
        <v>350</v>
      </c>
      <c r="H190" s="46">
        <f>TRUNC(S190*(1-LOTE_02!$K$10),2)</f>
        <v>44.29</v>
      </c>
      <c r="I190" s="46">
        <f>TRUNC(T190*(1-LOTE_02!$K$10),2)</f>
        <v>13.89</v>
      </c>
      <c r="J190" s="100">
        <f t="shared" si="17"/>
        <v>0.22470000000000001</v>
      </c>
      <c r="K190" s="48">
        <f t="shared" si="18"/>
        <v>54.24</v>
      </c>
      <c r="L190" s="48">
        <f t="shared" si="19"/>
        <v>17.010000000000002</v>
      </c>
      <c r="M190" s="48">
        <f t="shared" si="20"/>
        <v>18984</v>
      </c>
      <c r="N190" s="48">
        <f t="shared" si="21"/>
        <v>5953.5</v>
      </c>
      <c r="O190" s="50">
        <f t="shared" si="22"/>
        <v>24937.5</v>
      </c>
      <c r="P190" s="50">
        <v>0</v>
      </c>
      <c r="Q190" s="76"/>
      <c r="R190" s="140">
        <f>IF((50*S9+200*S10)&gt;1500,1500,(50*S9+200*S10))</f>
        <v>350</v>
      </c>
      <c r="S190" s="79">
        <v>44.29</v>
      </c>
      <c r="T190" s="80">
        <v>13.89</v>
      </c>
    </row>
    <row r="191" spans="2:20" ht="126">
      <c r="B191" s="5" t="s">
        <v>505</v>
      </c>
      <c r="C191" s="45" t="s">
        <v>97</v>
      </c>
      <c r="D191" s="45" t="s">
        <v>506</v>
      </c>
      <c r="E191" s="6" t="s">
        <v>507</v>
      </c>
      <c r="F191" s="45" t="s">
        <v>121</v>
      </c>
      <c r="G191" s="46">
        <f t="shared" si="23"/>
        <v>700</v>
      </c>
      <c r="H191" s="46">
        <f>TRUNC(S191*(1-LOTE_02!$K$10),2)</f>
        <v>232.55</v>
      </c>
      <c r="I191" s="46">
        <f>TRUNC(T191*(1-LOTE_02!$K$10),2)</f>
        <v>36.6</v>
      </c>
      <c r="J191" s="100">
        <f t="shared" si="17"/>
        <v>0.22470000000000001</v>
      </c>
      <c r="K191" s="48">
        <f t="shared" si="18"/>
        <v>284.8</v>
      </c>
      <c r="L191" s="48">
        <f t="shared" si="19"/>
        <v>44.82</v>
      </c>
      <c r="M191" s="48">
        <f t="shared" si="20"/>
        <v>199360</v>
      </c>
      <c r="N191" s="48">
        <f t="shared" si="21"/>
        <v>31374</v>
      </c>
      <c r="O191" s="50">
        <f t="shared" si="22"/>
        <v>230734</v>
      </c>
      <c r="P191" s="50">
        <v>0</v>
      </c>
      <c r="Q191" s="76"/>
      <c r="R191" s="141">
        <f>400*S10+100*S9</f>
        <v>700</v>
      </c>
      <c r="S191" s="79">
        <v>232.55</v>
      </c>
      <c r="T191" s="80">
        <v>36.6</v>
      </c>
    </row>
    <row r="192" spans="2:20" ht="140">
      <c r="B192" s="5" t="s">
        <v>508</v>
      </c>
      <c r="C192" s="45" t="s">
        <v>97</v>
      </c>
      <c r="D192" s="45" t="s">
        <v>509</v>
      </c>
      <c r="E192" s="6" t="s">
        <v>510</v>
      </c>
      <c r="F192" s="45" t="s">
        <v>121</v>
      </c>
      <c r="G192" s="46">
        <f t="shared" si="23"/>
        <v>370</v>
      </c>
      <c r="H192" s="46">
        <f>TRUNC(S192*(1-LOTE_02!$K$10),2)</f>
        <v>297.95</v>
      </c>
      <c r="I192" s="46">
        <f>TRUNC(T192*(1-LOTE_02!$K$10),2)</f>
        <v>36.6</v>
      </c>
      <c r="J192" s="100">
        <f t="shared" si="17"/>
        <v>0.22470000000000001</v>
      </c>
      <c r="K192" s="48">
        <f t="shared" si="18"/>
        <v>364.89</v>
      </c>
      <c r="L192" s="48">
        <f t="shared" si="19"/>
        <v>44.82</v>
      </c>
      <c r="M192" s="48">
        <f t="shared" si="20"/>
        <v>135009.29999999999</v>
      </c>
      <c r="N192" s="48">
        <f t="shared" si="21"/>
        <v>16583.400000000001</v>
      </c>
      <c r="O192" s="50">
        <f t="shared" si="22"/>
        <v>151592.70000000001</v>
      </c>
      <c r="P192" s="50">
        <v>0</v>
      </c>
      <c r="Q192" s="76"/>
      <c r="R192" s="141">
        <f>14*5*(S10)+100*S9</f>
        <v>370</v>
      </c>
      <c r="S192" s="79">
        <v>297.95</v>
      </c>
      <c r="T192" s="80">
        <v>36.6</v>
      </c>
    </row>
    <row r="193" spans="2:20" ht="42">
      <c r="B193" s="5" t="s">
        <v>511</v>
      </c>
      <c r="C193" s="45" t="s">
        <v>135</v>
      </c>
      <c r="D193" s="45">
        <v>101736</v>
      </c>
      <c r="E193" s="6" t="s">
        <v>1779</v>
      </c>
      <c r="F193" s="45" t="s">
        <v>121</v>
      </c>
      <c r="G193" s="46">
        <f t="shared" si="23"/>
        <v>8</v>
      </c>
      <c r="H193" s="46">
        <f>TRUNC(S193*(1-LOTE_02!$K$10),2)</f>
        <v>83.94</v>
      </c>
      <c r="I193" s="46">
        <f>TRUNC(T193*(1-LOTE_02!$K$10),2)</f>
        <v>14.22</v>
      </c>
      <c r="J193" s="100">
        <f t="shared" si="17"/>
        <v>0.22470000000000001</v>
      </c>
      <c r="K193" s="48">
        <f t="shared" si="18"/>
        <v>102.8</v>
      </c>
      <c r="L193" s="48">
        <f t="shared" si="19"/>
        <v>17.41</v>
      </c>
      <c r="M193" s="48">
        <f t="shared" si="20"/>
        <v>822.4</v>
      </c>
      <c r="N193" s="48">
        <f t="shared" si="21"/>
        <v>139.28</v>
      </c>
      <c r="O193" s="50">
        <f t="shared" si="22"/>
        <v>961.68</v>
      </c>
      <c r="P193" s="50">
        <v>0</v>
      </c>
      <c r="Q193" s="76"/>
      <c r="R193" s="141">
        <f>IF(2*(S10+S9)&gt;50,500,2*(S9+S10))</f>
        <v>8</v>
      </c>
      <c r="S193" s="79">
        <v>83.94</v>
      </c>
      <c r="T193" s="80">
        <v>14.22</v>
      </c>
    </row>
    <row r="194" spans="2:20" ht="70">
      <c r="B194" s="5" t="s">
        <v>512</v>
      </c>
      <c r="C194" s="45" t="s">
        <v>135</v>
      </c>
      <c r="D194" s="45">
        <v>94995</v>
      </c>
      <c r="E194" s="6" t="s">
        <v>1780</v>
      </c>
      <c r="F194" s="45" t="s">
        <v>121</v>
      </c>
      <c r="G194" s="46">
        <f t="shared" si="23"/>
        <v>200</v>
      </c>
      <c r="H194" s="46">
        <f>TRUNC(S194*(1-LOTE_02!$K$10),2)</f>
        <v>111.19</v>
      </c>
      <c r="I194" s="46">
        <f>TRUNC(T194*(1-LOTE_02!$K$10),2)</f>
        <v>8.18</v>
      </c>
      <c r="J194" s="100">
        <f t="shared" si="17"/>
        <v>0.22470000000000001</v>
      </c>
      <c r="K194" s="48">
        <f t="shared" si="18"/>
        <v>136.16999999999999</v>
      </c>
      <c r="L194" s="48">
        <f t="shared" si="19"/>
        <v>10.01</v>
      </c>
      <c r="M194" s="48">
        <f t="shared" si="20"/>
        <v>27234</v>
      </c>
      <c r="N194" s="48">
        <f t="shared" si="21"/>
        <v>2002</v>
      </c>
      <c r="O194" s="50">
        <f t="shared" si="22"/>
        <v>29236</v>
      </c>
      <c r="P194" s="50">
        <v>0</v>
      </c>
      <c r="Q194" s="76"/>
      <c r="R194" s="141">
        <f>IF(50*(S10+S9)&gt;500,500,50*(S9+S10))</f>
        <v>200</v>
      </c>
      <c r="S194" s="79">
        <v>111.19</v>
      </c>
      <c r="T194" s="80">
        <v>8.18</v>
      </c>
    </row>
    <row r="195" spans="2:20" ht="28">
      <c r="B195" s="5" t="s">
        <v>513</v>
      </c>
      <c r="C195" s="45" t="s">
        <v>165</v>
      </c>
      <c r="D195" s="45" t="s">
        <v>514</v>
      </c>
      <c r="E195" s="6" t="s">
        <v>515</v>
      </c>
      <c r="F195" s="45" t="s">
        <v>168</v>
      </c>
      <c r="G195" s="46">
        <f t="shared" si="23"/>
        <v>400</v>
      </c>
      <c r="H195" s="46">
        <f>TRUNC(S195*(1-LOTE_02!$K$10),2)</f>
        <v>5.82</v>
      </c>
      <c r="I195" s="46">
        <f>TRUNC(T195*(1-LOTE_02!$K$10),2)</f>
        <v>3.29</v>
      </c>
      <c r="J195" s="100">
        <f t="shared" si="17"/>
        <v>0.22470000000000001</v>
      </c>
      <c r="K195" s="48">
        <f t="shared" si="18"/>
        <v>7.12</v>
      </c>
      <c r="L195" s="48">
        <f t="shared" si="19"/>
        <v>4.0199999999999996</v>
      </c>
      <c r="M195" s="48">
        <f t="shared" si="20"/>
        <v>2848</v>
      </c>
      <c r="N195" s="48">
        <f t="shared" si="21"/>
        <v>1608</v>
      </c>
      <c r="O195" s="50">
        <f t="shared" si="22"/>
        <v>4456</v>
      </c>
      <c r="P195" s="50">
        <v>0</v>
      </c>
      <c r="Q195" s="76"/>
      <c r="R195" s="140">
        <f>100*(S9+S10)</f>
        <v>400</v>
      </c>
      <c r="S195" s="79">
        <v>5.82</v>
      </c>
      <c r="T195" s="80">
        <v>3.29</v>
      </c>
    </row>
    <row r="196" spans="2:20">
      <c r="B196" s="5" t="s">
        <v>516</v>
      </c>
      <c r="C196" s="45" t="s">
        <v>97</v>
      </c>
      <c r="D196" s="45" t="s">
        <v>517</v>
      </c>
      <c r="E196" s="6" t="s">
        <v>518</v>
      </c>
      <c r="F196" s="45" t="s">
        <v>519</v>
      </c>
      <c r="G196" s="46">
        <f t="shared" si="23"/>
        <v>800</v>
      </c>
      <c r="H196" s="46">
        <f>TRUNC(S196*(1-LOTE_02!$K$10),2)</f>
        <v>2.02</v>
      </c>
      <c r="I196" s="46">
        <f>TRUNC(T196*(1-LOTE_02!$K$10),2)</f>
        <v>1.75</v>
      </c>
      <c r="J196" s="100">
        <f t="shared" si="17"/>
        <v>0.22470000000000001</v>
      </c>
      <c r="K196" s="48">
        <f t="shared" si="18"/>
        <v>2.4700000000000002</v>
      </c>
      <c r="L196" s="48">
        <f t="shared" si="19"/>
        <v>2.14</v>
      </c>
      <c r="M196" s="48">
        <f t="shared" si="20"/>
        <v>1976</v>
      </c>
      <c r="N196" s="48">
        <f t="shared" si="21"/>
        <v>1712</v>
      </c>
      <c r="O196" s="50">
        <f t="shared" si="22"/>
        <v>3688</v>
      </c>
      <c r="P196" s="50">
        <v>0</v>
      </c>
      <c r="Q196" s="76"/>
      <c r="R196" s="140">
        <f>IF((200*S9+200*S10)&gt;1000,1000,(200*S9+200*S10))</f>
        <v>800</v>
      </c>
      <c r="S196" s="79">
        <v>2.02</v>
      </c>
      <c r="T196" s="80">
        <v>1.75</v>
      </c>
    </row>
    <row r="197" spans="2:20">
      <c r="B197" s="101" t="s">
        <v>39</v>
      </c>
      <c r="C197" s="102" t="s">
        <v>21</v>
      </c>
      <c r="D197" s="102" t="s">
        <v>21</v>
      </c>
      <c r="E197" s="103" t="s">
        <v>42</v>
      </c>
      <c r="F197" s="102" t="s">
        <v>21</v>
      </c>
      <c r="G197" s="46">
        <f t="shared" si="23"/>
        <v>0</v>
      </c>
      <c r="H197" s="46"/>
      <c r="I197" s="46"/>
      <c r="J197" s="105"/>
      <c r="K197" s="48">
        <f t="shared" si="18"/>
        <v>0</v>
      </c>
      <c r="L197" s="48">
        <f t="shared" si="19"/>
        <v>0</v>
      </c>
      <c r="M197" s="48">
        <f t="shared" si="20"/>
        <v>0</v>
      </c>
      <c r="N197" s="48">
        <f t="shared" si="21"/>
        <v>0</v>
      </c>
      <c r="O197" s="50">
        <f t="shared" si="22"/>
        <v>0</v>
      </c>
      <c r="P197" s="104">
        <f>SUM(O198:O206)</f>
        <v>58551</v>
      </c>
      <c r="Q197" s="76"/>
      <c r="R197" s="154"/>
      <c r="S197" s="79" t="s">
        <v>22</v>
      </c>
      <c r="T197" s="80" t="s">
        <v>22</v>
      </c>
    </row>
    <row r="198" spans="2:20" ht="42">
      <c r="B198" s="5" t="s">
        <v>520</v>
      </c>
      <c r="C198" s="45" t="s">
        <v>135</v>
      </c>
      <c r="D198" s="45">
        <v>88648</v>
      </c>
      <c r="E198" s="6" t="s">
        <v>521</v>
      </c>
      <c r="F198" s="45" t="s">
        <v>187</v>
      </c>
      <c r="G198" s="46">
        <f t="shared" si="23"/>
        <v>40</v>
      </c>
      <c r="H198" s="46">
        <f>TRUNC(S198*(1-LOTE_02!$K$10),2)</f>
        <v>7.1</v>
      </c>
      <c r="I198" s="46">
        <f>TRUNC(T198*(1-LOTE_02!$K$10),2)</f>
        <v>2.37</v>
      </c>
      <c r="J198" s="100">
        <f t="shared" si="17"/>
        <v>0.22470000000000001</v>
      </c>
      <c r="K198" s="48">
        <f t="shared" si="18"/>
        <v>8.69</v>
      </c>
      <c r="L198" s="48">
        <f t="shared" si="19"/>
        <v>2.9</v>
      </c>
      <c r="M198" s="48">
        <f t="shared" si="20"/>
        <v>347.6</v>
      </c>
      <c r="N198" s="48">
        <f t="shared" si="21"/>
        <v>116</v>
      </c>
      <c r="O198" s="50">
        <f t="shared" si="22"/>
        <v>463.6</v>
      </c>
      <c r="P198" s="50">
        <v>0</v>
      </c>
      <c r="Q198" s="76"/>
      <c r="R198" s="140">
        <f>IF((20*S10)&gt;100,100,(10*S9+10*S10))</f>
        <v>40</v>
      </c>
      <c r="S198" s="79">
        <v>7.1000000000000005</v>
      </c>
      <c r="T198" s="80">
        <v>2.37</v>
      </c>
    </row>
    <row r="199" spans="2:20" ht="42">
      <c r="B199" s="5" t="s">
        <v>522</v>
      </c>
      <c r="C199" s="45" t="s">
        <v>135</v>
      </c>
      <c r="D199" s="45">
        <v>88650</v>
      </c>
      <c r="E199" s="6" t="s">
        <v>523</v>
      </c>
      <c r="F199" s="45" t="s">
        <v>187</v>
      </c>
      <c r="G199" s="46">
        <f t="shared" si="23"/>
        <v>235</v>
      </c>
      <c r="H199" s="46">
        <f>TRUNC(S199*(1-LOTE_02!$K$10),2)</f>
        <v>12.01</v>
      </c>
      <c r="I199" s="46">
        <f>TRUNC(T199*(1-LOTE_02!$K$10),2)</f>
        <v>2.81</v>
      </c>
      <c r="J199" s="100">
        <f t="shared" si="17"/>
        <v>0.22470000000000001</v>
      </c>
      <c r="K199" s="48">
        <f t="shared" si="18"/>
        <v>14.7</v>
      </c>
      <c r="L199" s="48">
        <f t="shared" si="19"/>
        <v>3.44</v>
      </c>
      <c r="M199" s="48">
        <f t="shared" si="20"/>
        <v>3454.5</v>
      </c>
      <c r="N199" s="48">
        <f t="shared" si="21"/>
        <v>808.4</v>
      </c>
      <c r="O199" s="50">
        <f t="shared" si="22"/>
        <v>4262.8999999999996</v>
      </c>
      <c r="P199" s="50">
        <v>0</v>
      </c>
      <c r="Q199" s="76"/>
      <c r="R199" s="141">
        <f>85*S10+50*S9</f>
        <v>235</v>
      </c>
      <c r="S199" s="79">
        <v>12.01</v>
      </c>
      <c r="T199" s="80">
        <v>2.81</v>
      </c>
    </row>
    <row r="200" spans="2:20" ht="126">
      <c r="B200" s="5" t="s">
        <v>524</v>
      </c>
      <c r="C200" s="45" t="s">
        <v>97</v>
      </c>
      <c r="D200" s="45" t="s">
        <v>525</v>
      </c>
      <c r="E200" s="6" t="s">
        <v>526</v>
      </c>
      <c r="F200" s="45" t="s">
        <v>187</v>
      </c>
      <c r="G200" s="46">
        <f t="shared" si="23"/>
        <v>800</v>
      </c>
      <c r="H200" s="46">
        <f>TRUNC(S200*(1-LOTE_02!$K$10),2)</f>
        <v>33.36</v>
      </c>
      <c r="I200" s="46">
        <f>TRUNC(T200*(1-LOTE_02!$K$10),2)</f>
        <v>2.88</v>
      </c>
      <c r="J200" s="100">
        <f t="shared" si="17"/>
        <v>0.22470000000000001</v>
      </c>
      <c r="K200" s="48">
        <f t="shared" si="18"/>
        <v>40.85</v>
      </c>
      <c r="L200" s="48">
        <f t="shared" si="19"/>
        <v>3.52</v>
      </c>
      <c r="M200" s="48">
        <f t="shared" si="20"/>
        <v>32680</v>
      </c>
      <c r="N200" s="48">
        <f t="shared" si="21"/>
        <v>2816</v>
      </c>
      <c r="O200" s="50">
        <f t="shared" si="22"/>
        <v>35496</v>
      </c>
      <c r="P200" s="50">
        <v>0</v>
      </c>
      <c r="Q200" s="76"/>
      <c r="R200" s="140">
        <f>200*(S10+S9)</f>
        <v>800</v>
      </c>
      <c r="S200" s="79">
        <v>33.36</v>
      </c>
      <c r="T200" s="80">
        <v>2.88</v>
      </c>
    </row>
    <row r="201" spans="2:20" ht="42">
      <c r="B201" s="5" t="s">
        <v>527</v>
      </c>
      <c r="C201" s="45" t="s">
        <v>135</v>
      </c>
      <c r="D201" s="45">
        <v>101738</v>
      </c>
      <c r="E201" s="6" t="s">
        <v>1781</v>
      </c>
      <c r="F201" s="45" t="s">
        <v>187</v>
      </c>
      <c r="G201" s="46">
        <f t="shared" si="23"/>
        <v>25</v>
      </c>
      <c r="H201" s="46">
        <f>TRUNC(S201*(1-LOTE_02!$K$10),2)</f>
        <v>19.89</v>
      </c>
      <c r="I201" s="46">
        <f>TRUNC(T201*(1-LOTE_02!$K$10),2)</f>
        <v>9.33</v>
      </c>
      <c r="J201" s="100">
        <f t="shared" si="17"/>
        <v>0.22470000000000001</v>
      </c>
      <c r="K201" s="48">
        <f t="shared" si="18"/>
        <v>24.35</v>
      </c>
      <c r="L201" s="48">
        <f t="shared" si="19"/>
        <v>11.42</v>
      </c>
      <c r="M201" s="48">
        <f t="shared" si="20"/>
        <v>608.75</v>
      </c>
      <c r="N201" s="48">
        <f t="shared" si="21"/>
        <v>285.5</v>
      </c>
      <c r="O201" s="50">
        <f t="shared" si="22"/>
        <v>894.25</v>
      </c>
      <c r="P201" s="50">
        <v>0</v>
      </c>
      <c r="Q201" s="76"/>
      <c r="R201" s="140">
        <f>IF((S9*5+20*S10)&gt;50,50,(5*S9+10*S10))</f>
        <v>25</v>
      </c>
      <c r="S201" s="79">
        <v>19.89</v>
      </c>
      <c r="T201" s="80">
        <v>9.33</v>
      </c>
    </row>
    <row r="202" spans="2:20" ht="28">
      <c r="B202" s="5" t="s">
        <v>528</v>
      </c>
      <c r="C202" s="45" t="s">
        <v>165</v>
      </c>
      <c r="D202" s="45" t="s">
        <v>529</v>
      </c>
      <c r="E202" s="6" t="s">
        <v>530</v>
      </c>
      <c r="F202" s="45" t="s">
        <v>531</v>
      </c>
      <c r="G202" s="46">
        <f t="shared" si="23"/>
        <v>25</v>
      </c>
      <c r="H202" s="46">
        <f>TRUNC(S202*(1-LOTE_02!$K$10),2)</f>
        <v>30.12</v>
      </c>
      <c r="I202" s="46">
        <f>TRUNC(T202*(1-LOTE_02!$K$10),2)</f>
        <v>1.28</v>
      </c>
      <c r="J202" s="100">
        <f t="shared" si="17"/>
        <v>0.22470000000000001</v>
      </c>
      <c r="K202" s="48">
        <f t="shared" si="18"/>
        <v>36.880000000000003</v>
      </c>
      <c r="L202" s="48">
        <f t="shared" si="19"/>
        <v>1.56</v>
      </c>
      <c r="M202" s="48">
        <f t="shared" si="20"/>
        <v>922</v>
      </c>
      <c r="N202" s="48">
        <f t="shared" si="21"/>
        <v>39</v>
      </c>
      <c r="O202" s="50">
        <f t="shared" si="22"/>
        <v>961</v>
      </c>
      <c r="P202" s="50">
        <v>0</v>
      </c>
      <c r="Q202" s="76"/>
      <c r="R202" s="140">
        <f>IF((S9*5+20*S10)&gt;50,50,(5*S9+10*S10))</f>
        <v>25</v>
      </c>
      <c r="S202" s="79">
        <v>30.12</v>
      </c>
      <c r="T202" s="80">
        <v>1.28</v>
      </c>
    </row>
    <row r="203" spans="2:20" ht="28">
      <c r="B203" s="5" t="s">
        <v>532</v>
      </c>
      <c r="C203" s="45" t="s">
        <v>135</v>
      </c>
      <c r="D203" s="45">
        <v>98685</v>
      </c>
      <c r="E203" s="6" t="s">
        <v>1782</v>
      </c>
      <c r="F203" s="45" t="s">
        <v>187</v>
      </c>
      <c r="G203" s="46">
        <f t="shared" si="23"/>
        <v>25</v>
      </c>
      <c r="H203" s="46">
        <f>TRUNC(S203*(1-LOTE_02!$K$10),2)</f>
        <v>102.68</v>
      </c>
      <c r="I203" s="46">
        <f>TRUNC(T203*(1-LOTE_02!$K$10),2)</f>
        <v>9.84</v>
      </c>
      <c r="J203" s="100">
        <f t="shared" si="17"/>
        <v>0.22470000000000001</v>
      </c>
      <c r="K203" s="48">
        <f t="shared" si="18"/>
        <v>125.75</v>
      </c>
      <c r="L203" s="48">
        <f t="shared" si="19"/>
        <v>12.05</v>
      </c>
      <c r="M203" s="48">
        <f t="shared" si="20"/>
        <v>3143.75</v>
      </c>
      <c r="N203" s="48">
        <f t="shared" si="21"/>
        <v>301.25</v>
      </c>
      <c r="O203" s="50">
        <f t="shared" si="22"/>
        <v>3445</v>
      </c>
      <c r="P203" s="50">
        <v>0</v>
      </c>
      <c r="Q203" s="76"/>
      <c r="R203" s="140">
        <f>IF((S9*5+20*S10)&gt;50,50,(5*S9+10*S10))</f>
        <v>25</v>
      </c>
      <c r="S203" s="79">
        <v>102.67999999999999</v>
      </c>
      <c r="T203" s="80">
        <v>9.84</v>
      </c>
    </row>
    <row r="204" spans="2:20" ht="28">
      <c r="B204" s="5" t="s">
        <v>533</v>
      </c>
      <c r="C204" s="45" t="s">
        <v>135</v>
      </c>
      <c r="D204" s="45">
        <v>98689</v>
      </c>
      <c r="E204" s="6" t="s">
        <v>1783</v>
      </c>
      <c r="F204" s="45" t="s">
        <v>187</v>
      </c>
      <c r="G204" s="46">
        <f t="shared" si="23"/>
        <v>25</v>
      </c>
      <c r="H204" s="46">
        <f>TRUNC(S204*(1-LOTE_02!$K$10),2)</f>
        <v>146.43</v>
      </c>
      <c r="I204" s="46">
        <f>TRUNC(T204*(1-LOTE_02!$K$10),2)</f>
        <v>18.8</v>
      </c>
      <c r="J204" s="100">
        <f t="shared" si="17"/>
        <v>0.22470000000000001</v>
      </c>
      <c r="K204" s="48">
        <f t="shared" si="18"/>
        <v>179.33</v>
      </c>
      <c r="L204" s="48">
        <f t="shared" si="19"/>
        <v>23.02</v>
      </c>
      <c r="M204" s="48">
        <f t="shared" si="20"/>
        <v>4483.25</v>
      </c>
      <c r="N204" s="48">
        <f t="shared" si="21"/>
        <v>575.5</v>
      </c>
      <c r="O204" s="50">
        <f t="shared" si="22"/>
        <v>5058.75</v>
      </c>
      <c r="P204" s="50">
        <v>0</v>
      </c>
      <c r="Q204" s="76"/>
      <c r="R204" s="140">
        <f>IF((S9*5+20*S10)&gt;50,50,(5*S9+10*S10))</f>
        <v>25</v>
      </c>
      <c r="S204" s="79">
        <v>146.42999999999998</v>
      </c>
      <c r="T204" s="80">
        <v>18.8</v>
      </c>
    </row>
    <row r="205" spans="2:20" ht="28">
      <c r="B205" s="5" t="s">
        <v>534</v>
      </c>
      <c r="C205" s="45" t="s">
        <v>135</v>
      </c>
      <c r="D205" s="45">
        <v>98695</v>
      </c>
      <c r="E205" s="6" t="s">
        <v>1784</v>
      </c>
      <c r="F205" s="45" t="s">
        <v>187</v>
      </c>
      <c r="G205" s="46">
        <f t="shared" si="23"/>
        <v>25</v>
      </c>
      <c r="H205" s="46">
        <f>TRUNC(S205*(1-LOTE_02!$K$10),2)</f>
        <v>115.03</v>
      </c>
      <c r="I205" s="46">
        <f>TRUNC(T205*(1-LOTE_02!$K$10),2)</f>
        <v>18.850000000000001</v>
      </c>
      <c r="J205" s="100">
        <f t="shared" si="17"/>
        <v>0.22470000000000001</v>
      </c>
      <c r="K205" s="48">
        <f t="shared" si="18"/>
        <v>140.87</v>
      </c>
      <c r="L205" s="48">
        <f t="shared" si="19"/>
        <v>23.08</v>
      </c>
      <c r="M205" s="48">
        <f t="shared" si="20"/>
        <v>3521.75</v>
      </c>
      <c r="N205" s="48">
        <f t="shared" si="21"/>
        <v>577</v>
      </c>
      <c r="O205" s="50">
        <f t="shared" si="22"/>
        <v>4098.75</v>
      </c>
      <c r="P205" s="50">
        <v>0</v>
      </c>
      <c r="Q205" s="76"/>
      <c r="R205" s="140">
        <f>IF((S9*5+20*S10)&gt;50,50,(5*S9+10*S10))</f>
        <v>25</v>
      </c>
      <c r="S205" s="79">
        <v>115.03</v>
      </c>
      <c r="T205" s="80">
        <v>18.850000000000001</v>
      </c>
    </row>
    <row r="206" spans="2:20" ht="28">
      <c r="B206" s="5" t="s">
        <v>535</v>
      </c>
      <c r="C206" s="45" t="s">
        <v>165</v>
      </c>
      <c r="D206" s="45" t="s">
        <v>536</v>
      </c>
      <c r="E206" s="6" t="s">
        <v>537</v>
      </c>
      <c r="F206" s="45" t="s">
        <v>531</v>
      </c>
      <c r="G206" s="46">
        <f t="shared" si="23"/>
        <v>25</v>
      </c>
      <c r="H206" s="46">
        <f>TRUNC(S206*(1-LOTE_02!$K$10),2)</f>
        <v>124.82</v>
      </c>
      <c r="I206" s="46">
        <f>TRUNC(T206*(1-LOTE_02!$K$10),2)</f>
        <v>1.61</v>
      </c>
      <c r="J206" s="100">
        <f t="shared" si="17"/>
        <v>0.22470000000000001</v>
      </c>
      <c r="K206" s="48">
        <f t="shared" si="18"/>
        <v>152.86000000000001</v>
      </c>
      <c r="L206" s="48">
        <f t="shared" si="19"/>
        <v>1.97</v>
      </c>
      <c r="M206" s="48">
        <f t="shared" si="20"/>
        <v>3821.5</v>
      </c>
      <c r="N206" s="48">
        <f t="shared" si="21"/>
        <v>49.25</v>
      </c>
      <c r="O206" s="50">
        <f t="shared" si="22"/>
        <v>3870.75</v>
      </c>
      <c r="P206" s="50">
        <v>0</v>
      </c>
      <c r="Q206" s="76"/>
      <c r="R206" s="140">
        <f>IF((S9*5+20*S10)&gt;50,50,(5*S9+10*S10))</f>
        <v>25</v>
      </c>
      <c r="S206" s="79">
        <v>124.82</v>
      </c>
      <c r="T206" s="80">
        <v>1.61</v>
      </c>
    </row>
    <row r="207" spans="2:20">
      <c r="B207" s="101" t="s">
        <v>41</v>
      </c>
      <c r="C207" s="102" t="s">
        <v>21</v>
      </c>
      <c r="D207" s="102" t="s">
        <v>21</v>
      </c>
      <c r="E207" s="103" t="s">
        <v>44</v>
      </c>
      <c r="F207" s="102" t="s">
        <v>21</v>
      </c>
      <c r="G207" s="46">
        <f t="shared" si="23"/>
        <v>0</v>
      </c>
      <c r="H207" s="46"/>
      <c r="I207" s="46"/>
      <c r="J207" s="105"/>
      <c r="K207" s="48">
        <f t="shared" si="18"/>
        <v>0</v>
      </c>
      <c r="L207" s="48">
        <f t="shared" si="19"/>
        <v>0</v>
      </c>
      <c r="M207" s="48">
        <f t="shared" si="20"/>
        <v>0</v>
      </c>
      <c r="N207" s="48">
        <f t="shared" si="21"/>
        <v>0</v>
      </c>
      <c r="O207" s="50">
        <f t="shared" si="22"/>
        <v>0</v>
      </c>
      <c r="P207" s="104">
        <f>SUM(O208:O241)</f>
        <v>550816.35</v>
      </c>
      <c r="Q207" s="76"/>
      <c r="R207" s="154"/>
      <c r="S207" s="79" t="s">
        <v>22</v>
      </c>
      <c r="T207" s="80" t="s">
        <v>22</v>
      </c>
    </row>
    <row r="208" spans="2:20" ht="42">
      <c r="B208" s="5" t="s">
        <v>538</v>
      </c>
      <c r="C208" s="45" t="s">
        <v>97</v>
      </c>
      <c r="D208" s="45" t="s">
        <v>539</v>
      </c>
      <c r="E208" s="6" t="s">
        <v>540</v>
      </c>
      <c r="F208" s="45" t="s">
        <v>104</v>
      </c>
      <c r="G208" s="46">
        <f t="shared" si="23"/>
        <v>8</v>
      </c>
      <c r="H208" s="46">
        <f>TRUNC(S208*(1-LOTE_02!$K$10),2)</f>
        <v>18.190000000000001</v>
      </c>
      <c r="I208" s="46">
        <f>TRUNC(T208*(1-LOTE_02!$K$10),2)</f>
        <v>69.180000000000007</v>
      </c>
      <c r="J208" s="100">
        <f t="shared" si="17"/>
        <v>0.22470000000000001</v>
      </c>
      <c r="K208" s="48">
        <f t="shared" ref="K208:K271" si="24">TRUNC(H208*(1+J208),2)</f>
        <v>22.27</v>
      </c>
      <c r="L208" s="48">
        <f t="shared" ref="L208:L271" si="25">TRUNC(I208*(1+J208),2)</f>
        <v>84.72</v>
      </c>
      <c r="M208" s="48">
        <f t="shared" ref="M208:M271" si="26">TRUNC(K208*G208,2)</f>
        <v>178.16</v>
      </c>
      <c r="N208" s="48">
        <f t="shared" ref="N208:N271" si="27">TRUNC(L208*G208,2)</f>
        <v>677.76</v>
      </c>
      <c r="O208" s="50">
        <f t="shared" ref="O208:O271" si="28">TRUNC(M208+N208,2)</f>
        <v>855.92</v>
      </c>
      <c r="P208" s="50">
        <v>0</v>
      </c>
      <c r="Q208" s="76"/>
      <c r="R208" s="140">
        <f>IF((2*S9+2*S10)&gt;20,20,(2*S9+2*S10))</f>
        <v>8</v>
      </c>
      <c r="S208" s="79">
        <v>18.190000000000001</v>
      </c>
      <c r="T208" s="80">
        <v>69.180000000000007</v>
      </c>
    </row>
    <row r="209" spans="2:20" ht="28">
      <c r="B209" s="5" t="s">
        <v>541</v>
      </c>
      <c r="C209" s="45" t="s">
        <v>97</v>
      </c>
      <c r="D209" s="45" t="s">
        <v>542</v>
      </c>
      <c r="E209" s="6" t="s">
        <v>543</v>
      </c>
      <c r="F209" s="45" t="s">
        <v>104</v>
      </c>
      <c r="G209" s="46">
        <f t="shared" si="23"/>
        <v>4</v>
      </c>
      <c r="H209" s="46">
        <f>TRUNC(S209*(1-LOTE_02!$K$10),2)</f>
        <v>0</v>
      </c>
      <c r="I209" s="46">
        <f>TRUNC(T209*(1-LOTE_02!$K$10),2)</f>
        <v>112.28</v>
      </c>
      <c r="J209" s="100">
        <f t="shared" si="17"/>
        <v>0.22470000000000001</v>
      </c>
      <c r="K209" s="48">
        <f t="shared" si="24"/>
        <v>0</v>
      </c>
      <c r="L209" s="48">
        <f t="shared" si="25"/>
        <v>137.5</v>
      </c>
      <c r="M209" s="48">
        <f t="shared" si="26"/>
        <v>0</v>
      </c>
      <c r="N209" s="48">
        <f t="shared" si="27"/>
        <v>550</v>
      </c>
      <c r="O209" s="50">
        <f t="shared" si="28"/>
        <v>550</v>
      </c>
      <c r="P209" s="50">
        <v>0</v>
      </c>
      <c r="Q209" s="76"/>
      <c r="R209" s="140">
        <f>IF((1*S9+1*S10)&gt;10,10,(1*S9+1*S10))</f>
        <v>4</v>
      </c>
      <c r="S209" s="79">
        <v>0</v>
      </c>
      <c r="T209" s="80">
        <v>112.28</v>
      </c>
    </row>
    <row r="210" spans="2:20" ht="42">
      <c r="B210" s="5" t="s">
        <v>544</v>
      </c>
      <c r="C210" s="45" t="s">
        <v>135</v>
      </c>
      <c r="D210" s="45">
        <v>102182</v>
      </c>
      <c r="E210" s="6" t="s">
        <v>1785</v>
      </c>
      <c r="F210" s="45" t="s">
        <v>210</v>
      </c>
      <c r="G210" s="46">
        <f t="shared" ref="G210:G273" si="29">TRUNC(R210,2)</f>
        <v>8</v>
      </c>
      <c r="H210" s="46">
        <f>TRUNC(S210*(1-LOTE_02!$K$10),2)</f>
        <v>1379.29</v>
      </c>
      <c r="I210" s="46">
        <f>TRUNC(T210*(1-LOTE_02!$K$10),2)</f>
        <v>67.260000000000005</v>
      </c>
      <c r="J210" s="100">
        <f t="shared" ref="J210:J273" si="30">$J$4</f>
        <v>0.22470000000000001</v>
      </c>
      <c r="K210" s="48">
        <f t="shared" si="24"/>
        <v>1689.21</v>
      </c>
      <c r="L210" s="48">
        <f t="shared" si="25"/>
        <v>82.37</v>
      </c>
      <c r="M210" s="48">
        <f t="shared" si="26"/>
        <v>13513.68</v>
      </c>
      <c r="N210" s="48">
        <f t="shared" si="27"/>
        <v>658.96</v>
      </c>
      <c r="O210" s="50">
        <f t="shared" si="28"/>
        <v>14172.64</v>
      </c>
      <c r="P210" s="50">
        <v>0</v>
      </c>
      <c r="Q210" s="76"/>
      <c r="R210" s="140">
        <f>IF((2*S9+2*S10)&gt;20,20,(2*S9+2*S10))</f>
        <v>8</v>
      </c>
      <c r="S210" s="79">
        <v>1379.29</v>
      </c>
      <c r="T210" s="80">
        <v>67.260000000000005</v>
      </c>
    </row>
    <row r="211" spans="2:20" ht="56">
      <c r="B211" s="5" t="s">
        <v>545</v>
      </c>
      <c r="C211" s="45" t="s">
        <v>135</v>
      </c>
      <c r="D211" s="45">
        <v>102183</v>
      </c>
      <c r="E211" s="6" t="s">
        <v>1786</v>
      </c>
      <c r="F211" s="45" t="s">
        <v>210</v>
      </c>
      <c r="G211" s="46">
        <f t="shared" si="29"/>
        <v>4</v>
      </c>
      <c r="H211" s="46">
        <f>TRUNC(S211*(1-LOTE_02!$K$10),2)</f>
        <v>2585.2800000000002</v>
      </c>
      <c r="I211" s="46">
        <f>TRUNC(T211*(1-LOTE_02!$K$10),2)</f>
        <v>134.63</v>
      </c>
      <c r="J211" s="100">
        <f t="shared" si="30"/>
        <v>0.22470000000000001</v>
      </c>
      <c r="K211" s="48">
        <f t="shared" si="24"/>
        <v>3166.19</v>
      </c>
      <c r="L211" s="48">
        <f t="shared" si="25"/>
        <v>164.88</v>
      </c>
      <c r="M211" s="48">
        <f t="shared" si="26"/>
        <v>12664.76</v>
      </c>
      <c r="N211" s="48">
        <f t="shared" si="27"/>
        <v>659.52</v>
      </c>
      <c r="O211" s="50">
        <f t="shared" si="28"/>
        <v>13324.28</v>
      </c>
      <c r="P211" s="50">
        <v>0</v>
      </c>
      <c r="Q211" s="76"/>
      <c r="R211" s="140">
        <f>IF((1*S9+1*S10)&gt;10,10,(1*S9+1*S10))</f>
        <v>4</v>
      </c>
      <c r="S211" s="79">
        <v>2585.2799999999997</v>
      </c>
      <c r="T211" s="80">
        <v>134.63</v>
      </c>
    </row>
    <row r="212" spans="2:20" ht="56">
      <c r="B212" s="5" t="s">
        <v>546</v>
      </c>
      <c r="C212" s="45" t="s">
        <v>135</v>
      </c>
      <c r="D212" s="45">
        <v>102184</v>
      </c>
      <c r="E212" s="6" t="s">
        <v>1787</v>
      </c>
      <c r="F212" s="45" t="s">
        <v>210</v>
      </c>
      <c r="G212" s="46">
        <f t="shared" si="29"/>
        <v>4</v>
      </c>
      <c r="H212" s="46">
        <f>TRUNC(S212*(1-LOTE_02!$K$10),2)</f>
        <v>2382.88</v>
      </c>
      <c r="I212" s="46">
        <f>TRUNC(T212*(1-LOTE_02!$K$10),2)</f>
        <v>112.28</v>
      </c>
      <c r="J212" s="100">
        <f t="shared" si="30"/>
        <v>0.22470000000000001</v>
      </c>
      <c r="K212" s="48">
        <f t="shared" si="24"/>
        <v>2918.31</v>
      </c>
      <c r="L212" s="48">
        <f t="shared" si="25"/>
        <v>137.5</v>
      </c>
      <c r="M212" s="48">
        <f t="shared" si="26"/>
        <v>11673.24</v>
      </c>
      <c r="N212" s="48">
        <f t="shared" si="27"/>
        <v>550</v>
      </c>
      <c r="O212" s="50">
        <f t="shared" si="28"/>
        <v>12223.24</v>
      </c>
      <c r="P212" s="50">
        <v>0</v>
      </c>
      <c r="Q212" s="76"/>
      <c r="R212" s="140">
        <f>IF((1*S9+1*S10)&gt;10,10,(1*S9+1*S10))</f>
        <v>4</v>
      </c>
      <c r="S212" s="79">
        <v>2382.8799999999997</v>
      </c>
      <c r="T212" s="80">
        <v>112.28</v>
      </c>
    </row>
    <row r="213" spans="2:20" ht="70">
      <c r="B213" s="5" t="s">
        <v>547</v>
      </c>
      <c r="C213" s="45" t="s">
        <v>135</v>
      </c>
      <c r="D213" s="45">
        <v>102185</v>
      </c>
      <c r="E213" s="6" t="s">
        <v>1788</v>
      </c>
      <c r="F213" s="45" t="s">
        <v>210</v>
      </c>
      <c r="G213" s="46">
        <f t="shared" si="29"/>
        <v>4</v>
      </c>
      <c r="H213" s="46">
        <f>TRUNC(S213*(1-LOTE_02!$K$10),2)</f>
        <v>4767.7299999999996</v>
      </c>
      <c r="I213" s="46">
        <f>TRUNC(T213*(1-LOTE_02!$K$10),2)</f>
        <v>233.55</v>
      </c>
      <c r="J213" s="100">
        <f t="shared" si="30"/>
        <v>0.22470000000000001</v>
      </c>
      <c r="K213" s="48">
        <f t="shared" si="24"/>
        <v>5839.03</v>
      </c>
      <c r="L213" s="48">
        <f t="shared" si="25"/>
        <v>286.02</v>
      </c>
      <c r="M213" s="48">
        <f t="shared" si="26"/>
        <v>23356.12</v>
      </c>
      <c r="N213" s="48">
        <f t="shared" si="27"/>
        <v>1144.08</v>
      </c>
      <c r="O213" s="50">
        <f t="shared" si="28"/>
        <v>24500.2</v>
      </c>
      <c r="P213" s="50">
        <v>0</v>
      </c>
      <c r="Q213" s="76"/>
      <c r="R213" s="140">
        <f>IF((1*S9+1*S10)&gt;10,10,(1*S9+1*S10))</f>
        <v>4</v>
      </c>
      <c r="S213" s="79">
        <v>4767.7299999999996</v>
      </c>
      <c r="T213" s="80">
        <v>233.55</v>
      </c>
    </row>
    <row r="214" spans="2:20" ht="28">
      <c r="B214" s="5" t="s">
        <v>548</v>
      </c>
      <c r="C214" s="45" t="s">
        <v>97</v>
      </c>
      <c r="D214" s="45" t="s">
        <v>549</v>
      </c>
      <c r="E214" s="6" t="s">
        <v>550</v>
      </c>
      <c r="F214" s="45" t="s">
        <v>104</v>
      </c>
      <c r="G214" s="46">
        <f t="shared" si="29"/>
        <v>8</v>
      </c>
      <c r="H214" s="46">
        <f>TRUNC(S214*(1-LOTE_02!$K$10),2)</f>
        <v>10.58</v>
      </c>
      <c r="I214" s="46">
        <f>TRUNC(T214*(1-LOTE_02!$K$10),2)</f>
        <v>47.02</v>
      </c>
      <c r="J214" s="100">
        <f t="shared" si="30"/>
        <v>0.22470000000000001</v>
      </c>
      <c r="K214" s="48">
        <f t="shared" si="24"/>
        <v>12.95</v>
      </c>
      <c r="L214" s="48">
        <f t="shared" si="25"/>
        <v>57.58</v>
      </c>
      <c r="M214" s="48">
        <f t="shared" si="26"/>
        <v>103.6</v>
      </c>
      <c r="N214" s="48">
        <f t="shared" si="27"/>
        <v>460.64</v>
      </c>
      <c r="O214" s="50">
        <f t="shared" si="28"/>
        <v>564.24</v>
      </c>
      <c r="P214" s="50">
        <v>0</v>
      </c>
      <c r="Q214" s="76"/>
      <c r="R214" s="140">
        <f>IF((2*S9+2*S10)&gt;50,50,(2*S9+2*S10))</f>
        <v>8</v>
      </c>
      <c r="S214" s="79">
        <v>10.58</v>
      </c>
      <c r="T214" s="80">
        <v>47.02</v>
      </c>
    </row>
    <row r="215" spans="2:20" ht="70">
      <c r="B215" s="5" t="s">
        <v>551</v>
      </c>
      <c r="C215" s="45" t="s">
        <v>135</v>
      </c>
      <c r="D215" s="45">
        <v>100695</v>
      </c>
      <c r="E215" s="6" t="s">
        <v>1789</v>
      </c>
      <c r="F215" s="45" t="s">
        <v>210</v>
      </c>
      <c r="G215" s="46">
        <f t="shared" si="29"/>
        <v>8</v>
      </c>
      <c r="H215" s="46">
        <f>TRUNC(S215*(1-LOTE_02!$K$10),2)</f>
        <v>16.87</v>
      </c>
      <c r="I215" s="46">
        <f>TRUNC(T215*(1-LOTE_02!$K$10),2)</f>
        <v>57.54</v>
      </c>
      <c r="J215" s="100">
        <f t="shared" si="30"/>
        <v>0.22470000000000001</v>
      </c>
      <c r="K215" s="48">
        <f t="shared" si="24"/>
        <v>20.66</v>
      </c>
      <c r="L215" s="48">
        <f t="shared" si="25"/>
        <v>70.459999999999994</v>
      </c>
      <c r="M215" s="48">
        <f t="shared" si="26"/>
        <v>165.28</v>
      </c>
      <c r="N215" s="48">
        <f t="shared" si="27"/>
        <v>563.67999999999995</v>
      </c>
      <c r="O215" s="50">
        <f t="shared" si="28"/>
        <v>728.96</v>
      </c>
      <c r="P215" s="50">
        <v>0</v>
      </c>
      <c r="Q215" s="76"/>
      <c r="R215" s="140">
        <f>IF((2*S9+2*S10)&gt;50,50,(2*S9+2*S10))</f>
        <v>8</v>
      </c>
      <c r="S215" s="79">
        <v>16.869999999999997</v>
      </c>
      <c r="T215" s="80">
        <v>57.54</v>
      </c>
    </row>
    <row r="216" spans="2:20" ht="70">
      <c r="B216" s="5" t="s">
        <v>552</v>
      </c>
      <c r="C216" s="45" t="s">
        <v>135</v>
      </c>
      <c r="D216" s="45">
        <v>100697</v>
      </c>
      <c r="E216" s="6" t="s">
        <v>1790</v>
      </c>
      <c r="F216" s="45" t="s">
        <v>210</v>
      </c>
      <c r="G216" s="46">
        <f t="shared" si="29"/>
        <v>8</v>
      </c>
      <c r="H216" s="46">
        <f>TRUNC(S216*(1-LOTE_02!$K$10),2)</f>
        <v>20</v>
      </c>
      <c r="I216" s="46">
        <f>TRUNC(T216*(1-LOTE_02!$K$10),2)</f>
        <v>70.58</v>
      </c>
      <c r="J216" s="100">
        <f t="shared" si="30"/>
        <v>0.22470000000000001</v>
      </c>
      <c r="K216" s="48">
        <f t="shared" si="24"/>
        <v>24.49</v>
      </c>
      <c r="L216" s="48">
        <f t="shared" si="25"/>
        <v>86.43</v>
      </c>
      <c r="M216" s="48">
        <f t="shared" si="26"/>
        <v>195.92</v>
      </c>
      <c r="N216" s="48">
        <f t="shared" si="27"/>
        <v>691.44</v>
      </c>
      <c r="O216" s="50">
        <f t="shared" si="28"/>
        <v>887.36</v>
      </c>
      <c r="P216" s="50">
        <v>0</v>
      </c>
      <c r="Q216" s="76"/>
      <c r="R216" s="140">
        <f>IF((2*S9+2*S10)&gt;50,50,(2*S9+2*S10))</f>
        <v>8</v>
      </c>
      <c r="S216" s="79">
        <v>20</v>
      </c>
      <c r="T216" s="80">
        <v>70.58</v>
      </c>
    </row>
    <row r="217" spans="2:20" ht="70">
      <c r="B217" s="5" t="s">
        <v>553</v>
      </c>
      <c r="C217" s="45" t="s">
        <v>135</v>
      </c>
      <c r="D217" s="45">
        <v>90820</v>
      </c>
      <c r="E217" s="6" t="s">
        <v>1791</v>
      </c>
      <c r="F217" s="45" t="s">
        <v>210</v>
      </c>
      <c r="G217" s="46">
        <f t="shared" si="29"/>
        <v>4</v>
      </c>
      <c r="H217" s="46">
        <f>TRUNC(S217*(1-LOTE_02!$K$10),2)</f>
        <v>304.42</v>
      </c>
      <c r="I217" s="46">
        <f>TRUNC(T217*(1-LOTE_02!$K$10),2)</f>
        <v>37</v>
      </c>
      <c r="J217" s="100">
        <f t="shared" si="30"/>
        <v>0.22470000000000001</v>
      </c>
      <c r="K217" s="48">
        <f t="shared" si="24"/>
        <v>372.82</v>
      </c>
      <c r="L217" s="48">
        <f t="shared" si="25"/>
        <v>45.31</v>
      </c>
      <c r="M217" s="48">
        <f t="shared" si="26"/>
        <v>1491.28</v>
      </c>
      <c r="N217" s="48">
        <f t="shared" si="27"/>
        <v>181.24</v>
      </c>
      <c r="O217" s="50">
        <f t="shared" si="28"/>
        <v>1672.52</v>
      </c>
      <c r="P217" s="50">
        <v>0</v>
      </c>
      <c r="Q217" s="76"/>
      <c r="R217" s="140">
        <f>IF((1*S9+1*S10)&gt;50,50,(1*S9+1*S10))</f>
        <v>4</v>
      </c>
      <c r="S217" s="79">
        <v>304.42</v>
      </c>
      <c r="T217" s="80">
        <v>37</v>
      </c>
    </row>
    <row r="218" spans="2:20" ht="70">
      <c r="B218" s="5" t="s">
        <v>554</v>
      </c>
      <c r="C218" s="45" t="s">
        <v>135</v>
      </c>
      <c r="D218" s="45">
        <v>90822</v>
      </c>
      <c r="E218" s="6" t="s">
        <v>1792</v>
      </c>
      <c r="F218" s="45" t="s">
        <v>210</v>
      </c>
      <c r="G218" s="46">
        <f t="shared" si="29"/>
        <v>8</v>
      </c>
      <c r="H218" s="46">
        <f>TRUNC(S218*(1-LOTE_02!$K$10),2)</f>
        <v>331.27</v>
      </c>
      <c r="I218" s="46">
        <f>TRUNC(T218*(1-LOTE_02!$K$10),2)</f>
        <v>44.87</v>
      </c>
      <c r="J218" s="100">
        <f t="shared" si="30"/>
        <v>0.22470000000000001</v>
      </c>
      <c r="K218" s="48">
        <f t="shared" si="24"/>
        <v>405.7</v>
      </c>
      <c r="L218" s="48">
        <f t="shared" si="25"/>
        <v>54.95</v>
      </c>
      <c r="M218" s="48">
        <f t="shared" si="26"/>
        <v>3245.6</v>
      </c>
      <c r="N218" s="48">
        <f t="shared" si="27"/>
        <v>439.6</v>
      </c>
      <c r="O218" s="50">
        <f t="shared" si="28"/>
        <v>3685.2</v>
      </c>
      <c r="P218" s="50">
        <v>0</v>
      </c>
      <c r="Q218" s="76"/>
      <c r="R218" s="140">
        <f>IF((2*S9+2*S10)&gt;50,50,(2*S9+2*S10))</f>
        <v>8</v>
      </c>
      <c r="S218" s="79">
        <v>331.27</v>
      </c>
      <c r="T218" s="80">
        <v>44.87</v>
      </c>
    </row>
    <row r="219" spans="2:20" ht="70">
      <c r="B219" s="5" t="s">
        <v>555</v>
      </c>
      <c r="C219" s="45" t="s">
        <v>135</v>
      </c>
      <c r="D219" s="45">
        <v>90823</v>
      </c>
      <c r="E219" s="6" t="s">
        <v>1793</v>
      </c>
      <c r="F219" s="45" t="s">
        <v>210</v>
      </c>
      <c r="G219" s="46">
        <f t="shared" si="29"/>
        <v>8</v>
      </c>
      <c r="H219" s="46">
        <f>TRUNC(S219*(1-LOTE_02!$K$10),2)</f>
        <v>415.37</v>
      </c>
      <c r="I219" s="46">
        <f>TRUNC(T219*(1-LOTE_02!$K$10),2)</f>
        <v>48.52</v>
      </c>
      <c r="J219" s="100">
        <f t="shared" si="30"/>
        <v>0.22470000000000001</v>
      </c>
      <c r="K219" s="48">
        <f t="shared" si="24"/>
        <v>508.7</v>
      </c>
      <c r="L219" s="48">
        <f t="shared" si="25"/>
        <v>59.42</v>
      </c>
      <c r="M219" s="48">
        <f t="shared" si="26"/>
        <v>4069.6</v>
      </c>
      <c r="N219" s="48">
        <f t="shared" si="27"/>
        <v>475.36</v>
      </c>
      <c r="O219" s="50">
        <f t="shared" si="28"/>
        <v>4544.96</v>
      </c>
      <c r="P219" s="50">
        <v>0</v>
      </c>
      <c r="Q219" s="76"/>
      <c r="R219" s="140">
        <f>IF((2*S9+2*S10)&gt;50,50,(2*S9+2*S10))</f>
        <v>8</v>
      </c>
      <c r="S219" s="79">
        <v>415.37</v>
      </c>
      <c r="T219" s="80">
        <v>48.52</v>
      </c>
    </row>
    <row r="220" spans="2:20" ht="28">
      <c r="B220" s="5" t="s">
        <v>556</v>
      </c>
      <c r="C220" s="45" t="s">
        <v>165</v>
      </c>
      <c r="D220" s="45" t="s">
        <v>557</v>
      </c>
      <c r="E220" s="6" t="s">
        <v>558</v>
      </c>
      <c r="F220" s="45" t="s">
        <v>559</v>
      </c>
      <c r="G220" s="46">
        <f t="shared" si="29"/>
        <v>8</v>
      </c>
      <c r="H220" s="46">
        <f>TRUNC(S220*(1-LOTE_02!$K$10),2)</f>
        <v>892.01</v>
      </c>
      <c r="I220" s="46">
        <f>TRUNC(T220*(1-LOTE_02!$K$10),2)</f>
        <v>163.52000000000001</v>
      </c>
      <c r="J220" s="100">
        <f t="shared" si="30"/>
        <v>0.22470000000000001</v>
      </c>
      <c r="K220" s="48">
        <f t="shared" si="24"/>
        <v>1092.44</v>
      </c>
      <c r="L220" s="48">
        <f t="shared" si="25"/>
        <v>200.26</v>
      </c>
      <c r="M220" s="48">
        <f t="shared" si="26"/>
        <v>8739.52</v>
      </c>
      <c r="N220" s="48">
        <f t="shared" si="27"/>
        <v>1602.08</v>
      </c>
      <c r="O220" s="50">
        <f t="shared" si="28"/>
        <v>10341.6</v>
      </c>
      <c r="P220" s="50">
        <v>0</v>
      </c>
      <c r="Q220" s="76"/>
      <c r="R220" s="140">
        <f>IF((2*S9+2*S10)&gt;50,50,(2*S9+2*S10))</f>
        <v>8</v>
      </c>
      <c r="S220" s="79">
        <v>892.01</v>
      </c>
      <c r="T220" s="80">
        <v>163.52000000000001</v>
      </c>
    </row>
    <row r="221" spans="2:20" ht="28">
      <c r="B221" s="5" t="s">
        <v>560</v>
      </c>
      <c r="C221" s="45" t="s">
        <v>165</v>
      </c>
      <c r="D221" s="45" t="s">
        <v>561</v>
      </c>
      <c r="E221" s="6" t="s">
        <v>562</v>
      </c>
      <c r="F221" s="45" t="s">
        <v>559</v>
      </c>
      <c r="G221" s="46">
        <f t="shared" si="29"/>
        <v>4</v>
      </c>
      <c r="H221" s="46">
        <f>TRUNC(S221*(1-LOTE_02!$K$10),2)</f>
        <v>1795.08</v>
      </c>
      <c r="I221" s="46">
        <f>TRUNC(T221*(1-LOTE_02!$K$10),2)</f>
        <v>163.52000000000001</v>
      </c>
      <c r="J221" s="100">
        <f t="shared" si="30"/>
        <v>0.22470000000000001</v>
      </c>
      <c r="K221" s="48">
        <f t="shared" si="24"/>
        <v>2198.4299999999998</v>
      </c>
      <c r="L221" s="48">
        <f t="shared" si="25"/>
        <v>200.26</v>
      </c>
      <c r="M221" s="48">
        <f t="shared" si="26"/>
        <v>8793.7199999999993</v>
      </c>
      <c r="N221" s="48">
        <f t="shared" si="27"/>
        <v>801.04</v>
      </c>
      <c r="O221" s="50">
        <f t="shared" si="28"/>
        <v>9594.76</v>
      </c>
      <c r="P221" s="50">
        <v>0</v>
      </c>
      <c r="Q221" s="76"/>
      <c r="R221" s="140">
        <f>IF((1*S9+1*S10)&gt;20,20,(1*S9+1*S10))</f>
        <v>4</v>
      </c>
      <c r="S221" s="79">
        <v>1795.08</v>
      </c>
      <c r="T221" s="80">
        <v>163.52000000000001</v>
      </c>
    </row>
    <row r="222" spans="2:20" ht="98">
      <c r="B222" s="5" t="s">
        <v>563</v>
      </c>
      <c r="C222" s="45" t="s">
        <v>135</v>
      </c>
      <c r="D222" s="45">
        <v>90793</v>
      </c>
      <c r="E222" s="6" t="s">
        <v>1794</v>
      </c>
      <c r="F222" s="45" t="s">
        <v>210</v>
      </c>
      <c r="G222" s="46">
        <f t="shared" si="29"/>
        <v>8</v>
      </c>
      <c r="H222" s="46">
        <f>TRUNC(S222*(1-LOTE_02!$K$10),2)</f>
        <v>1137.08</v>
      </c>
      <c r="I222" s="46">
        <f>TRUNC(T222*(1-LOTE_02!$K$10),2)</f>
        <v>26.53</v>
      </c>
      <c r="J222" s="100">
        <f t="shared" si="30"/>
        <v>0.22470000000000001</v>
      </c>
      <c r="K222" s="48">
        <f t="shared" si="24"/>
        <v>1392.58</v>
      </c>
      <c r="L222" s="48">
        <f t="shared" si="25"/>
        <v>32.49</v>
      </c>
      <c r="M222" s="48">
        <f t="shared" si="26"/>
        <v>11140.64</v>
      </c>
      <c r="N222" s="48">
        <f t="shared" si="27"/>
        <v>259.92</v>
      </c>
      <c r="O222" s="50">
        <f t="shared" si="28"/>
        <v>11400.56</v>
      </c>
      <c r="P222" s="50">
        <v>0</v>
      </c>
      <c r="Q222" s="76"/>
      <c r="R222" s="140">
        <f>IF((2*S9+2*S10)&gt;20,20,(2*S9+2*S10))</f>
        <v>8</v>
      </c>
      <c r="S222" s="79">
        <v>1137.08</v>
      </c>
      <c r="T222" s="80">
        <v>26.53</v>
      </c>
    </row>
    <row r="223" spans="2:20" ht="56">
      <c r="B223" s="5" t="s">
        <v>564</v>
      </c>
      <c r="C223" s="45" t="s">
        <v>97</v>
      </c>
      <c r="D223" s="45" t="s">
        <v>565</v>
      </c>
      <c r="E223" s="6" t="s">
        <v>566</v>
      </c>
      <c r="F223" s="45" t="s">
        <v>104</v>
      </c>
      <c r="G223" s="46">
        <f t="shared" si="29"/>
        <v>20</v>
      </c>
      <c r="H223" s="46">
        <f>TRUNC(S223*(1-LOTE_02!$K$10),2)</f>
        <v>1691.8</v>
      </c>
      <c r="I223" s="46">
        <f>TRUNC(T223*(1-LOTE_02!$K$10),2)</f>
        <v>51.84</v>
      </c>
      <c r="J223" s="100">
        <f t="shared" si="30"/>
        <v>0.22470000000000001</v>
      </c>
      <c r="K223" s="48">
        <f t="shared" si="24"/>
        <v>2071.94</v>
      </c>
      <c r="L223" s="48">
        <f t="shared" si="25"/>
        <v>63.48</v>
      </c>
      <c r="M223" s="48">
        <f t="shared" si="26"/>
        <v>41438.800000000003</v>
      </c>
      <c r="N223" s="48">
        <f t="shared" si="27"/>
        <v>1269.5999999999999</v>
      </c>
      <c r="O223" s="50">
        <f t="shared" si="28"/>
        <v>42708.4</v>
      </c>
      <c r="P223" s="50">
        <v>0</v>
      </c>
      <c r="Q223" s="76"/>
      <c r="R223" s="140">
        <f>5*(S9+S10)</f>
        <v>20</v>
      </c>
      <c r="S223" s="79">
        <v>1691.8</v>
      </c>
      <c r="T223" s="80">
        <v>51.84</v>
      </c>
    </row>
    <row r="224" spans="2:20" ht="28">
      <c r="B224" s="5" t="s">
        <v>567</v>
      </c>
      <c r="C224" s="45" t="s">
        <v>97</v>
      </c>
      <c r="D224" s="45" t="s">
        <v>568</v>
      </c>
      <c r="E224" s="6" t="s">
        <v>569</v>
      </c>
      <c r="F224" s="45" t="s">
        <v>104</v>
      </c>
      <c r="G224" s="46">
        <f t="shared" si="29"/>
        <v>8</v>
      </c>
      <c r="H224" s="46">
        <f>TRUNC(S224*(1-LOTE_02!$K$10),2)</f>
        <v>288.27999999999997</v>
      </c>
      <c r="I224" s="46">
        <f>TRUNC(T224*(1-LOTE_02!$K$10),2)</f>
        <v>15.08</v>
      </c>
      <c r="J224" s="100">
        <f t="shared" si="30"/>
        <v>0.22470000000000001</v>
      </c>
      <c r="K224" s="48">
        <f t="shared" si="24"/>
        <v>353.05</v>
      </c>
      <c r="L224" s="48">
        <f t="shared" si="25"/>
        <v>18.46</v>
      </c>
      <c r="M224" s="48">
        <f t="shared" si="26"/>
        <v>2824.4</v>
      </c>
      <c r="N224" s="48">
        <f t="shared" si="27"/>
        <v>147.68</v>
      </c>
      <c r="O224" s="50">
        <f t="shared" si="28"/>
        <v>2972.08</v>
      </c>
      <c r="P224" s="50">
        <v>0</v>
      </c>
      <c r="Q224" s="76"/>
      <c r="R224" s="140">
        <f>IF((2*S9+2*S10)&gt;50,50,(2*S9+2*S10))</f>
        <v>8</v>
      </c>
      <c r="S224" s="79">
        <v>288.27999999999997</v>
      </c>
      <c r="T224" s="80">
        <v>15.08</v>
      </c>
    </row>
    <row r="225" spans="2:20" ht="42">
      <c r="B225" s="5" t="s">
        <v>570</v>
      </c>
      <c r="C225" s="45" t="s">
        <v>135</v>
      </c>
      <c r="D225" s="45">
        <v>100701</v>
      </c>
      <c r="E225" s="6" t="s">
        <v>1795</v>
      </c>
      <c r="F225" s="45" t="s">
        <v>121</v>
      </c>
      <c r="G225" s="46">
        <f t="shared" si="29"/>
        <v>22</v>
      </c>
      <c r="H225" s="46">
        <f>TRUNC(S225*(1-LOTE_02!$K$10),2)</f>
        <v>669.94</v>
      </c>
      <c r="I225" s="46">
        <f>TRUNC(T225*(1-LOTE_02!$K$10),2)</f>
        <v>14.71</v>
      </c>
      <c r="J225" s="100">
        <f t="shared" si="30"/>
        <v>0.22470000000000001</v>
      </c>
      <c r="K225" s="48">
        <f t="shared" si="24"/>
        <v>820.47</v>
      </c>
      <c r="L225" s="48">
        <f t="shared" si="25"/>
        <v>18.010000000000002</v>
      </c>
      <c r="M225" s="48">
        <f t="shared" si="26"/>
        <v>18050.34</v>
      </c>
      <c r="N225" s="48">
        <f t="shared" si="27"/>
        <v>396.22</v>
      </c>
      <c r="O225" s="50">
        <f t="shared" si="28"/>
        <v>18446.560000000001</v>
      </c>
      <c r="P225" s="50">
        <v>0</v>
      </c>
      <c r="Q225" s="76"/>
      <c r="R225" s="140">
        <f>IF((5*S9+7*S10)&gt;100,100,(5*S9+7*S10))</f>
        <v>22</v>
      </c>
      <c r="S225" s="79">
        <v>669.93999999999994</v>
      </c>
      <c r="T225" s="80">
        <v>14.71</v>
      </c>
    </row>
    <row r="226" spans="2:20" ht="42">
      <c r="B226" s="5" t="s">
        <v>571</v>
      </c>
      <c r="C226" s="45" t="s">
        <v>135</v>
      </c>
      <c r="D226" s="45">
        <v>90838</v>
      </c>
      <c r="E226" s="6" t="s">
        <v>1796</v>
      </c>
      <c r="F226" s="45" t="s">
        <v>210</v>
      </c>
      <c r="G226" s="46">
        <f t="shared" si="29"/>
        <v>4</v>
      </c>
      <c r="H226" s="46">
        <f>TRUNC(S226*(1-LOTE_02!$K$10),2)</f>
        <v>1569.95</v>
      </c>
      <c r="I226" s="46">
        <f>TRUNC(T226*(1-LOTE_02!$K$10),2)</f>
        <v>102.52</v>
      </c>
      <c r="J226" s="100">
        <f t="shared" si="30"/>
        <v>0.22470000000000001</v>
      </c>
      <c r="K226" s="48">
        <f t="shared" si="24"/>
        <v>1922.71</v>
      </c>
      <c r="L226" s="48">
        <f t="shared" si="25"/>
        <v>125.55</v>
      </c>
      <c r="M226" s="48">
        <f t="shared" si="26"/>
        <v>7690.84</v>
      </c>
      <c r="N226" s="48">
        <f t="shared" si="27"/>
        <v>502.2</v>
      </c>
      <c r="O226" s="50">
        <f t="shared" si="28"/>
        <v>8193.0400000000009</v>
      </c>
      <c r="P226" s="50">
        <v>0</v>
      </c>
      <c r="Q226" s="76"/>
      <c r="R226" s="140">
        <f>IF((1*S9+1*S10)&gt;10,10,(1*S9+1*S10))</f>
        <v>4</v>
      </c>
      <c r="S226" s="79">
        <v>1569.95</v>
      </c>
      <c r="T226" s="80">
        <v>102.52</v>
      </c>
    </row>
    <row r="227" spans="2:20" ht="56">
      <c r="B227" s="5" t="s">
        <v>572</v>
      </c>
      <c r="C227" s="45" t="s">
        <v>135</v>
      </c>
      <c r="D227" s="45">
        <v>91341</v>
      </c>
      <c r="E227" s="6" t="s">
        <v>1797</v>
      </c>
      <c r="F227" s="45" t="s">
        <v>121</v>
      </c>
      <c r="G227" s="46">
        <f t="shared" si="29"/>
        <v>5</v>
      </c>
      <c r="H227" s="46">
        <f>TRUNC(S227*(1-LOTE_02!$K$10),2)</f>
        <v>696.24</v>
      </c>
      <c r="I227" s="46">
        <f>TRUNC(T227*(1-LOTE_02!$K$10),2)</f>
        <v>11.82</v>
      </c>
      <c r="J227" s="100">
        <f t="shared" si="30"/>
        <v>0.22470000000000001</v>
      </c>
      <c r="K227" s="48">
        <f t="shared" si="24"/>
        <v>852.68</v>
      </c>
      <c r="L227" s="48">
        <f t="shared" si="25"/>
        <v>14.47</v>
      </c>
      <c r="M227" s="48">
        <f t="shared" si="26"/>
        <v>4263.3999999999996</v>
      </c>
      <c r="N227" s="48">
        <f t="shared" si="27"/>
        <v>72.349999999999994</v>
      </c>
      <c r="O227" s="50">
        <f t="shared" si="28"/>
        <v>4335.75</v>
      </c>
      <c r="P227" s="50">
        <v>0</v>
      </c>
      <c r="Q227" s="76"/>
      <c r="R227" s="140">
        <f>IF((1*S9+2*S10)&gt;20,20,(1*S9+2*S10))</f>
        <v>5</v>
      </c>
      <c r="S227" s="79">
        <v>696.2399999999999</v>
      </c>
      <c r="T227" s="80">
        <v>11.82</v>
      </c>
    </row>
    <row r="228" spans="2:20" ht="56">
      <c r="B228" s="5" t="s">
        <v>573</v>
      </c>
      <c r="C228" s="45" t="s">
        <v>135</v>
      </c>
      <c r="D228" s="45">
        <v>100702</v>
      </c>
      <c r="E228" s="6" t="s">
        <v>1798</v>
      </c>
      <c r="F228" s="45" t="s">
        <v>121</v>
      </c>
      <c r="G228" s="46">
        <f t="shared" si="29"/>
        <v>40</v>
      </c>
      <c r="H228" s="46">
        <f>TRUNC(S228*(1-LOTE_02!$K$10),2)</f>
        <v>498.87</v>
      </c>
      <c r="I228" s="46">
        <f>TRUNC(T228*(1-LOTE_02!$K$10),2)</f>
        <v>8.98</v>
      </c>
      <c r="J228" s="100">
        <f t="shared" si="30"/>
        <v>0.22470000000000001</v>
      </c>
      <c r="K228" s="48">
        <f t="shared" si="24"/>
        <v>610.96</v>
      </c>
      <c r="L228" s="48">
        <f t="shared" si="25"/>
        <v>10.99</v>
      </c>
      <c r="M228" s="48">
        <f t="shared" si="26"/>
        <v>24438.400000000001</v>
      </c>
      <c r="N228" s="48">
        <f t="shared" si="27"/>
        <v>439.6</v>
      </c>
      <c r="O228" s="50">
        <f t="shared" si="28"/>
        <v>24878</v>
      </c>
      <c r="P228" s="50">
        <v>0</v>
      </c>
      <c r="Q228" s="76"/>
      <c r="R228" s="140">
        <f>IF((10*S9+10*S10)&gt;50,50,(10*S9+10*S10))</f>
        <v>40</v>
      </c>
      <c r="S228" s="79">
        <v>498.87</v>
      </c>
      <c r="T228" s="80">
        <v>8.98</v>
      </c>
    </row>
    <row r="229" spans="2:20" ht="112">
      <c r="B229" s="5" t="s">
        <v>574</v>
      </c>
      <c r="C229" s="45" t="s">
        <v>135</v>
      </c>
      <c r="D229" s="45">
        <v>94569</v>
      </c>
      <c r="E229" s="6" t="s">
        <v>575</v>
      </c>
      <c r="F229" s="45" t="s">
        <v>121</v>
      </c>
      <c r="G229" s="46">
        <f t="shared" si="29"/>
        <v>20</v>
      </c>
      <c r="H229" s="46">
        <f>TRUNC(S229*(1-LOTE_02!$K$10),2)</f>
        <v>627.66</v>
      </c>
      <c r="I229" s="46">
        <f>TRUNC(T229*(1-LOTE_02!$K$10),2)</f>
        <v>29.5</v>
      </c>
      <c r="J229" s="100">
        <f t="shared" si="30"/>
        <v>0.22470000000000001</v>
      </c>
      <c r="K229" s="48">
        <f t="shared" si="24"/>
        <v>768.69</v>
      </c>
      <c r="L229" s="48">
        <f t="shared" si="25"/>
        <v>36.119999999999997</v>
      </c>
      <c r="M229" s="48">
        <f t="shared" si="26"/>
        <v>15373.8</v>
      </c>
      <c r="N229" s="48">
        <f t="shared" si="27"/>
        <v>722.4</v>
      </c>
      <c r="O229" s="50">
        <f t="shared" si="28"/>
        <v>16096.2</v>
      </c>
      <c r="P229" s="50">
        <v>0</v>
      </c>
      <c r="Q229" s="76"/>
      <c r="R229" s="140">
        <f>IF((5*S9+5*S10)&gt;50,50,(5*S9+5*S10))</f>
        <v>20</v>
      </c>
      <c r="S229" s="79">
        <v>627.66</v>
      </c>
      <c r="T229" s="80">
        <v>29.5</v>
      </c>
    </row>
    <row r="230" spans="2:20" ht="140">
      <c r="B230" s="5" t="s">
        <v>576</v>
      </c>
      <c r="C230" s="45" t="s">
        <v>135</v>
      </c>
      <c r="D230" s="45">
        <v>94570</v>
      </c>
      <c r="E230" s="6" t="s">
        <v>577</v>
      </c>
      <c r="F230" s="45" t="s">
        <v>121</v>
      </c>
      <c r="G230" s="46">
        <f t="shared" si="29"/>
        <v>20</v>
      </c>
      <c r="H230" s="46">
        <f>TRUNC(S230*(1-LOTE_02!$K$10),2)</f>
        <v>338.65</v>
      </c>
      <c r="I230" s="46">
        <f>TRUNC(T230*(1-LOTE_02!$K$10),2)</f>
        <v>9.11</v>
      </c>
      <c r="J230" s="100">
        <f t="shared" si="30"/>
        <v>0.22470000000000001</v>
      </c>
      <c r="K230" s="48">
        <f t="shared" si="24"/>
        <v>414.74</v>
      </c>
      <c r="L230" s="48">
        <f t="shared" si="25"/>
        <v>11.15</v>
      </c>
      <c r="M230" s="48">
        <f t="shared" si="26"/>
        <v>8294.7999999999993</v>
      </c>
      <c r="N230" s="48">
        <f t="shared" si="27"/>
        <v>223</v>
      </c>
      <c r="O230" s="50">
        <f t="shared" si="28"/>
        <v>8517.7999999999993</v>
      </c>
      <c r="P230" s="50">
        <v>0</v>
      </c>
      <c r="Q230" s="76"/>
      <c r="R230" s="140">
        <f>IF((5*S9+5*S10)&gt;50,50,(5*S9+5*S10))</f>
        <v>20</v>
      </c>
      <c r="S230" s="79">
        <v>338.65</v>
      </c>
      <c r="T230" s="80">
        <v>9.11</v>
      </c>
    </row>
    <row r="231" spans="2:20" ht="98">
      <c r="B231" s="5" t="s">
        <v>578</v>
      </c>
      <c r="C231" s="45" t="s">
        <v>135</v>
      </c>
      <c r="D231" s="45">
        <v>100674</v>
      </c>
      <c r="E231" s="6" t="s">
        <v>579</v>
      </c>
      <c r="F231" s="45" t="s">
        <v>121</v>
      </c>
      <c r="G231" s="46">
        <f t="shared" si="29"/>
        <v>20</v>
      </c>
      <c r="H231" s="46">
        <f>TRUNC(S231*(1-LOTE_02!$K$10),2)</f>
        <v>733.55</v>
      </c>
      <c r="I231" s="46">
        <f>TRUNC(T231*(1-LOTE_02!$K$10),2)</f>
        <v>21.67</v>
      </c>
      <c r="J231" s="100">
        <f t="shared" si="30"/>
        <v>0.22470000000000001</v>
      </c>
      <c r="K231" s="48">
        <f t="shared" si="24"/>
        <v>898.37</v>
      </c>
      <c r="L231" s="48">
        <f t="shared" si="25"/>
        <v>26.53</v>
      </c>
      <c r="M231" s="48">
        <f t="shared" si="26"/>
        <v>17967.400000000001</v>
      </c>
      <c r="N231" s="48">
        <f t="shared" si="27"/>
        <v>530.6</v>
      </c>
      <c r="O231" s="50">
        <f t="shared" si="28"/>
        <v>18498</v>
      </c>
      <c r="P231" s="50">
        <v>0</v>
      </c>
      <c r="Q231" s="76"/>
      <c r="R231" s="140">
        <f>IF((5*S9+5*S10)&gt;50,50,(5*S9+5*S10))</f>
        <v>20</v>
      </c>
      <c r="S231" s="79">
        <v>733.55000000000007</v>
      </c>
      <c r="T231" s="80">
        <v>21.67</v>
      </c>
    </row>
    <row r="232" spans="2:20" ht="140">
      <c r="B232" s="5" t="s">
        <v>580</v>
      </c>
      <c r="C232" s="45" t="s">
        <v>135</v>
      </c>
      <c r="D232" s="45">
        <v>94573</v>
      </c>
      <c r="E232" s="6" t="s">
        <v>581</v>
      </c>
      <c r="F232" s="45" t="s">
        <v>121</v>
      </c>
      <c r="G232" s="46">
        <f t="shared" si="29"/>
        <v>20</v>
      </c>
      <c r="H232" s="46">
        <f>TRUNC(S232*(1-LOTE_02!$K$10),2)</f>
        <v>377.74</v>
      </c>
      <c r="I232" s="46">
        <f>TRUNC(T232*(1-LOTE_02!$K$10),2)</f>
        <v>9.09</v>
      </c>
      <c r="J232" s="100">
        <f t="shared" si="30"/>
        <v>0.22470000000000001</v>
      </c>
      <c r="K232" s="48">
        <f t="shared" si="24"/>
        <v>462.61</v>
      </c>
      <c r="L232" s="48">
        <f t="shared" si="25"/>
        <v>11.13</v>
      </c>
      <c r="M232" s="48">
        <f t="shared" si="26"/>
        <v>9252.2000000000007</v>
      </c>
      <c r="N232" s="48">
        <f t="shared" si="27"/>
        <v>222.6</v>
      </c>
      <c r="O232" s="50">
        <f t="shared" si="28"/>
        <v>9474.7999999999993</v>
      </c>
      <c r="P232" s="50">
        <v>0</v>
      </c>
      <c r="Q232" s="76"/>
      <c r="R232" s="140">
        <f>IF((5*S9+5*S10)&gt;50,50,(5*S9+5*S10))</f>
        <v>20</v>
      </c>
      <c r="S232" s="79">
        <v>377.74</v>
      </c>
      <c r="T232" s="80">
        <v>9.09</v>
      </c>
    </row>
    <row r="233" spans="2:20" ht="28">
      <c r="B233" s="5" t="s">
        <v>582</v>
      </c>
      <c r="C233" s="45" t="s">
        <v>165</v>
      </c>
      <c r="D233" s="45" t="s">
        <v>583</v>
      </c>
      <c r="E233" s="6" t="s">
        <v>584</v>
      </c>
      <c r="F233" s="45" t="s">
        <v>168</v>
      </c>
      <c r="G233" s="46">
        <f t="shared" si="29"/>
        <v>80</v>
      </c>
      <c r="H233" s="46">
        <f>TRUNC(S233*(1-LOTE_02!$K$10),2)</f>
        <v>652.55999999999995</v>
      </c>
      <c r="I233" s="46">
        <f>TRUNC(T233*(1-LOTE_02!$K$10),2)</f>
        <v>94.19</v>
      </c>
      <c r="J233" s="100">
        <f t="shared" si="30"/>
        <v>0.22470000000000001</v>
      </c>
      <c r="K233" s="48">
        <f t="shared" si="24"/>
        <v>799.19</v>
      </c>
      <c r="L233" s="48">
        <f t="shared" si="25"/>
        <v>115.35</v>
      </c>
      <c r="M233" s="48">
        <f t="shared" si="26"/>
        <v>63935.199999999997</v>
      </c>
      <c r="N233" s="48">
        <f t="shared" si="27"/>
        <v>9228</v>
      </c>
      <c r="O233" s="50">
        <f t="shared" si="28"/>
        <v>73163.199999999997</v>
      </c>
      <c r="P233" s="50">
        <v>0</v>
      </c>
      <c r="Q233" s="76"/>
      <c r="R233" s="140">
        <f>IF((20*S9+20*S10)&gt;100,100,(20*S9+20*S10))</f>
        <v>80</v>
      </c>
      <c r="S233" s="79">
        <v>652.55999999999995</v>
      </c>
      <c r="T233" s="80">
        <v>94.19</v>
      </c>
    </row>
    <row r="234" spans="2:20" ht="42">
      <c r="B234" s="5" t="s">
        <v>585</v>
      </c>
      <c r="C234" s="45" t="s">
        <v>135</v>
      </c>
      <c r="D234" s="45">
        <v>99861</v>
      </c>
      <c r="E234" s="6" t="s">
        <v>1799</v>
      </c>
      <c r="F234" s="45" t="s">
        <v>121</v>
      </c>
      <c r="G234" s="46">
        <f t="shared" si="29"/>
        <v>80</v>
      </c>
      <c r="H234" s="46">
        <f>TRUNC(S234*(1-LOTE_02!$K$10),2)</f>
        <v>235.96</v>
      </c>
      <c r="I234" s="46">
        <f>TRUNC(T234*(1-LOTE_02!$K$10),2)</f>
        <v>249.65</v>
      </c>
      <c r="J234" s="100">
        <f t="shared" si="30"/>
        <v>0.22470000000000001</v>
      </c>
      <c r="K234" s="48">
        <f t="shared" si="24"/>
        <v>288.98</v>
      </c>
      <c r="L234" s="48">
        <f t="shared" si="25"/>
        <v>305.74</v>
      </c>
      <c r="M234" s="48">
        <f t="shared" si="26"/>
        <v>23118.400000000001</v>
      </c>
      <c r="N234" s="48">
        <f t="shared" si="27"/>
        <v>24459.200000000001</v>
      </c>
      <c r="O234" s="50">
        <f t="shared" si="28"/>
        <v>47577.599999999999</v>
      </c>
      <c r="P234" s="50">
        <v>0</v>
      </c>
      <c r="Q234" s="76"/>
      <c r="R234" s="140">
        <f>IF((20*S9+20*S10)&gt;100,100,(20*S9+20*S10))</f>
        <v>80</v>
      </c>
      <c r="S234" s="79">
        <v>235.96</v>
      </c>
      <c r="T234" s="80">
        <v>249.65</v>
      </c>
    </row>
    <row r="235" spans="2:20" ht="28">
      <c r="B235" s="5" t="s">
        <v>586</v>
      </c>
      <c r="C235" s="45" t="s">
        <v>97</v>
      </c>
      <c r="D235" s="45" t="s">
        <v>587</v>
      </c>
      <c r="E235" s="6" t="s">
        <v>588</v>
      </c>
      <c r="F235" s="45" t="s">
        <v>187</v>
      </c>
      <c r="G235" s="46">
        <f t="shared" si="29"/>
        <v>40</v>
      </c>
      <c r="H235" s="46">
        <f>TRUNC(S235*(1-LOTE_02!$K$10),2)</f>
        <v>396.03</v>
      </c>
      <c r="I235" s="46">
        <f>TRUNC(T235*(1-LOTE_02!$K$10),2)</f>
        <v>49.39</v>
      </c>
      <c r="J235" s="100">
        <f t="shared" si="30"/>
        <v>0.22470000000000001</v>
      </c>
      <c r="K235" s="48">
        <f t="shared" si="24"/>
        <v>485.01</v>
      </c>
      <c r="L235" s="48">
        <f t="shared" si="25"/>
        <v>60.48</v>
      </c>
      <c r="M235" s="48">
        <f t="shared" si="26"/>
        <v>19400.400000000001</v>
      </c>
      <c r="N235" s="48">
        <f t="shared" si="27"/>
        <v>2419.1999999999998</v>
      </c>
      <c r="O235" s="50">
        <f t="shared" si="28"/>
        <v>21819.599999999999</v>
      </c>
      <c r="P235" s="50">
        <v>0</v>
      </c>
      <c r="Q235" s="76"/>
      <c r="R235" s="140">
        <f>IF((10*S10+10*S9)&gt;100,100,(10*S10+10*S9))</f>
        <v>40</v>
      </c>
      <c r="S235" s="79">
        <v>396.03</v>
      </c>
      <c r="T235" s="80">
        <v>49.39</v>
      </c>
    </row>
    <row r="236" spans="2:20" ht="28">
      <c r="B236" s="5" t="s">
        <v>589</v>
      </c>
      <c r="C236" s="45" t="s">
        <v>165</v>
      </c>
      <c r="D236" s="45" t="s">
        <v>590</v>
      </c>
      <c r="E236" s="6" t="s">
        <v>591</v>
      </c>
      <c r="F236" s="45" t="s">
        <v>559</v>
      </c>
      <c r="G236" s="46">
        <f t="shared" si="29"/>
        <v>4</v>
      </c>
      <c r="H236" s="46">
        <f>TRUNC(S236*(1-LOTE_02!$K$10),2)</f>
        <v>1008.6</v>
      </c>
      <c r="I236" s="46">
        <f>TRUNC(T236*(1-LOTE_02!$K$10),2)</f>
        <v>18.84</v>
      </c>
      <c r="J236" s="100">
        <f t="shared" si="30"/>
        <v>0.22470000000000001</v>
      </c>
      <c r="K236" s="48">
        <f t="shared" si="24"/>
        <v>1235.23</v>
      </c>
      <c r="L236" s="48">
        <f t="shared" si="25"/>
        <v>23.07</v>
      </c>
      <c r="M236" s="48">
        <f t="shared" si="26"/>
        <v>4940.92</v>
      </c>
      <c r="N236" s="48">
        <f t="shared" si="27"/>
        <v>92.28</v>
      </c>
      <c r="O236" s="50">
        <f t="shared" si="28"/>
        <v>5033.2</v>
      </c>
      <c r="P236" s="50">
        <v>0</v>
      </c>
      <c r="Q236" s="76"/>
      <c r="R236" s="140">
        <f>IF((1*S9+1*S10)&gt;10,10,(1*S9+1*S10))</f>
        <v>4</v>
      </c>
      <c r="S236" s="79">
        <v>1008.6</v>
      </c>
      <c r="T236" s="80">
        <v>18.84</v>
      </c>
    </row>
    <row r="237" spans="2:20" ht="42">
      <c r="B237" s="5" t="s">
        <v>592</v>
      </c>
      <c r="C237" s="45" t="s">
        <v>97</v>
      </c>
      <c r="D237" s="45" t="s">
        <v>593</v>
      </c>
      <c r="E237" s="6" t="s">
        <v>594</v>
      </c>
      <c r="F237" s="45" t="s">
        <v>187</v>
      </c>
      <c r="G237" s="46">
        <f t="shared" si="29"/>
        <v>400</v>
      </c>
      <c r="H237" s="46">
        <f>TRUNC(S237*(1-LOTE_02!$K$10),2)</f>
        <v>90.17</v>
      </c>
      <c r="I237" s="46">
        <f>TRUNC(T237*(1-LOTE_02!$K$10),2)</f>
        <v>97.35</v>
      </c>
      <c r="J237" s="100">
        <f t="shared" si="30"/>
        <v>0.22470000000000001</v>
      </c>
      <c r="K237" s="48">
        <f t="shared" si="24"/>
        <v>110.43</v>
      </c>
      <c r="L237" s="48">
        <f t="shared" si="25"/>
        <v>119.22</v>
      </c>
      <c r="M237" s="48">
        <f t="shared" si="26"/>
        <v>44172</v>
      </c>
      <c r="N237" s="48">
        <f t="shared" si="27"/>
        <v>47688</v>
      </c>
      <c r="O237" s="50">
        <f t="shared" si="28"/>
        <v>91860</v>
      </c>
      <c r="P237" s="50">
        <v>0</v>
      </c>
      <c r="Q237" s="76"/>
      <c r="R237" s="140">
        <f>IF((100*S9+100*S10)&gt;1500,1500,(100*S9+100*S10))</f>
        <v>400</v>
      </c>
      <c r="S237" s="79">
        <v>90.17</v>
      </c>
      <c r="T237" s="80">
        <v>97.35</v>
      </c>
    </row>
    <row r="238" spans="2:20" ht="28">
      <c r="B238" s="5" t="s">
        <v>595</v>
      </c>
      <c r="C238" s="45" t="s">
        <v>165</v>
      </c>
      <c r="D238" s="45" t="s">
        <v>596</v>
      </c>
      <c r="E238" s="6" t="s">
        <v>597</v>
      </c>
      <c r="F238" s="45" t="s">
        <v>531</v>
      </c>
      <c r="G238" s="46">
        <f t="shared" si="29"/>
        <v>4</v>
      </c>
      <c r="H238" s="46">
        <f>TRUNC(S238*(1-LOTE_02!$K$10),2)</f>
        <v>129.37</v>
      </c>
      <c r="I238" s="46">
        <f>TRUNC(T238*(1-LOTE_02!$K$10),2)</f>
        <v>31.4</v>
      </c>
      <c r="J238" s="100">
        <f t="shared" si="30"/>
        <v>0.22470000000000001</v>
      </c>
      <c r="K238" s="48">
        <f t="shared" si="24"/>
        <v>158.43</v>
      </c>
      <c r="L238" s="48">
        <f t="shared" si="25"/>
        <v>38.450000000000003</v>
      </c>
      <c r="M238" s="48">
        <f t="shared" si="26"/>
        <v>633.72</v>
      </c>
      <c r="N238" s="48">
        <f t="shared" si="27"/>
        <v>153.80000000000001</v>
      </c>
      <c r="O238" s="50">
        <f t="shared" si="28"/>
        <v>787.52</v>
      </c>
      <c r="P238" s="50">
        <v>0</v>
      </c>
      <c r="Q238" s="76"/>
      <c r="R238" s="140">
        <f>IF((1*S9+1*S10)&gt;10,10,(1*S9+1*S10))</f>
        <v>4</v>
      </c>
      <c r="S238" s="79">
        <v>129.37</v>
      </c>
      <c r="T238" s="80">
        <v>31.4</v>
      </c>
    </row>
    <row r="239" spans="2:20" ht="28">
      <c r="B239" s="5" t="s">
        <v>598</v>
      </c>
      <c r="C239" s="45" t="s">
        <v>165</v>
      </c>
      <c r="D239" s="45" t="s">
        <v>599</v>
      </c>
      <c r="E239" s="6" t="s">
        <v>600</v>
      </c>
      <c r="F239" s="45" t="s">
        <v>559</v>
      </c>
      <c r="G239" s="46">
        <f t="shared" si="29"/>
        <v>4</v>
      </c>
      <c r="H239" s="46">
        <f>TRUNC(S239*(1-LOTE_02!$K$10),2)</f>
        <v>37.82</v>
      </c>
      <c r="I239" s="46">
        <f>TRUNC(T239*(1-LOTE_02!$K$10),2)</f>
        <v>1.91</v>
      </c>
      <c r="J239" s="100">
        <f t="shared" si="30"/>
        <v>0.22470000000000001</v>
      </c>
      <c r="K239" s="48">
        <f t="shared" si="24"/>
        <v>46.31</v>
      </c>
      <c r="L239" s="48">
        <f t="shared" si="25"/>
        <v>2.33</v>
      </c>
      <c r="M239" s="48">
        <f t="shared" si="26"/>
        <v>185.24</v>
      </c>
      <c r="N239" s="48">
        <f t="shared" si="27"/>
        <v>9.32</v>
      </c>
      <c r="O239" s="50">
        <f t="shared" si="28"/>
        <v>194.56</v>
      </c>
      <c r="P239" s="50">
        <v>0</v>
      </c>
      <c r="Q239" s="76"/>
      <c r="R239" s="140">
        <f>IF((1*S9+1*S10)&gt;10,10,(1*S9+1*S10))</f>
        <v>4</v>
      </c>
      <c r="S239" s="79">
        <v>37.82</v>
      </c>
      <c r="T239" s="80">
        <v>1.91</v>
      </c>
    </row>
    <row r="240" spans="2:20" ht="28">
      <c r="B240" s="5" t="s">
        <v>601</v>
      </c>
      <c r="C240" s="45" t="s">
        <v>97</v>
      </c>
      <c r="D240" s="45" t="s">
        <v>602</v>
      </c>
      <c r="E240" s="6" t="s">
        <v>603</v>
      </c>
      <c r="F240" s="45" t="s">
        <v>121</v>
      </c>
      <c r="G240" s="46">
        <f t="shared" si="29"/>
        <v>20</v>
      </c>
      <c r="H240" s="46">
        <f>TRUNC(S240*(1-LOTE_02!$K$10),2)</f>
        <v>285.13</v>
      </c>
      <c r="I240" s="46">
        <f>TRUNC(T240*(1-LOTE_02!$K$10),2)</f>
        <v>370.78</v>
      </c>
      <c r="J240" s="100">
        <f t="shared" si="30"/>
        <v>0.22470000000000001</v>
      </c>
      <c r="K240" s="48">
        <f t="shared" si="24"/>
        <v>349.19</v>
      </c>
      <c r="L240" s="48">
        <f t="shared" si="25"/>
        <v>454.09</v>
      </c>
      <c r="M240" s="48">
        <f t="shared" si="26"/>
        <v>6983.8</v>
      </c>
      <c r="N240" s="48">
        <f t="shared" si="27"/>
        <v>9081.7999999999993</v>
      </c>
      <c r="O240" s="50">
        <f t="shared" si="28"/>
        <v>16065.6</v>
      </c>
      <c r="P240" s="50">
        <v>0</v>
      </c>
      <c r="Q240" s="76"/>
      <c r="R240" s="140">
        <f>IF((5*S9+5*S10)&gt;50,50,(5*S9+5*S10))</f>
        <v>20</v>
      </c>
      <c r="S240" s="79">
        <v>285.13</v>
      </c>
      <c r="T240" s="80">
        <v>370.78</v>
      </c>
    </row>
    <row r="241" spans="2:20" ht="28">
      <c r="B241" s="5" t="s">
        <v>604</v>
      </c>
      <c r="C241" s="45" t="s">
        <v>97</v>
      </c>
      <c r="D241" s="45" t="s">
        <v>605</v>
      </c>
      <c r="E241" s="6" t="s">
        <v>606</v>
      </c>
      <c r="F241" s="45" t="s">
        <v>187</v>
      </c>
      <c r="G241" s="46">
        <f t="shared" si="29"/>
        <v>400</v>
      </c>
      <c r="H241" s="46">
        <f>TRUNC(S241*(1-LOTE_02!$K$10),2)</f>
        <v>44.06</v>
      </c>
      <c r="I241" s="46">
        <f>TRUNC(T241*(1-LOTE_02!$K$10),2)</f>
        <v>19.53</v>
      </c>
      <c r="J241" s="100">
        <f t="shared" si="30"/>
        <v>0.22470000000000001</v>
      </c>
      <c r="K241" s="48">
        <f t="shared" si="24"/>
        <v>53.96</v>
      </c>
      <c r="L241" s="48">
        <f t="shared" si="25"/>
        <v>23.91</v>
      </c>
      <c r="M241" s="48">
        <f t="shared" si="26"/>
        <v>21584</v>
      </c>
      <c r="N241" s="48">
        <f t="shared" si="27"/>
        <v>9564</v>
      </c>
      <c r="O241" s="50">
        <f t="shared" si="28"/>
        <v>31148</v>
      </c>
      <c r="P241" s="50">
        <v>0</v>
      </c>
      <c r="Q241" s="76"/>
      <c r="R241" s="140">
        <f>IF((100*S10+100*S9)&gt;500,500,(100*S10+100*S9))</f>
        <v>400</v>
      </c>
      <c r="S241" s="79">
        <v>44.06</v>
      </c>
      <c r="T241" s="80">
        <v>19.53</v>
      </c>
    </row>
    <row r="242" spans="2:20">
      <c r="B242" s="101" t="s">
        <v>43</v>
      </c>
      <c r="C242" s="102" t="s">
        <v>21</v>
      </c>
      <c r="D242" s="102" t="s">
        <v>21</v>
      </c>
      <c r="E242" s="103" t="s">
        <v>46</v>
      </c>
      <c r="F242" s="102" t="s">
        <v>21</v>
      </c>
      <c r="G242" s="46">
        <f t="shared" si="29"/>
        <v>0</v>
      </c>
      <c r="H242" s="46"/>
      <c r="I242" s="46"/>
      <c r="J242" s="105"/>
      <c r="K242" s="48">
        <f t="shared" si="24"/>
        <v>0</v>
      </c>
      <c r="L242" s="48">
        <f t="shared" si="25"/>
        <v>0</v>
      </c>
      <c r="M242" s="48">
        <f t="shared" si="26"/>
        <v>0</v>
      </c>
      <c r="N242" s="48">
        <f t="shared" si="27"/>
        <v>0</v>
      </c>
      <c r="O242" s="50">
        <f t="shared" si="28"/>
        <v>0</v>
      </c>
      <c r="P242" s="104">
        <f>SUM(O243:O252)</f>
        <v>23009.55</v>
      </c>
      <c r="Q242" s="76"/>
      <c r="R242" s="154"/>
      <c r="S242" s="79" t="s">
        <v>22</v>
      </c>
      <c r="T242" s="80" t="s">
        <v>22</v>
      </c>
    </row>
    <row r="243" spans="2:20" ht="28">
      <c r="B243" s="5" t="s">
        <v>607</v>
      </c>
      <c r="C243" s="45" t="s">
        <v>135</v>
      </c>
      <c r="D243" s="45">
        <v>102188</v>
      </c>
      <c r="E243" s="6" t="s">
        <v>1800</v>
      </c>
      <c r="F243" s="45" t="s">
        <v>210</v>
      </c>
      <c r="G243" s="46">
        <f t="shared" si="29"/>
        <v>4</v>
      </c>
      <c r="H243" s="46">
        <f>TRUNC(S243*(1-LOTE_02!$K$10),2)</f>
        <v>1007.5</v>
      </c>
      <c r="I243" s="46">
        <f>TRUNC(T243*(1-LOTE_02!$K$10),2)</f>
        <v>61.57</v>
      </c>
      <c r="J243" s="100">
        <f t="shared" si="30"/>
        <v>0.22470000000000001</v>
      </c>
      <c r="K243" s="48">
        <f t="shared" si="24"/>
        <v>1233.8800000000001</v>
      </c>
      <c r="L243" s="48">
        <f t="shared" si="25"/>
        <v>75.400000000000006</v>
      </c>
      <c r="M243" s="48">
        <f t="shared" si="26"/>
        <v>4935.5200000000004</v>
      </c>
      <c r="N243" s="48">
        <f t="shared" si="27"/>
        <v>301.60000000000002</v>
      </c>
      <c r="O243" s="50">
        <f t="shared" si="28"/>
        <v>5237.12</v>
      </c>
      <c r="P243" s="50">
        <v>0</v>
      </c>
      <c r="Q243" s="76"/>
      <c r="R243" s="140">
        <f>IF((1*S9+1*S10)&gt;10,10,(1*S9+1*S10))</f>
        <v>4</v>
      </c>
      <c r="S243" s="79">
        <v>1007.4999999999999</v>
      </c>
      <c r="T243" s="80">
        <v>61.57</v>
      </c>
    </row>
    <row r="244" spans="2:20" ht="98">
      <c r="B244" s="5" t="s">
        <v>608</v>
      </c>
      <c r="C244" s="45" t="s">
        <v>135</v>
      </c>
      <c r="D244" s="45">
        <v>102189</v>
      </c>
      <c r="E244" s="6" t="s">
        <v>1801</v>
      </c>
      <c r="F244" s="45" t="s">
        <v>210</v>
      </c>
      <c r="G244" s="46">
        <f t="shared" si="29"/>
        <v>4</v>
      </c>
      <c r="H244" s="46">
        <f>TRUNC(S244*(1-LOTE_02!$K$10),2)</f>
        <v>196.65</v>
      </c>
      <c r="I244" s="46">
        <f>TRUNC(T244*(1-LOTE_02!$K$10),2)</f>
        <v>66.59</v>
      </c>
      <c r="J244" s="100">
        <f t="shared" si="30"/>
        <v>0.22470000000000001</v>
      </c>
      <c r="K244" s="48">
        <f t="shared" si="24"/>
        <v>240.83</v>
      </c>
      <c r="L244" s="48">
        <f t="shared" si="25"/>
        <v>81.55</v>
      </c>
      <c r="M244" s="48">
        <f t="shared" si="26"/>
        <v>963.32</v>
      </c>
      <c r="N244" s="48">
        <f t="shared" si="27"/>
        <v>326.2</v>
      </c>
      <c r="O244" s="50">
        <f t="shared" si="28"/>
        <v>1289.52</v>
      </c>
      <c r="P244" s="50">
        <v>0</v>
      </c>
      <c r="Q244" s="76"/>
      <c r="R244" s="140">
        <f>IF((1*S9+1*S10)&gt;10,10,(1*S9+1*S10))</f>
        <v>4</v>
      </c>
      <c r="S244" s="79">
        <v>196.65</v>
      </c>
      <c r="T244" s="80">
        <v>66.59</v>
      </c>
    </row>
    <row r="245" spans="2:20" ht="28">
      <c r="B245" s="5" t="s">
        <v>609</v>
      </c>
      <c r="C245" s="45" t="s">
        <v>135</v>
      </c>
      <c r="D245" s="45">
        <v>100705</v>
      </c>
      <c r="E245" s="6" t="s">
        <v>1802</v>
      </c>
      <c r="F245" s="45" t="s">
        <v>210</v>
      </c>
      <c r="G245" s="46">
        <f t="shared" si="29"/>
        <v>16</v>
      </c>
      <c r="H245" s="46">
        <f>TRUNC(S245*(1-LOTE_02!$K$10),2)</f>
        <v>46.94</v>
      </c>
      <c r="I245" s="46">
        <f>TRUNC(T245*(1-LOTE_02!$K$10),2)</f>
        <v>23.18</v>
      </c>
      <c r="J245" s="100">
        <f t="shared" si="30"/>
        <v>0.22470000000000001</v>
      </c>
      <c r="K245" s="48">
        <f t="shared" si="24"/>
        <v>57.48</v>
      </c>
      <c r="L245" s="48">
        <f t="shared" si="25"/>
        <v>28.38</v>
      </c>
      <c r="M245" s="48">
        <f t="shared" si="26"/>
        <v>919.68</v>
      </c>
      <c r="N245" s="48">
        <f t="shared" si="27"/>
        <v>454.08</v>
      </c>
      <c r="O245" s="50">
        <f t="shared" si="28"/>
        <v>1373.76</v>
      </c>
      <c r="P245" s="50">
        <v>0</v>
      </c>
      <c r="Q245" s="76"/>
      <c r="R245" s="140">
        <f>IF((5*2*S10+2*S9)&gt;50,50,(5*2*S10+2*S9))</f>
        <v>16</v>
      </c>
      <c r="S245" s="79">
        <v>46.940000000000005</v>
      </c>
      <c r="T245" s="80">
        <v>23.18</v>
      </c>
    </row>
    <row r="246" spans="2:20" ht="56">
      <c r="B246" s="5" t="s">
        <v>610</v>
      </c>
      <c r="C246" s="45" t="s">
        <v>135</v>
      </c>
      <c r="D246" s="45">
        <v>100709</v>
      </c>
      <c r="E246" s="6" t="s">
        <v>1803</v>
      </c>
      <c r="F246" s="45" t="s">
        <v>210</v>
      </c>
      <c r="G246" s="46">
        <f t="shared" si="29"/>
        <v>24</v>
      </c>
      <c r="H246" s="46">
        <f>TRUNC(S246*(1-LOTE_02!$K$10),2)</f>
        <v>21.3</v>
      </c>
      <c r="I246" s="46">
        <f>TRUNC(T246*(1-LOTE_02!$K$10),2)</f>
        <v>31.33</v>
      </c>
      <c r="J246" s="100">
        <f t="shared" si="30"/>
        <v>0.22470000000000001</v>
      </c>
      <c r="K246" s="48">
        <f t="shared" si="24"/>
        <v>26.08</v>
      </c>
      <c r="L246" s="48">
        <f t="shared" si="25"/>
        <v>38.36</v>
      </c>
      <c r="M246" s="48">
        <f t="shared" si="26"/>
        <v>625.91999999999996</v>
      </c>
      <c r="N246" s="48">
        <f t="shared" si="27"/>
        <v>920.64</v>
      </c>
      <c r="O246" s="50">
        <f t="shared" si="28"/>
        <v>1546.56</v>
      </c>
      <c r="P246" s="50">
        <v>0</v>
      </c>
      <c r="Q246" s="76"/>
      <c r="R246" s="140">
        <f>IF((3*2*S9+3*2*S10)&gt;50,50,(3*2*S9+3*2*S10))</f>
        <v>24</v>
      </c>
      <c r="S246" s="79">
        <v>21.300000000000004</v>
      </c>
      <c r="T246" s="80">
        <v>31.33</v>
      </c>
    </row>
    <row r="247" spans="2:20" ht="28">
      <c r="B247" s="5" t="s">
        <v>611</v>
      </c>
      <c r="C247" s="45" t="s">
        <v>97</v>
      </c>
      <c r="D247" s="45" t="s">
        <v>612</v>
      </c>
      <c r="E247" s="6" t="s">
        <v>613</v>
      </c>
      <c r="F247" s="45" t="s">
        <v>104</v>
      </c>
      <c r="G247" s="46">
        <f t="shared" si="29"/>
        <v>4</v>
      </c>
      <c r="H247" s="46">
        <f>TRUNC(S247*(1-LOTE_02!$K$10),2)</f>
        <v>289.32</v>
      </c>
      <c r="I247" s="46">
        <f>TRUNC(T247*(1-LOTE_02!$K$10),2)</f>
        <v>22.59</v>
      </c>
      <c r="J247" s="100">
        <f t="shared" si="30"/>
        <v>0.22470000000000001</v>
      </c>
      <c r="K247" s="48">
        <f t="shared" si="24"/>
        <v>354.33</v>
      </c>
      <c r="L247" s="48">
        <f t="shared" si="25"/>
        <v>27.66</v>
      </c>
      <c r="M247" s="48">
        <f t="shared" si="26"/>
        <v>1417.32</v>
      </c>
      <c r="N247" s="48">
        <f t="shared" si="27"/>
        <v>110.64</v>
      </c>
      <c r="O247" s="50">
        <f t="shared" si="28"/>
        <v>1527.96</v>
      </c>
      <c r="P247" s="50">
        <v>0</v>
      </c>
      <c r="Q247" s="76"/>
      <c r="R247" s="140">
        <f>IF((1*S9+1*S10)&gt;30,30,(1*S9+1*S10))</f>
        <v>4</v>
      </c>
      <c r="S247" s="79">
        <v>289.32</v>
      </c>
      <c r="T247" s="80">
        <v>22.59</v>
      </c>
    </row>
    <row r="248" spans="2:20" ht="70">
      <c r="B248" s="5" t="s">
        <v>614</v>
      </c>
      <c r="C248" s="45" t="s">
        <v>135</v>
      </c>
      <c r="D248" s="45">
        <v>91306</v>
      </c>
      <c r="E248" s="6" t="s">
        <v>1804</v>
      </c>
      <c r="F248" s="45" t="s">
        <v>210</v>
      </c>
      <c r="G248" s="46">
        <f t="shared" si="29"/>
        <v>9</v>
      </c>
      <c r="H248" s="46">
        <f>TRUNC(S248*(1-LOTE_02!$K$10),2)</f>
        <v>156.05000000000001</v>
      </c>
      <c r="I248" s="46">
        <f>TRUNC(T248*(1-LOTE_02!$K$10),2)</f>
        <v>22.51</v>
      </c>
      <c r="J248" s="100">
        <f t="shared" si="30"/>
        <v>0.22470000000000001</v>
      </c>
      <c r="K248" s="48">
        <f t="shared" si="24"/>
        <v>191.11</v>
      </c>
      <c r="L248" s="48">
        <f t="shared" si="25"/>
        <v>27.56</v>
      </c>
      <c r="M248" s="48">
        <f t="shared" si="26"/>
        <v>1719.99</v>
      </c>
      <c r="N248" s="48">
        <f t="shared" si="27"/>
        <v>248.04</v>
      </c>
      <c r="O248" s="50">
        <f t="shared" si="28"/>
        <v>1968.03</v>
      </c>
      <c r="P248" s="50">
        <v>0</v>
      </c>
      <c r="Q248" s="76"/>
      <c r="R248" s="140">
        <f>IF((2*S9+3*S10)&gt;30,30,(2*S9+3*S10))</f>
        <v>9</v>
      </c>
      <c r="S248" s="79">
        <v>156.05000000000001</v>
      </c>
      <c r="T248" s="80">
        <v>22.51</v>
      </c>
    </row>
    <row r="249" spans="2:20" ht="70">
      <c r="B249" s="5" t="s">
        <v>615</v>
      </c>
      <c r="C249" s="45" t="s">
        <v>135</v>
      </c>
      <c r="D249" s="45">
        <v>90831</v>
      </c>
      <c r="E249" s="6" t="s">
        <v>1805</v>
      </c>
      <c r="F249" s="45" t="s">
        <v>210</v>
      </c>
      <c r="G249" s="46">
        <f t="shared" si="29"/>
        <v>8</v>
      </c>
      <c r="H249" s="46">
        <f>TRUNC(S249*(1-LOTE_02!$K$10),2)</f>
        <v>156.05000000000001</v>
      </c>
      <c r="I249" s="46">
        <f>TRUNC(T249*(1-LOTE_02!$K$10),2)</f>
        <v>22.51</v>
      </c>
      <c r="J249" s="100">
        <f t="shared" si="30"/>
        <v>0.22470000000000001</v>
      </c>
      <c r="K249" s="48">
        <f t="shared" si="24"/>
        <v>191.11</v>
      </c>
      <c r="L249" s="48">
        <f t="shared" si="25"/>
        <v>27.56</v>
      </c>
      <c r="M249" s="48">
        <f t="shared" si="26"/>
        <v>1528.88</v>
      </c>
      <c r="N249" s="48">
        <f t="shared" si="27"/>
        <v>220.48</v>
      </c>
      <c r="O249" s="50">
        <f t="shared" si="28"/>
        <v>1749.36</v>
      </c>
      <c r="P249" s="50">
        <v>0</v>
      </c>
      <c r="Q249" s="76"/>
      <c r="R249" s="140">
        <f>IF((2*S9+2*S10)&gt;30,30,(2*S9+2*S10))</f>
        <v>8</v>
      </c>
      <c r="S249" s="79">
        <v>156.05000000000001</v>
      </c>
      <c r="T249" s="80">
        <v>22.51</v>
      </c>
    </row>
    <row r="250" spans="2:20" ht="70">
      <c r="B250" s="5" t="s">
        <v>616</v>
      </c>
      <c r="C250" s="45" t="s">
        <v>135</v>
      </c>
      <c r="D250" s="45">
        <v>90830</v>
      </c>
      <c r="E250" s="6" t="s">
        <v>1806</v>
      </c>
      <c r="F250" s="45" t="s">
        <v>210</v>
      </c>
      <c r="G250" s="46">
        <f t="shared" si="29"/>
        <v>4</v>
      </c>
      <c r="H250" s="46">
        <f>TRUNC(S250*(1-LOTE_02!$K$10),2)</f>
        <v>174.56</v>
      </c>
      <c r="I250" s="46">
        <f>TRUNC(T250*(1-LOTE_02!$K$10),2)</f>
        <v>29.65</v>
      </c>
      <c r="J250" s="100">
        <f t="shared" si="30"/>
        <v>0.22470000000000001</v>
      </c>
      <c r="K250" s="48">
        <f t="shared" si="24"/>
        <v>213.78</v>
      </c>
      <c r="L250" s="48">
        <f t="shared" si="25"/>
        <v>36.31</v>
      </c>
      <c r="M250" s="48">
        <f t="shared" si="26"/>
        <v>855.12</v>
      </c>
      <c r="N250" s="48">
        <f t="shared" si="27"/>
        <v>145.24</v>
      </c>
      <c r="O250" s="50">
        <f t="shared" si="28"/>
        <v>1000.36</v>
      </c>
      <c r="P250" s="50">
        <v>0</v>
      </c>
      <c r="Q250" s="76"/>
      <c r="R250" s="140">
        <f>IF((1*S9+1*S10)&gt;30,30,(1*S9+1*S10))</f>
        <v>4</v>
      </c>
      <c r="S250" s="79">
        <v>174.56</v>
      </c>
      <c r="T250" s="80">
        <v>29.65</v>
      </c>
    </row>
    <row r="251" spans="2:20" ht="42">
      <c r="B251" s="5" t="s">
        <v>617</v>
      </c>
      <c r="C251" s="45" t="s">
        <v>97</v>
      </c>
      <c r="D251" s="45" t="s">
        <v>618</v>
      </c>
      <c r="E251" s="6" t="s">
        <v>619</v>
      </c>
      <c r="F251" s="45" t="s">
        <v>104</v>
      </c>
      <c r="G251" s="46">
        <f t="shared" si="29"/>
        <v>4</v>
      </c>
      <c r="H251" s="46">
        <f>TRUNC(S251*(1-LOTE_02!$K$10),2)</f>
        <v>111.36</v>
      </c>
      <c r="I251" s="46">
        <f>TRUNC(T251*(1-LOTE_02!$K$10),2)</f>
        <v>29.5</v>
      </c>
      <c r="J251" s="100">
        <f t="shared" si="30"/>
        <v>0.22470000000000001</v>
      </c>
      <c r="K251" s="48">
        <f t="shared" si="24"/>
        <v>136.38</v>
      </c>
      <c r="L251" s="48">
        <f t="shared" si="25"/>
        <v>36.119999999999997</v>
      </c>
      <c r="M251" s="48">
        <f t="shared" si="26"/>
        <v>545.52</v>
      </c>
      <c r="N251" s="48">
        <f t="shared" si="27"/>
        <v>144.47999999999999</v>
      </c>
      <c r="O251" s="50">
        <f t="shared" si="28"/>
        <v>690</v>
      </c>
      <c r="P251" s="50">
        <v>0</v>
      </c>
      <c r="Q251" s="76"/>
      <c r="R251" s="140">
        <f>IF((1*S9+1*S10)&gt;10,10,(1*S9+1*S10))</f>
        <v>4</v>
      </c>
      <c r="S251" s="79">
        <v>111.36</v>
      </c>
      <c r="T251" s="80">
        <v>29.5</v>
      </c>
    </row>
    <row r="252" spans="2:20" ht="98">
      <c r="B252" s="5" t="s">
        <v>620</v>
      </c>
      <c r="C252" s="45" t="s">
        <v>97</v>
      </c>
      <c r="D252" s="45" t="s">
        <v>621</v>
      </c>
      <c r="E252" s="7" t="s">
        <v>622</v>
      </c>
      <c r="F252" s="45" t="s">
        <v>104</v>
      </c>
      <c r="G252" s="46">
        <f t="shared" si="29"/>
        <v>4</v>
      </c>
      <c r="H252" s="46">
        <f>TRUNC(S252*(1-LOTE_02!$K$10),2)</f>
        <v>621.27</v>
      </c>
      <c r="I252" s="46">
        <f>TRUNC(T252*(1-LOTE_02!$K$10),2)</f>
        <v>731.5</v>
      </c>
      <c r="J252" s="100">
        <f t="shared" si="30"/>
        <v>0.22470000000000001</v>
      </c>
      <c r="K252" s="48">
        <f t="shared" si="24"/>
        <v>760.86</v>
      </c>
      <c r="L252" s="48">
        <f t="shared" si="25"/>
        <v>895.86</v>
      </c>
      <c r="M252" s="48">
        <f t="shared" si="26"/>
        <v>3043.44</v>
      </c>
      <c r="N252" s="48">
        <f t="shared" si="27"/>
        <v>3583.44</v>
      </c>
      <c r="O252" s="50">
        <f t="shared" si="28"/>
        <v>6626.88</v>
      </c>
      <c r="P252" s="50">
        <v>0</v>
      </c>
      <c r="Q252" s="76"/>
      <c r="R252" s="140">
        <f>IF((1*S9+1*S10)&gt;10,10,(1*S9+1*S10))</f>
        <v>4</v>
      </c>
      <c r="S252" s="79">
        <v>621.27</v>
      </c>
      <c r="T252" s="80">
        <v>731.5</v>
      </c>
    </row>
    <row r="253" spans="2:20">
      <c r="B253" s="101" t="s">
        <v>45</v>
      </c>
      <c r="C253" s="102" t="s">
        <v>21</v>
      </c>
      <c r="D253" s="102" t="s">
        <v>21</v>
      </c>
      <c r="E253" s="106" t="s">
        <v>86</v>
      </c>
      <c r="F253" s="102" t="s">
        <v>21</v>
      </c>
      <c r="G253" s="46">
        <f t="shared" si="29"/>
        <v>0</v>
      </c>
      <c r="H253" s="46"/>
      <c r="I253" s="46"/>
      <c r="J253" s="105"/>
      <c r="K253" s="48">
        <f t="shared" si="24"/>
        <v>0</v>
      </c>
      <c r="L253" s="48">
        <f t="shared" si="25"/>
        <v>0</v>
      </c>
      <c r="M253" s="48">
        <f t="shared" si="26"/>
        <v>0</v>
      </c>
      <c r="N253" s="48">
        <f t="shared" si="27"/>
        <v>0</v>
      </c>
      <c r="O253" s="50">
        <f t="shared" si="28"/>
        <v>0</v>
      </c>
      <c r="P253" s="104">
        <f>SUM(O254:O285)</f>
        <v>682786.95000000007</v>
      </c>
      <c r="Q253" s="76"/>
      <c r="R253" s="154"/>
      <c r="S253" s="79" t="s">
        <v>22</v>
      </c>
      <c r="T253" s="80" t="s">
        <v>22</v>
      </c>
    </row>
    <row r="254" spans="2:20" ht="70">
      <c r="B254" s="5" t="s">
        <v>623</v>
      </c>
      <c r="C254" s="45" t="s">
        <v>97</v>
      </c>
      <c r="D254" s="45" t="s">
        <v>624</v>
      </c>
      <c r="E254" s="6" t="s">
        <v>625</v>
      </c>
      <c r="F254" s="45" t="s">
        <v>121</v>
      </c>
      <c r="G254" s="46">
        <f t="shared" si="29"/>
        <v>350</v>
      </c>
      <c r="H254" s="46">
        <f>TRUNC(S254*(1-LOTE_02!$K$10),2)</f>
        <v>11.19</v>
      </c>
      <c r="I254" s="46">
        <f>TRUNC(T254*(1-LOTE_02!$K$10),2)</f>
        <v>3.7</v>
      </c>
      <c r="J254" s="100">
        <f t="shared" si="30"/>
        <v>0.22470000000000001</v>
      </c>
      <c r="K254" s="48">
        <f t="shared" si="24"/>
        <v>13.7</v>
      </c>
      <c r="L254" s="48">
        <f t="shared" si="25"/>
        <v>4.53</v>
      </c>
      <c r="M254" s="48">
        <f t="shared" si="26"/>
        <v>4795</v>
      </c>
      <c r="N254" s="48">
        <f t="shared" si="27"/>
        <v>1585.5</v>
      </c>
      <c r="O254" s="50">
        <f t="shared" si="28"/>
        <v>6380.5</v>
      </c>
      <c r="P254" s="50">
        <v>0</v>
      </c>
      <c r="Q254" s="76"/>
      <c r="R254" s="140">
        <f>IF((50*S9+200*S10)&gt;2000,2000,(50*S9+200*S10))</f>
        <v>350</v>
      </c>
      <c r="S254" s="79">
        <v>11.19</v>
      </c>
      <c r="T254" s="80">
        <v>3.7</v>
      </c>
    </row>
    <row r="255" spans="2:20" ht="84">
      <c r="B255" s="5" t="s">
        <v>626</v>
      </c>
      <c r="C255" s="45" t="s">
        <v>135</v>
      </c>
      <c r="D255" s="45">
        <v>92543</v>
      </c>
      <c r="E255" s="6" t="s">
        <v>1807</v>
      </c>
      <c r="F255" s="45" t="s">
        <v>121</v>
      </c>
      <c r="G255" s="46">
        <f t="shared" si="29"/>
        <v>230</v>
      </c>
      <c r="H255" s="46">
        <f>TRUNC(S255*(1-LOTE_02!$K$10),2)</f>
        <v>16.489999999999998</v>
      </c>
      <c r="I255" s="46">
        <f>TRUNC(T255*(1-LOTE_02!$K$10),2)</f>
        <v>4.5199999999999996</v>
      </c>
      <c r="J255" s="100">
        <f t="shared" si="30"/>
        <v>0.22470000000000001</v>
      </c>
      <c r="K255" s="48">
        <f t="shared" si="24"/>
        <v>20.190000000000001</v>
      </c>
      <c r="L255" s="48">
        <f t="shared" si="25"/>
        <v>5.53</v>
      </c>
      <c r="M255" s="48">
        <f t="shared" si="26"/>
        <v>4643.7</v>
      </c>
      <c r="N255" s="48">
        <f t="shared" si="27"/>
        <v>1271.9000000000001</v>
      </c>
      <c r="O255" s="50">
        <f t="shared" si="28"/>
        <v>5915.6</v>
      </c>
      <c r="P255" s="50">
        <v>0</v>
      </c>
      <c r="Q255" s="76"/>
      <c r="R255" s="140">
        <f>IF((10*S9+200*S10)&gt;1000,1000,(10*S9+200*S10))</f>
        <v>230</v>
      </c>
      <c r="S255" s="79">
        <v>16.490000000000002</v>
      </c>
      <c r="T255" s="80">
        <v>4.5199999999999996</v>
      </c>
    </row>
    <row r="256" spans="2:20" ht="98">
      <c r="B256" s="5" t="s">
        <v>627</v>
      </c>
      <c r="C256" s="45" t="s">
        <v>135</v>
      </c>
      <c r="D256" s="45">
        <v>92580</v>
      </c>
      <c r="E256" s="6" t="s">
        <v>1808</v>
      </c>
      <c r="F256" s="45" t="s">
        <v>121</v>
      </c>
      <c r="G256" s="46">
        <f t="shared" si="29"/>
        <v>230</v>
      </c>
      <c r="H256" s="46">
        <f>TRUNC(S256*(1-LOTE_02!$K$10),2)</f>
        <v>42.19</v>
      </c>
      <c r="I256" s="46">
        <f>TRUNC(T256*(1-LOTE_02!$K$10),2)</f>
        <v>6.42</v>
      </c>
      <c r="J256" s="100">
        <f t="shared" si="30"/>
        <v>0.22470000000000001</v>
      </c>
      <c r="K256" s="48">
        <f t="shared" si="24"/>
        <v>51.67</v>
      </c>
      <c r="L256" s="48">
        <f t="shared" si="25"/>
        <v>7.86</v>
      </c>
      <c r="M256" s="48">
        <f t="shared" si="26"/>
        <v>11884.1</v>
      </c>
      <c r="N256" s="48">
        <f t="shared" si="27"/>
        <v>1807.8</v>
      </c>
      <c r="O256" s="50">
        <f t="shared" si="28"/>
        <v>13691.9</v>
      </c>
      <c r="P256" s="50">
        <v>0</v>
      </c>
      <c r="Q256" s="76"/>
      <c r="R256" s="140">
        <f>IF((10*S9+200*S10)&gt;5000,5000,(10*S9+200*S10))</f>
        <v>230</v>
      </c>
      <c r="S256" s="79">
        <v>42.19</v>
      </c>
      <c r="T256" s="80">
        <v>6.42</v>
      </c>
    </row>
    <row r="257" spans="2:20" ht="84">
      <c r="B257" s="5" t="s">
        <v>628</v>
      </c>
      <c r="C257" s="45" t="s">
        <v>135</v>
      </c>
      <c r="D257" s="45">
        <v>94207</v>
      </c>
      <c r="E257" s="6" t="s">
        <v>629</v>
      </c>
      <c r="F257" s="45" t="s">
        <v>121</v>
      </c>
      <c r="G257" s="46">
        <f t="shared" si="29"/>
        <v>230</v>
      </c>
      <c r="H257" s="46">
        <f>TRUNC(S257*(1-LOTE_02!$K$10),2)</f>
        <v>37.130000000000003</v>
      </c>
      <c r="I257" s="46">
        <f>TRUNC(T257*(1-LOTE_02!$K$10),2)</f>
        <v>5.14</v>
      </c>
      <c r="J257" s="100">
        <f t="shared" si="30"/>
        <v>0.22470000000000001</v>
      </c>
      <c r="K257" s="48">
        <f t="shared" si="24"/>
        <v>45.47</v>
      </c>
      <c r="L257" s="48">
        <f t="shared" si="25"/>
        <v>6.29</v>
      </c>
      <c r="M257" s="48">
        <f t="shared" si="26"/>
        <v>10458.1</v>
      </c>
      <c r="N257" s="48">
        <f t="shared" si="27"/>
        <v>1446.7</v>
      </c>
      <c r="O257" s="50">
        <f t="shared" si="28"/>
        <v>11904.8</v>
      </c>
      <c r="P257" s="50">
        <v>0</v>
      </c>
      <c r="Q257" s="76"/>
      <c r="R257" s="140">
        <f>IF((10*S9+200*S10)&gt;1000,1000,(10*S9+200*S10))</f>
        <v>230</v>
      </c>
      <c r="S257" s="79">
        <v>37.130000000000003</v>
      </c>
      <c r="T257" s="80">
        <v>5.14</v>
      </c>
    </row>
    <row r="258" spans="2:20" ht="42">
      <c r="B258" s="5" t="s">
        <v>630</v>
      </c>
      <c r="C258" s="45" t="s">
        <v>135</v>
      </c>
      <c r="D258" s="45">
        <v>94216</v>
      </c>
      <c r="E258" s="6" t="s">
        <v>631</v>
      </c>
      <c r="F258" s="45" t="s">
        <v>121</v>
      </c>
      <c r="G258" s="46">
        <f t="shared" si="29"/>
        <v>230</v>
      </c>
      <c r="H258" s="46">
        <f>TRUNC(S258*(1-LOTE_02!$K$10),2)</f>
        <v>174.25</v>
      </c>
      <c r="I258" s="46">
        <f>TRUNC(T258*(1-LOTE_02!$K$10),2)</f>
        <v>2.13</v>
      </c>
      <c r="J258" s="100">
        <f t="shared" si="30"/>
        <v>0.22470000000000001</v>
      </c>
      <c r="K258" s="48">
        <f t="shared" si="24"/>
        <v>213.4</v>
      </c>
      <c r="L258" s="48">
        <f t="shared" si="25"/>
        <v>2.6</v>
      </c>
      <c r="M258" s="48">
        <f t="shared" si="26"/>
        <v>49082</v>
      </c>
      <c r="N258" s="48">
        <f t="shared" si="27"/>
        <v>598</v>
      </c>
      <c r="O258" s="50">
        <f t="shared" si="28"/>
        <v>49680</v>
      </c>
      <c r="P258" s="50">
        <v>0</v>
      </c>
      <c r="Q258" s="76"/>
      <c r="R258" s="140">
        <f>IF((10*S9+200*S10)&gt;1000,1000,(10*S9+200*S10))</f>
        <v>230</v>
      </c>
      <c r="S258" s="79">
        <v>174.25</v>
      </c>
      <c r="T258" s="80">
        <v>2.13</v>
      </c>
    </row>
    <row r="259" spans="2:20" ht="42">
      <c r="B259" s="5" t="s">
        <v>632</v>
      </c>
      <c r="C259" s="45" t="s">
        <v>135</v>
      </c>
      <c r="D259" s="45">
        <v>94213</v>
      </c>
      <c r="E259" s="6" t="s">
        <v>633</v>
      </c>
      <c r="F259" s="45" t="s">
        <v>121</v>
      </c>
      <c r="G259" s="46">
        <f t="shared" si="29"/>
        <v>230</v>
      </c>
      <c r="H259" s="46">
        <f>TRUNC(S259*(1-LOTE_02!$K$10),2)</f>
        <v>62.08</v>
      </c>
      <c r="I259" s="46">
        <f>TRUNC(T259*(1-LOTE_02!$K$10),2)</f>
        <v>3.38</v>
      </c>
      <c r="J259" s="100">
        <f t="shared" si="30"/>
        <v>0.22470000000000001</v>
      </c>
      <c r="K259" s="48">
        <f t="shared" si="24"/>
        <v>76.02</v>
      </c>
      <c r="L259" s="48">
        <f t="shared" si="25"/>
        <v>4.13</v>
      </c>
      <c r="M259" s="48">
        <f t="shared" si="26"/>
        <v>17484.599999999999</v>
      </c>
      <c r="N259" s="48">
        <f t="shared" si="27"/>
        <v>949.9</v>
      </c>
      <c r="O259" s="50">
        <f t="shared" si="28"/>
        <v>18434.5</v>
      </c>
      <c r="P259" s="50">
        <v>0</v>
      </c>
      <c r="Q259" s="76"/>
      <c r="R259" s="140">
        <f>IF((10*S9+200*S10)&gt;1000,1000,(10*S9+200*S10))</f>
        <v>230</v>
      </c>
      <c r="S259" s="79">
        <v>62.079999999999991</v>
      </c>
      <c r="T259" s="80">
        <v>3.38</v>
      </c>
    </row>
    <row r="260" spans="2:20" ht="56">
      <c r="B260" s="5" t="s">
        <v>634</v>
      </c>
      <c r="C260" s="45" t="s">
        <v>135</v>
      </c>
      <c r="D260" s="45">
        <v>94227</v>
      </c>
      <c r="E260" s="6" t="s">
        <v>635</v>
      </c>
      <c r="F260" s="45" t="s">
        <v>187</v>
      </c>
      <c r="G260" s="46">
        <f t="shared" si="29"/>
        <v>200</v>
      </c>
      <c r="H260" s="46">
        <f>TRUNC(S260*(1-LOTE_02!$K$10),2)</f>
        <v>48.95</v>
      </c>
      <c r="I260" s="46">
        <f>TRUNC(T260*(1-LOTE_02!$K$10),2)</f>
        <v>8.57</v>
      </c>
      <c r="J260" s="100">
        <f t="shared" si="30"/>
        <v>0.22470000000000001</v>
      </c>
      <c r="K260" s="48">
        <f t="shared" si="24"/>
        <v>59.94</v>
      </c>
      <c r="L260" s="48">
        <f t="shared" si="25"/>
        <v>10.49</v>
      </c>
      <c r="M260" s="48">
        <f t="shared" si="26"/>
        <v>11988</v>
      </c>
      <c r="N260" s="48">
        <f t="shared" si="27"/>
        <v>2098</v>
      </c>
      <c r="O260" s="50">
        <f t="shared" si="28"/>
        <v>14086</v>
      </c>
      <c r="P260" s="50">
        <v>0</v>
      </c>
      <c r="Q260" s="76"/>
      <c r="R260" s="140">
        <f>IF((50*S10+50*S9)&gt;500,500,(50*S10+50*S9))</f>
        <v>200</v>
      </c>
      <c r="S260" s="79">
        <v>48.95</v>
      </c>
      <c r="T260" s="80">
        <v>8.57</v>
      </c>
    </row>
    <row r="261" spans="2:20" ht="56">
      <c r="B261" s="5" t="s">
        <v>636</v>
      </c>
      <c r="C261" s="45" t="s">
        <v>135</v>
      </c>
      <c r="D261" s="45">
        <v>94228</v>
      </c>
      <c r="E261" s="6" t="s">
        <v>637</v>
      </c>
      <c r="F261" s="45" t="s">
        <v>187</v>
      </c>
      <c r="G261" s="46">
        <f t="shared" si="29"/>
        <v>110</v>
      </c>
      <c r="H261" s="46">
        <f>TRUNC(S261*(1-LOTE_02!$K$10),2)</f>
        <v>66.05</v>
      </c>
      <c r="I261" s="46">
        <f>TRUNC(T261*(1-LOTE_02!$K$10),2)</f>
        <v>11.67</v>
      </c>
      <c r="J261" s="100">
        <f t="shared" si="30"/>
        <v>0.22470000000000001</v>
      </c>
      <c r="K261" s="48">
        <f t="shared" si="24"/>
        <v>80.89</v>
      </c>
      <c r="L261" s="48">
        <f t="shared" si="25"/>
        <v>14.29</v>
      </c>
      <c r="M261" s="48">
        <f t="shared" si="26"/>
        <v>8897.9</v>
      </c>
      <c r="N261" s="48">
        <f t="shared" si="27"/>
        <v>1571.9</v>
      </c>
      <c r="O261" s="50">
        <f t="shared" si="28"/>
        <v>10469.799999999999</v>
      </c>
      <c r="P261" s="50">
        <v>0</v>
      </c>
      <c r="Q261" s="76"/>
      <c r="R261" s="140">
        <f>IF((50*S10+20*S9)&gt;500,500,(50*S10+20*S9))</f>
        <v>110</v>
      </c>
      <c r="S261" s="79">
        <v>66.05</v>
      </c>
      <c r="T261" s="80">
        <v>11.67</v>
      </c>
    </row>
    <row r="262" spans="2:20" ht="56">
      <c r="B262" s="5" t="s">
        <v>638</v>
      </c>
      <c r="C262" s="45" t="s">
        <v>135</v>
      </c>
      <c r="D262" s="45">
        <v>94229</v>
      </c>
      <c r="E262" s="6" t="s">
        <v>639</v>
      </c>
      <c r="F262" s="45" t="s">
        <v>187</v>
      </c>
      <c r="G262" s="46">
        <f t="shared" si="29"/>
        <v>110</v>
      </c>
      <c r="H262" s="46">
        <f>TRUNC(S262*(1-LOTE_02!$K$10),2)</f>
        <v>129.07</v>
      </c>
      <c r="I262" s="46">
        <f>TRUNC(T262*(1-LOTE_02!$K$10),2)</f>
        <v>20.87</v>
      </c>
      <c r="J262" s="100">
        <f t="shared" si="30"/>
        <v>0.22470000000000001</v>
      </c>
      <c r="K262" s="48">
        <f t="shared" si="24"/>
        <v>158.07</v>
      </c>
      <c r="L262" s="48">
        <f t="shared" si="25"/>
        <v>25.55</v>
      </c>
      <c r="M262" s="48">
        <f t="shared" si="26"/>
        <v>17387.7</v>
      </c>
      <c r="N262" s="48">
        <f t="shared" si="27"/>
        <v>2810.5</v>
      </c>
      <c r="O262" s="50">
        <f t="shared" si="28"/>
        <v>20198.2</v>
      </c>
      <c r="P262" s="50">
        <v>0</v>
      </c>
      <c r="Q262" s="76"/>
      <c r="R262" s="140">
        <f>IF((50*S10+20*S9)&gt;500,500,(50*S10+20*S9))</f>
        <v>110</v>
      </c>
      <c r="S262" s="79">
        <v>129.07</v>
      </c>
      <c r="T262" s="80">
        <v>20.87</v>
      </c>
    </row>
    <row r="263" spans="2:20" ht="56">
      <c r="B263" s="5" t="s">
        <v>640</v>
      </c>
      <c r="C263" s="45" t="s">
        <v>135</v>
      </c>
      <c r="D263" s="45">
        <v>94223</v>
      </c>
      <c r="E263" s="6" t="s">
        <v>641</v>
      </c>
      <c r="F263" s="45" t="s">
        <v>187</v>
      </c>
      <c r="G263" s="46">
        <f t="shared" si="29"/>
        <v>200</v>
      </c>
      <c r="H263" s="46">
        <f>TRUNC(S263*(1-LOTE_02!$K$10),2)</f>
        <v>74.14</v>
      </c>
      <c r="I263" s="46">
        <f>TRUNC(T263*(1-LOTE_02!$K$10),2)</f>
        <v>2.5</v>
      </c>
      <c r="J263" s="100">
        <f t="shared" si="30"/>
        <v>0.22470000000000001</v>
      </c>
      <c r="K263" s="48">
        <f t="shared" si="24"/>
        <v>90.79</v>
      </c>
      <c r="L263" s="48">
        <f t="shared" si="25"/>
        <v>3.06</v>
      </c>
      <c r="M263" s="48">
        <f t="shared" si="26"/>
        <v>18158</v>
      </c>
      <c r="N263" s="48">
        <f t="shared" si="27"/>
        <v>612</v>
      </c>
      <c r="O263" s="50">
        <f t="shared" si="28"/>
        <v>18770</v>
      </c>
      <c r="P263" s="50">
        <v>0</v>
      </c>
      <c r="Q263" s="76"/>
      <c r="R263" s="140">
        <f>IF((50*S10+50*S9)&gt;500,500,(50*S10+50*S9))</f>
        <v>200</v>
      </c>
      <c r="S263" s="79">
        <v>74.14</v>
      </c>
      <c r="T263" s="80">
        <v>2.5</v>
      </c>
    </row>
    <row r="264" spans="2:20" ht="28">
      <c r="B264" s="5" t="s">
        <v>642</v>
      </c>
      <c r="C264" s="45" t="s">
        <v>165</v>
      </c>
      <c r="D264" s="45" t="s">
        <v>643</v>
      </c>
      <c r="E264" s="6" t="s">
        <v>644</v>
      </c>
      <c r="F264" s="45" t="s">
        <v>531</v>
      </c>
      <c r="G264" s="46">
        <f t="shared" si="29"/>
        <v>200</v>
      </c>
      <c r="H264" s="46">
        <f>TRUNC(S264*(1-LOTE_02!$K$10),2)</f>
        <v>119.54</v>
      </c>
      <c r="I264" s="46">
        <f>TRUNC(T264*(1-LOTE_02!$K$10),2)</f>
        <v>3.83</v>
      </c>
      <c r="J264" s="100">
        <f t="shared" si="30"/>
        <v>0.22470000000000001</v>
      </c>
      <c r="K264" s="48">
        <f t="shared" si="24"/>
        <v>146.4</v>
      </c>
      <c r="L264" s="48">
        <f t="shared" si="25"/>
        <v>4.6900000000000004</v>
      </c>
      <c r="M264" s="48">
        <f t="shared" si="26"/>
        <v>29280</v>
      </c>
      <c r="N264" s="48">
        <f t="shared" si="27"/>
        <v>938</v>
      </c>
      <c r="O264" s="50">
        <f t="shared" si="28"/>
        <v>30218</v>
      </c>
      <c r="P264" s="50">
        <v>0</v>
      </c>
      <c r="Q264" s="76"/>
      <c r="R264" s="140">
        <f>IF((50*S10+50*S9)&gt;500,500,(50*S10+50*S9))</f>
        <v>200</v>
      </c>
      <c r="S264" s="79">
        <v>119.54</v>
      </c>
      <c r="T264" s="80">
        <v>3.83</v>
      </c>
    </row>
    <row r="265" spans="2:20" ht="28">
      <c r="B265" s="5" t="s">
        <v>645</v>
      </c>
      <c r="C265" s="45" t="s">
        <v>97</v>
      </c>
      <c r="D265" s="45" t="s">
        <v>646</v>
      </c>
      <c r="E265" s="6" t="s">
        <v>647</v>
      </c>
      <c r="F265" s="45" t="s">
        <v>187</v>
      </c>
      <c r="G265" s="46">
        <f t="shared" si="29"/>
        <v>200</v>
      </c>
      <c r="H265" s="46">
        <f>TRUNC(S265*(1-LOTE_02!$K$10),2)</f>
        <v>60.35</v>
      </c>
      <c r="I265" s="46">
        <f>TRUNC(T265*(1-LOTE_02!$K$10),2)</f>
        <v>4.68</v>
      </c>
      <c r="J265" s="100">
        <f t="shared" si="30"/>
        <v>0.22470000000000001</v>
      </c>
      <c r="K265" s="48">
        <f t="shared" si="24"/>
        <v>73.91</v>
      </c>
      <c r="L265" s="48">
        <f t="shared" si="25"/>
        <v>5.73</v>
      </c>
      <c r="M265" s="48">
        <f t="shared" si="26"/>
        <v>14782</v>
      </c>
      <c r="N265" s="48">
        <f t="shared" si="27"/>
        <v>1146</v>
      </c>
      <c r="O265" s="50">
        <f t="shared" si="28"/>
        <v>15928</v>
      </c>
      <c r="P265" s="50">
        <v>0</v>
      </c>
      <c r="Q265" s="76"/>
      <c r="R265" s="140">
        <f>IF((50*S10+50*S9)&gt;500,500,(50*S10+50*S9))</f>
        <v>200</v>
      </c>
      <c r="S265" s="79">
        <v>60.35</v>
      </c>
      <c r="T265" s="80">
        <v>4.68</v>
      </c>
    </row>
    <row r="266" spans="2:20" ht="56">
      <c r="B266" s="5" t="s">
        <v>648</v>
      </c>
      <c r="C266" s="45" t="s">
        <v>135</v>
      </c>
      <c r="D266" s="45">
        <v>100327</v>
      </c>
      <c r="E266" s="6" t="s">
        <v>649</v>
      </c>
      <c r="F266" s="45" t="s">
        <v>187</v>
      </c>
      <c r="G266" s="46">
        <f t="shared" si="29"/>
        <v>200</v>
      </c>
      <c r="H266" s="46">
        <f>TRUNC(S266*(1-LOTE_02!$K$10),2)</f>
        <v>46.4</v>
      </c>
      <c r="I266" s="46">
        <f>TRUNC(T266*(1-LOTE_02!$K$10),2)</f>
        <v>6.87</v>
      </c>
      <c r="J266" s="100">
        <f t="shared" si="30"/>
        <v>0.22470000000000001</v>
      </c>
      <c r="K266" s="48">
        <f t="shared" si="24"/>
        <v>56.82</v>
      </c>
      <c r="L266" s="48">
        <f t="shared" si="25"/>
        <v>8.41</v>
      </c>
      <c r="M266" s="48">
        <f t="shared" si="26"/>
        <v>11364</v>
      </c>
      <c r="N266" s="48">
        <f t="shared" si="27"/>
        <v>1682</v>
      </c>
      <c r="O266" s="50">
        <f t="shared" si="28"/>
        <v>13046</v>
      </c>
      <c r="P266" s="50">
        <v>0</v>
      </c>
      <c r="Q266" s="76"/>
      <c r="R266" s="140">
        <f>IF((50*S10+50*S9)&gt;500,500,(50*S10+50*S9))</f>
        <v>200</v>
      </c>
      <c r="S266" s="79">
        <v>46.400000000000006</v>
      </c>
      <c r="T266" s="80">
        <v>6.87</v>
      </c>
    </row>
    <row r="267" spans="2:20" ht="56">
      <c r="B267" s="5" t="s">
        <v>650</v>
      </c>
      <c r="C267" s="45" t="s">
        <v>135</v>
      </c>
      <c r="D267" s="45">
        <v>100435</v>
      </c>
      <c r="E267" s="6" t="s">
        <v>651</v>
      </c>
      <c r="F267" s="45" t="s">
        <v>187</v>
      </c>
      <c r="G267" s="46">
        <f t="shared" si="29"/>
        <v>200</v>
      </c>
      <c r="H267" s="46">
        <f>TRUNC(S267*(1-LOTE_02!$K$10),2)</f>
        <v>45.05</v>
      </c>
      <c r="I267" s="46">
        <f>TRUNC(T267*(1-LOTE_02!$K$10),2)</f>
        <v>5.51</v>
      </c>
      <c r="J267" s="100">
        <f t="shared" si="30"/>
        <v>0.22470000000000001</v>
      </c>
      <c r="K267" s="48">
        <f t="shared" si="24"/>
        <v>55.17</v>
      </c>
      <c r="L267" s="48">
        <f t="shared" si="25"/>
        <v>6.74</v>
      </c>
      <c r="M267" s="48">
        <f t="shared" si="26"/>
        <v>11034</v>
      </c>
      <c r="N267" s="48">
        <f t="shared" si="27"/>
        <v>1348</v>
      </c>
      <c r="O267" s="50">
        <f t="shared" si="28"/>
        <v>12382</v>
      </c>
      <c r="P267" s="50">
        <v>0</v>
      </c>
      <c r="Q267" s="76"/>
      <c r="R267" s="140">
        <f>IF((50*S10+50*S9)&gt;500,500,(50*S10+50*S9))</f>
        <v>200</v>
      </c>
      <c r="S267" s="79">
        <v>45.050000000000004</v>
      </c>
      <c r="T267" s="80">
        <v>5.51</v>
      </c>
    </row>
    <row r="268" spans="2:20" ht="42">
      <c r="B268" s="5" t="s">
        <v>652</v>
      </c>
      <c r="C268" s="45" t="s">
        <v>135</v>
      </c>
      <c r="D268" s="45">
        <v>94231</v>
      </c>
      <c r="E268" s="6" t="s">
        <v>653</v>
      </c>
      <c r="F268" s="45" t="s">
        <v>187</v>
      </c>
      <c r="G268" s="46">
        <f t="shared" si="29"/>
        <v>200</v>
      </c>
      <c r="H268" s="46">
        <f>TRUNC(S268*(1-LOTE_02!$K$10),2)</f>
        <v>41.84</v>
      </c>
      <c r="I268" s="46">
        <f>TRUNC(T268*(1-LOTE_02!$K$10),2)</f>
        <v>5.76</v>
      </c>
      <c r="J268" s="100">
        <f t="shared" si="30"/>
        <v>0.22470000000000001</v>
      </c>
      <c r="K268" s="48">
        <f t="shared" si="24"/>
        <v>51.24</v>
      </c>
      <c r="L268" s="48">
        <f t="shared" si="25"/>
        <v>7.05</v>
      </c>
      <c r="M268" s="48">
        <f t="shared" si="26"/>
        <v>10248</v>
      </c>
      <c r="N268" s="48">
        <f t="shared" si="27"/>
        <v>1410</v>
      </c>
      <c r="O268" s="50">
        <f t="shared" si="28"/>
        <v>11658</v>
      </c>
      <c r="P268" s="50">
        <v>0</v>
      </c>
      <c r="Q268" s="76"/>
      <c r="R268" s="140">
        <f>IF((50*S10+50*S9)&gt;500,500,(50*S10+50*S9))</f>
        <v>200</v>
      </c>
      <c r="S268" s="79">
        <v>41.84</v>
      </c>
      <c r="T268" s="80">
        <v>5.76</v>
      </c>
    </row>
    <row r="269" spans="2:20" ht="28">
      <c r="B269" s="5" t="s">
        <v>654</v>
      </c>
      <c r="C269" s="45" t="s">
        <v>97</v>
      </c>
      <c r="D269" s="45" t="s">
        <v>655</v>
      </c>
      <c r="E269" s="6" t="s">
        <v>656</v>
      </c>
      <c r="F269" s="45" t="s">
        <v>161</v>
      </c>
      <c r="G269" s="46">
        <f t="shared" si="29"/>
        <v>5</v>
      </c>
      <c r="H269" s="46">
        <f>TRUNC(S269*(1-LOTE_02!$K$10),2)</f>
        <v>3099.2</v>
      </c>
      <c r="I269" s="46">
        <f>TRUNC(T269*(1-LOTE_02!$K$10),2)</f>
        <v>861.36</v>
      </c>
      <c r="J269" s="100">
        <f t="shared" si="30"/>
        <v>0.22470000000000001</v>
      </c>
      <c r="K269" s="48">
        <f t="shared" si="24"/>
        <v>3795.59</v>
      </c>
      <c r="L269" s="48">
        <f t="shared" si="25"/>
        <v>1054.9000000000001</v>
      </c>
      <c r="M269" s="48">
        <f t="shared" si="26"/>
        <v>18977.95</v>
      </c>
      <c r="N269" s="48">
        <f t="shared" si="27"/>
        <v>5274.5</v>
      </c>
      <c r="O269" s="50">
        <f t="shared" si="28"/>
        <v>24252.45</v>
      </c>
      <c r="P269" s="50">
        <v>0</v>
      </c>
      <c r="Q269" s="76"/>
      <c r="R269" s="140">
        <f>IF((S9+2*S10)&gt;50,50,(S9+2*S10))</f>
        <v>5</v>
      </c>
      <c r="S269" s="79">
        <v>3099.2</v>
      </c>
      <c r="T269" s="80">
        <v>861.36</v>
      </c>
    </row>
    <row r="270" spans="2:20" ht="56">
      <c r="B270" s="5" t="s">
        <v>657</v>
      </c>
      <c r="C270" s="45" t="s">
        <v>135</v>
      </c>
      <c r="D270" s="45">
        <v>98562</v>
      </c>
      <c r="E270" s="6" t="s">
        <v>658</v>
      </c>
      <c r="F270" s="45" t="s">
        <v>121</v>
      </c>
      <c r="G270" s="46">
        <f t="shared" si="29"/>
        <v>200</v>
      </c>
      <c r="H270" s="46">
        <f>TRUNC(S270*(1-LOTE_02!$K$10),2)</f>
        <v>27.42</v>
      </c>
      <c r="I270" s="46">
        <f>TRUNC(T270*(1-LOTE_02!$K$10),2)</f>
        <v>26.83</v>
      </c>
      <c r="J270" s="100">
        <f t="shared" si="30"/>
        <v>0.22470000000000001</v>
      </c>
      <c r="K270" s="48">
        <f t="shared" si="24"/>
        <v>33.58</v>
      </c>
      <c r="L270" s="48">
        <f t="shared" si="25"/>
        <v>32.85</v>
      </c>
      <c r="M270" s="48">
        <f t="shared" si="26"/>
        <v>6716</v>
      </c>
      <c r="N270" s="48">
        <f t="shared" si="27"/>
        <v>6570</v>
      </c>
      <c r="O270" s="50">
        <f t="shared" si="28"/>
        <v>13286</v>
      </c>
      <c r="P270" s="50">
        <v>0</v>
      </c>
      <c r="Q270" s="76"/>
      <c r="R270" s="140">
        <f>50*S9+50*S10</f>
        <v>200</v>
      </c>
      <c r="S270" s="79">
        <v>27.42</v>
      </c>
      <c r="T270" s="80">
        <v>26.83</v>
      </c>
    </row>
    <row r="271" spans="2:20" ht="56">
      <c r="B271" s="5" t="s">
        <v>659</v>
      </c>
      <c r="C271" s="45" t="s">
        <v>135</v>
      </c>
      <c r="D271" s="45">
        <v>98555</v>
      </c>
      <c r="E271" s="6" t="s">
        <v>660</v>
      </c>
      <c r="F271" s="45" t="s">
        <v>121</v>
      </c>
      <c r="G271" s="46">
        <f t="shared" si="29"/>
        <v>400</v>
      </c>
      <c r="H271" s="46">
        <f>TRUNC(S271*(1-LOTE_02!$K$10),2)</f>
        <v>17.809999999999999</v>
      </c>
      <c r="I271" s="46">
        <f>TRUNC(T271*(1-LOTE_02!$K$10),2)</f>
        <v>14.69</v>
      </c>
      <c r="J271" s="100">
        <f t="shared" si="30"/>
        <v>0.22470000000000001</v>
      </c>
      <c r="K271" s="48">
        <f t="shared" si="24"/>
        <v>21.81</v>
      </c>
      <c r="L271" s="48">
        <f t="shared" si="25"/>
        <v>17.989999999999998</v>
      </c>
      <c r="M271" s="48">
        <f t="shared" si="26"/>
        <v>8724</v>
      </c>
      <c r="N271" s="48">
        <f t="shared" si="27"/>
        <v>7196</v>
      </c>
      <c r="O271" s="50">
        <f t="shared" si="28"/>
        <v>15920</v>
      </c>
      <c r="P271" s="50">
        <v>0</v>
      </c>
      <c r="Q271" s="76"/>
      <c r="R271" s="140">
        <f>100*S9+100*S10</f>
        <v>400</v>
      </c>
      <c r="S271" s="79">
        <v>17.810000000000002</v>
      </c>
      <c r="T271" s="80">
        <v>14.69</v>
      </c>
    </row>
    <row r="272" spans="2:20" ht="70">
      <c r="B272" s="5" t="s">
        <v>661</v>
      </c>
      <c r="C272" s="45" t="s">
        <v>135</v>
      </c>
      <c r="D272" s="45">
        <v>98556</v>
      </c>
      <c r="E272" s="6" t="s">
        <v>1809</v>
      </c>
      <c r="F272" s="45" t="s">
        <v>121</v>
      </c>
      <c r="G272" s="46">
        <f t="shared" si="29"/>
        <v>400</v>
      </c>
      <c r="H272" s="46">
        <f>TRUNC(S272*(1-LOTE_02!$K$10),2)</f>
        <v>38.28</v>
      </c>
      <c r="I272" s="46">
        <f>TRUNC(T272*(1-LOTE_02!$K$10),2)</f>
        <v>23.62</v>
      </c>
      <c r="J272" s="100">
        <f t="shared" si="30"/>
        <v>0.22470000000000001</v>
      </c>
      <c r="K272" s="48">
        <f t="shared" ref="K272:K335" si="31">TRUNC(H272*(1+J272),2)</f>
        <v>46.88</v>
      </c>
      <c r="L272" s="48">
        <f t="shared" ref="L272:L335" si="32">TRUNC(I272*(1+J272),2)</f>
        <v>28.92</v>
      </c>
      <c r="M272" s="48">
        <f t="shared" ref="M272:M335" si="33">TRUNC(K272*G272,2)</f>
        <v>18752</v>
      </c>
      <c r="N272" s="48">
        <f t="shared" ref="N272:N335" si="34">TRUNC(L272*G272,2)</f>
        <v>11568</v>
      </c>
      <c r="O272" s="50">
        <f t="shared" ref="O272:O335" si="35">TRUNC(M272+N272,2)</f>
        <v>30320</v>
      </c>
      <c r="P272" s="50">
        <v>0</v>
      </c>
      <c r="Q272" s="76"/>
      <c r="R272" s="140">
        <f>100*S9+100*S10</f>
        <v>400</v>
      </c>
      <c r="S272" s="79">
        <v>38.28</v>
      </c>
      <c r="T272" s="80">
        <v>23.62</v>
      </c>
    </row>
    <row r="273" spans="2:20" ht="70">
      <c r="B273" s="5" t="s">
        <v>662</v>
      </c>
      <c r="C273" s="45" t="s">
        <v>135</v>
      </c>
      <c r="D273" s="45">
        <v>98547</v>
      </c>
      <c r="E273" s="6" t="s">
        <v>663</v>
      </c>
      <c r="F273" s="45" t="s">
        <v>121</v>
      </c>
      <c r="G273" s="46">
        <f t="shared" si="29"/>
        <v>400</v>
      </c>
      <c r="H273" s="46">
        <f>TRUNC(S273*(1-LOTE_02!$K$10),2)</f>
        <v>216.33</v>
      </c>
      <c r="I273" s="46">
        <f>TRUNC(T273*(1-LOTE_02!$K$10),2)</f>
        <v>33.700000000000003</v>
      </c>
      <c r="J273" s="100">
        <f t="shared" si="30"/>
        <v>0.22470000000000001</v>
      </c>
      <c r="K273" s="48">
        <f t="shared" si="31"/>
        <v>264.93</v>
      </c>
      <c r="L273" s="48">
        <f t="shared" si="32"/>
        <v>41.27</v>
      </c>
      <c r="M273" s="48">
        <f t="shared" si="33"/>
        <v>105972</v>
      </c>
      <c r="N273" s="48">
        <f t="shared" si="34"/>
        <v>16508</v>
      </c>
      <c r="O273" s="50">
        <f t="shared" si="35"/>
        <v>122480</v>
      </c>
      <c r="P273" s="50">
        <v>0</v>
      </c>
      <c r="Q273" s="76"/>
      <c r="R273" s="140">
        <f>100*S9+100*S10</f>
        <v>400</v>
      </c>
      <c r="S273" s="79">
        <v>216.32999999999998</v>
      </c>
      <c r="T273" s="80">
        <v>33.700000000000003</v>
      </c>
    </row>
    <row r="274" spans="2:20" ht="42">
      <c r="B274" s="5" t="s">
        <v>664</v>
      </c>
      <c r="C274" s="45" t="s">
        <v>135</v>
      </c>
      <c r="D274" s="45">
        <v>98553</v>
      </c>
      <c r="E274" s="6" t="s">
        <v>665</v>
      </c>
      <c r="F274" s="45" t="s">
        <v>121</v>
      </c>
      <c r="G274" s="46">
        <f t="shared" ref="G274:G337" si="36">TRUNC(R274,2)</f>
        <v>400</v>
      </c>
      <c r="H274" s="46">
        <f>TRUNC(S274*(1-LOTE_02!$K$10),2)</f>
        <v>170.11</v>
      </c>
      <c r="I274" s="46">
        <f>TRUNC(T274*(1-LOTE_02!$K$10),2)</f>
        <v>11.22</v>
      </c>
      <c r="J274" s="100">
        <f t="shared" ref="J274:J337" si="37">$J$4</f>
        <v>0.22470000000000001</v>
      </c>
      <c r="K274" s="48">
        <f t="shared" si="31"/>
        <v>208.33</v>
      </c>
      <c r="L274" s="48">
        <f t="shared" si="32"/>
        <v>13.74</v>
      </c>
      <c r="M274" s="48">
        <f t="shared" si="33"/>
        <v>83332</v>
      </c>
      <c r="N274" s="48">
        <f t="shared" si="34"/>
        <v>5496</v>
      </c>
      <c r="O274" s="50">
        <f t="shared" si="35"/>
        <v>88828</v>
      </c>
      <c r="P274" s="50">
        <v>0</v>
      </c>
      <c r="Q274" s="76"/>
      <c r="R274" s="140">
        <f>100*S9+100*S10</f>
        <v>400</v>
      </c>
      <c r="S274" s="79">
        <v>170.11</v>
      </c>
      <c r="T274" s="80">
        <v>11.22</v>
      </c>
    </row>
    <row r="275" spans="2:20" ht="42">
      <c r="B275" s="5" t="s">
        <v>666</v>
      </c>
      <c r="C275" s="45" t="s">
        <v>135</v>
      </c>
      <c r="D275" s="45">
        <v>98557</v>
      </c>
      <c r="E275" s="6" t="s">
        <v>667</v>
      </c>
      <c r="F275" s="45" t="s">
        <v>121</v>
      </c>
      <c r="G275" s="46">
        <f t="shared" si="36"/>
        <v>400</v>
      </c>
      <c r="H275" s="46">
        <f>TRUNC(S275*(1-LOTE_02!$K$10),2)</f>
        <v>39.729999999999997</v>
      </c>
      <c r="I275" s="46">
        <f>TRUNC(T275*(1-LOTE_02!$K$10),2)</f>
        <v>10.37</v>
      </c>
      <c r="J275" s="100">
        <f t="shared" si="37"/>
        <v>0.22470000000000001</v>
      </c>
      <c r="K275" s="48">
        <f t="shared" si="31"/>
        <v>48.65</v>
      </c>
      <c r="L275" s="48">
        <f t="shared" si="32"/>
        <v>12.7</v>
      </c>
      <c r="M275" s="48">
        <f t="shared" si="33"/>
        <v>19460</v>
      </c>
      <c r="N275" s="48">
        <f t="shared" si="34"/>
        <v>5080</v>
      </c>
      <c r="O275" s="50">
        <f t="shared" si="35"/>
        <v>24540</v>
      </c>
      <c r="P275" s="50">
        <v>0</v>
      </c>
      <c r="Q275" s="76"/>
      <c r="R275" s="140">
        <f>100*S9+100*S10</f>
        <v>400</v>
      </c>
      <c r="S275" s="79">
        <v>39.730000000000004</v>
      </c>
      <c r="T275" s="80">
        <v>10.37</v>
      </c>
    </row>
    <row r="276" spans="2:20" ht="42">
      <c r="B276" s="5" t="s">
        <v>668</v>
      </c>
      <c r="C276" s="45" t="s">
        <v>135</v>
      </c>
      <c r="D276" s="45">
        <v>98554</v>
      </c>
      <c r="E276" s="6" t="s">
        <v>669</v>
      </c>
      <c r="F276" s="45" t="s">
        <v>121</v>
      </c>
      <c r="G276" s="46">
        <f t="shared" si="36"/>
        <v>400</v>
      </c>
      <c r="H276" s="46">
        <f>TRUNC(S276*(1-LOTE_02!$K$10),2)</f>
        <v>36.479999999999997</v>
      </c>
      <c r="I276" s="46">
        <f>TRUNC(T276*(1-LOTE_02!$K$10),2)</f>
        <v>13.11</v>
      </c>
      <c r="J276" s="100">
        <f t="shared" si="37"/>
        <v>0.22470000000000001</v>
      </c>
      <c r="K276" s="48">
        <f t="shared" si="31"/>
        <v>44.67</v>
      </c>
      <c r="L276" s="48">
        <f t="shared" si="32"/>
        <v>16.05</v>
      </c>
      <c r="M276" s="48">
        <f t="shared" si="33"/>
        <v>17868</v>
      </c>
      <c r="N276" s="48">
        <f t="shared" si="34"/>
        <v>6420</v>
      </c>
      <c r="O276" s="50">
        <f t="shared" si="35"/>
        <v>24288</v>
      </c>
      <c r="P276" s="50">
        <v>0</v>
      </c>
      <c r="Q276" s="76"/>
      <c r="R276" s="140">
        <f>100*S9+100*S10</f>
        <v>400</v>
      </c>
      <c r="S276" s="79">
        <v>36.480000000000004</v>
      </c>
      <c r="T276" s="80">
        <v>13.11</v>
      </c>
    </row>
    <row r="277" spans="2:20" ht="28">
      <c r="B277" s="5" t="s">
        <v>670</v>
      </c>
      <c r="C277" s="45" t="s">
        <v>165</v>
      </c>
      <c r="D277" s="45" t="s">
        <v>671</v>
      </c>
      <c r="E277" s="6" t="s">
        <v>672</v>
      </c>
      <c r="F277" s="45" t="s">
        <v>531</v>
      </c>
      <c r="G277" s="46">
        <f t="shared" si="36"/>
        <v>200</v>
      </c>
      <c r="H277" s="46">
        <f>TRUNC(S277*(1-LOTE_02!$K$10),2)</f>
        <v>17.25</v>
      </c>
      <c r="I277" s="46">
        <f>TRUNC(T277*(1-LOTE_02!$K$10),2)</f>
        <v>5.27</v>
      </c>
      <c r="J277" s="100">
        <f t="shared" si="37"/>
        <v>0.22470000000000001</v>
      </c>
      <c r="K277" s="48">
        <f t="shared" si="31"/>
        <v>21.12</v>
      </c>
      <c r="L277" s="48">
        <f t="shared" si="32"/>
        <v>6.45</v>
      </c>
      <c r="M277" s="48">
        <f t="shared" si="33"/>
        <v>4224</v>
      </c>
      <c r="N277" s="48">
        <f t="shared" si="34"/>
        <v>1290</v>
      </c>
      <c r="O277" s="50">
        <f t="shared" si="35"/>
        <v>5514</v>
      </c>
      <c r="P277" s="50">
        <v>0</v>
      </c>
      <c r="Q277" s="76"/>
      <c r="R277" s="140">
        <f>50*S9+50*S10</f>
        <v>200</v>
      </c>
      <c r="S277" s="79">
        <v>17.25</v>
      </c>
      <c r="T277" s="80">
        <v>5.27</v>
      </c>
    </row>
    <row r="278" spans="2:20" ht="42">
      <c r="B278" s="5" t="s">
        <v>673</v>
      </c>
      <c r="C278" s="45" t="s">
        <v>165</v>
      </c>
      <c r="D278" s="45" t="s">
        <v>674</v>
      </c>
      <c r="E278" s="6" t="s">
        <v>675</v>
      </c>
      <c r="F278" s="45" t="s">
        <v>168</v>
      </c>
      <c r="G278" s="46">
        <f t="shared" si="36"/>
        <v>200</v>
      </c>
      <c r="H278" s="46">
        <f>TRUNC(S278*(1-LOTE_02!$K$10),2)</f>
        <v>58.1</v>
      </c>
      <c r="I278" s="46">
        <f>TRUNC(T278*(1-LOTE_02!$K$10),2)</f>
        <v>10.93</v>
      </c>
      <c r="J278" s="100">
        <f t="shared" si="37"/>
        <v>0.22470000000000001</v>
      </c>
      <c r="K278" s="48">
        <f t="shared" si="31"/>
        <v>71.150000000000006</v>
      </c>
      <c r="L278" s="48">
        <f t="shared" si="32"/>
        <v>13.38</v>
      </c>
      <c r="M278" s="48">
        <f t="shared" si="33"/>
        <v>14230</v>
      </c>
      <c r="N278" s="48">
        <f t="shared" si="34"/>
        <v>2676</v>
      </c>
      <c r="O278" s="50">
        <f t="shared" si="35"/>
        <v>16906</v>
      </c>
      <c r="P278" s="50">
        <v>0</v>
      </c>
      <c r="Q278" s="76"/>
      <c r="R278" s="140">
        <f>50*S9+50*S10</f>
        <v>200</v>
      </c>
      <c r="S278" s="79">
        <v>58.1</v>
      </c>
      <c r="T278" s="80">
        <v>10.93</v>
      </c>
    </row>
    <row r="279" spans="2:20" ht="42">
      <c r="B279" s="5" t="s">
        <v>676</v>
      </c>
      <c r="C279" s="45" t="s">
        <v>165</v>
      </c>
      <c r="D279" s="45" t="s">
        <v>677</v>
      </c>
      <c r="E279" s="6" t="s">
        <v>678</v>
      </c>
      <c r="F279" s="45" t="s">
        <v>168</v>
      </c>
      <c r="G279" s="46">
        <f t="shared" si="36"/>
        <v>200</v>
      </c>
      <c r="H279" s="46">
        <f>TRUNC(S279*(1-LOTE_02!$K$10),2)</f>
        <v>110.11</v>
      </c>
      <c r="I279" s="46">
        <f>TRUNC(T279*(1-LOTE_02!$K$10),2)</f>
        <v>79.19</v>
      </c>
      <c r="J279" s="100">
        <f t="shared" si="37"/>
        <v>0.22470000000000001</v>
      </c>
      <c r="K279" s="48">
        <f t="shared" si="31"/>
        <v>134.85</v>
      </c>
      <c r="L279" s="48">
        <f t="shared" si="32"/>
        <v>96.98</v>
      </c>
      <c r="M279" s="48">
        <f t="shared" si="33"/>
        <v>26970</v>
      </c>
      <c r="N279" s="48">
        <f t="shared" si="34"/>
        <v>19396</v>
      </c>
      <c r="O279" s="50">
        <f t="shared" si="35"/>
        <v>46366</v>
      </c>
      <c r="P279" s="50">
        <v>0</v>
      </c>
      <c r="Q279" s="76"/>
      <c r="R279" s="140">
        <f>50*S9+50*S10</f>
        <v>200</v>
      </c>
      <c r="S279" s="79">
        <v>110.11</v>
      </c>
      <c r="T279" s="80">
        <v>79.19</v>
      </c>
    </row>
    <row r="280" spans="2:20" ht="28">
      <c r="B280" s="5" t="s">
        <v>679</v>
      </c>
      <c r="C280" s="45" t="s">
        <v>165</v>
      </c>
      <c r="D280" s="45" t="s">
        <v>680</v>
      </c>
      <c r="E280" s="6" t="s">
        <v>681</v>
      </c>
      <c r="F280" s="45" t="s">
        <v>168</v>
      </c>
      <c r="G280" s="46">
        <f t="shared" si="36"/>
        <v>200</v>
      </c>
      <c r="H280" s="46">
        <f>TRUNC(S280*(1-LOTE_02!$K$10),2)</f>
        <v>32.67</v>
      </c>
      <c r="I280" s="46">
        <f>TRUNC(T280*(1-LOTE_02!$K$10),2)</f>
        <v>9.92</v>
      </c>
      <c r="J280" s="100">
        <f t="shared" si="37"/>
        <v>0.22470000000000001</v>
      </c>
      <c r="K280" s="48">
        <f t="shared" si="31"/>
        <v>40.01</v>
      </c>
      <c r="L280" s="48">
        <f t="shared" si="32"/>
        <v>12.14</v>
      </c>
      <c r="M280" s="48">
        <f t="shared" si="33"/>
        <v>8002</v>
      </c>
      <c r="N280" s="48">
        <f t="shared" si="34"/>
        <v>2428</v>
      </c>
      <c r="O280" s="50">
        <f t="shared" si="35"/>
        <v>10430</v>
      </c>
      <c r="P280" s="50">
        <v>0</v>
      </c>
      <c r="Q280" s="76"/>
      <c r="R280" s="140">
        <f>50*S9+50*S10</f>
        <v>200</v>
      </c>
      <c r="S280" s="79">
        <v>32.67</v>
      </c>
      <c r="T280" s="80">
        <v>9.92</v>
      </c>
    </row>
    <row r="281" spans="2:20" ht="42">
      <c r="B281" s="5" t="s">
        <v>682</v>
      </c>
      <c r="C281" s="45" t="s">
        <v>97</v>
      </c>
      <c r="D281" s="45" t="s">
        <v>683</v>
      </c>
      <c r="E281" s="6" t="s">
        <v>684</v>
      </c>
      <c r="F281" s="45" t="s">
        <v>104</v>
      </c>
      <c r="G281" s="46">
        <f t="shared" si="36"/>
        <v>16</v>
      </c>
      <c r="H281" s="46">
        <f>TRUNC(S281*(1-LOTE_02!$K$10),2)</f>
        <v>21.26</v>
      </c>
      <c r="I281" s="46">
        <f>TRUNC(T281*(1-LOTE_02!$K$10),2)</f>
        <v>1.65</v>
      </c>
      <c r="J281" s="100">
        <f t="shared" si="37"/>
        <v>0.22470000000000001</v>
      </c>
      <c r="K281" s="48">
        <f t="shared" si="31"/>
        <v>26.03</v>
      </c>
      <c r="L281" s="48">
        <f t="shared" si="32"/>
        <v>2.02</v>
      </c>
      <c r="M281" s="48">
        <f t="shared" si="33"/>
        <v>416.48</v>
      </c>
      <c r="N281" s="48">
        <f t="shared" si="34"/>
        <v>32.32</v>
      </c>
      <c r="O281" s="50">
        <f t="shared" si="35"/>
        <v>448.8</v>
      </c>
      <c r="P281" s="50">
        <v>0</v>
      </c>
      <c r="Q281" s="76"/>
      <c r="R281" s="140">
        <f>IF((4*S10+4*S9)&gt;50,50,(4*S10+4*S9))</f>
        <v>16</v>
      </c>
      <c r="S281" s="79">
        <v>21.26</v>
      </c>
      <c r="T281" s="80">
        <v>1.65</v>
      </c>
    </row>
    <row r="282" spans="2:20" ht="42">
      <c r="B282" s="5" t="s">
        <v>685</v>
      </c>
      <c r="C282" s="45" t="s">
        <v>97</v>
      </c>
      <c r="D282" s="45" t="s">
        <v>686</v>
      </c>
      <c r="E282" s="6" t="s">
        <v>687</v>
      </c>
      <c r="F282" s="45" t="s">
        <v>121</v>
      </c>
      <c r="G282" s="46">
        <f t="shared" si="36"/>
        <v>400</v>
      </c>
      <c r="H282" s="46">
        <f>TRUNC(S282*(1-LOTE_02!$K$10),2)</f>
        <v>2.82</v>
      </c>
      <c r="I282" s="46">
        <f>TRUNC(T282*(1-LOTE_02!$K$10),2)</f>
        <v>3.3</v>
      </c>
      <c r="J282" s="100">
        <f t="shared" si="37"/>
        <v>0.22470000000000001</v>
      </c>
      <c r="K282" s="48">
        <f t="shared" si="31"/>
        <v>3.45</v>
      </c>
      <c r="L282" s="48">
        <f t="shared" si="32"/>
        <v>4.04</v>
      </c>
      <c r="M282" s="48">
        <f t="shared" si="33"/>
        <v>1380</v>
      </c>
      <c r="N282" s="48">
        <f t="shared" si="34"/>
        <v>1616</v>
      </c>
      <c r="O282" s="50">
        <f t="shared" si="35"/>
        <v>2996</v>
      </c>
      <c r="P282" s="50">
        <v>0</v>
      </c>
      <c r="Q282" s="76"/>
      <c r="R282" s="140">
        <f>IF((100*S9+100*S10)&gt;1000,1000,(100*S9+100*S10))</f>
        <v>400</v>
      </c>
      <c r="S282" s="79">
        <v>2.82</v>
      </c>
      <c r="T282" s="80">
        <v>3.3</v>
      </c>
    </row>
    <row r="283" spans="2:20" ht="28">
      <c r="B283" s="5" t="s">
        <v>688</v>
      </c>
      <c r="C283" s="45" t="s">
        <v>97</v>
      </c>
      <c r="D283" s="45" t="s">
        <v>689</v>
      </c>
      <c r="E283" s="6" t="s">
        <v>690</v>
      </c>
      <c r="F283" s="45" t="s">
        <v>187</v>
      </c>
      <c r="G283" s="46">
        <f t="shared" si="36"/>
        <v>200</v>
      </c>
      <c r="H283" s="46">
        <f>TRUNC(S283*(1-LOTE_02!$K$10),2)</f>
        <v>0.28999999999999998</v>
      </c>
      <c r="I283" s="46">
        <f>TRUNC(T283*(1-LOTE_02!$K$10),2)</f>
        <v>1.58</v>
      </c>
      <c r="J283" s="100">
        <f t="shared" si="37"/>
        <v>0.22470000000000001</v>
      </c>
      <c r="K283" s="48">
        <f t="shared" si="31"/>
        <v>0.35</v>
      </c>
      <c r="L283" s="48">
        <f t="shared" si="32"/>
        <v>1.93</v>
      </c>
      <c r="M283" s="48">
        <f t="shared" si="33"/>
        <v>70</v>
      </c>
      <c r="N283" s="48">
        <f t="shared" si="34"/>
        <v>386</v>
      </c>
      <c r="O283" s="50">
        <f t="shared" si="35"/>
        <v>456</v>
      </c>
      <c r="P283" s="50">
        <v>0</v>
      </c>
      <c r="Q283" s="76"/>
      <c r="R283" s="140">
        <f>IF((50*S10+50*S9)&gt;500,500,(50*S10+50*S9))</f>
        <v>200</v>
      </c>
      <c r="S283" s="79">
        <v>0.28999999999999998</v>
      </c>
      <c r="T283" s="80">
        <v>1.58</v>
      </c>
    </row>
    <row r="284" spans="2:20" ht="28">
      <c r="B284" s="5" t="s">
        <v>691</v>
      </c>
      <c r="C284" s="45" t="s">
        <v>97</v>
      </c>
      <c r="D284" s="45" t="s">
        <v>692</v>
      </c>
      <c r="E284" s="6" t="s">
        <v>693</v>
      </c>
      <c r="F284" s="45" t="s">
        <v>104</v>
      </c>
      <c r="G284" s="46">
        <f t="shared" si="36"/>
        <v>40</v>
      </c>
      <c r="H284" s="46">
        <f>TRUNC(S284*(1-LOTE_02!$K$10),2)</f>
        <v>4.1900000000000004</v>
      </c>
      <c r="I284" s="46">
        <f>TRUNC(T284*(1-LOTE_02!$K$10),2)</f>
        <v>20.14</v>
      </c>
      <c r="J284" s="100">
        <f t="shared" si="37"/>
        <v>0.22470000000000001</v>
      </c>
      <c r="K284" s="48">
        <f t="shared" si="31"/>
        <v>5.13</v>
      </c>
      <c r="L284" s="48">
        <f t="shared" si="32"/>
        <v>24.66</v>
      </c>
      <c r="M284" s="48">
        <f t="shared" si="33"/>
        <v>205.2</v>
      </c>
      <c r="N284" s="48">
        <f t="shared" si="34"/>
        <v>986.4</v>
      </c>
      <c r="O284" s="50">
        <f t="shared" si="35"/>
        <v>1191.5999999999999</v>
      </c>
      <c r="P284" s="50">
        <v>0</v>
      </c>
      <c r="Q284" s="76"/>
      <c r="R284" s="140">
        <f>10*S9+10*S10</f>
        <v>40</v>
      </c>
      <c r="S284" s="79">
        <v>4.1900000000000004</v>
      </c>
      <c r="T284" s="80">
        <v>20.14</v>
      </c>
    </row>
    <row r="285" spans="2:20" ht="28">
      <c r="B285" s="5" t="s">
        <v>694</v>
      </c>
      <c r="C285" s="45" t="s">
        <v>97</v>
      </c>
      <c r="D285" s="45" t="s">
        <v>695</v>
      </c>
      <c r="E285" s="6" t="s">
        <v>696</v>
      </c>
      <c r="F285" s="45" t="s">
        <v>104</v>
      </c>
      <c r="G285" s="46">
        <f t="shared" si="36"/>
        <v>20</v>
      </c>
      <c r="H285" s="46">
        <f>TRUNC(S285*(1-LOTE_02!$K$10),2)</f>
        <v>47.17</v>
      </c>
      <c r="I285" s="46">
        <f>TRUNC(T285*(1-LOTE_02!$K$10),2)</f>
        <v>26.36</v>
      </c>
      <c r="J285" s="100">
        <f t="shared" si="37"/>
        <v>0.22470000000000001</v>
      </c>
      <c r="K285" s="48">
        <f t="shared" si="31"/>
        <v>57.76</v>
      </c>
      <c r="L285" s="48">
        <f t="shared" si="32"/>
        <v>32.28</v>
      </c>
      <c r="M285" s="48">
        <f t="shared" si="33"/>
        <v>1155.2</v>
      </c>
      <c r="N285" s="48">
        <f t="shared" si="34"/>
        <v>645.6</v>
      </c>
      <c r="O285" s="50">
        <f t="shared" si="35"/>
        <v>1800.8</v>
      </c>
      <c r="P285" s="50">
        <v>0</v>
      </c>
      <c r="Q285" s="76"/>
      <c r="R285" s="140">
        <f>IF((5*S9+5*S10)&gt;50,50,(5*S9+5*S10))</f>
        <v>20</v>
      </c>
      <c r="S285" s="79">
        <v>47.17</v>
      </c>
      <c r="T285" s="80">
        <v>26.36</v>
      </c>
    </row>
    <row r="286" spans="2:20">
      <c r="B286" s="101" t="s">
        <v>47</v>
      </c>
      <c r="C286" s="102" t="s">
        <v>21</v>
      </c>
      <c r="D286" s="102" t="s">
        <v>21</v>
      </c>
      <c r="E286" s="103" t="s">
        <v>51</v>
      </c>
      <c r="F286" s="102" t="s">
        <v>21</v>
      </c>
      <c r="G286" s="46">
        <f t="shared" si="36"/>
        <v>0</v>
      </c>
      <c r="H286" s="46"/>
      <c r="I286" s="46"/>
      <c r="J286" s="105"/>
      <c r="K286" s="48">
        <f t="shared" si="31"/>
        <v>0</v>
      </c>
      <c r="L286" s="48">
        <f t="shared" si="32"/>
        <v>0</v>
      </c>
      <c r="M286" s="48">
        <f t="shared" si="33"/>
        <v>0</v>
      </c>
      <c r="N286" s="48">
        <f t="shared" si="34"/>
        <v>0</v>
      </c>
      <c r="O286" s="50">
        <f t="shared" si="35"/>
        <v>0</v>
      </c>
      <c r="P286" s="104">
        <f>SUM(O287:O310)</f>
        <v>168005.93999999997</v>
      </c>
      <c r="Q286" s="76"/>
      <c r="R286" s="154"/>
      <c r="S286" s="79" t="s">
        <v>22</v>
      </c>
      <c r="T286" s="80" t="s">
        <v>22</v>
      </c>
    </row>
    <row r="287" spans="2:20" ht="56">
      <c r="B287" s="5" t="s">
        <v>697</v>
      </c>
      <c r="C287" s="45" t="s">
        <v>135</v>
      </c>
      <c r="D287" s="45">
        <v>101094</v>
      </c>
      <c r="E287" s="6" t="s">
        <v>1810</v>
      </c>
      <c r="F287" s="45" t="s">
        <v>187</v>
      </c>
      <c r="G287" s="46">
        <f t="shared" si="36"/>
        <v>80</v>
      </c>
      <c r="H287" s="46">
        <f>TRUNC(S287*(1-LOTE_02!$K$10),2)</f>
        <v>177.88</v>
      </c>
      <c r="I287" s="46">
        <f>TRUNC(T287*(1-LOTE_02!$K$10),2)</f>
        <v>14.86</v>
      </c>
      <c r="J287" s="100">
        <f t="shared" si="37"/>
        <v>0.22470000000000001</v>
      </c>
      <c r="K287" s="48">
        <f t="shared" si="31"/>
        <v>217.84</v>
      </c>
      <c r="L287" s="48">
        <f t="shared" si="32"/>
        <v>18.190000000000001</v>
      </c>
      <c r="M287" s="48">
        <f t="shared" si="33"/>
        <v>17427.2</v>
      </c>
      <c r="N287" s="48">
        <f t="shared" si="34"/>
        <v>1455.2</v>
      </c>
      <c r="O287" s="50">
        <f t="shared" si="35"/>
        <v>18882.400000000001</v>
      </c>
      <c r="P287" s="50">
        <v>0</v>
      </c>
      <c r="Q287" s="76"/>
      <c r="R287" s="140">
        <f>20*S9+20*S10</f>
        <v>80</v>
      </c>
      <c r="S287" s="79">
        <v>177.88</v>
      </c>
      <c r="T287" s="80">
        <v>14.86</v>
      </c>
    </row>
    <row r="288" spans="2:20" ht="28">
      <c r="B288" s="5" t="s">
        <v>698</v>
      </c>
      <c r="C288" s="45" t="s">
        <v>97</v>
      </c>
      <c r="D288" s="45" t="s">
        <v>699</v>
      </c>
      <c r="E288" s="6" t="s">
        <v>700</v>
      </c>
      <c r="F288" s="45" t="s">
        <v>187</v>
      </c>
      <c r="G288" s="46">
        <f t="shared" si="36"/>
        <v>118</v>
      </c>
      <c r="H288" s="46">
        <f>TRUNC(S288*(1-LOTE_02!$K$10),2)</f>
        <v>137.79</v>
      </c>
      <c r="I288" s="46">
        <f>TRUNC(T288*(1-LOTE_02!$K$10),2)</f>
        <v>21.92</v>
      </c>
      <c r="J288" s="100">
        <f t="shared" si="37"/>
        <v>0.22470000000000001</v>
      </c>
      <c r="K288" s="48">
        <f t="shared" si="31"/>
        <v>168.75</v>
      </c>
      <c r="L288" s="48">
        <f t="shared" si="32"/>
        <v>26.84</v>
      </c>
      <c r="M288" s="48">
        <f t="shared" si="33"/>
        <v>19912.5</v>
      </c>
      <c r="N288" s="48">
        <f t="shared" si="34"/>
        <v>3167.12</v>
      </c>
      <c r="O288" s="50">
        <f t="shared" si="35"/>
        <v>23079.62</v>
      </c>
      <c r="P288" s="50">
        <v>0</v>
      </c>
      <c r="Q288" s="76"/>
      <c r="R288" s="140">
        <f>((28+17+33+40)*0.25)*(S9+S10)</f>
        <v>118</v>
      </c>
      <c r="S288" s="79">
        <v>137.79</v>
      </c>
      <c r="T288" s="80">
        <v>21.92</v>
      </c>
    </row>
    <row r="289" spans="2:20" ht="28">
      <c r="B289" s="5" t="s">
        <v>701</v>
      </c>
      <c r="C289" s="45" t="s">
        <v>97</v>
      </c>
      <c r="D289" s="45" t="s">
        <v>702</v>
      </c>
      <c r="E289" s="6" t="s">
        <v>703</v>
      </c>
      <c r="F289" s="45" t="s">
        <v>187</v>
      </c>
      <c r="G289" s="46">
        <f t="shared" si="36"/>
        <v>128</v>
      </c>
      <c r="H289" s="46">
        <f>TRUNC(S289*(1-LOTE_02!$K$10),2)</f>
        <v>150.71</v>
      </c>
      <c r="I289" s="46">
        <f>TRUNC(T289*(1-LOTE_02!$K$10),2)</f>
        <v>21.92</v>
      </c>
      <c r="J289" s="100">
        <f t="shared" si="37"/>
        <v>0.22470000000000001</v>
      </c>
      <c r="K289" s="48">
        <f t="shared" si="31"/>
        <v>184.57</v>
      </c>
      <c r="L289" s="48">
        <f t="shared" si="32"/>
        <v>26.84</v>
      </c>
      <c r="M289" s="48">
        <f t="shared" si="33"/>
        <v>23624.959999999999</v>
      </c>
      <c r="N289" s="48">
        <f t="shared" si="34"/>
        <v>3435.52</v>
      </c>
      <c r="O289" s="50">
        <f t="shared" si="35"/>
        <v>27060.48</v>
      </c>
      <c r="P289" s="50">
        <v>0</v>
      </c>
      <c r="Q289" s="76"/>
      <c r="R289" s="140">
        <f>((17+22+60+29)*0.25)*(S9+S10)</f>
        <v>128</v>
      </c>
      <c r="S289" s="79">
        <v>150.71</v>
      </c>
      <c r="T289" s="80">
        <v>21.92</v>
      </c>
    </row>
    <row r="290" spans="2:20" ht="28">
      <c r="B290" s="5" t="s">
        <v>704</v>
      </c>
      <c r="C290" s="45" t="s">
        <v>165</v>
      </c>
      <c r="D290" s="45" t="s">
        <v>705</v>
      </c>
      <c r="E290" s="6" t="s">
        <v>706</v>
      </c>
      <c r="F290" s="45" t="s">
        <v>168</v>
      </c>
      <c r="G290" s="46">
        <f t="shared" si="36"/>
        <v>80</v>
      </c>
      <c r="H290" s="46">
        <f>TRUNC(S290*(1-LOTE_02!$K$10),2)</f>
        <v>130.87</v>
      </c>
      <c r="I290" s="46">
        <f>TRUNC(T290*(1-LOTE_02!$K$10),2)</f>
        <v>21.74</v>
      </c>
      <c r="J290" s="100">
        <f t="shared" si="37"/>
        <v>0.22470000000000001</v>
      </c>
      <c r="K290" s="48">
        <f t="shared" si="31"/>
        <v>160.27000000000001</v>
      </c>
      <c r="L290" s="48">
        <f t="shared" si="32"/>
        <v>26.62</v>
      </c>
      <c r="M290" s="48">
        <f t="shared" si="33"/>
        <v>12821.6</v>
      </c>
      <c r="N290" s="48">
        <f t="shared" si="34"/>
        <v>2129.6</v>
      </c>
      <c r="O290" s="50">
        <f t="shared" si="35"/>
        <v>14951.2</v>
      </c>
      <c r="P290" s="50">
        <v>0</v>
      </c>
      <c r="Q290" s="76"/>
      <c r="R290" s="140">
        <f>20*S9+20*S10</f>
        <v>80</v>
      </c>
      <c r="S290" s="79">
        <v>130.87</v>
      </c>
      <c r="T290" s="80">
        <v>21.74</v>
      </c>
    </row>
    <row r="291" spans="2:20" ht="56">
      <c r="B291" s="5" t="s">
        <v>707</v>
      </c>
      <c r="C291" s="45" t="s">
        <v>135</v>
      </c>
      <c r="D291" s="45">
        <v>104658</v>
      </c>
      <c r="E291" s="6" t="s">
        <v>708</v>
      </c>
      <c r="F291" s="45" t="s">
        <v>121</v>
      </c>
      <c r="G291" s="46">
        <f t="shared" si="36"/>
        <v>80</v>
      </c>
      <c r="H291" s="46">
        <f>TRUNC(S291*(1-LOTE_02!$K$10),2)</f>
        <v>163.47</v>
      </c>
      <c r="I291" s="46">
        <f>TRUNC(T291*(1-LOTE_02!$K$10),2)</f>
        <v>35.46</v>
      </c>
      <c r="J291" s="100">
        <f t="shared" si="37"/>
        <v>0.22470000000000001</v>
      </c>
      <c r="K291" s="48">
        <f t="shared" si="31"/>
        <v>200.2</v>
      </c>
      <c r="L291" s="48">
        <f t="shared" si="32"/>
        <v>43.42</v>
      </c>
      <c r="M291" s="48">
        <f t="shared" si="33"/>
        <v>16016</v>
      </c>
      <c r="N291" s="48">
        <f t="shared" si="34"/>
        <v>3473.6</v>
      </c>
      <c r="O291" s="50">
        <f t="shared" si="35"/>
        <v>19489.599999999999</v>
      </c>
      <c r="P291" s="50">
        <v>0</v>
      </c>
      <c r="Q291" s="76"/>
      <c r="R291" s="140">
        <f>20*S9+20*S10</f>
        <v>80</v>
      </c>
      <c r="S291" s="79">
        <v>163.47</v>
      </c>
      <c r="T291" s="80">
        <v>35.46</v>
      </c>
    </row>
    <row r="292" spans="2:20" ht="84">
      <c r="B292" s="5" t="s">
        <v>709</v>
      </c>
      <c r="C292" s="45" t="s">
        <v>97</v>
      </c>
      <c r="D292" s="45" t="s">
        <v>710</v>
      </c>
      <c r="E292" s="6" t="s">
        <v>711</v>
      </c>
      <c r="F292" s="45" t="s">
        <v>104</v>
      </c>
      <c r="G292" s="46">
        <f t="shared" si="36"/>
        <v>4</v>
      </c>
      <c r="H292" s="46">
        <f>TRUNC(S292*(1-LOTE_02!$K$10),2)</f>
        <v>201.4</v>
      </c>
      <c r="I292" s="46">
        <f>TRUNC(T292*(1-LOTE_02!$K$10),2)</f>
        <v>3.3</v>
      </c>
      <c r="J292" s="100">
        <f t="shared" si="37"/>
        <v>0.22470000000000001</v>
      </c>
      <c r="K292" s="48">
        <f t="shared" si="31"/>
        <v>246.65</v>
      </c>
      <c r="L292" s="48">
        <f t="shared" si="32"/>
        <v>4.04</v>
      </c>
      <c r="M292" s="48">
        <f t="shared" si="33"/>
        <v>986.6</v>
      </c>
      <c r="N292" s="48">
        <f t="shared" si="34"/>
        <v>16.16</v>
      </c>
      <c r="O292" s="50">
        <f t="shared" si="35"/>
        <v>1002.76</v>
      </c>
      <c r="P292" s="50">
        <v>0</v>
      </c>
      <c r="Q292" s="76"/>
      <c r="R292" s="140">
        <f>1*S9+1*S10</f>
        <v>4</v>
      </c>
      <c r="S292" s="79">
        <v>201.4</v>
      </c>
      <c r="T292" s="80">
        <v>3.3</v>
      </c>
    </row>
    <row r="293" spans="2:20" ht="56">
      <c r="B293" s="5" t="s">
        <v>712</v>
      </c>
      <c r="C293" s="45" t="s">
        <v>97</v>
      </c>
      <c r="D293" s="45" t="s">
        <v>713</v>
      </c>
      <c r="E293" s="6" t="s">
        <v>714</v>
      </c>
      <c r="F293" s="45" t="s">
        <v>104</v>
      </c>
      <c r="G293" s="46">
        <f t="shared" si="36"/>
        <v>20</v>
      </c>
      <c r="H293" s="46">
        <f>TRUNC(S293*(1-LOTE_02!$K$10),2)</f>
        <v>14.1</v>
      </c>
      <c r="I293" s="46">
        <f>TRUNC(T293*(1-LOTE_02!$K$10),2)</f>
        <v>0.82</v>
      </c>
      <c r="J293" s="100">
        <f t="shared" si="37"/>
        <v>0.22470000000000001</v>
      </c>
      <c r="K293" s="48">
        <f t="shared" si="31"/>
        <v>17.260000000000002</v>
      </c>
      <c r="L293" s="48">
        <f t="shared" si="32"/>
        <v>1</v>
      </c>
      <c r="M293" s="48">
        <f t="shared" si="33"/>
        <v>345.2</v>
      </c>
      <c r="N293" s="48">
        <f t="shared" si="34"/>
        <v>20</v>
      </c>
      <c r="O293" s="50">
        <f t="shared" si="35"/>
        <v>365.2</v>
      </c>
      <c r="P293" s="50">
        <v>0</v>
      </c>
      <c r="Q293" s="76"/>
      <c r="R293" s="140">
        <f>5*S9+5*S10</f>
        <v>20</v>
      </c>
      <c r="S293" s="79">
        <v>14.1</v>
      </c>
      <c r="T293" s="80">
        <v>0.82</v>
      </c>
    </row>
    <row r="294" spans="2:20" ht="70">
      <c r="B294" s="5" t="s">
        <v>715</v>
      </c>
      <c r="C294" s="45" t="s">
        <v>97</v>
      </c>
      <c r="D294" s="45" t="s">
        <v>716</v>
      </c>
      <c r="E294" s="6" t="s">
        <v>717</v>
      </c>
      <c r="F294" s="45" t="s">
        <v>104</v>
      </c>
      <c r="G294" s="46">
        <f t="shared" si="36"/>
        <v>8</v>
      </c>
      <c r="H294" s="46">
        <f>TRUNC(S294*(1-LOTE_02!$K$10),2)</f>
        <v>224.96</v>
      </c>
      <c r="I294" s="46">
        <f>TRUNC(T294*(1-LOTE_02!$K$10),2)</f>
        <v>3.3</v>
      </c>
      <c r="J294" s="100">
        <f t="shared" si="37"/>
        <v>0.22470000000000001</v>
      </c>
      <c r="K294" s="48">
        <f t="shared" si="31"/>
        <v>275.5</v>
      </c>
      <c r="L294" s="48">
        <f t="shared" si="32"/>
        <v>4.04</v>
      </c>
      <c r="M294" s="48">
        <f t="shared" si="33"/>
        <v>2204</v>
      </c>
      <c r="N294" s="48">
        <f t="shared" si="34"/>
        <v>32.32</v>
      </c>
      <c r="O294" s="50">
        <f t="shared" si="35"/>
        <v>2236.3200000000002</v>
      </c>
      <c r="P294" s="50">
        <v>0</v>
      </c>
      <c r="Q294" s="76"/>
      <c r="R294" s="140">
        <f>2*S9+2*S10</f>
        <v>8</v>
      </c>
      <c r="S294" s="79">
        <v>224.96</v>
      </c>
      <c r="T294" s="80">
        <v>3.3</v>
      </c>
    </row>
    <row r="295" spans="2:20" ht="56">
      <c r="B295" s="5" t="s">
        <v>718</v>
      </c>
      <c r="C295" s="45" t="s">
        <v>97</v>
      </c>
      <c r="D295" s="45" t="s">
        <v>719</v>
      </c>
      <c r="E295" s="6" t="s">
        <v>720</v>
      </c>
      <c r="F295" s="45" t="s">
        <v>104</v>
      </c>
      <c r="G295" s="46">
        <f t="shared" si="36"/>
        <v>8</v>
      </c>
      <c r="H295" s="46">
        <f>TRUNC(S295*(1-LOTE_02!$K$10),2)</f>
        <v>25.9</v>
      </c>
      <c r="I295" s="46">
        <f>TRUNC(T295*(1-LOTE_02!$K$10),2)</f>
        <v>4.55</v>
      </c>
      <c r="J295" s="100">
        <f t="shared" si="37"/>
        <v>0.22470000000000001</v>
      </c>
      <c r="K295" s="48">
        <f t="shared" si="31"/>
        <v>31.71</v>
      </c>
      <c r="L295" s="48">
        <f t="shared" si="32"/>
        <v>5.57</v>
      </c>
      <c r="M295" s="48">
        <f t="shared" si="33"/>
        <v>253.68</v>
      </c>
      <c r="N295" s="48">
        <f t="shared" si="34"/>
        <v>44.56</v>
      </c>
      <c r="O295" s="50">
        <f t="shared" si="35"/>
        <v>298.24</v>
      </c>
      <c r="P295" s="50">
        <v>0</v>
      </c>
      <c r="Q295" s="76"/>
      <c r="R295" s="140">
        <f>2*S9+2*S10</f>
        <v>8</v>
      </c>
      <c r="S295" s="79">
        <v>25.9</v>
      </c>
      <c r="T295" s="80">
        <v>4.55</v>
      </c>
    </row>
    <row r="296" spans="2:20" ht="42">
      <c r="B296" s="5" t="s">
        <v>721</v>
      </c>
      <c r="C296" s="45" t="s">
        <v>97</v>
      </c>
      <c r="D296" s="45" t="s">
        <v>722</v>
      </c>
      <c r="E296" s="6" t="s">
        <v>723</v>
      </c>
      <c r="F296" s="45" t="s">
        <v>104</v>
      </c>
      <c r="G296" s="46">
        <f t="shared" si="36"/>
        <v>8</v>
      </c>
      <c r="H296" s="46">
        <f>TRUNC(S296*(1-LOTE_02!$K$10),2)</f>
        <v>42.36</v>
      </c>
      <c r="I296" s="46">
        <f>TRUNC(T296*(1-LOTE_02!$K$10),2)</f>
        <v>4.55</v>
      </c>
      <c r="J296" s="100">
        <f t="shared" si="37"/>
        <v>0.22470000000000001</v>
      </c>
      <c r="K296" s="48">
        <f t="shared" si="31"/>
        <v>51.87</v>
      </c>
      <c r="L296" s="48">
        <f t="shared" si="32"/>
        <v>5.57</v>
      </c>
      <c r="M296" s="48">
        <f t="shared" si="33"/>
        <v>414.96</v>
      </c>
      <c r="N296" s="48">
        <f t="shared" si="34"/>
        <v>44.56</v>
      </c>
      <c r="O296" s="50">
        <f t="shared" si="35"/>
        <v>459.52</v>
      </c>
      <c r="P296" s="50">
        <v>0</v>
      </c>
      <c r="Q296" s="76"/>
      <c r="R296" s="140">
        <f>2*S9+2*S10</f>
        <v>8</v>
      </c>
      <c r="S296" s="79">
        <v>42.36</v>
      </c>
      <c r="T296" s="80">
        <v>4.55</v>
      </c>
    </row>
    <row r="297" spans="2:20" ht="56">
      <c r="B297" s="5" t="s">
        <v>724</v>
      </c>
      <c r="C297" s="45" t="s">
        <v>135</v>
      </c>
      <c r="D297" s="45">
        <v>100868</v>
      </c>
      <c r="E297" s="6" t="s">
        <v>1811</v>
      </c>
      <c r="F297" s="45" t="s">
        <v>210</v>
      </c>
      <c r="G297" s="46">
        <f t="shared" si="36"/>
        <v>4</v>
      </c>
      <c r="H297" s="46">
        <f>TRUNC(S297*(1-LOTE_02!$K$10),2)</f>
        <v>413.71</v>
      </c>
      <c r="I297" s="46">
        <f>TRUNC(T297*(1-LOTE_02!$K$10),2)</f>
        <v>26.03</v>
      </c>
      <c r="J297" s="100">
        <f t="shared" si="37"/>
        <v>0.22470000000000001</v>
      </c>
      <c r="K297" s="48">
        <f t="shared" si="31"/>
        <v>506.67</v>
      </c>
      <c r="L297" s="48">
        <f t="shared" si="32"/>
        <v>31.87</v>
      </c>
      <c r="M297" s="48">
        <f t="shared" si="33"/>
        <v>2026.68</v>
      </c>
      <c r="N297" s="48">
        <f t="shared" si="34"/>
        <v>127.48</v>
      </c>
      <c r="O297" s="50">
        <f t="shared" si="35"/>
        <v>2154.16</v>
      </c>
      <c r="P297" s="50">
        <v>0</v>
      </c>
      <c r="Q297" s="76"/>
      <c r="R297" s="140">
        <f>1*S9+1*S10</f>
        <v>4</v>
      </c>
      <c r="S297" s="79">
        <v>413.71000000000004</v>
      </c>
      <c r="T297" s="80">
        <v>26.03</v>
      </c>
    </row>
    <row r="298" spans="2:20" ht="56">
      <c r="B298" s="5" t="s">
        <v>725</v>
      </c>
      <c r="C298" s="45" t="s">
        <v>135</v>
      </c>
      <c r="D298" s="45">
        <v>100871</v>
      </c>
      <c r="E298" s="6" t="s">
        <v>1812</v>
      </c>
      <c r="F298" s="45" t="s">
        <v>210</v>
      </c>
      <c r="G298" s="46">
        <f t="shared" si="36"/>
        <v>4</v>
      </c>
      <c r="H298" s="46">
        <f>TRUNC(S298*(1-LOTE_02!$K$10),2)</f>
        <v>345.83</v>
      </c>
      <c r="I298" s="46">
        <f>TRUNC(T298*(1-LOTE_02!$K$10),2)</f>
        <v>26.59</v>
      </c>
      <c r="J298" s="100">
        <f t="shared" si="37"/>
        <v>0.22470000000000001</v>
      </c>
      <c r="K298" s="48">
        <f t="shared" si="31"/>
        <v>423.53</v>
      </c>
      <c r="L298" s="48">
        <f t="shared" si="32"/>
        <v>32.56</v>
      </c>
      <c r="M298" s="48">
        <f t="shared" si="33"/>
        <v>1694.12</v>
      </c>
      <c r="N298" s="48">
        <f t="shared" si="34"/>
        <v>130.24</v>
      </c>
      <c r="O298" s="50">
        <f t="shared" si="35"/>
        <v>1824.36</v>
      </c>
      <c r="P298" s="50">
        <v>0</v>
      </c>
      <c r="Q298" s="76"/>
      <c r="R298" s="140">
        <f>1*S9+1*S10</f>
        <v>4</v>
      </c>
      <c r="S298" s="79">
        <v>345.83000000000004</v>
      </c>
      <c r="T298" s="80">
        <v>26.59</v>
      </c>
    </row>
    <row r="299" spans="2:20" ht="56">
      <c r="B299" s="5" t="s">
        <v>726</v>
      </c>
      <c r="C299" s="45" t="s">
        <v>135</v>
      </c>
      <c r="D299" s="45">
        <v>100866</v>
      </c>
      <c r="E299" s="6" t="s">
        <v>1813</v>
      </c>
      <c r="F299" s="45" t="s">
        <v>210</v>
      </c>
      <c r="G299" s="46">
        <f t="shared" si="36"/>
        <v>8</v>
      </c>
      <c r="H299" s="46">
        <f>TRUNC(S299*(1-LOTE_02!$K$10),2)</f>
        <v>372.2</v>
      </c>
      <c r="I299" s="46">
        <f>TRUNC(T299*(1-LOTE_02!$K$10),2)</f>
        <v>26.17</v>
      </c>
      <c r="J299" s="100">
        <f t="shared" si="37"/>
        <v>0.22470000000000001</v>
      </c>
      <c r="K299" s="48">
        <f t="shared" si="31"/>
        <v>455.83</v>
      </c>
      <c r="L299" s="48">
        <f t="shared" si="32"/>
        <v>32.049999999999997</v>
      </c>
      <c r="M299" s="48">
        <f t="shared" si="33"/>
        <v>3646.64</v>
      </c>
      <c r="N299" s="48">
        <f t="shared" si="34"/>
        <v>256.39999999999998</v>
      </c>
      <c r="O299" s="50">
        <f t="shared" si="35"/>
        <v>3903.04</v>
      </c>
      <c r="P299" s="50">
        <v>0</v>
      </c>
      <c r="Q299" s="76"/>
      <c r="R299" s="140">
        <f>2*S9+2*S10</f>
        <v>8</v>
      </c>
      <c r="S299" s="79">
        <v>372.2</v>
      </c>
      <c r="T299" s="80">
        <v>26.17</v>
      </c>
    </row>
    <row r="300" spans="2:20" ht="112">
      <c r="B300" s="5" t="s">
        <v>727</v>
      </c>
      <c r="C300" s="45" t="s">
        <v>97</v>
      </c>
      <c r="D300" s="45" t="s">
        <v>728</v>
      </c>
      <c r="E300" s="6" t="s">
        <v>729</v>
      </c>
      <c r="F300" s="45" t="s">
        <v>104</v>
      </c>
      <c r="G300" s="46">
        <f t="shared" si="36"/>
        <v>4</v>
      </c>
      <c r="H300" s="46">
        <f>TRUNC(S300*(1-LOTE_02!$K$10),2)</f>
        <v>545.24</v>
      </c>
      <c r="I300" s="46">
        <f>TRUNC(T300*(1-LOTE_02!$K$10),2)</f>
        <v>7.08</v>
      </c>
      <c r="J300" s="100">
        <f t="shared" si="37"/>
        <v>0.22470000000000001</v>
      </c>
      <c r="K300" s="48">
        <f t="shared" si="31"/>
        <v>667.75</v>
      </c>
      <c r="L300" s="48">
        <f t="shared" si="32"/>
        <v>8.67</v>
      </c>
      <c r="M300" s="48">
        <f t="shared" si="33"/>
        <v>2671</v>
      </c>
      <c r="N300" s="48">
        <f t="shared" si="34"/>
        <v>34.68</v>
      </c>
      <c r="O300" s="50">
        <f t="shared" si="35"/>
        <v>2705.68</v>
      </c>
      <c r="P300" s="50">
        <v>0</v>
      </c>
      <c r="Q300" s="76"/>
      <c r="R300" s="140">
        <f>IF((1*S9+1*S10)&gt;10,10,(1*S9+1*S10))</f>
        <v>4</v>
      </c>
      <c r="S300" s="79">
        <v>545.24</v>
      </c>
      <c r="T300" s="80">
        <v>7.08</v>
      </c>
    </row>
    <row r="301" spans="2:20" ht="42">
      <c r="B301" s="5" t="s">
        <v>730</v>
      </c>
      <c r="C301" s="45" t="s">
        <v>97</v>
      </c>
      <c r="D301" s="45" t="s">
        <v>731</v>
      </c>
      <c r="E301" s="6" t="s">
        <v>732</v>
      </c>
      <c r="F301" s="45" t="s">
        <v>104</v>
      </c>
      <c r="G301" s="46">
        <f t="shared" si="36"/>
        <v>4</v>
      </c>
      <c r="H301" s="46">
        <f>TRUNC(S301*(1-LOTE_02!$K$10),2)</f>
        <v>790</v>
      </c>
      <c r="I301" s="46">
        <f>TRUNC(T301*(1-LOTE_02!$K$10),2)</f>
        <v>0</v>
      </c>
      <c r="J301" s="100">
        <f t="shared" si="37"/>
        <v>0.22470000000000001</v>
      </c>
      <c r="K301" s="48">
        <f t="shared" si="31"/>
        <v>967.51</v>
      </c>
      <c r="L301" s="48">
        <f t="shared" si="32"/>
        <v>0</v>
      </c>
      <c r="M301" s="48">
        <f t="shared" si="33"/>
        <v>3870.04</v>
      </c>
      <c r="N301" s="48">
        <f t="shared" si="34"/>
        <v>0</v>
      </c>
      <c r="O301" s="50">
        <f t="shared" si="35"/>
        <v>3870.04</v>
      </c>
      <c r="P301" s="50">
        <v>0</v>
      </c>
      <c r="Q301" s="76"/>
      <c r="R301" s="140">
        <f>1*S9+1*S10</f>
        <v>4</v>
      </c>
      <c r="S301" s="79">
        <v>790</v>
      </c>
      <c r="T301" s="80">
        <v>0</v>
      </c>
    </row>
    <row r="302" spans="2:20" ht="42">
      <c r="B302" s="5" t="s">
        <v>733</v>
      </c>
      <c r="C302" s="45" t="s">
        <v>97</v>
      </c>
      <c r="D302" s="45" t="s">
        <v>734</v>
      </c>
      <c r="E302" s="6" t="s">
        <v>735</v>
      </c>
      <c r="F302" s="45" t="s">
        <v>104</v>
      </c>
      <c r="G302" s="46">
        <f t="shared" si="36"/>
        <v>4</v>
      </c>
      <c r="H302" s="46">
        <f>TRUNC(S302*(1-LOTE_02!$K$10),2)</f>
        <v>2668.79</v>
      </c>
      <c r="I302" s="46">
        <f>TRUNC(T302*(1-LOTE_02!$K$10),2)</f>
        <v>0</v>
      </c>
      <c r="J302" s="100">
        <f t="shared" si="37"/>
        <v>0.22470000000000001</v>
      </c>
      <c r="K302" s="48">
        <f t="shared" si="31"/>
        <v>3268.46</v>
      </c>
      <c r="L302" s="48">
        <f t="shared" si="32"/>
        <v>0</v>
      </c>
      <c r="M302" s="48">
        <f t="shared" si="33"/>
        <v>13073.84</v>
      </c>
      <c r="N302" s="48">
        <f t="shared" si="34"/>
        <v>0</v>
      </c>
      <c r="O302" s="50">
        <f t="shared" si="35"/>
        <v>13073.84</v>
      </c>
      <c r="P302" s="50">
        <v>0</v>
      </c>
      <c r="Q302" s="76"/>
      <c r="R302" s="140">
        <f>IF((1*S9+1*S10)&gt;10,10,(1*S9+1*S10))</f>
        <v>4</v>
      </c>
      <c r="S302" s="79">
        <v>2668.79</v>
      </c>
      <c r="T302" s="80">
        <v>0</v>
      </c>
    </row>
    <row r="303" spans="2:20">
      <c r="B303" s="5" t="s">
        <v>736</v>
      </c>
      <c r="C303" s="45" t="s">
        <v>97</v>
      </c>
      <c r="D303" s="45" t="s">
        <v>737</v>
      </c>
      <c r="E303" s="6" t="s">
        <v>738</v>
      </c>
      <c r="F303" s="45" t="s">
        <v>104</v>
      </c>
      <c r="G303" s="46">
        <f t="shared" si="36"/>
        <v>4</v>
      </c>
      <c r="H303" s="46">
        <f>TRUNC(S303*(1-LOTE_02!$K$10),2)</f>
        <v>1474.17</v>
      </c>
      <c r="I303" s="46">
        <f>TRUNC(T303*(1-LOTE_02!$K$10),2)</f>
        <v>3.3</v>
      </c>
      <c r="J303" s="100">
        <f t="shared" si="37"/>
        <v>0.22470000000000001</v>
      </c>
      <c r="K303" s="48">
        <f t="shared" si="31"/>
        <v>1805.41</v>
      </c>
      <c r="L303" s="48">
        <f t="shared" si="32"/>
        <v>4.04</v>
      </c>
      <c r="M303" s="48">
        <f t="shared" si="33"/>
        <v>7221.64</v>
      </c>
      <c r="N303" s="48">
        <f t="shared" si="34"/>
        <v>16.16</v>
      </c>
      <c r="O303" s="50">
        <f t="shared" si="35"/>
        <v>7237.8</v>
      </c>
      <c r="P303" s="50">
        <v>0</v>
      </c>
      <c r="Q303" s="76"/>
      <c r="R303" s="140">
        <f>IF((1*S9+1*S10)&gt;10,10,(1*S9+1*S10))</f>
        <v>4</v>
      </c>
      <c r="S303" s="79">
        <v>1474.17</v>
      </c>
      <c r="T303" s="80">
        <v>3.3</v>
      </c>
    </row>
    <row r="304" spans="2:20" ht="42">
      <c r="B304" s="5" t="s">
        <v>739</v>
      </c>
      <c r="C304" s="45" t="s">
        <v>97</v>
      </c>
      <c r="D304" s="45" t="s">
        <v>740</v>
      </c>
      <c r="E304" s="6" t="s">
        <v>741</v>
      </c>
      <c r="F304" s="45" t="s">
        <v>104</v>
      </c>
      <c r="G304" s="46">
        <f t="shared" si="36"/>
        <v>16</v>
      </c>
      <c r="H304" s="46">
        <f>TRUNC(S304*(1-LOTE_02!$K$10),2)</f>
        <v>66.3</v>
      </c>
      <c r="I304" s="46">
        <f>TRUNC(T304*(1-LOTE_02!$K$10),2)</f>
        <v>0</v>
      </c>
      <c r="J304" s="100">
        <f t="shared" si="37"/>
        <v>0.22470000000000001</v>
      </c>
      <c r="K304" s="48">
        <f t="shared" si="31"/>
        <v>81.19</v>
      </c>
      <c r="L304" s="48">
        <f t="shared" si="32"/>
        <v>0</v>
      </c>
      <c r="M304" s="48">
        <f t="shared" si="33"/>
        <v>1299.04</v>
      </c>
      <c r="N304" s="48">
        <f t="shared" si="34"/>
        <v>0</v>
      </c>
      <c r="O304" s="50">
        <f t="shared" si="35"/>
        <v>1299.04</v>
      </c>
      <c r="P304" s="50">
        <v>0</v>
      </c>
      <c r="Q304" s="76"/>
      <c r="R304" s="140">
        <f>4*S9+4*S10</f>
        <v>16</v>
      </c>
      <c r="S304" s="79">
        <v>66.3</v>
      </c>
      <c r="T304" s="80">
        <v>0</v>
      </c>
    </row>
    <row r="305" spans="2:20" ht="84">
      <c r="B305" s="5" t="s">
        <v>742</v>
      </c>
      <c r="C305" s="45" t="s">
        <v>97</v>
      </c>
      <c r="D305" s="45" t="s">
        <v>743</v>
      </c>
      <c r="E305" s="6" t="s">
        <v>744</v>
      </c>
      <c r="F305" s="45" t="s">
        <v>104</v>
      </c>
      <c r="G305" s="46">
        <f t="shared" si="36"/>
        <v>4</v>
      </c>
      <c r="H305" s="46">
        <f>TRUNC(S305*(1-LOTE_02!$K$10),2)</f>
        <v>74.959999999999994</v>
      </c>
      <c r="I305" s="46">
        <f>TRUNC(T305*(1-LOTE_02!$K$10),2)</f>
        <v>3.3</v>
      </c>
      <c r="J305" s="100">
        <f t="shared" si="37"/>
        <v>0.22470000000000001</v>
      </c>
      <c r="K305" s="48">
        <f t="shared" si="31"/>
        <v>91.8</v>
      </c>
      <c r="L305" s="48">
        <f t="shared" si="32"/>
        <v>4.04</v>
      </c>
      <c r="M305" s="48">
        <f t="shared" si="33"/>
        <v>367.2</v>
      </c>
      <c r="N305" s="48">
        <f t="shared" si="34"/>
        <v>16.16</v>
      </c>
      <c r="O305" s="50">
        <f t="shared" si="35"/>
        <v>383.36</v>
      </c>
      <c r="P305" s="50">
        <v>0</v>
      </c>
      <c r="Q305" s="76"/>
      <c r="R305" s="140">
        <f>IF((1*S9+1*S10)&gt;10,10,(1*S9+1*S10))</f>
        <v>4</v>
      </c>
      <c r="S305" s="79">
        <v>74.959999999999994</v>
      </c>
      <c r="T305" s="80">
        <v>3.3</v>
      </c>
    </row>
    <row r="306" spans="2:20" ht="98">
      <c r="B306" s="5" t="s">
        <v>745</v>
      </c>
      <c r="C306" s="45" t="s">
        <v>97</v>
      </c>
      <c r="D306" s="45" t="s">
        <v>746</v>
      </c>
      <c r="E306" s="6" t="s">
        <v>747</v>
      </c>
      <c r="F306" s="45" t="s">
        <v>104</v>
      </c>
      <c r="G306" s="46">
        <f t="shared" si="36"/>
        <v>4</v>
      </c>
      <c r="H306" s="46">
        <f>TRUNC(S306*(1-LOTE_02!$K$10),2)</f>
        <v>64.39</v>
      </c>
      <c r="I306" s="46">
        <f>TRUNC(T306*(1-LOTE_02!$K$10),2)</f>
        <v>0</v>
      </c>
      <c r="J306" s="100">
        <f t="shared" si="37"/>
        <v>0.22470000000000001</v>
      </c>
      <c r="K306" s="48">
        <f t="shared" si="31"/>
        <v>78.849999999999994</v>
      </c>
      <c r="L306" s="48">
        <f t="shared" si="32"/>
        <v>0</v>
      </c>
      <c r="M306" s="48">
        <f t="shared" si="33"/>
        <v>315.39999999999998</v>
      </c>
      <c r="N306" s="48">
        <f t="shared" si="34"/>
        <v>0</v>
      </c>
      <c r="O306" s="50">
        <f t="shared" si="35"/>
        <v>315.39999999999998</v>
      </c>
      <c r="P306" s="50">
        <v>0</v>
      </c>
      <c r="Q306" s="76"/>
      <c r="R306" s="140">
        <f>S9+S10</f>
        <v>4</v>
      </c>
      <c r="S306" s="79">
        <v>64.39</v>
      </c>
      <c r="T306" s="80">
        <v>0</v>
      </c>
    </row>
    <row r="307" spans="2:20" ht="84">
      <c r="B307" s="5" t="s">
        <v>748</v>
      </c>
      <c r="C307" s="45" t="s">
        <v>97</v>
      </c>
      <c r="D307" s="45" t="s">
        <v>749</v>
      </c>
      <c r="E307" s="6" t="s">
        <v>750</v>
      </c>
      <c r="F307" s="45" t="s">
        <v>104</v>
      </c>
      <c r="G307" s="46">
        <f t="shared" si="36"/>
        <v>4</v>
      </c>
      <c r="H307" s="46">
        <f>TRUNC(S307*(1-LOTE_02!$K$10),2)</f>
        <v>723.71</v>
      </c>
      <c r="I307" s="46">
        <f>TRUNC(T307*(1-LOTE_02!$K$10),2)</f>
        <v>26.39</v>
      </c>
      <c r="J307" s="100">
        <f t="shared" si="37"/>
        <v>0.22470000000000001</v>
      </c>
      <c r="K307" s="48">
        <f t="shared" si="31"/>
        <v>886.32</v>
      </c>
      <c r="L307" s="48">
        <f t="shared" si="32"/>
        <v>32.31</v>
      </c>
      <c r="M307" s="48">
        <f t="shared" si="33"/>
        <v>3545.28</v>
      </c>
      <c r="N307" s="48">
        <f t="shared" si="34"/>
        <v>129.24</v>
      </c>
      <c r="O307" s="50">
        <f t="shared" si="35"/>
        <v>3674.52</v>
      </c>
      <c r="P307" s="50">
        <v>0</v>
      </c>
      <c r="Q307" s="76"/>
      <c r="R307" s="140">
        <f>IF((1*S9+1*S10)&gt;10,10,(1*S9+1*S10))</f>
        <v>4</v>
      </c>
      <c r="S307" s="79">
        <v>723.71</v>
      </c>
      <c r="T307" s="80">
        <v>26.39</v>
      </c>
    </row>
    <row r="308" spans="2:20" ht="70">
      <c r="B308" s="5" t="s">
        <v>751</v>
      </c>
      <c r="C308" s="45" t="s">
        <v>97</v>
      </c>
      <c r="D308" s="45" t="s">
        <v>752</v>
      </c>
      <c r="E308" s="6" t="s">
        <v>753</v>
      </c>
      <c r="F308" s="45" t="s">
        <v>104</v>
      </c>
      <c r="G308" s="46">
        <f t="shared" si="36"/>
        <v>4</v>
      </c>
      <c r="H308" s="46">
        <f>TRUNC(S308*(1-LOTE_02!$K$10),2)</f>
        <v>272.39</v>
      </c>
      <c r="I308" s="46">
        <f>TRUNC(T308*(1-LOTE_02!$K$10),2)</f>
        <v>11.89</v>
      </c>
      <c r="J308" s="100">
        <f t="shared" si="37"/>
        <v>0.22470000000000001</v>
      </c>
      <c r="K308" s="48">
        <f t="shared" si="31"/>
        <v>333.59</v>
      </c>
      <c r="L308" s="48">
        <f t="shared" si="32"/>
        <v>14.56</v>
      </c>
      <c r="M308" s="48">
        <f t="shared" si="33"/>
        <v>1334.36</v>
      </c>
      <c r="N308" s="48">
        <f t="shared" si="34"/>
        <v>58.24</v>
      </c>
      <c r="O308" s="50">
        <f t="shared" si="35"/>
        <v>1392.6</v>
      </c>
      <c r="P308" s="50">
        <v>0</v>
      </c>
      <c r="Q308" s="76"/>
      <c r="R308" s="140">
        <f>IF((1*S9+1*S10)&gt;10,10,(1*S9+1*S10))</f>
        <v>4</v>
      </c>
      <c r="S308" s="79">
        <v>272.39</v>
      </c>
      <c r="T308" s="80">
        <v>11.89</v>
      </c>
    </row>
    <row r="309" spans="2:20" ht="28">
      <c r="B309" s="5" t="s">
        <v>754</v>
      </c>
      <c r="C309" s="45" t="s">
        <v>97</v>
      </c>
      <c r="D309" s="45" t="s">
        <v>755</v>
      </c>
      <c r="E309" s="6" t="s">
        <v>756</v>
      </c>
      <c r="F309" s="45" t="s">
        <v>187</v>
      </c>
      <c r="G309" s="46">
        <f t="shared" si="36"/>
        <v>40</v>
      </c>
      <c r="H309" s="46">
        <f>TRUNC(S309*(1-LOTE_02!$K$10),2)</f>
        <v>272.06</v>
      </c>
      <c r="I309" s="46">
        <f>TRUNC(T309*(1-LOTE_02!$K$10),2)</f>
        <v>39.29</v>
      </c>
      <c r="J309" s="100">
        <f t="shared" si="37"/>
        <v>0.22470000000000001</v>
      </c>
      <c r="K309" s="48">
        <f t="shared" si="31"/>
        <v>333.19</v>
      </c>
      <c r="L309" s="48">
        <f t="shared" si="32"/>
        <v>48.11</v>
      </c>
      <c r="M309" s="48">
        <f t="shared" si="33"/>
        <v>13327.6</v>
      </c>
      <c r="N309" s="48">
        <f t="shared" si="34"/>
        <v>1924.4</v>
      </c>
      <c r="O309" s="50">
        <f t="shared" si="35"/>
        <v>15252</v>
      </c>
      <c r="P309" s="50">
        <v>0</v>
      </c>
      <c r="Q309" s="76"/>
      <c r="R309" s="140">
        <f>IF((10*S9+10*S10)&gt;50,50,(10*S9+10*S10))</f>
        <v>40</v>
      </c>
      <c r="S309" s="79">
        <v>272.06</v>
      </c>
      <c r="T309" s="80">
        <v>39.29</v>
      </c>
    </row>
    <row r="310" spans="2:20" ht="84">
      <c r="B310" s="5" t="s">
        <v>757</v>
      </c>
      <c r="C310" s="45" t="s">
        <v>97</v>
      </c>
      <c r="D310" s="45" t="s">
        <v>758</v>
      </c>
      <c r="E310" s="6" t="s">
        <v>759</v>
      </c>
      <c r="F310" s="45" t="s">
        <v>104</v>
      </c>
      <c r="G310" s="46">
        <f t="shared" si="36"/>
        <v>4</v>
      </c>
      <c r="H310" s="46">
        <f>TRUNC(S310*(1-LOTE_02!$K$10),2)</f>
        <v>616.64</v>
      </c>
      <c r="I310" s="46">
        <f>TRUNC(T310*(1-LOTE_02!$K$10),2)</f>
        <v>15.11</v>
      </c>
      <c r="J310" s="100">
        <f t="shared" si="37"/>
        <v>0.22470000000000001</v>
      </c>
      <c r="K310" s="48">
        <f t="shared" si="31"/>
        <v>755.19</v>
      </c>
      <c r="L310" s="48">
        <f t="shared" si="32"/>
        <v>18.5</v>
      </c>
      <c r="M310" s="48">
        <f t="shared" si="33"/>
        <v>3020.76</v>
      </c>
      <c r="N310" s="48">
        <f t="shared" si="34"/>
        <v>74</v>
      </c>
      <c r="O310" s="50">
        <f t="shared" si="35"/>
        <v>3094.76</v>
      </c>
      <c r="P310" s="50">
        <v>0</v>
      </c>
      <c r="Q310" s="76"/>
      <c r="R310" s="140">
        <f>IF((1*S9+1*S10)&gt;10,10,(1*S9+1*S10))</f>
        <v>4</v>
      </c>
      <c r="S310" s="79">
        <v>616.64</v>
      </c>
      <c r="T310" s="80">
        <v>15.11</v>
      </c>
    </row>
    <row r="311" spans="2:20">
      <c r="B311" s="101" t="s">
        <v>48</v>
      </c>
      <c r="C311" s="102" t="s">
        <v>21</v>
      </c>
      <c r="D311" s="102" t="s">
        <v>21</v>
      </c>
      <c r="E311" s="103" t="s">
        <v>53</v>
      </c>
      <c r="F311" s="102" t="s">
        <v>21</v>
      </c>
      <c r="G311" s="46">
        <f t="shared" si="36"/>
        <v>0</v>
      </c>
      <c r="H311" s="46"/>
      <c r="I311" s="46"/>
      <c r="J311" s="105"/>
      <c r="K311" s="48">
        <f t="shared" si="31"/>
        <v>0</v>
      </c>
      <c r="L311" s="48">
        <f t="shared" si="32"/>
        <v>0</v>
      </c>
      <c r="M311" s="48">
        <f t="shared" si="33"/>
        <v>0</v>
      </c>
      <c r="N311" s="48">
        <f t="shared" si="34"/>
        <v>0</v>
      </c>
      <c r="O311" s="50">
        <f t="shared" si="35"/>
        <v>0</v>
      </c>
      <c r="P311" s="104">
        <f>SUM(O312:O332)</f>
        <v>792228.1</v>
      </c>
      <c r="Q311" s="76"/>
      <c r="R311" s="154"/>
      <c r="S311" s="79" t="s">
        <v>22</v>
      </c>
      <c r="T311" s="80" t="s">
        <v>22</v>
      </c>
    </row>
    <row r="312" spans="2:20" ht="28">
      <c r="B312" s="5" t="s">
        <v>760</v>
      </c>
      <c r="C312" s="45" t="s">
        <v>165</v>
      </c>
      <c r="D312" s="45" t="s">
        <v>761</v>
      </c>
      <c r="E312" s="6" t="s">
        <v>762</v>
      </c>
      <c r="F312" s="45" t="s">
        <v>168</v>
      </c>
      <c r="G312" s="46">
        <f t="shared" si="36"/>
        <v>2160</v>
      </c>
      <c r="H312" s="46">
        <f>TRUNC(S312*(1-LOTE_02!$K$10),2)</f>
        <v>0</v>
      </c>
      <c r="I312" s="46">
        <f>TRUNC(T312*(1-LOTE_02!$K$10),2)</f>
        <v>15.81</v>
      </c>
      <c r="J312" s="100">
        <f t="shared" si="37"/>
        <v>0.22470000000000001</v>
      </c>
      <c r="K312" s="48">
        <f t="shared" si="31"/>
        <v>0</v>
      </c>
      <c r="L312" s="48">
        <f t="shared" si="32"/>
        <v>19.36</v>
      </c>
      <c r="M312" s="48">
        <f t="shared" si="33"/>
        <v>0</v>
      </c>
      <c r="N312" s="48">
        <f t="shared" si="34"/>
        <v>41817.599999999999</v>
      </c>
      <c r="O312" s="50">
        <f t="shared" si="35"/>
        <v>41817.599999999999</v>
      </c>
      <c r="P312" s="50">
        <v>0</v>
      </c>
      <c r="Q312" s="76"/>
      <c r="R312" s="140">
        <f>90*6*(S9+S10)</f>
        <v>2160</v>
      </c>
      <c r="S312" s="79">
        <v>0</v>
      </c>
      <c r="T312" s="80">
        <v>15.81</v>
      </c>
    </row>
    <row r="313" spans="2:20" ht="28">
      <c r="B313" s="5" t="s">
        <v>763</v>
      </c>
      <c r="C313" s="45" t="s">
        <v>165</v>
      </c>
      <c r="D313" s="45" t="s">
        <v>764</v>
      </c>
      <c r="E313" s="6" t="s">
        <v>765</v>
      </c>
      <c r="F313" s="45" t="s">
        <v>168</v>
      </c>
      <c r="G313" s="46">
        <f t="shared" si="36"/>
        <v>170</v>
      </c>
      <c r="H313" s="46">
        <f>TRUNC(S313*(1-LOTE_02!$K$10),2)</f>
        <v>27.97</v>
      </c>
      <c r="I313" s="46">
        <f>TRUNC(T313*(1-LOTE_02!$K$10),2)</f>
        <v>21.74</v>
      </c>
      <c r="J313" s="100">
        <f t="shared" si="37"/>
        <v>0.22470000000000001</v>
      </c>
      <c r="K313" s="48">
        <f t="shared" si="31"/>
        <v>34.25</v>
      </c>
      <c r="L313" s="48">
        <f t="shared" si="32"/>
        <v>26.62</v>
      </c>
      <c r="M313" s="48">
        <f t="shared" si="33"/>
        <v>5822.5</v>
      </c>
      <c r="N313" s="48">
        <f t="shared" si="34"/>
        <v>4525.3999999999996</v>
      </c>
      <c r="O313" s="50">
        <f t="shared" si="35"/>
        <v>10347.9</v>
      </c>
      <c r="P313" s="50">
        <v>0</v>
      </c>
      <c r="Q313" s="76"/>
      <c r="R313" s="140">
        <f>50*S9+20*(S10)</f>
        <v>170</v>
      </c>
      <c r="S313" s="79">
        <v>27.97</v>
      </c>
      <c r="T313" s="80">
        <v>21.74</v>
      </c>
    </row>
    <row r="314" spans="2:20" ht="28">
      <c r="B314" s="5" t="s">
        <v>766</v>
      </c>
      <c r="C314" s="45" t="s">
        <v>135</v>
      </c>
      <c r="D314" s="45">
        <v>100717</v>
      </c>
      <c r="E314" s="6" t="s">
        <v>767</v>
      </c>
      <c r="F314" s="45" t="s">
        <v>121</v>
      </c>
      <c r="G314" s="46">
        <f t="shared" si="36"/>
        <v>1100</v>
      </c>
      <c r="H314" s="46">
        <f>TRUNC(S314*(1-LOTE_02!$K$10),2)</f>
        <v>2.8</v>
      </c>
      <c r="I314" s="46">
        <f>TRUNC(T314*(1-LOTE_02!$K$10),2)</f>
        <v>6.71</v>
      </c>
      <c r="J314" s="100">
        <f t="shared" si="37"/>
        <v>0.22470000000000001</v>
      </c>
      <c r="K314" s="48">
        <f t="shared" si="31"/>
        <v>3.42</v>
      </c>
      <c r="L314" s="48">
        <f t="shared" si="32"/>
        <v>8.2100000000000009</v>
      </c>
      <c r="M314" s="48">
        <f t="shared" si="33"/>
        <v>3762</v>
      </c>
      <c r="N314" s="48">
        <f t="shared" si="34"/>
        <v>9031</v>
      </c>
      <c r="O314" s="50">
        <f t="shared" si="35"/>
        <v>12793</v>
      </c>
      <c r="P314" s="50">
        <v>0</v>
      </c>
      <c r="Q314" s="76"/>
      <c r="R314" s="140">
        <f>R330</f>
        <v>1100</v>
      </c>
      <c r="S314" s="79">
        <v>2.8</v>
      </c>
      <c r="T314" s="80">
        <v>6.71</v>
      </c>
    </row>
    <row r="315" spans="2:20" ht="28">
      <c r="B315" s="5" t="s">
        <v>768</v>
      </c>
      <c r="C315" s="45" t="s">
        <v>135</v>
      </c>
      <c r="D315" s="45">
        <v>102197</v>
      </c>
      <c r="E315" s="6" t="s">
        <v>769</v>
      </c>
      <c r="F315" s="45" t="s">
        <v>121</v>
      </c>
      <c r="G315" s="46">
        <f t="shared" si="36"/>
        <v>230</v>
      </c>
      <c r="H315" s="46">
        <f>TRUNC(S315*(1-LOTE_02!$K$10),2)</f>
        <v>15.87</v>
      </c>
      <c r="I315" s="46">
        <f>TRUNC(T315*(1-LOTE_02!$K$10),2)</f>
        <v>6.26</v>
      </c>
      <c r="J315" s="100">
        <f t="shared" si="37"/>
        <v>0.22470000000000001</v>
      </c>
      <c r="K315" s="48">
        <f t="shared" si="31"/>
        <v>19.43</v>
      </c>
      <c r="L315" s="48">
        <f t="shared" si="32"/>
        <v>7.66</v>
      </c>
      <c r="M315" s="48">
        <f t="shared" si="33"/>
        <v>4468.8999999999996</v>
      </c>
      <c r="N315" s="48">
        <f t="shared" si="34"/>
        <v>1761.8</v>
      </c>
      <c r="O315" s="50">
        <f t="shared" si="35"/>
        <v>6230.7</v>
      </c>
      <c r="P315" s="50">
        <v>0</v>
      </c>
      <c r="Q315" s="76"/>
      <c r="R315" s="140">
        <f>R256</f>
        <v>230</v>
      </c>
      <c r="S315" s="79">
        <v>15.87</v>
      </c>
      <c r="T315" s="80">
        <v>6.26</v>
      </c>
    </row>
    <row r="316" spans="2:20" ht="70">
      <c r="B316" s="5" t="s">
        <v>770</v>
      </c>
      <c r="C316" s="45" t="s">
        <v>135</v>
      </c>
      <c r="D316" s="45">
        <v>88412</v>
      </c>
      <c r="E316" s="6" t="s">
        <v>771</v>
      </c>
      <c r="F316" s="45" t="s">
        <v>121</v>
      </c>
      <c r="G316" s="46">
        <f t="shared" si="36"/>
        <v>6000</v>
      </c>
      <c r="H316" s="46">
        <f>TRUNC(S316*(1-LOTE_02!$K$10),2)</f>
        <v>2</v>
      </c>
      <c r="I316" s="46">
        <f>TRUNC(T316*(1-LOTE_02!$K$10),2)</f>
        <v>0.77</v>
      </c>
      <c r="J316" s="100">
        <f t="shared" si="37"/>
        <v>0.22470000000000001</v>
      </c>
      <c r="K316" s="48">
        <f t="shared" si="31"/>
        <v>2.44</v>
      </c>
      <c r="L316" s="48">
        <f t="shared" si="32"/>
        <v>0.94</v>
      </c>
      <c r="M316" s="48">
        <f t="shared" si="33"/>
        <v>14640</v>
      </c>
      <c r="N316" s="48">
        <f t="shared" si="34"/>
        <v>5640</v>
      </c>
      <c r="O316" s="50">
        <f t="shared" si="35"/>
        <v>20280</v>
      </c>
      <c r="P316" s="50">
        <v>0</v>
      </c>
      <c r="Q316" s="76"/>
      <c r="R316" s="140">
        <f>1500*S9+1500*S10</f>
        <v>6000</v>
      </c>
      <c r="S316" s="79">
        <v>2</v>
      </c>
      <c r="T316" s="80">
        <v>0.77</v>
      </c>
    </row>
    <row r="317" spans="2:20" ht="42">
      <c r="B317" s="5" t="s">
        <v>772</v>
      </c>
      <c r="C317" s="45" t="s">
        <v>135</v>
      </c>
      <c r="D317" s="45">
        <v>88484</v>
      </c>
      <c r="E317" s="6" t="s">
        <v>773</v>
      </c>
      <c r="F317" s="45" t="s">
        <v>121</v>
      </c>
      <c r="G317" s="46">
        <f t="shared" si="36"/>
        <v>6000</v>
      </c>
      <c r="H317" s="46">
        <f>TRUNC(S317*(1-LOTE_02!$K$10),2)</f>
        <v>1.8</v>
      </c>
      <c r="I317" s="46">
        <f>TRUNC(T317*(1-LOTE_02!$K$10),2)</f>
        <v>2.58</v>
      </c>
      <c r="J317" s="100">
        <f t="shared" si="37"/>
        <v>0.22470000000000001</v>
      </c>
      <c r="K317" s="48">
        <f t="shared" si="31"/>
        <v>2.2000000000000002</v>
      </c>
      <c r="L317" s="48">
        <f t="shared" si="32"/>
        <v>3.15</v>
      </c>
      <c r="M317" s="48">
        <f t="shared" si="33"/>
        <v>13200</v>
      </c>
      <c r="N317" s="48">
        <f t="shared" si="34"/>
        <v>18900</v>
      </c>
      <c r="O317" s="50">
        <f t="shared" si="35"/>
        <v>32100</v>
      </c>
      <c r="P317" s="50">
        <v>0</v>
      </c>
      <c r="Q317" s="76"/>
      <c r="R317" s="140">
        <f>1500*S9+1500*S10</f>
        <v>6000</v>
      </c>
      <c r="S317" s="79">
        <v>1.7999999999999998</v>
      </c>
      <c r="T317" s="80">
        <v>2.58</v>
      </c>
    </row>
    <row r="318" spans="2:20" ht="42">
      <c r="B318" s="5" t="s">
        <v>774</v>
      </c>
      <c r="C318" s="45" t="s">
        <v>135</v>
      </c>
      <c r="D318" s="45">
        <v>88485</v>
      </c>
      <c r="E318" s="6" t="s">
        <v>775</v>
      </c>
      <c r="F318" s="45" t="s">
        <v>121</v>
      </c>
      <c r="G318" s="46">
        <f t="shared" si="36"/>
        <v>6000</v>
      </c>
      <c r="H318" s="46">
        <f>TRUNC(S318*(1-LOTE_02!$K$10),2)</f>
        <v>1.58</v>
      </c>
      <c r="I318" s="46">
        <f>TRUNC(T318*(1-LOTE_02!$K$10),2)</f>
        <v>1.86</v>
      </c>
      <c r="J318" s="100">
        <f t="shared" si="37"/>
        <v>0.22470000000000001</v>
      </c>
      <c r="K318" s="48">
        <f t="shared" si="31"/>
        <v>1.93</v>
      </c>
      <c r="L318" s="48">
        <f t="shared" si="32"/>
        <v>2.27</v>
      </c>
      <c r="M318" s="48">
        <f t="shared" si="33"/>
        <v>11580</v>
      </c>
      <c r="N318" s="48">
        <f t="shared" si="34"/>
        <v>13620</v>
      </c>
      <c r="O318" s="50">
        <f t="shared" si="35"/>
        <v>25200</v>
      </c>
      <c r="P318" s="50">
        <v>0</v>
      </c>
      <c r="Q318" s="76"/>
      <c r="R318" s="140">
        <f>1500*S9+1500*S10</f>
        <v>6000</v>
      </c>
      <c r="S318" s="79">
        <v>1.5799999999999998</v>
      </c>
      <c r="T318" s="80">
        <v>1.86</v>
      </c>
    </row>
    <row r="319" spans="2:20" ht="42">
      <c r="B319" s="5" t="s">
        <v>776</v>
      </c>
      <c r="C319" s="45" t="s">
        <v>135</v>
      </c>
      <c r="D319" s="45">
        <v>88495</v>
      </c>
      <c r="E319" s="6" t="s">
        <v>777</v>
      </c>
      <c r="F319" s="45" t="s">
        <v>121</v>
      </c>
      <c r="G319" s="46">
        <f t="shared" si="36"/>
        <v>6000</v>
      </c>
      <c r="H319" s="46">
        <f>TRUNC(S319*(1-LOTE_02!$K$10),2)</f>
        <v>4.01</v>
      </c>
      <c r="I319" s="46">
        <f>TRUNC(T319*(1-LOTE_02!$K$10),2)</f>
        <v>6.87</v>
      </c>
      <c r="J319" s="100">
        <f t="shared" si="37"/>
        <v>0.22470000000000001</v>
      </c>
      <c r="K319" s="48">
        <f t="shared" si="31"/>
        <v>4.91</v>
      </c>
      <c r="L319" s="48">
        <f t="shared" si="32"/>
        <v>8.41</v>
      </c>
      <c r="M319" s="48">
        <f t="shared" si="33"/>
        <v>29460</v>
      </c>
      <c r="N319" s="48">
        <f t="shared" si="34"/>
        <v>50460</v>
      </c>
      <c r="O319" s="50">
        <f t="shared" si="35"/>
        <v>79920</v>
      </c>
      <c r="P319" s="50">
        <v>0</v>
      </c>
      <c r="Q319" s="76"/>
      <c r="R319" s="140">
        <f>R316</f>
        <v>6000</v>
      </c>
      <c r="S319" s="79">
        <v>4.0100000000000007</v>
      </c>
      <c r="T319" s="80">
        <v>6.87</v>
      </c>
    </row>
    <row r="320" spans="2:20" ht="42">
      <c r="B320" s="5" t="s">
        <v>778</v>
      </c>
      <c r="C320" s="45" t="s">
        <v>135</v>
      </c>
      <c r="D320" s="45">
        <v>88497</v>
      </c>
      <c r="E320" s="6" t="s">
        <v>779</v>
      </c>
      <c r="F320" s="45" t="s">
        <v>121</v>
      </c>
      <c r="G320" s="46">
        <f t="shared" si="36"/>
        <v>6000</v>
      </c>
      <c r="H320" s="46">
        <f>TRUNC(S320*(1-LOTE_02!$K$10),2)</f>
        <v>6.65</v>
      </c>
      <c r="I320" s="46">
        <f>TRUNC(T320*(1-LOTE_02!$K$10),2)</f>
        <v>10.08</v>
      </c>
      <c r="J320" s="100">
        <f t="shared" si="37"/>
        <v>0.22470000000000001</v>
      </c>
      <c r="K320" s="48">
        <f t="shared" si="31"/>
        <v>8.14</v>
      </c>
      <c r="L320" s="48">
        <f t="shared" si="32"/>
        <v>12.34</v>
      </c>
      <c r="M320" s="48">
        <f t="shared" si="33"/>
        <v>48840</v>
      </c>
      <c r="N320" s="48">
        <f t="shared" si="34"/>
        <v>74040</v>
      </c>
      <c r="O320" s="50">
        <f t="shared" si="35"/>
        <v>122880</v>
      </c>
      <c r="P320" s="50">
        <v>0</v>
      </c>
      <c r="Q320" s="76"/>
      <c r="R320" s="140">
        <f>R316</f>
        <v>6000</v>
      </c>
      <c r="S320" s="79">
        <v>6.65</v>
      </c>
      <c r="T320" s="80">
        <v>10.08</v>
      </c>
    </row>
    <row r="321" spans="2:20" ht="42">
      <c r="B321" s="5" t="s">
        <v>780</v>
      </c>
      <c r="C321" s="45" t="s">
        <v>135</v>
      </c>
      <c r="D321" s="45">
        <v>88494</v>
      </c>
      <c r="E321" s="6" t="s">
        <v>781</v>
      </c>
      <c r="F321" s="45" t="s">
        <v>121</v>
      </c>
      <c r="G321" s="46">
        <f t="shared" si="36"/>
        <v>1500</v>
      </c>
      <c r="H321" s="46">
        <f>TRUNC(S321*(1-LOTE_02!$K$10),2)</f>
        <v>6.17</v>
      </c>
      <c r="I321" s="46">
        <f>TRUNC(T321*(1-LOTE_02!$K$10),2)</f>
        <v>14.13</v>
      </c>
      <c r="J321" s="100">
        <f t="shared" si="37"/>
        <v>0.22470000000000001</v>
      </c>
      <c r="K321" s="48">
        <f t="shared" si="31"/>
        <v>7.55</v>
      </c>
      <c r="L321" s="48">
        <f t="shared" si="32"/>
        <v>17.3</v>
      </c>
      <c r="M321" s="48">
        <f t="shared" si="33"/>
        <v>11325</v>
      </c>
      <c r="N321" s="48">
        <f t="shared" si="34"/>
        <v>25950</v>
      </c>
      <c r="O321" s="50">
        <f t="shared" si="35"/>
        <v>37275</v>
      </c>
      <c r="P321" s="50">
        <v>0</v>
      </c>
      <c r="Q321" s="76"/>
      <c r="R321" s="140">
        <f>R316/4</f>
        <v>1500</v>
      </c>
      <c r="S321" s="79">
        <v>6.17</v>
      </c>
      <c r="T321" s="80">
        <v>14.13</v>
      </c>
    </row>
    <row r="322" spans="2:20" ht="42">
      <c r="B322" s="5" t="s">
        <v>782</v>
      </c>
      <c r="C322" s="45" t="s">
        <v>135</v>
      </c>
      <c r="D322" s="45">
        <v>88496</v>
      </c>
      <c r="E322" s="6" t="s">
        <v>783</v>
      </c>
      <c r="F322" s="45" t="s">
        <v>121</v>
      </c>
      <c r="G322" s="46">
        <f t="shared" si="36"/>
        <v>1500</v>
      </c>
      <c r="H322" s="46">
        <f>TRUNC(S322*(1-LOTE_02!$K$10),2)</f>
        <v>9.8000000000000007</v>
      </c>
      <c r="I322" s="46">
        <f>TRUNC(T322*(1-LOTE_02!$K$10),2)</f>
        <v>20.75</v>
      </c>
      <c r="J322" s="100">
        <f t="shared" si="37"/>
        <v>0.22470000000000001</v>
      </c>
      <c r="K322" s="48">
        <f t="shared" si="31"/>
        <v>12</v>
      </c>
      <c r="L322" s="48">
        <f t="shared" si="32"/>
        <v>25.41</v>
      </c>
      <c r="M322" s="48">
        <f t="shared" si="33"/>
        <v>18000</v>
      </c>
      <c r="N322" s="48">
        <f t="shared" si="34"/>
        <v>38115</v>
      </c>
      <c r="O322" s="50">
        <f t="shared" si="35"/>
        <v>56115</v>
      </c>
      <c r="P322" s="50">
        <v>0</v>
      </c>
      <c r="Q322" s="76"/>
      <c r="R322" s="140">
        <f>R316/4</f>
        <v>1500</v>
      </c>
      <c r="S322" s="79">
        <v>9.8000000000000007</v>
      </c>
      <c r="T322" s="80">
        <v>20.75</v>
      </c>
    </row>
    <row r="323" spans="2:20" ht="56">
      <c r="B323" s="5" t="s">
        <v>784</v>
      </c>
      <c r="C323" s="45" t="s">
        <v>135</v>
      </c>
      <c r="D323" s="45">
        <v>96132</v>
      </c>
      <c r="E323" s="6" t="s">
        <v>785</v>
      </c>
      <c r="F323" s="45" t="s">
        <v>121</v>
      </c>
      <c r="G323" s="46">
        <f t="shared" si="36"/>
        <v>6000</v>
      </c>
      <c r="H323" s="46">
        <f>TRUNC(S323*(1-LOTE_02!$K$10),2)</f>
        <v>8.74</v>
      </c>
      <c r="I323" s="46">
        <f>TRUNC(T323*(1-LOTE_02!$K$10),2)</f>
        <v>7.48</v>
      </c>
      <c r="J323" s="100">
        <f t="shared" si="37"/>
        <v>0.22470000000000001</v>
      </c>
      <c r="K323" s="48">
        <f t="shared" si="31"/>
        <v>10.7</v>
      </c>
      <c r="L323" s="48">
        <f t="shared" si="32"/>
        <v>9.16</v>
      </c>
      <c r="M323" s="48">
        <f t="shared" si="33"/>
        <v>64200</v>
      </c>
      <c r="N323" s="48">
        <f t="shared" si="34"/>
        <v>54960</v>
      </c>
      <c r="O323" s="50">
        <f t="shared" si="35"/>
        <v>119160</v>
      </c>
      <c r="P323" s="50">
        <v>0</v>
      </c>
      <c r="Q323" s="76"/>
      <c r="R323" s="140">
        <f>R316</f>
        <v>6000</v>
      </c>
      <c r="S323" s="79">
        <v>8.7399999999999984</v>
      </c>
      <c r="T323" s="80">
        <v>7.48</v>
      </c>
    </row>
    <row r="324" spans="2:20" ht="42">
      <c r="B324" s="5" t="s">
        <v>786</v>
      </c>
      <c r="C324" s="45" t="s">
        <v>135</v>
      </c>
      <c r="D324" s="45">
        <v>88489</v>
      </c>
      <c r="E324" s="6" t="s">
        <v>787</v>
      </c>
      <c r="F324" s="45" t="s">
        <v>121</v>
      </c>
      <c r="G324" s="46">
        <f t="shared" si="36"/>
        <v>6000</v>
      </c>
      <c r="H324" s="46">
        <f>TRUNC(S324*(1-LOTE_02!$K$10),2)</f>
        <v>9.2200000000000006</v>
      </c>
      <c r="I324" s="46">
        <f>TRUNC(T324*(1-LOTE_02!$K$10),2)</f>
        <v>4.42</v>
      </c>
      <c r="J324" s="100">
        <f t="shared" si="37"/>
        <v>0.22470000000000001</v>
      </c>
      <c r="K324" s="48">
        <f t="shared" si="31"/>
        <v>11.29</v>
      </c>
      <c r="L324" s="48">
        <f t="shared" si="32"/>
        <v>5.41</v>
      </c>
      <c r="M324" s="48">
        <f t="shared" si="33"/>
        <v>67740</v>
      </c>
      <c r="N324" s="48">
        <f t="shared" si="34"/>
        <v>32460</v>
      </c>
      <c r="O324" s="50">
        <f t="shared" si="35"/>
        <v>100200</v>
      </c>
      <c r="P324" s="50">
        <v>0</v>
      </c>
      <c r="Q324" s="76"/>
      <c r="R324" s="140">
        <f>R316</f>
        <v>6000</v>
      </c>
      <c r="S324" s="79">
        <v>9.2200000000000006</v>
      </c>
      <c r="T324" s="80">
        <v>4.42</v>
      </c>
    </row>
    <row r="325" spans="2:20" ht="56">
      <c r="B325" s="5" t="s">
        <v>788</v>
      </c>
      <c r="C325" s="45" t="s">
        <v>135</v>
      </c>
      <c r="D325" s="45">
        <v>102491</v>
      </c>
      <c r="E325" s="6" t="s">
        <v>789</v>
      </c>
      <c r="F325" s="45" t="s">
        <v>121</v>
      </c>
      <c r="G325" s="46">
        <f t="shared" si="36"/>
        <v>600</v>
      </c>
      <c r="H325" s="46">
        <f>TRUNC(S325*(1-LOTE_02!$K$10),2)</f>
        <v>13.39</v>
      </c>
      <c r="I325" s="46">
        <f>TRUNC(T325*(1-LOTE_02!$K$10),2)</f>
        <v>7.89</v>
      </c>
      <c r="J325" s="100">
        <f t="shared" si="37"/>
        <v>0.22470000000000001</v>
      </c>
      <c r="K325" s="48">
        <f t="shared" si="31"/>
        <v>16.39</v>
      </c>
      <c r="L325" s="48">
        <f t="shared" si="32"/>
        <v>9.66</v>
      </c>
      <c r="M325" s="48">
        <f t="shared" si="33"/>
        <v>9834</v>
      </c>
      <c r="N325" s="48">
        <f t="shared" si="34"/>
        <v>5796</v>
      </c>
      <c r="O325" s="50">
        <f t="shared" si="35"/>
        <v>15630</v>
      </c>
      <c r="P325" s="50">
        <v>0</v>
      </c>
      <c r="Q325" s="76"/>
      <c r="R325" s="140">
        <f>150*S9+150*S10</f>
        <v>600</v>
      </c>
      <c r="S325" s="79">
        <v>13.39</v>
      </c>
      <c r="T325" s="80">
        <v>7.89</v>
      </c>
    </row>
    <row r="326" spans="2:20" ht="56">
      <c r="B326" s="5" t="s">
        <v>790</v>
      </c>
      <c r="C326" s="45" t="s">
        <v>135</v>
      </c>
      <c r="D326" s="45">
        <v>102513</v>
      </c>
      <c r="E326" s="6" t="s">
        <v>791</v>
      </c>
      <c r="F326" s="45" t="s">
        <v>121</v>
      </c>
      <c r="G326" s="46">
        <f t="shared" si="36"/>
        <v>160</v>
      </c>
      <c r="H326" s="46">
        <f>TRUNC(S326*(1-LOTE_02!$K$10),2)</f>
        <v>21.03</v>
      </c>
      <c r="I326" s="46">
        <f>TRUNC(T326*(1-LOTE_02!$K$10),2)</f>
        <v>27.96</v>
      </c>
      <c r="J326" s="100">
        <f t="shared" si="37"/>
        <v>0.22470000000000001</v>
      </c>
      <c r="K326" s="48">
        <f t="shared" si="31"/>
        <v>25.75</v>
      </c>
      <c r="L326" s="48">
        <f t="shared" si="32"/>
        <v>34.24</v>
      </c>
      <c r="M326" s="48">
        <f t="shared" si="33"/>
        <v>4120</v>
      </c>
      <c r="N326" s="48">
        <f t="shared" si="34"/>
        <v>5478.4</v>
      </c>
      <c r="O326" s="50">
        <f t="shared" si="35"/>
        <v>9598.4</v>
      </c>
      <c r="P326" s="50">
        <v>0</v>
      </c>
      <c r="Q326" s="76"/>
      <c r="R326" s="140">
        <f>40*S9+40*S10</f>
        <v>160</v>
      </c>
      <c r="S326" s="79">
        <v>21.03</v>
      </c>
      <c r="T326" s="80">
        <v>27.96</v>
      </c>
    </row>
    <row r="327" spans="2:20" ht="42">
      <c r="B327" s="5" t="s">
        <v>792</v>
      </c>
      <c r="C327" s="45" t="s">
        <v>135</v>
      </c>
      <c r="D327" s="45">
        <v>102501</v>
      </c>
      <c r="E327" s="6" t="s">
        <v>793</v>
      </c>
      <c r="F327" s="45" t="s">
        <v>121</v>
      </c>
      <c r="G327" s="46">
        <f t="shared" si="36"/>
        <v>60</v>
      </c>
      <c r="H327" s="46">
        <f>TRUNC(S327*(1-LOTE_02!$K$10),2)</f>
        <v>13.83</v>
      </c>
      <c r="I327" s="46">
        <f>TRUNC(T327*(1-LOTE_02!$K$10),2)</f>
        <v>12.44</v>
      </c>
      <c r="J327" s="100">
        <f t="shared" si="37"/>
        <v>0.22470000000000001</v>
      </c>
      <c r="K327" s="48">
        <f t="shared" si="31"/>
        <v>16.93</v>
      </c>
      <c r="L327" s="48">
        <f t="shared" si="32"/>
        <v>15.23</v>
      </c>
      <c r="M327" s="48">
        <f t="shared" si="33"/>
        <v>1015.8</v>
      </c>
      <c r="N327" s="48">
        <f t="shared" si="34"/>
        <v>913.8</v>
      </c>
      <c r="O327" s="50">
        <f t="shared" si="35"/>
        <v>1929.6</v>
      </c>
      <c r="P327" s="50">
        <v>0</v>
      </c>
      <c r="Q327" s="76"/>
      <c r="R327" s="140">
        <f>15*S9+15*S10</f>
        <v>60</v>
      </c>
      <c r="S327" s="79">
        <v>13.83</v>
      </c>
      <c r="T327" s="80">
        <v>12.44</v>
      </c>
    </row>
    <row r="328" spans="2:20" ht="98">
      <c r="B328" s="5" t="s">
        <v>794</v>
      </c>
      <c r="C328" s="45" t="s">
        <v>135</v>
      </c>
      <c r="D328" s="45">
        <v>100726</v>
      </c>
      <c r="E328" s="6" t="s">
        <v>795</v>
      </c>
      <c r="F328" s="45" t="s">
        <v>121</v>
      </c>
      <c r="G328" s="46">
        <f t="shared" si="36"/>
        <v>1100</v>
      </c>
      <c r="H328" s="46">
        <f>TRUNC(S328*(1-LOTE_02!$K$10),2)</f>
        <v>11.53</v>
      </c>
      <c r="I328" s="46">
        <f>TRUNC(T328*(1-LOTE_02!$K$10),2)</f>
        <v>15.39</v>
      </c>
      <c r="J328" s="100">
        <f t="shared" si="37"/>
        <v>0.22470000000000001</v>
      </c>
      <c r="K328" s="48">
        <f t="shared" si="31"/>
        <v>14.12</v>
      </c>
      <c r="L328" s="48">
        <f t="shared" si="32"/>
        <v>18.84</v>
      </c>
      <c r="M328" s="48">
        <f t="shared" si="33"/>
        <v>15532</v>
      </c>
      <c r="N328" s="48">
        <f t="shared" si="34"/>
        <v>20724</v>
      </c>
      <c r="O328" s="50">
        <f t="shared" si="35"/>
        <v>36256</v>
      </c>
      <c r="P328" s="50">
        <v>0</v>
      </c>
      <c r="Q328" s="76"/>
      <c r="R328" s="140">
        <f>300*S9+200*S10</f>
        <v>1100</v>
      </c>
      <c r="S328" s="79">
        <v>11.530000000000001</v>
      </c>
      <c r="T328" s="80">
        <v>15.39</v>
      </c>
    </row>
    <row r="329" spans="2:20" ht="28">
      <c r="B329" s="5" t="s">
        <v>796</v>
      </c>
      <c r="C329" s="45" t="s">
        <v>135</v>
      </c>
      <c r="D329" s="45">
        <v>102234</v>
      </c>
      <c r="E329" s="6" t="s">
        <v>797</v>
      </c>
      <c r="F329" s="45" t="s">
        <v>121</v>
      </c>
      <c r="G329" s="46">
        <f t="shared" si="36"/>
        <v>230</v>
      </c>
      <c r="H329" s="46">
        <f>TRUNC(S329*(1-LOTE_02!$K$10),2)</f>
        <v>15.52</v>
      </c>
      <c r="I329" s="46">
        <f>TRUNC(T329*(1-LOTE_02!$K$10),2)</f>
        <v>9.5</v>
      </c>
      <c r="J329" s="100">
        <f t="shared" si="37"/>
        <v>0.22470000000000001</v>
      </c>
      <c r="K329" s="48">
        <f t="shared" si="31"/>
        <v>19</v>
      </c>
      <c r="L329" s="48">
        <f t="shared" si="32"/>
        <v>11.63</v>
      </c>
      <c r="M329" s="48">
        <f t="shared" si="33"/>
        <v>4370</v>
      </c>
      <c r="N329" s="48">
        <f t="shared" si="34"/>
        <v>2674.9</v>
      </c>
      <c r="O329" s="50">
        <f t="shared" si="35"/>
        <v>7044.9</v>
      </c>
      <c r="P329" s="50">
        <v>0</v>
      </c>
      <c r="Q329" s="76"/>
      <c r="R329" s="140">
        <f>IF((10*S9+200*S10)&gt;5000,5000,(10*S9+200*S10))</f>
        <v>230</v>
      </c>
      <c r="S329" s="79">
        <v>15.52</v>
      </c>
      <c r="T329" s="80">
        <v>9.5</v>
      </c>
    </row>
    <row r="330" spans="2:20" ht="84">
      <c r="B330" s="5" t="s">
        <v>798</v>
      </c>
      <c r="C330" s="45" t="s">
        <v>135</v>
      </c>
      <c r="D330" s="45">
        <v>100749</v>
      </c>
      <c r="E330" s="6" t="s">
        <v>799</v>
      </c>
      <c r="F330" s="45" t="s">
        <v>121</v>
      </c>
      <c r="G330" s="46">
        <f t="shared" si="36"/>
        <v>1100</v>
      </c>
      <c r="H330" s="46">
        <f>TRUNC(S330*(1-LOTE_02!$K$10),2)</f>
        <v>11.95</v>
      </c>
      <c r="I330" s="46">
        <f>TRUNC(T330*(1-LOTE_02!$K$10),2)</f>
        <v>11.95</v>
      </c>
      <c r="J330" s="100">
        <f t="shared" si="37"/>
        <v>0.22470000000000001</v>
      </c>
      <c r="K330" s="48">
        <f t="shared" si="31"/>
        <v>14.63</v>
      </c>
      <c r="L330" s="48">
        <f t="shared" si="32"/>
        <v>14.63</v>
      </c>
      <c r="M330" s="48">
        <f t="shared" si="33"/>
        <v>16093</v>
      </c>
      <c r="N330" s="48">
        <f t="shared" si="34"/>
        <v>16093</v>
      </c>
      <c r="O330" s="50">
        <f t="shared" si="35"/>
        <v>32186</v>
      </c>
      <c r="P330" s="50">
        <v>0</v>
      </c>
      <c r="Q330" s="76"/>
      <c r="R330" s="140">
        <f>300*S9+200*S10</f>
        <v>1100</v>
      </c>
      <c r="S330" s="79">
        <v>11.95</v>
      </c>
      <c r="T330" s="80">
        <v>11.95</v>
      </c>
    </row>
    <row r="331" spans="2:20" ht="70">
      <c r="B331" s="5" t="s">
        <v>800</v>
      </c>
      <c r="C331" s="45" t="s">
        <v>135</v>
      </c>
      <c r="D331" s="45">
        <v>88429</v>
      </c>
      <c r="E331" s="6" t="s">
        <v>801</v>
      </c>
      <c r="F331" s="45" t="s">
        <v>121</v>
      </c>
      <c r="G331" s="46">
        <f t="shared" si="36"/>
        <v>200</v>
      </c>
      <c r="H331" s="46">
        <f>TRUNC(S331*(1-LOTE_02!$K$10),2)</f>
        <v>26.11</v>
      </c>
      <c r="I331" s="46">
        <f>TRUNC(T331*(1-LOTE_02!$K$10),2)</f>
        <v>13.22</v>
      </c>
      <c r="J331" s="100">
        <f t="shared" si="37"/>
        <v>0.22470000000000001</v>
      </c>
      <c r="K331" s="48">
        <f t="shared" si="31"/>
        <v>31.97</v>
      </c>
      <c r="L331" s="48">
        <f t="shared" si="32"/>
        <v>16.190000000000001</v>
      </c>
      <c r="M331" s="48">
        <f t="shared" si="33"/>
        <v>6394</v>
      </c>
      <c r="N331" s="48">
        <f t="shared" si="34"/>
        <v>3238</v>
      </c>
      <c r="O331" s="50">
        <f t="shared" si="35"/>
        <v>9632</v>
      </c>
      <c r="P331" s="50">
        <v>0</v>
      </c>
      <c r="Q331" s="76"/>
      <c r="R331" s="140">
        <f>50*(S9+S10)</f>
        <v>200</v>
      </c>
      <c r="S331" s="79">
        <v>26.11</v>
      </c>
      <c r="T331" s="80">
        <v>13.22</v>
      </c>
    </row>
    <row r="332" spans="2:20" ht="56">
      <c r="B332" s="5" t="s">
        <v>802</v>
      </c>
      <c r="C332" s="45" t="s">
        <v>97</v>
      </c>
      <c r="D332" s="45" t="s">
        <v>803</v>
      </c>
      <c r="E332" s="6" t="s">
        <v>804</v>
      </c>
      <c r="F332" s="45" t="s">
        <v>121</v>
      </c>
      <c r="G332" s="46">
        <f t="shared" si="36"/>
        <v>200</v>
      </c>
      <c r="H332" s="46">
        <f>TRUNC(S332*(1-LOTE_02!$K$10),2)</f>
        <v>49.59</v>
      </c>
      <c r="I332" s="46">
        <f>TRUNC(T332*(1-LOTE_02!$K$10),2)</f>
        <v>14.24</v>
      </c>
      <c r="J332" s="100">
        <f t="shared" si="37"/>
        <v>0.22470000000000001</v>
      </c>
      <c r="K332" s="48">
        <f t="shared" si="31"/>
        <v>60.73</v>
      </c>
      <c r="L332" s="48">
        <f t="shared" si="32"/>
        <v>17.43</v>
      </c>
      <c r="M332" s="48">
        <f t="shared" si="33"/>
        <v>12146</v>
      </c>
      <c r="N332" s="48">
        <f t="shared" si="34"/>
        <v>3486</v>
      </c>
      <c r="O332" s="50">
        <f t="shared" si="35"/>
        <v>15632</v>
      </c>
      <c r="P332" s="50">
        <v>0</v>
      </c>
      <c r="Q332" s="76"/>
      <c r="R332" s="140">
        <f>50*(S9+S10)</f>
        <v>200</v>
      </c>
      <c r="S332" s="79">
        <v>49.59</v>
      </c>
      <c r="T332" s="80">
        <v>14.24</v>
      </c>
    </row>
    <row r="333" spans="2:20">
      <c r="B333" s="101" t="s">
        <v>49</v>
      </c>
      <c r="C333" s="102" t="s">
        <v>21</v>
      </c>
      <c r="D333" s="102" t="s">
        <v>21</v>
      </c>
      <c r="E333" s="103" t="s">
        <v>55</v>
      </c>
      <c r="F333" s="102" t="s">
        <v>21</v>
      </c>
      <c r="G333" s="46">
        <f t="shared" si="36"/>
        <v>0</v>
      </c>
      <c r="H333" s="46"/>
      <c r="I333" s="46"/>
      <c r="J333" s="105"/>
      <c r="K333" s="48">
        <f t="shared" si="31"/>
        <v>0</v>
      </c>
      <c r="L333" s="48">
        <f t="shared" si="32"/>
        <v>0</v>
      </c>
      <c r="M333" s="48">
        <f t="shared" si="33"/>
        <v>0</v>
      </c>
      <c r="N333" s="48">
        <f t="shared" si="34"/>
        <v>0</v>
      </c>
      <c r="O333" s="50">
        <f t="shared" si="35"/>
        <v>0</v>
      </c>
      <c r="P333" s="104">
        <f>SUM(O334:O494)</f>
        <v>1314601.1700000002</v>
      </c>
      <c r="Q333" s="76"/>
      <c r="R333" s="154"/>
      <c r="S333" s="79" t="s">
        <v>22</v>
      </c>
      <c r="T333" s="80" t="s">
        <v>22</v>
      </c>
    </row>
    <row r="334" spans="2:20" ht="28">
      <c r="B334" s="101" t="s">
        <v>805</v>
      </c>
      <c r="C334" s="102" t="s">
        <v>21</v>
      </c>
      <c r="D334" s="102" t="s">
        <v>21</v>
      </c>
      <c r="E334" s="103" t="s">
        <v>806</v>
      </c>
      <c r="F334" s="102" t="s">
        <v>21</v>
      </c>
      <c r="G334" s="46">
        <f t="shared" si="36"/>
        <v>0</v>
      </c>
      <c r="H334" s="46"/>
      <c r="I334" s="46"/>
      <c r="J334" s="105"/>
      <c r="K334" s="48">
        <f t="shared" si="31"/>
        <v>0</v>
      </c>
      <c r="L334" s="48">
        <f t="shared" si="32"/>
        <v>0</v>
      </c>
      <c r="M334" s="48">
        <f t="shared" si="33"/>
        <v>0</v>
      </c>
      <c r="N334" s="48">
        <f t="shared" si="34"/>
        <v>0</v>
      </c>
      <c r="O334" s="50">
        <f t="shared" si="35"/>
        <v>0</v>
      </c>
      <c r="P334" s="50">
        <v>0</v>
      </c>
      <c r="Q334" s="76"/>
      <c r="R334" s="154"/>
      <c r="S334" s="79" t="s">
        <v>22</v>
      </c>
      <c r="T334" s="80" t="s">
        <v>22</v>
      </c>
    </row>
    <row r="335" spans="2:20" ht="56">
      <c r="B335" s="5" t="s">
        <v>807</v>
      </c>
      <c r="C335" s="45" t="s">
        <v>135</v>
      </c>
      <c r="D335" s="45">
        <v>90443</v>
      </c>
      <c r="E335" s="6" t="s">
        <v>808</v>
      </c>
      <c r="F335" s="45" t="s">
        <v>187</v>
      </c>
      <c r="G335" s="46">
        <f t="shared" si="36"/>
        <v>120</v>
      </c>
      <c r="H335" s="46">
        <f>TRUNC(S335*(1-LOTE_02!$K$10),2)</f>
        <v>1.25</v>
      </c>
      <c r="I335" s="46">
        <f>TRUNC(T335*(1-LOTE_02!$K$10),2)</f>
        <v>6.6</v>
      </c>
      <c r="J335" s="100">
        <f t="shared" si="37"/>
        <v>0.22470000000000001</v>
      </c>
      <c r="K335" s="48">
        <f t="shared" si="31"/>
        <v>1.53</v>
      </c>
      <c r="L335" s="48">
        <f t="shared" si="32"/>
        <v>8.08</v>
      </c>
      <c r="M335" s="48">
        <f t="shared" si="33"/>
        <v>183.6</v>
      </c>
      <c r="N335" s="48">
        <f t="shared" si="34"/>
        <v>969.6</v>
      </c>
      <c r="O335" s="50">
        <f t="shared" si="35"/>
        <v>1153.2</v>
      </c>
      <c r="P335" s="50">
        <v>0</v>
      </c>
      <c r="Q335" s="76"/>
      <c r="R335" s="140">
        <f>30*S9+30*S10</f>
        <v>120</v>
      </c>
      <c r="S335" s="79">
        <v>1.25</v>
      </c>
      <c r="T335" s="80">
        <v>6.6</v>
      </c>
    </row>
    <row r="336" spans="2:20" ht="70">
      <c r="B336" s="5" t="s">
        <v>809</v>
      </c>
      <c r="C336" s="45" t="s">
        <v>135</v>
      </c>
      <c r="D336" s="45">
        <v>90444</v>
      </c>
      <c r="E336" s="6" t="s">
        <v>810</v>
      </c>
      <c r="F336" s="45" t="s">
        <v>187</v>
      </c>
      <c r="G336" s="46">
        <f t="shared" si="36"/>
        <v>45</v>
      </c>
      <c r="H336" s="46">
        <f>TRUNC(S336*(1-LOTE_02!$K$10),2)</f>
        <v>2.23</v>
      </c>
      <c r="I336" s="46">
        <f>TRUNC(T336*(1-LOTE_02!$K$10),2)</f>
        <v>8.93</v>
      </c>
      <c r="J336" s="100">
        <f t="shared" si="37"/>
        <v>0.22470000000000001</v>
      </c>
      <c r="K336" s="48">
        <f t="shared" ref="K336:K399" si="38">TRUNC(H336*(1+J336),2)</f>
        <v>2.73</v>
      </c>
      <c r="L336" s="48">
        <f t="shared" ref="L336:L399" si="39">TRUNC(I336*(1+J336),2)</f>
        <v>10.93</v>
      </c>
      <c r="M336" s="48">
        <f t="shared" ref="M336:M399" si="40">TRUNC(K336*G336,2)</f>
        <v>122.85</v>
      </c>
      <c r="N336" s="48">
        <f t="shared" ref="N336:N399" si="41">TRUNC(L336*G336,2)</f>
        <v>491.85</v>
      </c>
      <c r="O336" s="50">
        <f t="shared" ref="O336:O399" si="42">TRUNC(M336+N336,2)</f>
        <v>614.70000000000005</v>
      </c>
      <c r="P336" s="50">
        <v>0</v>
      </c>
      <c r="Q336" s="76"/>
      <c r="R336" s="140">
        <f>IF((5*S9+30*S10)&gt;100,100,(5*S9+30*S10))</f>
        <v>45</v>
      </c>
      <c r="S336" s="79">
        <v>2.2300000000000004</v>
      </c>
      <c r="T336" s="80">
        <v>8.93</v>
      </c>
    </row>
    <row r="337" spans="2:20" ht="42">
      <c r="B337" s="5" t="s">
        <v>811</v>
      </c>
      <c r="C337" s="45" t="s">
        <v>135</v>
      </c>
      <c r="D337" s="45">
        <v>104795</v>
      </c>
      <c r="E337" s="6" t="s">
        <v>812</v>
      </c>
      <c r="F337" s="45" t="s">
        <v>187</v>
      </c>
      <c r="G337" s="46">
        <f t="shared" si="36"/>
        <v>2000</v>
      </c>
      <c r="H337" s="46">
        <f>TRUNC(S337*(1-LOTE_02!$K$10),2)</f>
        <v>0.28999999999999998</v>
      </c>
      <c r="I337" s="46">
        <f>TRUNC(T337*(1-LOTE_02!$K$10),2)</f>
        <v>1.06</v>
      </c>
      <c r="J337" s="100">
        <f t="shared" si="37"/>
        <v>0.22470000000000001</v>
      </c>
      <c r="K337" s="48">
        <f t="shared" si="38"/>
        <v>0.35</v>
      </c>
      <c r="L337" s="48">
        <f t="shared" si="39"/>
        <v>1.29</v>
      </c>
      <c r="M337" s="48">
        <f t="shared" si="40"/>
        <v>700</v>
      </c>
      <c r="N337" s="48">
        <f t="shared" si="41"/>
        <v>2580</v>
      </c>
      <c r="O337" s="50">
        <f t="shared" si="42"/>
        <v>3280</v>
      </c>
      <c r="P337" s="50">
        <v>0</v>
      </c>
      <c r="Q337" s="76"/>
      <c r="R337" s="140">
        <f>500*S9+500*S10</f>
        <v>2000</v>
      </c>
      <c r="S337" s="79">
        <v>0.29000000000000004</v>
      </c>
      <c r="T337" s="80">
        <v>1.06</v>
      </c>
    </row>
    <row r="338" spans="2:20" ht="56">
      <c r="B338" s="5" t="s">
        <v>813</v>
      </c>
      <c r="C338" s="45" t="s">
        <v>135</v>
      </c>
      <c r="D338" s="45">
        <v>104792</v>
      </c>
      <c r="E338" s="6" t="s">
        <v>814</v>
      </c>
      <c r="F338" s="45" t="s">
        <v>187</v>
      </c>
      <c r="G338" s="46">
        <f t="shared" ref="G338:G401" si="43">TRUNC(R338,2)</f>
        <v>2000</v>
      </c>
      <c r="H338" s="46">
        <f>TRUNC(S338*(1-LOTE_02!$K$10),2)</f>
        <v>0.09</v>
      </c>
      <c r="I338" s="46">
        <f>TRUNC(T338*(1-LOTE_02!$K$10),2)</f>
        <v>0.3</v>
      </c>
      <c r="J338" s="100">
        <f t="shared" ref="J338:J401" si="44">$J$4</f>
        <v>0.22470000000000001</v>
      </c>
      <c r="K338" s="48">
        <f t="shared" si="38"/>
        <v>0.11</v>
      </c>
      <c r="L338" s="48">
        <f t="shared" si="39"/>
        <v>0.36</v>
      </c>
      <c r="M338" s="48">
        <f t="shared" si="40"/>
        <v>220</v>
      </c>
      <c r="N338" s="48">
        <f t="shared" si="41"/>
        <v>720</v>
      </c>
      <c r="O338" s="50">
        <f t="shared" si="42"/>
        <v>940</v>
      </c>
      <c r="P338" s="50">
        <v>0</v>
      </c>
      <c r="Q338" s="76"/>
      <c r="R338" s="140">
        <f>500*S9+500*S10</f>
        <v>2000</v>
      </c>
      <c r="S338" s="79">
        <v>9.0000000000000024E-2</v>
      </c>
      <c r="T338" s="80">
        <v>0.3</v>
      </c>
    </row>
    <row r="339" spans="2:20" ht="42">
      <c r="B339" s="5" t="s">
        <v>815</v>
      </c>
      <c r="C339" s="45" t="s">
        <v>135</v>
      </c>
      <c r="D339" s="45">
        <v>97661</v>
      </c>
      <c r="E339" s="6" t="s">
        <v>816</v>
      </c>
      <c r="F339" s="45" t="s">
        <v>187</v>
      </c>
      <c r="G339" s="46">
        <f t="shared" si="43"/>
        <v>200</v>
      </c>
      <c r="H339" s="46">
        <f>TRUNC(S339*(1-LOTE_02!$K$10),2)</f>
        <v>0.16</v>
      </c>
      <c r="I339" s="46">
        <f>TRUNC(T339*(1-LOTE_02!$K$10),2)</f>
        <v>0.55000000000000004</v>
      </c>
      <c r="J339" s="100">
        <f t="shared" si="44"/>
        <v>0.22470000000000001</v>
      </c>
      <c r="K339" s="48">
        <f t="shared" si="38"/>
        <v>0.19</v>
      </c>
      <c r="L339" s="48">
        <f t="shared" si="39"/>
        <v>0.67</v>
      </c>
      <c r="M339" s="48">
        <f t="shared" si="40"/>
        <v>38</v>
      </c>
      <c r="N339" s="48">
        <f t="shared" si="41"/>
        <v>134</v>
      </c>
      <c r="O339" s="50">
        <f t="shared" si="42"/>
        <v>172</v>
      </c>
      <c r="P339" s="50">
        <v>0</v>
      </c>
      <c r="Q339" s="76"/>
      <c r="R339" s="140">
        <f>50*S9+50*S10</f>
        <v>200</v>
      </c>
      <c r="S339" s="79">
        <v>0.15999999999999992</v>
      </c>
      <c r="T339" s="80">
        <v>0.55000000000000004</v>
      </c>
    </row>
    <row r="340" spans="2:20" ht="28">
      <c r="B340" s="5" t="s">
        <v>817</v>
      </c>
      <c r="C340" s="45" t="s">
        <v>97</v>
      </c>
      <c r="D340" s="45" t="s">
        <v>818</v>
      </c>
      <c r="E340" s="6" t="s">
        <v>819</v>
      </c>
      <c r="F340" s="45" t="s">
        <v>187</v>
      </c>
      <c r="G340" s="46">
        <f t="shared" si="43"/>
        <v>400</v>
      </c>
      <c r="H340" s="46">
        <f>TRUNC(S340*(1-LOTE_02!$K$10),2)</f>
        <v>0.18</v>
      </c>
      <c r="I340" s="46">
        <f>TRUNC(T340*(1-LOTE_02!$K$10),2)</f>
        <v>0.83</v>
      </c>
      <c r="J340" s="100">
        <f t="shared" si="44"/>
        <v>0.22470000000000001</v>
      </c>
      <c r="K340" s="48">
        <f t="shared" si="38"/>
        <v>0.22</v>
      </c>
      <c r="L340" s="48">
        <f t="shared" si="39"/>
        <v>1.01</v>
      </c>
      <c r="M340" s="48">
        <f t="shared" si="40"/>
        <v>88</v>
      </c>
      <c r="N340" s="48">
        <f t="shared" si="41"/>
        <v>404</v>
      </c>
      <c r="O340" s="50">
        <f t="shared" si="42"/>
        <v>492</v>
      </c>
      <c r="P340" s="50">
        <v>0</v>
      </c>
      <c r="Q340" s="76"/>
      <c r="R340" s="140">
        <f>100*S9+100*S10</f>
        <v>400</v>
      </c>
      <c r="S340" s="79">
        <v>0.18</v>
      </c>
      <c r="T340" s="80">
        <v>0.83</v>
      </c>
    </row>
    <row r="341" spans="2:20" ht="42">
      <c r="B341" s="5" t="s">
        <v>820</v>
      </c>
      <c r="C341" s="45" t="s">
        <v>97</v>
      </c>
      <c r="D341" s="45" t="s">
        <v>821</v>
      </c>
      <c r="E341" s="6" t="s">
        <v>822</v>
      </c>
      <c r="F341" s="45" t="s">
        <v>104</v>
      </c>
      <c r="G341" s="46">
        <f t="shared" si="43"/>
        <v>12</v>
      </c>
      <c r="H341" s="46">
        <f>TRUNC(S341*(1-LOTE_02!$K$10),2)</f>
        <v>46.42</v>
      </c>
      <c r="I341" s="46">
        <f>TRUNC(T341*(1-LOTE_02!$K$10),2)</f>
        <v>20.07</v>
      </c>
      <c r="J341" s="100">
        <f t="shared" si="44"/>
        <v>0.22470000000000001</v>
      </c>
      <c r="K341" s="48">
        <f t="shared" si="38"/>
        <v>56.85</v>
      </c>
      <c r="L341" s="48">
        <f t="shared" si="39"/>
        <v>24.57</v>
      </c>
      <c r="M341" s="48">
        <f t="shared" si="40"/>
        <v>682.2</v>
      </c>
      <c r="N341" s="48">
        <f t="shared" si="41"/>
        <v>294.83999999999997</v>
      </c>
      <c r="O341" s="50">
        <f t="shared" si="42"/>
        <v>977.04</v>
      </c>
      <c r="P341" s="50">
        <v>0</v>
      </c>
      <c r="Q341" s="76"/>
      <c r="R341" s="140">
        <f>3*(S9+S10)</f>
        <v>12</v>
      </c>
      <c r="S341" s="79">
        <v>46.42</v>
      </c>
      <c r="T341" s="80">
        <v>20.07</v>
      </c>
    </row>
    <row r="342" spans="2:20" ht="28">
      <c r="B342" s="5" t="s">
        <v>823</v>
      </c>
      <c r="C342" s="45" t="s">
        <v>165</v>
      </c>
      <c r="D342" s="45" t="s">
        <v>824</v>
      </c>
      <c r="E342" s="6" t="s">
        <v>825</v>
      </c>
      <c r="F342" s="45" t="s">
        <v>559</v>
      </c>
      <c r="G342" s="46">
        <f t="shared" si="43"/>
        <v>50</v>
      </c>
      <c r="H342" s="46">
        <f>TRUNC(S342*(1-LOTE_02!$K$10),2)</f>
        <v>266.56</v>
      </c>
      <c r="I342" s="46">
        <f>TRUNC(T342*(1-LOTE_02!$K$10),2)</f>
        <v>125.27</v>
      </c>
      <c r="J342" s="100">
        <f t="shared" si="44"/>
        <v>0.22470000000000001</v>
      </c>
      <c r="K342" s="48">
        <f t="shared" si="38"/>
        <v>326.45</v>
      </c>
      <c r="L342" s="48">
        <f t="shared" si="39"/>
        <v>153.41</v>
      </c>
      <c r="M342" s="48">
        <f t="shared" si="40"/>
        <v>16322.5</v>
      </c>
      <c r="N342" s="48">
        <f t="shared" si="41"/>
        <v>7670.5</v>
      </c>
      <c r="O342" s="50">
        <f t="shared" si="42"/>
        <v>23993</v>
      </c>
      <c r="P342" s="50">
        <v>0</v>
      </c>
      <c r="Q342" s="76"/>
      <c r="R342" s="140">
        <f>IF((10*S9+20*S10)&gt;500,500,(10*S9+20*S10))</f>
        <v>50</v>
      </c>
      <c r="S342" s="79">
        <v>266.56</v>
      </c>
      <c r="T342" s="80">
        <v>125.27</v>
      </c>
    </row>
    <row r="343" spans="2:20" ht="42">
      <c r="B343" s="5" t="s">
        <v>826</v>
      </c>
      <c r="C343" s="45" t="s">
        <v>165</v>
      </c>
      <c r="D343" s="45" t="s">
        <v>827</v>
      </c>
      <c r="E343" s="6" t="s">
        <v>828</v>
      </c>
      <c r="F343" s="45" t="s">
        <v>559</v>
      </c>
      <c r="G343" s="46">
        <f t="shared" si="43"/>
        <v>20</v>
      </c>
      <c r="H343" s="46">
        <f>TRUNC(S343*(1-LOTE_02!$K$10),2)</f>
        <v>155.19</v>
      </c>
      <c r="I343" s="46">
        <f>TRUNC(T343*(1-LOTE_02!$K$10),2)</f>
        <v>74.25</v>
      </c>
      <c r="J343" s="100">
        <f t="shared" si="44"/>
        <v>0.22470000000000001</v>
      </c>
      <c r="K343" s="48">
        <f t="shared" si="38"/>
        <v>190.06</v>
      </c>
      <c r="L343" s="48">
        <f t="shared" si="39"/>
        <v>90.93</v>
      </c>
      <c r="M343" s="48">
        <f t="shared" si="40"/>
        <v>3801.2</v>
      </c>
      <c r="N343" s="48">
        <f t="shared" si="41"/>
        <v>1818.6</v>
      </c>
      <c r="O343" s="50">
        <f t="shared" si="42"/>
        <v>5619.8</v>
      </c>
      <c r="P343" s="50">
        <v>0</v>
      </c>
      <c r="Q343" s="76"/>
      <c r="R343" s="140">
        <f>IF((5*S9+5*S10)&gt;200,200,(5*S9+5*S10))</f>
        <v>20</v>
      </c>
      <c r="S343" s="79">
        <v>155.19</v>
      </c>
      <c r="T343" s="80">
        <v>74.25</v>
      </c>
    </row>
    <row r="344" spans="2:20" ht="28">
      <c r="B344" s="5" t="s">
        <v>829</v>
      </c>
      <c r="C344" s="45" t="s">
        <v>165</v>
      </c>
      <c r="D344" s="45" t="s">
        <v>830</v>
      </c>
      <c r="E344" s="6" t="s">
        <v>831</v>
      </c>
      <c r="F344" s="45" t="s">
        <v>559</v>
      </c>
      <c r="G344" s="46">
        <f t="shared" si="43"/>
        <v>50</v>
      </c>
      <c r="H344" s="46">
        <f>TRUNC(S344*(1-LOTE_02!$K$10),2)</f>
        <v>254.47</v>
      </c>
      <c r="I344" s="46">
        <f>TRUNC(T344*(1-LOTE_02!$K$10),2)</f>
        <v>141.21</v>
      </c>
      <c r="J344" s="100">
        <f t="shared" si="44"/>
        <v>0.22470000000000001</v>
      </c>
      <c r="K344" s="48">
        <f t="shared" si="38"/>
        <v>311.64</v>
      </c>
      <c r="L344" s="48">
        <f t="shared" si="39"/>
        <v>172.93</v>
      </c>
      <c r="M344" s="48">
        <f t="shared" si="40"/>
        <v>15582</v>
      </c>
      <c r="N344" s="48">
        <f t="shared" si="41"/>
        <v>8646.5</v>
      </c>
      <c r="O344" s="50">
        <f t="shared" si="42"/>
        <v>24228.5</v>
      </c>
      <c r="P344" s="50">
        <v>0</v>
      </c>
      <c r="Q344" s="76"/>
      <c r="R344" s="140">
        <f>IF((10*S9+20*S10)&gt;200,200,(10*S9+20*S10))</f>
        <v>50</v>
      </c>
      <c r="S344" s="79">
        <v>254.47</v>
      </c>
      <c r="T344" s="80">
        <v>141.21</v>
      </c>
    </row>
    <row r="345" spans="2:20" ht="28">
      <c r="B345" s="5" t="s">
        <v>832</v>
      </c>
      <c r="C345" s="45" t="s">
        <v>97</v>
      </c>
      <c r="D345" s="45" t="s">
        <v>833</v>
      </c>
      <c r="E345" s="6" t="s">
        <v>834</v>
      </c>
      <c r="F345" s="45" t="s">
        <v>104</v>
      </c>
      <c r="G345" s="46">
        <f t="shared" si="43"/>
        <v>40</v>
      </c>
      <c r="H345" s="46">
        <f>TRUNC(S345*(1-LOTE_02!$K$10),2)</f>
        <v>49.74</v>
      </c>
      <c r="I345" s="46">
        <f>TRUNC(T345*(1-LOTE_02!$K$10),2)</f>
        <v>11.6</v>
      </c>
      <c r="J345" s="100">
        <f t="shared" si="44"/>
        <v>0.22470000000000001</v>
      </c>
      <c r="K345" s="48">
        <f t="shared" si="38"/>
        <v>60.91</v>
      </c>
      <c r="L345" s="48">
        <f t="shared" si="39"/>
        <v>14.2</v>
      </c>
      <c r="M345" s="48">
        <f t="shared" si="40"/>
        <v>2436.4</v>
      </c>
      <c r="N345" s="48">
        <f t="shared" si="41"/>
        <v>568</v>
      </c>
      <c r="O345" s="50">
        <f t="shared" si="42"/>
        <v>3004.4</v>
      </c>
      <c r="P345" s="50">
        <v>0</v>
      </c>
      <c r="Q345" s="76"/>
      <c r="R345" s="140">
        <f>IF((10*S9+10*S10)&gt;200,200,(10*S9+10*S10))</f>
        <v>40</v>
      </c>
      <c r="S345" s="79">
        <v>49.74</v>
      </c>
      <c r="T345" s="80">
        <v>11.6</v>
      </c>
    </row>
    <row r="346" spans="2:20" ht="70">
      <c r="B346" s="5" t="s">
        <v>835</v>
      </c>
      <c r="C346" s="45" t="s">
        <v>135</v>
      </c>
      <c r="D346" s="45">
        <v>91863</v>
      </c>
      <c r="E346" s="6" t="s">
        <v>836</v>
      </c>
      <c r="F346" s="45" t="s">
        <v>187</v>
      </c>
      <c r="G346" s="46">
        <f t="shared" si="43"/>
        <v>160</v>
      </c>
      <c r="H346" s="46">
        <f>TRUNC(S346*(1-LOTE_02!$K$10),2)</f>
        <v>7.64</v>
      </c>
      <c r="I346" s="46">
        <f>TRUNC(T346*(1-LOTE_02!$K$10),2)</f>
        <v>4.8600000000000003</v>
      </c>
      <c r="J346" s="100">
        <f t="shared" si="44"/>
        <v>0.22470000000000001</v>
      </c>
      <c r="K346" s="48">
        <f t="shared" si="38"/>
        <v>9.35</v>
      </c>
      <c r="L346" s="48">
        <f t="shared" si="39"/>
        <v>5.95</v>
      </c>
      <c r="M346" s="48">
        <f t="shared" si="40"/>
        <v>1496</v>
      </c>
      <c r="N346" s="48">
        <f t="shared" si="41"/>
        <v>952</v>
      </c>
      <c r="O346" s="50">
        <f t="shared" si="42"/>
        <v>2448</v>
      </c>
      <c r="P346" s="50">
        <v>0</v>
      </c>
      <c r="Q346" s="76"/>
      <c r="R346" s="140">
        <f>IF((20*S9+100*S10)&gt;1000,1000,(20*S9+100*S10))</f>
        <v>160</v>
      </c>
      <c r="S346" s="79">
        <v>7.64</v>
      </c>
      <c r="T346" s="80">
        <v>4.8600000000000003</v>
      </c>
    </row>
    <row r="347" spans="2:20" ht="70">
      <c r="B347" s="5" t="s">
        <v>837</v>
      </c>
      <c r="C347" s="45" t="s">
        <v>135</v>
      </c>
      <c r="D347" s="45">
        <v>91864</v>
      </c>
      <c r="E347" s="6" t="s">
        <v>838</v>
      </c>
      <c r="F347" s="45" t="s">
        <v>187</v>
      </c>
      <c r="G347" s="46">
        <f t="shared" si="43"/>
        <v>160</v>
      </c>
      <c r="H347" s="46">
        <f>TRUNC(S347*(1-LOTE_02!$K$10),2)</f>
        <v>11.46</v>
      </c>
      <c r="I347" s="46">
        <f>TRUNC(T347*(1-LOTE_02!$K$10),2)</f>
        <v>5.66</v>
      </c>
      <c r="J347" s="100">
        <f t="shared" si="44"/>
        <v>0.22470000000000001</v>
      </c>
      <c r="K347" s="48">
        <f t="shared" si="38"/>
        <v>14.03</v>
      </c>
      <c r="L347" s="48">
        <f t="shared" si="39"/>
        <v>6.93</v>
      </c>
      <c r="M347" s="48">
        <f t="shared" si="40"/>
        <v>2244.8000000000002</v>
      </c>
      <c r="N347" s="48">
        <f t="shared" si="41"/>
        <v>1108.8</v>
      </c>
      <c r="O347" s="50">
        <f t="shared" si="42"/>
        <v>3353.6</v>
      </c>
      <c r="P347" s="50">
        <v>0</v>
      </c>
      <c r="Q347" s="76"/>
      <c r="R347" s="140">
        <f>IF((20*S9+100*S10)&gt;500,500,(20*S9+100*S10))</f>
        <v>160</v>
      </c>
      <c r="S347" s="79">
        <v>11.46</v>
      </c>
      <c r="T347" s="80">
        <v>5.66</v>
      </c>
    </row>
    <row r="348" spans="2:20" ht="56">
      <c r="B348" s="5" t="s">
        <v>839</v>
      </c>
      <c r="C348" s="45" t="s">
        <v>135</v>
      </c>
      <c r="D348" s="45">
        <v>91926</v>
      </c>
      <c r="E348" s="6" t="s">
        <v>840</v>
      </c>
      <c r="F348" s="45" t="s">
        <v>187</v>
      </c>
      <c r="G348" s="46">
        <f t="shared" si="43"/>
        <v>2400</v>
      </c>
      <c r="H348" s="46">
        <f>TRUNC(S348*(1-LOTE_02!$K$10),2)</f>
        <v>3.83</v>
      </c>
      <c r="I348" s="46">
        <f>TRUNC(T348*(1-LOTE_02!$K$10),2)</f>
        <v>1.1599999999999999</v>
      </c>
      <c r="J348" s="100">
        <f t="shared" si="44"/>
        <v>0.22470000000000001</v>
      </c>
      <c r="K348" s="48">
        <f t="shared" si="38"/>
        <v>4.6900000000000004</v>
      </c>
      <c r="L348" s="48">
        <f t="shared" si="39"/>
        <v>1.42</v>
      </c>
      <c r="M348" s="48">
        <f t="shared" si="40"/>
        <v>11256</v>
      </c>
      <c r="N348" s="48">
        <f t="shared" si="41"/>
        <v>3408</v>
      </c>
      <c r="O348" s="50">
        <f t="shared" si="42"/>
        <v>14664</v>
      </c>
      <c r="P348" s="50">
        <v>0</v>
      </c>
      <c r="Q348" s="76"/>
      <c r="R348" s="140">
        <f>600*S9+600*S10</f>
        <v>2400</v>
      </c>
      <c r="S348" s="79">
        <v>3.83</v>
      </c>
      <c r="T348" s="80">
        <v>1.1599999999999999</v>
      </c>
    </row>
    <row r="349" spans="2:20" ht="56">
      <c r="B349" s="5" t="s">
        <v>841</v>
      </c>
      <c r="C349" s="45" t="s">
        <v>135</v>
      </c>
      <c r="D349" s="45">
        <v>91924</v>
      </c>
      <c r="E349" s="6" t="s">
        <v>842</v>
      </c>
      <c r="F349" s="45" t="s">
        <v>187</v>
      </c>
      <c r="G349" s="46">
        <f t="shared" si="43"/>
        <v>2400</v>
      </c>
      <c r="H349" s="46">
        <f>TRUNC(S349*(1-LOTE_02!$K$10),2)</f>
        <v>2.5</v>
      </c>
      <c r="I349" s="46">
        <f>TRUNC(T349*(1-LOTE_02!$K$10),2)</f>
        <v>0.91</v>
      </c>
      <c r="J349" s="100">
        <f t="shared" si="44"/>
        <v>0.22470000000000001</v>
      </c>
      <c r="K349" s="48">
        <f t="shared" si="38"/>
        <v>3.06</v>
      </c>
      <c r="L349" s="48">
        <f t="shared" si="39"/>
        <v>1.1100000000000001</v>
      </c>
      <c r="M349" s="48">
        <f t="shared" si="40"/>
        <v>7344</v>
      </c>
      <c r="N349" s="48">
        <f t="shared" si="41"/>
        <v>2664</v>
      </c>
      <c r="O349" s="50">
        <f t="shared" si="42"/>
        <v>10008</v>
      </c>
      <c r="P349" s="50">
        <v>0</v>
      </c>
      <c r="Q349" s="76"/>
      <c r="R349" s="140">
        <f>600*S9+600*S10</f>
        <v>2400</v>
      </c>
      <c r="S349" s="79">
        <v>2.5</v>
      </c>
      <c r="T349" s="80">
        <v>0.91</v>
      </c>
    </row>
    <row r="350" spans="2:20" ht="56">
      <c r="B350" s="5" t="s">
        <v>843</v>
      </c>
      <c r="C350" s="45" t="s">
        <v>135</v>
      </c>
      <c r="D350" s="45">
        <v>91928</v>
      </c>
      <c r="E350" s="6" t="s">
        <v>844</v>
      </c>
      <c r="F350" s="45" t="s">
        <v>187</v>
      </c>
      <c r="G350" s="46">
        <f t="shared" si="43"/>
        <v>800</v>
      </c>
      <c r="H350" s="46">
        <f>TRUNC(S350*(1-LOTE_02!$K$10),2)</f>
        <v>6.21</v>
      </c>
      <c r="I350" s="46">
        <f>TRUNC(T350*(1-LOTE_02!$K$10),2)</f>
        <v>1.57</v>
      </c>
      <c r="J350" s="100">
        <f t="shared" si="44"/>
        <v>0.22470000000000001</v>
      </c>
      <c r="K350" s="48">
        <f t="shared" si="38"/>
        <v>7.6</v>
      </c>
      <c r="L350" s="48">
        <f t="shared" si="39"/>
        <v>1.92</v>
      </c>
      <c r="M350" s="48">
        <f t="shared" si="40"/>
        <v>6080</v>
      </c>
      <c r="N350" s="48">
        <f t="shared" si="41"/>
        <v>1536</v>
      </c>
      <c r="O350" s="50">
        <f t="shared" si="42"/>
        <v>7616</v>
      </c>
      <c r="P350" s="50">
        <v>0</v>
      </c>
      <c r="Q350" s="76"/>
      <c r="R350" s="140">
        <f>200*S9+200*S10</f>
        <v>800</v>
      </c>
      <c r="S350" s="79">
        <v>6.21</v>
      </c>
      <c r="T350" s="80">
        <v>1.57</v>
      </c>
    </row>
    <row r="351" spans="2:20" ht="56">
      <c r="B351" s="5" t="s">
        <v>845</v>
      </c>
      <c r="C351" s="45" t="s">
        <v>135</v>
      </c>
      <c r="D351" s="45">
        <v>91952</v>
      </c>
      <c r="E351" s="6" t="s">
        <v>846</v>
      </c>
      <c r="F351" s="45" t="s">
        <v>210</v>
      </c>
      <c r="G351" s="46">
        <f t="shared" si="43"/>
        <v>100</v>
      </c>
      <c r="H351" s="46">
        <f>TRUNC(S351*(1-LOTE_02!$K$10),2)</f>
        <v>10.76</v>
      </c>
      <c r="I351" s="46">
        <f>TRUNC(T351*(1-LOTE_02!$K$10),2)</f>
        <v>9.94</v>
      </c>
      <c r="J351" s="100">
        <f t="shared" si="44"/>
        <v>0.22470000000000001</v>
      </c>
      <c r="K351" s="48">
        <f t="shared" si="38"/>
        <v>13.17</v>
      </c>
      <c r="L351" s="48">
        <f t="shared" si="39"/>
        <v>12.17</v>
      </c>
      <c r="M351" s="48">
        <f t="shared" si="40"/>
        <v>1317</v>
      </c>
      <c r="N351" s="48">
        <f t="shared" si="41"/>
        <v>1217</v>
      </c>
      <c r="O351" s="50">
        <f t="shared" si="42"/>
        <v>2534</v>
      </c>
      <c r="P351" s="50">
        <v>0</v>
      </c>
      <c r="Q351" s="76"/>
      <c r="R351" s="140">
        <f>25*S9+25*S10</f>
        <v>100</v>
      </c>
      <c r="S351" s="79">
        <v>10.76</v>
      </c>
      <c r="T351" s="80">
        <v>9.94</v>
      </c>
    </row>
    <row r="352" spans="2:20" ht="56">
      <c r="B352" s="5" t="s">
        <v>847</v>
      </c>
      <c r="C352" s="45" t="s">
        <v>135</v>
      </c>
      <c r="D352" s="45">
        <v>91959</v>
      </c>
      <c r="E352" s="6" t="s">
        <v>848</v>
      </c>
      <c r="F352" s="45" t="s">
        <v>210</v>
      </c>
      <c r="G352" s="46">
        <f t="shared" si="43"/>
        <v>40</v>
      </c>
      <c r="H352" s="46">
        <f>TRUNC(S352*(1-LOTE_02!$K$10),2)</f>
        <v>27.66</v>
      </c>
      <c r="I352" s="46">
        <f>TRUNC(T352*(1-LOTE_02!$K$10),2)</f>
        <v>22.74</v>
      </c>
      <c r="J352" s="100">
        <f t="shared" si="44"/>
        <v>0.22470000000000001</v>
      </c>
      <c r="K352" s="48">
        <f t="shared" si="38"/>
        <v>33.869999999999997</v>
      </c>
      <c r="L352" s="48">
        <f t="shared" si="39"/>
        <v>27.84</v>
      </c>
      <c r="M352" s="48">
        <f t="shared" si="40"/>
        <v>1354.8</v>
      </c>
      <c r="N352" s="48">
        <f t="shared" si="41"/>
        <v>1113.5999999999999</v>
      </c>
      <c r="O352" s="50">
        <f t="shared" si="42"/>
        <v>2468.4</v>
      </c>
      <c r="P352" s="50">
        <v>0</v>
      </c>
      <c r="Q352" s="76"/>
      <c r="R352" s="140">
        <f>10*S9+10*S10</f>
        <v>40</v>
      </c>
      <c r="S352" s="79">
        <v>27.66</v>
      </c>
      <c r="T352" s="80">
        <v>22.74</v>
      </c>
    </row>
    <row r="353" spans="2:20" ht="56">
      <c r="B353" s="5" t="s">
        <v>849</v>
      </c>
      <c r="C353" s="45" t="s">
        <v>135</v>
      </c>
      <c r="D353" s="45">
        <v>91967</v>
      </c>
      <c r="E353" s="6" t="s">
        <v>850</v>
      </c>
      <c r="F353" s="45" t="s">
        <v>210</v>
      </c>
      <c r="G353" s="46">
        <f t="shared" si="43"/>
        <v>40</v>
      </c>
      <c r="H353" s="46">
        <f>TRUNC(S353*(1-LOTE_02!$K$10),2)</f>
        <v>37.85</v>
      </c>
      <c r="I353" s="46">
        <f>TRUNC(T353*(1-LOTE_02!$K$10),2)</f>
        <v>30.04</v>
      </c>
      <c r="J353" s="100">
        <f t="shared" si="44"/>
        <v>0.22470000000000001</v>
      </c>
      <c r="K353" s="48">
        <f t="shared" si="38"/>
        <v>46.35</v>
      </c>
      <c r="L353" s="48">
        <f t="shared" si="39"/>
        <v>36.78</v>
      </c>
      <c r="M353" s="48">
        <f t="shared" si="40"/>
        <v>1854</v>
      </c>
      <c r="N353" s="48">
        <f t="shared" si="41"/>
        <v>1471.2</v>
      </c>
      <c r="O353" s="50">
        <f t="shared" si="42"/>
        <v>3325.2</v>
      </c>
      <c r="P353" s="50">
        <v>0</v>
      </c>
      <c r="Q353" s="76"/>
      <c r="R353" s="140">
        <f>10*S9+10*S10</f>
        <v>40</v>
      </c>
      <c r="S353" s="79">
        <v>37.85</v>
      </c>
      <c r="T353" s="80">
        <v>30.04</v>
      </c>
    </row>
    <row r="354" spans="2:20" ht="56">
      <c r="B354" s="5" t="s">
        <v>851</v>
      </c>
      <c r="C354" s="45" t="s">
        <v>135</v>
      </c>
      <c r="D354" s="45">
        <v>92005</v>
      </c>
      <c r="E354" s="6" t="s">
        <v>852</v>
      </c>
      <c r="F354" s="45" t="s">
        <v>210</v>
      </c>
      <c r="G354" s="46">
        <f t="shared" si="43"/>
        <v>50</v>
      </c>
      <c r="H354" s="46">
        <f>TRUNC(S354*(1-LOTE_02!$K$10),2)</f>
        <v>37.090000000000003</v>
      </c>
      <c r="I354" s="46">
        <f>TRUNC(T354*(1-LOTE_02!$K$10),2)</f>
        <v>30.04</v>
      </c>
      <c r="J354" s="100">
        <f t="shared" si="44"/>
        <v>0.22470000000000001</v>
      </c>
      <c r="K354" s="48">
        <f t="shared" si="38"/>
        <v>45.42</v>
      </c>
      <c r="L354" s="48">
        <f t="shared" si="39"/>
        <v>36.78</v>
      </c>
      <c r="M354" s="48">
        <f t="shared" si="40"/>
        <v>2271</v>
      </c>
      <c r="N354" s="48">
        <f t="shared" si="41"/>
        <v>1839</v>
      </c>
      <c r="O354" s="50">
        <f t="shared" si="42"/>
        <v>4110</v>
      </c>
      <c r="P354" s="50">
        <v>0</v>
      </c>
      <c r="Q354" s="76"/>
      <c r="R354" s="140">
        <f>IF((10*S9+20*S10)&gt;500,500,(10*S9+20*S10))</f>
        <v>50</v>
      </c>
      <c r="S354" s="79">
        <v>37.089999999999996</v>
      </c>
      <c r="T354" s="80">
        <v>30.04</v>
      </c>
    </row>
    <row r="355" spans="2:20" ht="56">
      <c r="B355" s="5" t="s">
        <v>853</v>
      </c>
      <c r="C355" s="45" t="s">
        <v>135</v>
      </c>
      <c r="D355" s="45">
        <v>92008</v>
      </c>
      <c r="E355" s="6" t="s">
        <v>854</v>
      </c>
      <c r="F355" s="45" t="s">
        <v>210</v>
      </c>
      <c r="G355" s="46">
        <f t="shared" si="43"/>
        <v>50</v>
      </c>
      <c r="H355" s="46">
        <f>TRUNC(S355*(1-LOTE_02!$K$10),2)</f>
        <v>30.22</v>
      </c>
      <c r="I355" s="46">
        <f>TRUNC(T355*(1-LOTE_02!$K$10),2)</f>
        <v>23.57</v>
      </c>
      <c r="J355" s="100">
        <f t="shared" si="44"/>
        <v>0.22470000000000001</v>
      </c>
      <c r="K355" s="48">
        <f t="shared" si="38"/>
        <v>37.01</v>
      </c>
      <c r="L355" s="48">
        <f t="shared" si="39"/>
        <v>28.86</v>
      </c>
      <c r="M355" s="48">
        <f t="shared" si="40"/>
        <v>1850.5</v>
      </c>
      <c r="N355" s="48">
        <f t="shared" si="41"/>
        <v>1443</v>
      </c>
      <c r="O355" s="50">
        <f t="shared" si="42"/>
        <v>3293.5</v>
      </c>
      <c r="P355" s="50">
        <v>0</v>
      </c>
      <c r="Q355" s="76"/>
      <c r="R355" s="140">
        <f>IF((10*S9+20*S10)&gt;500,500,(10*S9+20*S10))</f>
        <v>50</v>
      </c>
      <c r="S355" s="79">
        <v>30.22</v>
      </c>
      <c r="T355" s="80">
        <v>23.57</v>
      </c>
    </row>
    <row r="356" spans="2:20" ht="56">
      <c r="B356" s="5" t="s">
        <v>855</v>
      </c>
      <c r="C356" s="45" t="s">
        <v>135</v>
      </c>
      <c r="D356" s="45">
        <v>92000</v>
      </c>
      <c r="E356" s="6" t="s">
        <v>856</v>
      </c>
      <c r="F356" s="45" t="s">
        <v>210</v>
      </c>
      <c r="G356" s="46">
        <f t="shared" si="43"/>
        <v>120</v>
      </c>
      <c r="H356" s="46">
        <f>TRUNC(S356*(1-LOTE_02!$K$10),2)</f>
        <v>18.78</v>
      </c>
      <c r="I356" s="46">
        <f>TRUNC(T356*(1-LOTE_02!$K$10),2)</f>
        <v>15.86</v>
      </c>
      <c r="J356" s="100">
        <f t="shared" si="44"/>
        <v>0.22470000000000001</v>
      </c>
      <c r="K356" s="48">
        <f t="shared" si="38"/>
        <v>22.99</v>
      </c>
      <c r="L356" s="48">
        <f t="shared" si="39"/>
        <v>19.420000000000002</v>
      </c>
      <c r="M356" s="48">
        <f t="shared" si="40"/>
        <v>2758.8</v>
      </c>
      <c r="N356" s="48">
        <f t="shared" si="41"/>
        <v>2330.4</v>
      </c>
      <c r="O356" s="50">
        <f t="shared" si="42"/>
        <v>5089.2</v>
      </c>
      <c r="P356" s="50">
        <v>0</v>
      </c>
      <c r="Q356" s="76"/>
      <c r="R356" s="140">
        <f>30*S9+30*S10</f>
        <v>120</v>
      </c>
      <c r="S356" s="79">
        <v>18.78</v>
      </c>
      <c r="T356" s="80">
        <v>15.86</v>
      </c>
    </row>
    <row r="357" spans="2:20" ht="42">
      <c r="B357" s="5" t="s">
        <v>857</v>
      </c>
      <c r="C357" s="45" t="s">
        <v>97</v>
      </c>
      <c r="D357" s="45" t="s">
        <v>858</v>
      </c>
      <c r="E357" s="6" t="s">
        <v>859</v>
      </c>
      <c r="F357" s="45" t="s">
        <v>104</v>
      </c>
      <c r="G357" s="46">
        <f t="shared" si="43"/>
        <v>140</v>
      </c>
      <c r="H357" s="46">
        <f>TRUNC(S357*(1-LOTE_02!$K$10),2)</f>
        <v>8.27</v>
      </c>
      <c r="I357" s="46">
        <f>TRUNC(T357*(1-LOTE_02!$K$10),2)</f>
        <v>25</v>
      </c>
      <c r="J357" s="100">
        <f t="shared" si="44"/>
        <v>0.22470000000000001</v>
      </c>
      <c r="K357" s="48">
        <f t="shared" si="38"/>
        <v>10.119999999999999</v>
      </c>
      <c r="L357" s="48">
        <f t="shared" si="39"/>
        <v>30.61</v>
      </c>
      <c r="M357" s="48">
        <f t="shared" si="40"/>
        <v>1416.8</v>
      </c>
      <c r="N357" s="48">
        <f t="shared" si="41"/>
        <v>4285.3999999999996</v>
      </c>
      <c r="O357" s="50">
        <f t="shared" si="42"/>
        <v>5702.2</v>
      </c>
      <c r="P357" s="50">
        <v>0</v>
      </c>
      <c r="Q357" s="76"/>
      <c r="R357" s="140">
        <f>30*S9+50*S10</f>
        <v>140</v>
      </c>
      <c r="S357" s="79">
        <v>8.27</v>
      </c>
      <c r="T357" s="80">
        <v>25</v>
      </c>
    </row>
    <row r="358" spans="2:20" ht="28">
      <c r="B358" s="5" t="s">
        <v>860</v>
      </c>
      <c r="C358" s="45" t="s">
        <v>97</v>
      </c>
      <c r="D358" s="45" t="s">
        <v>861</v>
      </c>
      <c r="E358" s="6" t="s">
        <v>862</v>
      </c>
      <c r="F358" s="45" t="s">
        <v>104</v>
      </c>
      <c r="G358" s="46">
        <f t="shared" si="43"/>
        <v>40</v>
      </c>
      <c r="H358" s="46">
        <f>TRUNC(S358*(1-LOTE_02!$K$10),2)</f>
        <v>35.6</v>
      </c>
      <c r="I358" s="46">
        <f>TRUNC(T358*(1-LOTE_02!$K$10),2)</f>
        <v>18.75</v>
      </c>
      <c r="J358" s="100">
        <f t="shared" si="44"/>
        <v>0.22470000000000001</v>
      </c>
      <c r="K358" s="48">
        <f t="shared" si="38"/>
        <v>43.59</v>
      </c>
      <c r="L358" s="48">
        <f t="shared" si="39"/>
        <v>22.96</v>
      </c>
      <c r="M358" s="48">
        <f t="shared" si="40"/>
        <v>1743.6</v>
      </c>
      <c r="N358" s="48">
        <f t="shared" si="41"/>
        <v>918.4</v>
      </c>
      <c r="O358" s="50">
        <f t="shared" si="42"/>
        <v>2662</v>
      </c>
      <c r="P358" s="50">
        <v>0</v>
      </c>
      <c r="Q358" s="76"/>
      <c r="R358" s="140">
        <f>IF((10*S9+10*S10)&gt;50,50,(10*S9+10*S10))</f>
        <v>40</v>
      </c>
      <c r="S358" s="79">
        <v>35.6</v>
      </c>
      <c r="T358" s="80">
        <v>18.75</v>
      </c>
    </row>
    <row r="359" spans="2:20" ht="84">
      <c r="B359" s="5" t="s">
        <v>863</v>
      </c>
      <c r="C359" s="45" t="s">
        <v>97</v>
      </c>
      <c r="D359" s="45" t="s">
        <v>864</v>
      </c>
      <c r="E359" s="6" t="s">
        <v>865</v>
      </c>
      <c r="F359" s="45" t="s">
        <v>104</v>
      </c>
      <c r="G359" s="46">
        <f t="shared" si="43"/>
        <v>80</v>
      </c>
      <c r="H359" s="46">
        <f>TRUNC(S359*(1-LOTE_02!$K$10),2)</f>
        <v>185.93</v>
      </c>
      <c r="I359" s="46">
        <f>TRUNC(T359*(1-LOTE_02!$K$10),2)</f>
        <v>37.5</v>
      </c>
      <c r="J359" s="100">
        <f t="shared" si="44"/>
        <v>0.22470000000000001</v>
      </c>
      <c r="K359" s="48">
        <f t="shared" si="38"/>
        <v>227.7</v>
      </c>
      <c r="L359" s="48">
        <f t="shared" si="39"/>
        <v>45.92</v>
      </c>
      <c r="M359" s="48">
        <f t="shared" si="40"/>
        <v>18216</v>
      </c>
      <c r="N359" s="48">
        <f t="shared" si="41"/>
        <v>3673.6</v>
      </c>
      <c r="O359" s="50">
        <f t="shared" si="42"/>
        <v>21889.599999999999</v>
      </c>
      <c r="P359" s="50">
        <v>0</v>
      </c>
      <c r="Q359" s="76"/>
      <c r="R359" s="140">
        <f>IF((20*S9+20*S10)&gt;200,200,(20*S9+20*S10))</f>
        <v>80</v>
      </c>
      <c r="S359" s="79">
        <v>185.93</v>
      </c>
      <c r="T359" s="80">
        <v>37.5</v>
      </c>
    </row>
    <row r="360" spans="2:20" ht="98">
      <c r="B360" s="5" t="s">
        <v>866</v>
      </c>
      <c r="C360" s="45" t="s">
        <v>97</v>
      </c>
      <c r="D360" s="45" t="s">
        <v>867</v>
      </c>
      <c r="E360" s="6" t="s">
        <v>868</v>
      </c>
      <c r="F360" s="45" t="s">
        <v>104</v>
      </c>
      <c r="G360" s="46">
        <f t="shared" si="43"/>
        <v>8</v>
      </c>
      <c r="H360" s="46">
        <f>TRUNC(S360*(1-LOTE_02!$K$10),2)</f>
        <v>259.29000000000002</v>
      </c>
      <c r="I360" s="46">
        <f>TRUNC(T360*(1-LOTE_02!$K$10),2)</f>
        <v>83.9</v>
      </c>
      <c r="J360" s="100">
        <f t="shared" si="44"/>
        <v>0.22470000000000001</v>
      </c>
      <c r="K360" s="48">
        <f t="shared" si="38"/>
        <v>317.55</v>
      </c>
      <c r="L360" s="48">
        <f t="shared" si="39"/>
        <v>102.75</v>
      </c>
      <c r="M360" s="48">
        <f t="shared" si="40"/>
        <v>2540.4</v>
      </c>
      <c r="N360" s="48">
        <f t="shared" si="41"/>
        <v>822</v>
      </c>
      <c r="O360" s="50">
        <f t="shared" si="42"/>
        <v>3362.4</v>
      </c>
      <c r="P360" s="50">
        <v>0</v>
      </c>
      <c r="Q360" s="76"/>
      <c r="R360" s="140">
        <f>IF((2*S9+2*S10)&gt;50,100,(2*S9+2*S10))</f>
        <v>8</v>
      </c>
      <c r="S360" s="79">
        <v>259.29000000000002</v>
      </c>
      <c r="T360" s="80">
        <v>83.9</v>
      </c>
    </row>
    <row r="361" spans="2:20" ht="56">
      <c r="B361" s="5" t="s">
        <v>869</v>
      </c>
      <c r="C361" s="45" t="s">
        <v>135</v>
      </c>
      <c r="D361" s="45">
        <v>97607</v>
      </c>
      <c r="E361" s="6" t="s">
        <v>870</v>
      </c>
      <c r="F361" s="45" t="s">
        <v>210</v>
      </c>
      <c r="G361" s="46">
        <f t="shared" si="43"/>
        <v>20</v>
      </c>
      <c r="H361" s="46">
        <f>TRUNC(S361*(1-LOTE_02!$K$10),2)</f>
        <v>78.489999999999995</v>
      </c>
      <c r="I361" s="46">
        <f>TRUNC(T361*(1-LOTE_02!$K$10),2)</f>
        <v>13.96</v>
      </c>
      <c r="J361" s="100">
        <f t="shared" si="44"/>
        <v>0.22470000000000001</v>
      </c>
      <c r="K361" s="48">
        <f t="shared" si="38"/>
        <v>96.12</v>
      </c>
      <c r="L361" s="48">
        <f t="shared" si="39"/>
        <v>17.09</v>
      </c>
      <c r="M361" s="48">
        <f t="shared" si="40"/>
        <v>1922.4</v>
      </c>
      <c r="N361" s="48">
        <f t="shared" si="41"/>
        <v>341.8</v>
      </c>
      <c r="O361" s="50">
        <f t="shared" si="42"/>
        <v>2264.1999999999998</v>
      </c>
      <c r="P361" s="50">
        <v>0</v>
      </c>
      <c r="Q361" s="76"/>
      <c r="R361" s="140">
        <f>IF((5*S9+5*S10)&gt;50,50,(5*S9+5*S10))</f>
        <v>20</v>
      </c>
      <c r="S361" s="79">
        <v>78.490000000000009</v>
      </c>
      <c r="T361" s="80">
        <v>13.96</v>
      </c>
    </row>
    <row r="362" spans="2:20" ht="28">
      <c r="B362" s="5" t="s">
        <v>871</v>
      </c>
      <c r="C362" s="45" t="s">
        <v>165</v>
      </c>
      <c r="D362" s="45" t="s">
        <v>872</v>
      </c>
      <c r="E362" s="6" t="s">
        <v>873</v>
      </c>
      <c r="F362" s="45" t="s">
        <v>559</v>
      </c>
      <c r="G362" s="46">
        <f t="shared" si="43"/>
        <v>20</v>
      </c>
      <c r="H362" s="46">
        <f>TRUNC(S362*(1-LOTE_02!$K$10),2)</f>
        <v>338.8</v>
      </c>
      <c r="I362" s="46">
        <f>TRUNC(T362*(1-LOTE_02!$K$10),2)</f>
        <v>47.83</v>
      </c>
      <c r="J362" s="100">
        <f t="shared" si="44"/>
        <v>0.22470000000000001</v>
      </c>
      <c r="K362" s="48">
        <f t="shared" si="38"/>
        <v>414.92</v>
      </c>
      <c r="L362" s="48">
        <f t="shared" si="39"/>
        <v>58.57</v>
      </c>
      <c r="M362" s="48">
        <f t="shared" si="40"/>
        <v>8298.4</v>
      </c>
      <c r="N362" s="48">
        <f t="shared" si="41"/>
        <v>1171.4000000000001</v>
      </c>
      <c r="O362" s="50">
        <f t="shared" si="42"/>
        <v>9469.7999999999993</v>
      </c>
      <c r="P362" s="50">
        <v>0</v>
      </c>
      <c r="Q362" s="76"/>
      <c r="R362" s="140">
        <f>IF((5*S9+5*S10)&gt;50,50,(5*S9+5*S10))</f>
        <v>20</v>
      </c>
      <c r="S362" s="79">
        <v>338.8</v>
      </c>
      <c r="T362" s="80">
        <v>47.83</v>
      </c>
    </row>
    <row r="363" spans="2:20" ht="42">
      <c r="B363" s="5" t="s">
        <v>874</v>
      </c>
      <c r="C363" s="45" t="s">
        <v>135</v>
      </c>
      <c r="D363" s="45">
        <v>100903</v>
      </c>
      <c r="E363" s="6" t="s">
        <v>875</v>
      </c>
      <c r="F363" s="45" t="s">
        <v>210</v>
      </c>
      <c r="G363" s="46">
        <f t="shared" si="43"/>
        <v>400</v>
      </c>
      <c r="H363" s="46">
        <f>TRUNC(S363*(1-LOTE_02!$K$10),2)</f>
        <v>20.56</v>
      </c>
      <c r="I363" s="46">
        <f>TRUNC(T363*(1-LOTE_02!$K$10),2)</f>
        <v>11.59</v>
      </c>
      <c r="J363" s="100">
        <f t="shared" si="44"/>
        <v>0.22470000000000001</v>
      </c>
      <c r="K363" s="48">
        <f t="shared" si="38"/>
        <v>25.17</v>
      </c>
      <c r="L363" s="48">
        <f t="shared" si="39"/>
        <v>14.19</v>
      </c>
      <c r="M363" s="48">
        <f t="shared" si="40"/>
        <v>10068</v>
      </c>
      <c r="N363" s="48">
        <f t="shared" si="41"/>
        <v>5676</v>
      </c>
      <c r="O363" s="50">
        <f t="shared" si="42"/>
        <v>15744</v>
      </c>
      <c r="P363" s="50">
        <v>0</v>
      </c>
      <c r="Q363" s="76"/>
      <c r="R363" s="140">
        <f>IF((100*S9+100*S10)&gt;500,500,(100*S9+100*S10))</f>
        <v>400</v>
      </c>
      <c r="S363" s="79">
        <v>20.56</v>
      </c>
      <c r="T363" s="80">
        <v>11.59</v>
      </c>
    </row>
    <row r="364" spans="2:20" ht="56">
      <c r="B364" s="5" t="s">
        <v>876</v>
      </c>
      <c r="C364" s="45" t="s">
        <v>135</v>
      </c>
      <c r="D364" s="45">
        <v>97599</v>
      </c>
      <c r="E364" s="6" t="s">
        <v>877</v>
      </c>
      <c r="F364" s="45" t="s">
        <v>210</v>
      </c>
      <c r="G364" s="46">
        <f t="shared" si="43"/>
        <v>80</v>
      </c>
      <c r="H364" s="46">
        <f>TRUNC(S364*(1-LOTE_02!$K$10),2)</f>
        <v>16.239999999999998</v>
      </c>
      <c r="I364" s="46">
        <f>TRUNC(T364*(1-LOTE_02!$K$10),2)</f>
        <v>5.0999999999999996</v>
      </c>
      <c r="J364" s="100">
        <f t="shared" si="44"/>
        <v>0.22470000000000001</v>
      </c>
      <c r="K364" s="48">
        <f t="shared" si="38"/>
        <v>19.88</v>
      </c>
      <c r="L364" s="48">
        <f t="shared" si="39"/>
        <v>6.24</v>
      </c>
      <c r="M364" s="48">
        <f t="shared" si="40"/>
        <v>1590.4</v>
      </c>
      <c r="N364" s="48">
        <f t="shared" si="41"/>
        <v>499.2</v>
      </c>
      <c r="O364" s="50">
        <f t="shared" si="42"/>
        <v>2089.6</v>
      </c>
      <c r="P364" s="50">
        <v>0</v>
      </c>
      <c r="Q364" s="76"/>
      <c r="R364" s="140">
        <f>IF((20*S9+20*S10)&gt;100,100,(20*S9+20*S10))</f>
        <v>80</v>
      </c>
      <c r="S364" s="79">
        <v>16.240000000000002</v>
      </c>
      <c r="T364" s="80">
        <v>5.0999999999999996</v>
      </c>
    </row>
    <row r="365" spans="2:20" ht="28">
      <c r="B365" s="5" t="s">
        <v>878</v>
      </c>
      <c r="C365" s="45" t="s">
        <v>97</v>
      </c>
      <c r="D365" s="45" t="s">
        <v>879</v>
      </c>
      <c r="E365" s="6" t="s">
        <v>880</v>
      </c>
      <c r="F365" s="45" t="s">
        <v>881</v>
      </c>
      <c r="G365" s="46">
        <f t="shared" si="43"/>
        <v>220</v>
      </c>
      <c r="H365" s="46">
        <f>TRUNC(S365*(1-LOTE_02!$K$10),2)</f>
        <v>109.22</v>
      </c>
      <c r="I365" s="46">
        <f>TRUNC(T365*(1-LOTE_02!$K$10),2)</f>
        <v>37.5</v>
      </c>
      <c r="J365" s="100">
        <f t="shared" si="44"/>
        <v>0.22470000000000001</v>
      </c>
      <c r="K365" s="48">
        <f t="shared" si="38"/>
        <v>133.76</v>
      </c>
      <c r="L365" s="48">
        <f t="shared" si="39"/>
        <v>45.92</v>
      </c>
      <c r="M365" s="48">
        <f t="shared" si="40"/>
        <v>29427.200000000001</v>
      </c>
      <c r="N365" s="48">
        <f t="shared" si="41"/>
        <v>10102.4</v>
      </c>
      <c r="O365" s="50">
        <f t="shared" si="42"/>
        <v>39529.599999999999</v>
      </c>
      <c r="P365" s="50">
        <v>0</v>
      </c>
      <c r="Q365" s="76"/>
      <c r="R365" s="141">
        <f>(6+6+3+2+2+6+4+2+2+4+6+6+6)*(S9+S10)</f>
        <v>220</v>
      </c>
      <c r="S365" s="79">
        <v>109.22</v>
      </c>
      <c r="T365" s="80">
        <v>37.5</v>
      </c>
    </row>
    <row r="366" spans="2:20" ht="28">
      <c r="B366" s="5" t="s">
        <v>882</v>
      </c>
      <c r="C366" s="45" t="s">
        <v>97</v>
      </c>
      <c r="D366" s="45" t="s">
        <v>883</v>
      </c>
      <c r="E366" s="6" t="s">
        <v>884</v>
      </c>
      <c r="F366" s="45" t="s">
        <v>104</v>
      </c>
      <c r="G366" s="46">
        <f t="shared" si="43"/>
        <v>132</v>
      </c>
      <c r="H366" s="46">
        <f>TRUNC(S366*(1-LOTE_02!$K$10),2)</f>
        <v>108.22</v>
      </c>
      <c r="I366" s="46">
        <f>TRUNC(T366*(1-LOTE_02!$K$10),2)</f>
        <v>37.5</v>
      </c>
      <c r="J366" s="100">
        <f t="shared" si="44"/>
        <v>0.22470000000000001</v>
      </c>
      <c r="K366" s="48">
        <f t="shared" si="38"/>
        <v>132.53</v>
      </c>
      <c r="L366" s="48">
        <f t="shared" si="39"/>
        <v>45.92</v>
      </c>
      <c r="M366" s="48">
        <f t="shared" si="40"/>
        <v>17493.96</v>
      </c>
      <c r="N366" s="48">
        <f t="shared" si="41"/>
        <v>6061.44</v>
      </c>
      <c r="O366" s="50">
        <f t="shared" si="42"/>
        <v>23555.4</v>
      </c>
      <c r="P366" s="50">
        <v>0</v>
      </c>
      <c r="Q366" s="76"/>
      <c r="R366" s="141">
        <f>(3+9+14+7)*(S9+S10)</f>
        <v>132</v>
      </c>
      <c r="S366" s="79">
        <v>108.22</v>
      </c>
      <c r="T366" s="80">
        <v>37.5</v>
      </c>
    </row>
    <row r="367" spans="2:20" ht="42">
      <c r="B367" s="5" t="s">
        <v>885</v>
      </c>
      <c r="C367" s="45" t="s">
        <v>97</v>
      </c>
      <c r="D367" s="45" t="s">
        <v>886</v>
      </c>
      <c r="E367" s="6" t="s">
        <v>887</v>
      </c>
      <c r="F367" s="45" t="s">
        <v>104</v>
      </c>
      <c r="G367" s="46">
        <f t="shared" si="43"/>
        <v>40</v>
      </c>
      <c r="H367" s="46">
        <f>TRUNC(S367*(1-LOTE_02!$K$10),2)</f>
        <v>108.22</v>
      </c>
      <c r="I367" s="46">
        <f>TRUNC(T367*(1-LOTE_02!$K$10),2)</f>
        <v>37.5</v>
      </c>
      <c r="J367" s="100">
        <f t="shared" si="44"/>
        <v>0.22470000000000001</v>
      </c>
      <c r="K367" s="48">
        <f t="shared" si="38"/>
        <v>132.53</v>
      </c>
      <c r="L367" s="48">
        <f t="shared" si="39"/>
        <v>45.92</v>
      </c>
      <c r="M367" s="48">
        <f t="shared" si="40"/>
        <v>5301.2</v>
      </c>
      <c r="N367" s="48">
        <f t="shared" si="41"/>
        <v>1836.8</v>
      </c>
      <c r="O367" s="50">
        <f t="shared" si="42"/>
        <v>7138</v>
      </c>
      <c r="P367" s="50">
        <v>0</v>
      </c>
      <c r="Q367" s="76"/>
      <c r="R367" s="141">
        <f>10*(S9+S10)</f>
        <v>40</v>
      </c>
      <c r="S367" s="79">
        <v>108.22</v>
      </c>
      <c r="T367" s="80">
        <v>37.5</v>
      </c>
    </row>
    <row r="368" spans="2:20" ht="28">
      <c r="B368" s="5" t="s">
        <v>888</v>
      </c>
      <c r="C368" s="45" t="s">
        <v>97</v>
      </c>
      <c r="D368" s="45" t="s">
        <v>889</v>
      </c>
      <c r="E368" s="6" t="s">
        <v>890</v>
      </c>
      <c r="F368" s="45" t="s">
        <v>104</v>
      </c>
      <c r="G368" s="46">
        <f t="shared" si="43"/>
        <v>80</v>
      </c>
      <c r="H368" s="46">
        <f>TRUNC(S368*(1-LOTE_02!$K$10),2)</f>
        <v>2025.46</v>
      </c>
      <c r="I368" s="46">
        <f>TRUNC(T368*(1-LOTE_02!$K$10),2)</f>
        <v>41.67</v>
      </c>
      <c r="J368" s="100">
        <f t="shared" si="44"/>
        <v>0.22470000000000001</v>
      </c>
      <c r="K368" s="48">
        <f t="shared" si="38"/>
        <v>2480.58</v>
      </c>
      <c r="L368" s="48">
        <f t="shared" si="39"/>
        <v>51.03</v>
      </c>
      <c r="M368" s="48">
        <f t="shared" si="40"/>
        <v>198446.4</v>
      </c>
      <c r="N368" s="48">
        <f t="shared" si="41"/>
        <v>4082.4</v>
      </c>
      <c r="O368" s="50">
        <f t="shared" si="42"/>
        <v>202528.8</v>
      </c>
      <c r="P368" s="50">
        <v>0</v>
      </c>
      <c r="Q368" s="76"/>
      <c r="R368" s="141">
        <f>20*(S9+S10)</f>
        <v>80</v>
      </c>
      <c r="S368" s="79">
        <v>2025.46</v>
      </c>
      <c r="T368" s="80">
        <v>41.67</v>
      </c>
    </row>
    <row r="369" spans="2:20" ht="28">
      <c r="B369" s="5" t="s">
        <v>891</v>
      </c>
      <c r="C369" s="45" t="s">
        <v>97</v>
      </c>
      <c r="D369" s="45" t="s">
        <v>892</v>
      </c>
      <c r="E369" s="6" t="s">
        <v>893</v>
      </c>
      <c r="F369" s="45" t="s">
        <v>104</v>
      </c>
      <c r="G369" s="46">
        <f t="shared" si="43"/>
        <v>48</v>
      </c>
      <c r="H369" s="46">
        <f>TRUNC(S369*(1-LOTE_02!$K$10),2)</f>
        <v>1888.78</v>
      </c>
      <c r="I369" s="46">
        <f>TRUNC(T369*(1-LOTE_02!$K$10),2)</f>
        <v>41.67</v>
      </c>
      <c r="J369" s="100">
        <f t="shared" si="44"/>
        <v>0.22470000000000001</v>
      </c>
      <c r="K369" s="48">
        <f t="shared" si="38"/>
        <v>2313.1799999999998</v>
      </c>
      <c r="L369" s="48">
        <f t="shared" si="39"/>
        <v>51.03</v>
      </c>
      <c r="M369" s="48">
        <f t="shared" si="40"/>
        <v>111032.64</v>
      </c>
      <c r="N369" s="48">
        <f t="shared" si="41"/>
        <v>2449.44</v>
      </c>
      <c r="O369" s="50">
        <f t="shared" si="42"/>
        <v>113482.08</v>
      </c>
      <c r="P369" s="50">
        <v>0</v>
      </c>
      <c r="Q369" s="76"/>
      <c r="R369" s="141">
        <f>12*(S9+S10)</f>
        <v>48</v>
      </c>
      <c r="S369" s="79">
        <v>1888.78</v>
      </c>
      <c r="T369" s="80">
        <v>41.67</v>
      </c>
    </row>
    <row r="370" spans="2:20" ht="28">
      <c r="B370" s="5" t="s">
        <v>894</v>
      </c>
      <c r="C370" s="45" t="s">
        <v>97</v>
      </c>
      <c r="D370" s="45" t="s">
        <v>895</v>
      </c>
      <c r="E370" s="6" t="s">
        <v>896</v>
      </c>
      <c r="F370" s="45" t="s">
        <v>104</v>
      </c>
      <c r="G370" s="46">
        <f t="shared" si="43"/>
        <v>128</v>
      </c>
      <c r="H370" s="46">
        <f>TRUNC(S370*(1-LOTE_02!$K$10),2)</f>
        <v>858.61</v>
      </c>
      <c r="I370" s="46">
        <f>TRUNC(T370*(1-LOTE_02!$K$10),2)</f>
        <v>41.67</v>
      </c>
      <c r="J370" s="100">
        <f t="shared" si="44"/>
        <v>0.22470000000000001</v>
      </c>
      <c r="K370" s="48">
        <f t="shared" si="38"/>
        <v>1051.53</v>
      </c>
      <c r="L370" s="48">
        <f t="shared" si="39"/>
        <v>51.03</v>
      </c>
      <c r="M370" s="48">
        <f t="shared" si="40"/>
        <v>134595.84</v>
      </c>
      <c r="N370" s="48">
        <f t="shared" si="41"/>
        <v>6531.84</v>
      </c>
      <c r="O370" s="50">
        <f t="shared" si="42"/>
        <v>141127.67999999999</v>
      </c>
      <c r="P370" s="50">
        <v>0</v>
      </c>
      <c r="Q370" s="76"/>
      <c r="R370" s="141">
        <f>(19+13)*(S9+S10)</f>
        <v>128</v>
      </c>
      <c r="S370" s="79">
        <v>858.61</v>
      </c>
      <c r="T370" s="80">
        <v>41.67</v>
      </c>
    </row>
    <row r="371" spans="2:20" ht="56">
      <c r="B371" s="5" t="s">
        <v>897</v>
      </c>
      <c r="C371" s="45" t="s">
        <v>97</v>
      </c>
      <c r="D371" s="45" t="s">
        <v>898</v>
      </c>
      <c r="E371" s="6" t="s">
        <v>899</v>
      </c>
      <c r="F371" s="45" t="s">
        <v>104</v>
      </c>
      <c r="G371" s="46">
        <f t="shared" si="43"/>
        <v>57.4</v>
      </c>
      <c r="H371" s="46">
        <f>TRUNC(S371*(1-LOTE_02!$K$10),2)</f>
        <v>149.81</v>
      </c>
      <c r="I371" s="46">
        <f>TRUNC(T371*(1-LOTE_02!$K$10),2)</f>
        <v>45.83</v>
      </c>
      <c r="J371" s="100">
        <f t="shared" si="44"/>
        <v>0.22470000000000001</v>
      </c>
      <c r="K371" s="48">
        <f t="shared" si="38"/>
        <v>183.47</v>
      </c>
      <c r="L371" s="48">
        <f t="shared" si="39"/>
        <v>56.12</v>
      </c>
      <c r="M371" s="48">
        <f t="shared" si="40"/>
        <v>10531.17</v>
      </c>
      <c r="N371" s="48">
        <f t="shared" si="41"/>
        <v>3221.28</v>
      </c>
      <c r="O371" s="50">
        <f t="shared" si="42"/>
        <v>13752.45</v>
      </c>
      <c r="P371" s="50">
        <v>0</v>
      </c>
      <c r="Q371" s="76"/>
      <c r="R371" s="141">
        <f>(4+4.85+5.5)*(S9+S10)</f>
        <v>57.4</v>
      </c>
      <c r="S371" s="79">
        <v>149.81</v>
      </c>
      <c r="T371" s="80">
        <v>45.83</v>
      </c>
    </row>
    <row r="372" spans="2:20" ht="28">
      <c r="B372" s="5" t="s">
        <v>900</v>
      </c>
      <c r="C372" s="45" t="s">
        <v>97</v>
      </c>
      <c r="D372" s="45" t="s">
        <v>901</v>
      </c>
      <c r="E372" s="6" t="s">
        <v>902</v>
      </c>
      <c r="F372" s="45" t="s">
        <v>187</v>
      </c>
      <c r="G372" s="46">
        <f t="shared" si="43"/>
        <v>57.4</v>
      </c>
      <c r="H372" s="46">
        <f>TRUNC(S372*(1-LOTE_02!$K$10),2)</f>
        <v>53.8</v>
      </c>
      <c r="I372" s="46">
        <f>TRUNC(T372*(1-LOTE_02!$K$10),2)</f>
        <v>19.64</v>
      </c>
      <c r="J372" s="100">
        <f t="shared" si="44"/>
        <v>0.22470000000000001</v>
      </c>
      <c r="K372" s="48">
        <f t="shared" si="38"/>
        <v>65.88</v>
      </c>
      <c r="L372" s="48">
        <f t="shared" si="39"/>
        <v>24.05</v>
      </c>
      <c r="M372" s="48">
        <f t="shared" si="40"/>
        <v>3781.51</v>
      </c>
      <c r="N372" s="48">
        <f t="shared" si="41"/>
        <v>1380.47</v>
      </c>
      <c r="O372" s="50">
        <f t="shared" si="42"/>
        <v>5161.9799999999996</v>
      </c>
      <c r="P372" s="50">
        <v>0</v>
      </c>
      <c r="Q372" s="76"/>
      <c r="R372" s="141">
        <f>R371</f>
        <v>57.4</v>
      </c>
      <c r="S372" s="79">
        <v>53.8</v>
      </c>
      <c r="T372" s="80">
        <v>19.64</v>
      </c>
    </row>
    <row r="373" spans="2:20" ht="42">
      <c r="B373" s="5" t="s">
        <v>903</v>
      </c>
      <c r="C373" s="45" t="s">
        <v>97</v>
      </c>
      <c r="D373" s="45" t="s">
        <v>904</v>
      </c>
      <c r="E373" s="6" t="s">
        <v>905</v>
      </c>
      <c r="F373" s="45" t="s">
        <v>104</v>
      </c>
      <c r="G373" s="46">
        <f t="shared" si="43"/>
        <v>16</v>
      </c>
      <c r="H373" s="46">
        <f>TRUNC(S373*(1-LOTE_02!$K$10),2)</f>
        <v>260.89</v>
      </c>
      <c r="I373" s="46">
        <f>TRUNC(T373*(1-LOTE_02!$K$10),2)</f>
        <v>8.33</v>
      </c>
      <c r="J373" s="100">
        <f t="shared" si="44"/>
        <v>0.22470000000000001</v>
      </c>
      <c r="K373" s="48">
        <f t="shared" si="38"/>
        <v>319.51</v>
      </c>
      <c r="L373" s="48">
        <f t="shared" si="39"/>
        <v>10.199999999999999</v>
      </c>
      <c r="M373" s="48">
        <f t="shared" si="40"/>
        <v>5112.16</v>
      </c>
      <c r="N373" s="48">
        <f t="shared" si="41"/>
        <v>163.19999999999999</v>
      </c>
      <c r="O373" s="50">
        <f t="shared" si="42"/>
        <v>5275.36</v>
      </c>
      <c r="P373" s="50">
        <v>0</v>
      </c>
      <c r="Q373" s="76"/>
      <c r="R373" s="140">
        <f>4*S9+4*S10</f>
        <v>16</v>
      </c>
      <c r="S373" s="79">
        <v>260.89</v>
      </c>
      <c r="T373" s="80">
        <v>8.33</v>
      </c>
    </row>
    <row r="374" spans="2:20" ht="28">
      <c r="B374" s="5" t="s">
        <v>906</v>
      </c>
      <c r="C374" s="45" t="s">
        <v>97</v>
      </c>
      <c r="D374" s="45" t="s">
        <v>907</v>
      </c>
      <c r="E374" s="6" t="s">
        <v>908</v>
      </c>
      <c r="F374" s="45" t="s">
        <v>104</v>
      </c>
      <c r="G374" s="46">
        <f t="shared" si="43"/>
        <v>16</v>
      </c>
      <c r="H374" s="46">
        <f>TRUNC(S374*(1-LOTE_02!$K$10),2)</f>
        <v>233.89</v>
      </c>
      <c r="I374" s="46">
        <f>TRUNC(T374*(1-LOTE_02!$K$10),2)</f>
        <v>8.33</v>
      </c>
      <c r="J374" s="100">
        <f t="shared" si="44"/>
        <v>0.22470000000000001</v>
      </c>
      <c r="K374" s="48">
        <f t="shared" si="38"/>
        <v>286.44</v>
      </c>
      <c r="L374" s="48">
        <f t="shared" si="39"/>
        <v>10.199999999999999</v>
      </c>
      <c r="M374" s="48">
        <f t="shared" si="40"/>
        <v>4583.04</v>
      </c>
      <c r="N374" s="48">
        <f t="shared" si="41"/>
        <v>163.19999999999999</v>
      </c>
      <c r="O374" s="50">
        <f t="shared" si="42"/>
        <v>4746.24</v>
      </c>
      <c r="P374" s="50">
        <v>0</v>
      </c>
      <c r="Q374" s="76"/>
      <c r="R374" s="140">
        <f>4*S9+4*S10</f>
        <v>16</v>
      </c>
      <c r="S374" s="79">
        <v>233.89</v>
      </c>
      <c r="T374" s="80">
        <v>8.33</v>
      </c>
    </row>
    <row r="375" spans="2:20" ht="42">
      <c r="B375" s="101" t="s">
        <v>909</v>
      </c>
      <c r="C375" s="102" t="s">
        <v>21</v>
      </c>
      <c r="D375" s="102" t="s">
        <v>21</v>
      </c>
      <c r="E375" s="103" t="s">
        <v>910</v>
      </c>
      <c r="F375" s="102" t="s">
        <v>21</v>
      </c>
      <c r="G375" s="46">
        <f t="shared" si="43"/>
        <v>0</v>
      </c>
      <c r="H375" s="46"/>
      <c r="I375" s="46"/>
      <c r="J375" s="105"/>
      <c r="K375" s="48">
        <f t="shared" si="38"/>
        <v>0</v>
      </c>
      <c r="L375" s="48">
        <f t="shared" si="39"/>
        <v>0</v>
      </c>
      <c r="M375" s="48">
        <f t="shared" si="40"/>
        <v>0</v>
      </c>
      <c r="N375" s="48">
        <f t="shared" si="41"/>
        <v>0</v>
      </c>
      <c r="O375" s="50">
        <f t="shared" si="42"/>
        <v>0</v>
      </c>
      <c r="P375" s="50">
        <v>0</v>
      </c>
      <c r="Q375" s="76"/>
      <c r="R375" s="154"/>
      <c r="S375" s="79" t="s">
        <v>22</v>
      </c>
      <c r="T375" s="80" t="s">
        <v>22</v>
      </c>
    </row>
    <row r="376" spans="2:20" ht="56">
      <c r="B376" s="5" t="s">
        <v>911</v>
      </c>
      <c r="C376" s="45" t="s">
        <v>135</v>
      </c>
      <c r="D376" s="45">
        <v>93661</v>
      </c>
      <c r="E376" s="6" t="s">
        <v>912</v>
      </c>
      <c r="F376" s="45" t="s">
        <v>210</v>
      </c>
      <c r="G376" s="46">
        <f t="shared" si="43"/>
        <v>8</v>
      </c>
      <c r="H376" s="46">
        <f>TRUNC(S376*(1-LOTE_02!$K$10),2)</f>
        <v>55.27</v>
      </c>
      <c r="I376" s="46">
        <f>TRUNC(T376*(1-LOTE_02!$K$10),2)</f>
        <v>2.54</v>
      </c>
      <c r="J376" s="100">
        <f t="shared" si="44"/>
        <v>0.22470000000000001</v>
      </c>
      <c r="K376" s="48">
        <f t="shared" si="38"/>
        <v>67.680000000000007</v>
      </c>
      <c r="L376" s="48">
        <f t="shared" si="39"/>
        <v>3.11</v>
      </c>
      <c r="M376" s="48">
        <f t="shared" si="40"/>
        <v>541.44000000000005</v>
      </c>
      <c r="N376" s="48">
        <f t="shared" si="41"/>
        <v>24.88</v>
      </c>
      <c r="O376" s="50">
        <f t="shared" si="42"/>
        <v>566.32000000000005</v>
      </c>
      <c r="P376" s="50">
        <v>0</v>
      </c>
      <c r="Q376" s="76"/>
      <c r="R376" s="140">
        <f>2*S9+2*S10</f>
        <v>8</v>
      </c>
      <c r="S376" s="79">
        <v>55.27</v>
      </c>
      <c r="T376" s="80">
        <v>2.54</v>
      </c>
    </row>
    <row r="377" spans="2:20" ht="56">
      <c r="B377" s="5" t="s">
        <v>913</v>
      </c>
      <c r="C377" s="45" t="s">
        <v>135</v>
      </c>
      <c r="D377" s="45">
        <v>93662</v>
      </c>
      <c r="E377" s="6" t="s">
        <v>914</v>
      </c>
      <c r="F377" s="45" t="s">
        <v>210</v>
      </c>
      <c r="G377" s="46">
        <f t="shared" si="43"/>
        <v>8</v>
      </c>
      <c r="H377" s="46">
        <f>TRUNC(S377*(1-LOTE_02!$K$10),2)</f>
        <v>56.32</v>
      </c>
      <c r="I377" s="46">
        <f>TRUNC(T377*(1-LOTE_02!$K$10),2)</f>
        <v>3.4</v>
      </c>
      <c r="J377" s="100">
        <f t="shared" si="44"/>
        <v>0.22470000000000001</v>
      </c>
      <c r="K377" s="48">
        <f t="shared" si="38"/>
        <v>68.97</v>
      </c>
      <c r="L377" s="48">
        <f t="shared" si="39"/>
        <v>4.16</v>
      </c>
      <c r="M377" s="48">
        <f t="shared" si="40"/>
        <v>551.76</v>
      </c>
      <c r="N377" s="48">
        <f t="shared" si="41"/>
        <v>33.28</v>
      </c>
      <c r="O377" s="50">
        <f t="shared" si="42"/>
        <v>585.04</v>
      </c>
      <c r="P377" s="50">
        <v>0</v>
      </c>
      <c r="Q377" s="76"/>
      <c r="R377" s="140">
        <f>2*S9+2*S10</f>
        <v>8</v>
      </c>
      <c r="S377" s="79">
        <v>56.32</v>
      </c>
      <c r="T377" s="80">
        <v>3.4</v>
      </c>
    </row>
    <row r="378" spans="2:20" ht="56">
      <c r="B378" s="5" t="s">
        <v>915</v>
      </c>
      <c r="C378" s="45" t="s">
        <v>135</v>
      </c>
      <c r="D378" s="45">
        <v>93663</v>
      </c>
      <c r="E378" s="6" t="s">
        <v>916</v>
      </c>
      <c r="F378" s="45" t="s">
        <v>210</v>
      </c>
      <c r="G378" s="46">
        <f t="shared" si="43"/>
        <v>40</v>
      </c>
      <c r="H378" s="46">
        <f>TRUNC(S378*(1-LOTE_02!$K$10),2)</f>
        <v>56.84</v>
      </c>
      <c r="I378" s="46">
        <f>TRUNC(T378*(1-LOTE_02!$K$10),2)</f>
        <v>4.66</v>
      </c>
      <c r="J378" s="100">
        <f t="shared" si="44"/>
        <v>0.22470000000000001</v>
      </c>
      <c r="K378" s="48">
        <f t="shared" si="38"/>
        <v>69.61</v>
      </c>
      <c r="L378" s="48">
        <f t="shared" si="39"/>
        <v>5.7</v>
      </c>
      <c r="M378" s="48">
        <f t="shared" si="40"/>
        <v>2784.4</v>
      </c>
      <c r="N378" s="48">
        <f t="shared" si="41"/>
        <v>228</v>
      </c>
      <c r="O378" s="50">
        <f t="shared" si="42"/>
        <v>3012.4</v>
      </c>
      <c r="P378" s="50">
        <v>0</v>
      </c>
      <c r="Q378" s="76"/>
      <c r="R378" s="140">
        <f>IF((10*S9+10*S10)&gt;50,50,(10*S9+10*S10))</f>
        <v>40</v>
      </c>
      <c r="S378" s="79">
        <v>56.84</v>
      </c>
      <c r="T378" s="80">
        <v>4.66</v>
      </c>
    </row>
    <row r="379" spans="2:20" ht="56">
      <c r="B379" s="5" t="s">
        <v>917</v>
      </c>
      <c r="C379" s="45" t="s">
        <v>135</v>
      </c>
      <c r="D379" s="45">
        <v>101896</v>
      </c>
      <c r="E379" s="6" t="s">
        <v>918</v>
      </c>
      <c r="F379" s="45" t="s">
        <v>210</v>
      </c>
      <c r="G379" s="46">
        <f t="shared" si="43"/>
        <v>4</v>
      </c>
      <c r="H379" s="46">
        <f>TRUNC(S379*(1-LOTE_02!$K$10),2)</f>
        <v>599.38</v>
      </c>
      <c r="I379" s="46">
        <f>TRUNC(T379*(1-LOTE_02!$K$10),2)</f>
        <v>44.56</v>
      </c>
      <c r="J379" s="100">
        <f t="shared" si="44"/>
        <v>0.22470000000000001</v>
      </c>
      <c r="K379" s="48">
        <f t="shared" si="38"/>
        <v>734.06</v>
      </c>
      <c r="L379" s="48">
        <f t="shared" si="39"/>
        <v>54.57</v>
      </c>
      <c r="M379" s="48">
        <f t="shared" si="40"/>
        <v>2936.24</v>
      </c>
      <c r="N379" s="48">
        <f t="shared" si="41"/>
        <v>218.28</v>
      </c>
      <c r="O379" s="50">
        <f t="shared" si="42"/>
        <v>3154.52</v>
      </c>
      <c r="P379" s="50">
        <v>0</v>
      </c>
      <c r="Q379" s="76"/>
      <c r="R379" s="140">
        <f>IF((1*S9+1*S10)&gt;5,5,(1*S9+1*S10))</f>
        <v>4</v>
      </c>
      <c r="S379" s="79">
        <v>599.38000000000011</v>
      </c>
      <c r="T379" s="80">
        <v>44.56</v>
      </c>
    </row>
    <row r="380" spans="2:20" ht="42">
      <c r="B380" s="5" t="s">
        <v>919</v>
      </c>
      <c r="C380" s="45" t="s">
        <v>165</v>
      </c>
      <c r="D380" s="45" t="s">
        <v>920</v>
      </c>
      <c r="E380" s="6" t="s">
        <v>921</v>
      </c>
      <c r="F380" s="45" t="s">
        <v>559</v>
      </c>
      <c r="G380" s="46">
        <f t="shared" si="43"/>
        <v>4</v>
      </c>
      <c r="H380" s="46">
        <f>TRUNC(S380*(1-LOTE_02!$K$10),2)</f>
        <v>1395.79</v>
      </c>
      <c r="I380" s="46">
        <f>TRUNC(T380*(1-LOTE_02!$K$10),2)</f>
        <v>63.77</v>
      </c>
      <c r="J380" s="100">
        <f t="shared" si="44"/>
        <v>0.22470000000000001</v>
      </c>
      <c r="K380" s="48">
        <f t="shared" si="38"/>
        <v>1709.42</v>
      </c>
      <c r="L380" s="48">
        <f t="shared" si="39"/>
        <v>78.09</v>
      </c>
      <c r="M380" s="48">
        <f t="shared" si="40"/>
        <v>6837.68</v>
      </c>
      <c r="N380" s="48">
        <f t="shared" si="41"/>
        <v>312.36</v>
      </c>
      <c r="O380" s="50">
        <f t="shared" si="42"/>
        <v>7150.04</v>
      </c>
      <c r="P380" s="50">
        <v>0</v>
      </c>
      <c r="Q380" s="76"/>
      <c r="R380" s="140">
        <f>IF((1*S9+1*S10)&gt;5,5,(1*S9+1*S10))</f>
        <v>4</v>
      </c>
      <c r="S380" s="79">
        <v>1395.79</v>
      </c>
      <c r="T380" s="80">
        <v>63.77</v>
      </c>
    </row>
    <row r="381" spans="2:20" ht="56">
      <c r="B381" s="5" t="s">
        <v>922</v>
      </c>
      <c r="C381" s="45" t="s">
        <v>97</v>
      </c>
      <c r="D381" s="45" t="s">
        <v>923</v>
      </c>
      <c r="E381" s="6" t="s">
        <v>924</v>
      </c>
      <c r="F381" s="45" t="s">
        <v>925</v>
      </c>
      <c r="G381" s="46">
        <f t="shared" si="43"/>
        <v>80</v>
      </c>
      <c r="H381" s="46">
        <f>TRUNC(S381*(1-LOTE_02!$K$10),2)</f>
        <v>49.86</v>
      </c>
      <c r="I381" s="46">
        <f>TRUNC(T381*(1-LOTE_02!$K$10),2)</f>
        <v>12.5</v>
      </c>
      <c r="J381" s="100">
        <f t="shared" si="44"/>
        <v>0.22470000000000001</v>
      </c>
      <c r="K381" s="48">
        <f t="shared" si="38"/>
        <v>61.06</v>
      </c>
      <c r="L381" s="48">
        <f t="shared" si="39"/>
        <v>15.3</v>
      </c>
      <c r="M381" s="48">
        <f t="shared" si="40"/>
        <v>4884.8</v>
      </c>
      <c r="N381" s="48">
        <f t="shared" si="41"/>
        <v>1224</v>
      </c>
      <c r="O381" s="50">
        <f t="shared" si="42"/>
        <v>6108.8</v>
      </c>
      <c r="P381" s="50">
        <v>0</v>
      </c>
      <c r="Q381" s="76"/>
      <c r="R381" s="140">
        <f>IF((20*S9+20*S10)&gt;200,200,(20*S9+20*S10))</f>
        <v>80</v>
      </c>
      <c r="S381" s="79">
        <v>49.86</v>
      </c>
      <c r="T381" s="80">
        <v>12.5</v>
      </c>
    </row>
    <row r="382" spans="2:20" ht="70">
      <c r="B382" s="5" t="s">
        <v>926</v>
      </c>
      <c r="C382" s="45" t="s">
        <v>135</v>
      </c>
      <c r="D382" s="45">
        <v>91867</v>
      </c>
      <c r="E382" s="6" t="s">
        <v>927</v>
      </c>
      <c r="F382" s="45" t="s">
        <v>187</v>
      </c>
      <c r="G382" s="46">
        <f t="shared" si="43"/>
        <v>200</v>
      </c>
      <c r="H382" s="46">
        <f>TRUNC(S382*(1-LOTE_02!$K$10),2)</f>
        <v>7.42</v>
      </c>
      <c r="I382" s="46">
        <f>TRUNC(T382*(1-LOTE_02!$K$10),2)</f>
        <v>3.82</v>
      </c>
      <c r="J382" s="100">
        <f t="shared" si="44"/>
        <v>0.22470000000000001</v>
      </c>
      <c r="K382" s="48">
        <f t="shared" si="38"/>
        <v>9.08</v>
      </c>
      <c r="L382" s="48">
        <f t="shared" si="39"/>
        <v>4.67</v>
      </c>
      <c r="M382" s="48">
        <f t="shared" si="40"/>
        <v>1816</v>
      </c>
      <c r="N382" s="48">
        <f t="shared" si="41"/>
        <v>934</v>
      </c>
      <c r="O382" s="50">
        <f t="shared" si="42"/>
        <v>2750</v>
      </c>
      <c r="P382" s="50">
        <v>0</v>
      </c>
      <c r="Q382" s="76"/>
      <c r="R382" s="140">
        <f>IF((50*S9+50*S10)&gt;500,500,(50*S9+50*S10))</f>
        <v>200</v>
      </c>
      <c r="S382" s="79">
        <v>7.42</v>
      </c>
      <c r="T382" s="80">
        <v>3.82</v>
      </c>
    </row>
    <row r="383" spans="2:20" ht="70">
      <c r="B383" s="5" t="s">
        <v>928</v>
      </c>
      <c r="C383" s="45" t="s">
        <v>135</v>
      </c>
      <c r="D383" s="45">
        <v>91864</v>
      </c>
      <c r="E383" s="6" t="s">
        <v>838</v>
      </c>
      <c r="F383" s="45" t="s">
        <v>187</v>
      </c>
      <c r="G383" s="46">
        <f t="shared" si="43"/>
        <v>80</v>
      </c>
      <c r="H383" s="46">
        <f>TRUNC(S383*(1-LOTE_02!$K$10),2)</f>
        <v>11.46</v>
      </c>
      <c r="I383" s="46">
        <f>TRUNC(T383*(1-LOTE_02!$K$10),2)</f>
        <v>5.66</v>
      </c>
      <c r="J383" s="100">
        <f t="shared" si="44"/>
        <v>0.22470000000000001</v>
      </c>
      <c r="K383" s="48">
        <f t="shared" si="38"/>
        <v>14.03</v>
      </c>
      <c r="L383" s="48">
        <f t="shared" si="39"/>
        <v>6.93</v>
      </c>
      <c r="M383" s="48">
        <f t="shared" si="40"/>
        <v>1122.4000000000001</v>
      </c>
      <c r="N383" s="48">
        <f t="shared" si="41"/>
        <v>554.4</v>
      </c>
      <c r="O383" s="50">
        <f t="shared" si="42"/>
        <v>1676.8</v>
      </c>
      <c r="P383" s="50">
        <v>0</v>
      </c>
      <c r="Q383" s="76"/>
      <c r="R383" s="140">
        <f>IF((20*S9+20*S10)&gt;100,100,(20*S9+20*S10))</f>
        <v>80</v>
      </c>
      <c r="S383" s="79">
        <v>11.46</v>
      </c>
      <c r="T383" s="80">
        <v>5.66</v>
      </c>
    </row>
    <row r="384" spans="2:20" ht="42">
      <c r="B384" s="5" t="s">
        <v>929</v>
      </c>
      <c r="C384" s="45" t="s">
        <v>165</v>
      </c>
      <c r="D384" s="45" t="s">
        <v>930</v>
      </c>
      <c r="E384" s="6" t="s">
        <v>931</v>
      </c>
      <c r="F384" s="45" t="s">
        <v>531</v>
      </c>
      <c r="G384" s="46">
        <f t="shared" si="43"/>
        <v>80</v>
      </c>
      <c r="H384" s="46">
        <f>TRUNC(S384*(1-LOTE_02!$K$10),2)</f>
        <v>46.69</v>
      </c>
      <c r="I384" s="46">
        <f>TRUNC(T384*(1-LOTE_02!$K$10),2)</f>
        <v>15.42</v>
      </c>
      <c r="J384" s="100">
        <f t="shared" si="44"/>
        <v>0.22470000000000001</v>
      </c>
      <c r="K384" s="48">
        <f t="shared" si="38"/>
        <v>57.18</v>
      </c>
      <c r="L384" s="48">
        <f t="shared" si="39"/>
        <v>18.88</v>
      </c>
      <c r="M384" s="48">
        <f t="shared" si="40"/>
        <v>4574.3999999999996</v>
      </c>
      <c r="N384" s="48">
        <f t="shared" si="41"/>
        <v>1510.4</v>
      </c>
      <c r="O384" s="50">
        <f t="shared" si="42"/>
        <v>6084.8</v>
      </c>
      <c r="P384" s="50">
        <v>0</v>
      </c>
      <c r="Q384" s="76"/>
      <c r="R384" s="140">
        <f>IF((20*S9+20*S10)&gt;200,200,(20*S9+20*S10))</f>
        <v>80</v>
      </c>
      <c r="S384" s="79">
        <v>46.69</v>
      </c>
      <c r="T384" s="80">
        <v>15.42</v>
      </c>
    </row>
    <row r="385" spans="2:20" ht="56">
      <c r="B385" s="5" t="s">
        <v>932</v>
      </c>
      <c r="C385" s="45" t="s">
        <v>135</v>
      </c>
      <c r="D385" s="45">
        <v>95778</v>
      </c>
      <c r="E385" s="6" t="s">
        <v>1814</v>
      </c>
      <c r="F385" s="45" t="s">
        <v>210</v>
      </c>
      <c r="G385" s="46">
        <f t="shared" si="43"/>
        <v>45</v>
      </c>
      <c r="H385" s="46">
        <f>TRUNC(S385*(1-LOTE_02!$K$10),2)</f>
        <v>16.93</v>
      </c>
      <c r="I385" s="46">
        <f>TRUNC(T385*(1-LOTE_02!$K$10),2)</f>
        <v>10.28</v>
      </c>
      <c r="J385" s="100">
        <f t="shared" si="44"/>
        <v>0.22470000000000001</v>
      </c>
      <c r="K385" s="48">
        <f t="shared" si="38"/>
        <v>20.73</v>
      </c>
      <c r="L385" s="48">
        <f t="shared" si="39"/>
        <v>12.58</v>
      </c>
      <c r="M385" s="48">
        <f t="shared" si="40"/>
        <v>932.85</v>
      </c>
      <c r="N385" s="48">
        <f t="shared" si="41"/>
        <v>566.1</v>
      </c>
      <c r="O385" s="50">
        <f t="shared" si="42"/>
        <v>1498.95</v>
      </c>
      <c r="P385" s="50">
        <v>0</v>
      </c>
      <c r="Q385" s="76"/>
      <c r="R385" s="140">
        <f>IF((10*S9+15*S10)&gt;100,100,(10*S9+15*S10))</f>
        <v>45</v>
      </c>
      <c r="S385" s="79">
        <v>16.93</v>
      </c>
      <c r="T385" s="80">
        <v>10.28</v>
      </c>
    </row>
    <row r="386" spans="2:20" ht="56">
      <c r="B386" s="5" t="s">
        <v>933</v>
      </c>
      <c r="C386" s="45" t="s">
        <v>135</v>
      </c>
      <c r="D386" s="45">
        <v>95780</v>
      </c>
      <c r="E386" s="6" t="s">
        <v>1815</v>
      </c>
      <c r="F386" s="45" t="s">
        <v>210</v>
      </c>
      <c r="G386" s="46">
        <f t="shared" si="43"/>
        <v>45</v>
      </c>
      <c r="H386" s="46">
        <f>TRUNC(S386*(1-LOTE_02!$K$10),2)</f>
        <v>18.3</v>
      </c>
      <c r="I386" s="46">
        <f>TRUNC(T386*(1-LOTE_02!$K$10),2)</f>
        <v>8.94</v>
      </c>
      <c r="J386" s="100">
        <f t="shared" si="44"/>
        <v>0.22470000000000001</v>
      </c>
      <c r="K386" s="48">
        <f t="shared" si="38"/>
        <v>22.41</v>
      </c>
      <c r="L386" s="48">
        <f t="shared" si="39"/>
        <v>10.94</v>
      </c>
      <c r="M386" s="48">
        <f t="shared" si="40"/>
        <v>1008.45</v>
      </c>
      <c r="N386" s="48">
        <f t="shared" si="41"/>
        <v>492.3</v>
      </c>
      <c r="O386" s="50">
        <f t="shared" si="42"/>
        <v>1500.75</v>
      </c>
      <c r="P386" s="50">
        <v>0</v>
      </c>
      <c r="Q386" s="76"/>
      <c r="R386" s="140">
        <f>IF((10*S9+15*S10)&gt;100,100,(10*S9+15*S10))</f>
        <v>45</v>
      </c>
      <c r="S386" s="79">
        <v>18.299999999999997</v>
      </c>
      <c r="T386" s="80">
        <v>8.94</v>
      </c>
    </row>
    <row r="387" spans="2:20" ht="56">
      <c r="B387" s="5" t="s">
        <v>934</v>
      </c>
      <c r="C387" s="45" t="s">
        <v>135</v>
      </c>
      <c r="D387" s="45">
        <v>91944</v>
      </c>
      <c r="E387" s="6" t="s">
        <v>935</v>
      </c>
      <c r="F387" s="45" t="s">
        <v>210</v>
      </c>
      <c r="G387" s="46">
        <f t="shared" si="43"/>
        <v>45</v>
      </c>
      <c r="H387" s="46">
        <f>TRUNC(S387*(1-LOTE_02!$K$10),2)</f>
        <v>9.26</v>
      </c>
      <c r="I387" s="46">
        <f>TRUNC(T387*(1-LOTE_02!$K$10),2)</f>
        <v>7.29</v>
      </c>
      <c r="J387" s="100">
        <f t="shared" si="44"/>
        <v>0.22470000000000001</v>
      </c>
      <c r="K387" s="48">
        <f t="shared" si="38"/>
        <v>11.34</v>
      </c>
      <c r="L387" s="48">
        <f t="shared" si="39"/>
        <v>8.92</v>
      </c>
      <c r="M387" s="48">
        <f t="shared" si="40"/>
        <v>510.3</v>
      </c>
      <c r="N387" s="48">
        <f t="shared" si="41"/>
        <v>401.4</v>
      </c>
      <c r="O387" s="50">
        <f t="shared" si="42"/>
        <v>911.7</v>
      </c>
      <c r="P387" s="50">
        <v>0</v>
      </c>
      <c r="Q387" s="76"/>
      <c r="R387" s="140">
        <f>IF((10*S9+15*S10)&gt;100,100,(10*S9+15*S10))</f>
        <v>45</v>
      </c>
      <c r="S387" s="79">
        <v>9.2600000000000016</v>
      </c>
      <c r="T387" s="80">
        <v>7.29</v>
      </c>
    </row>
    <row r="388" spans="2:20" ht="56">
      <c r="B388" s="5" t="s">
        <v>936</v>
      </c>
      <c r="C388" s="45" t="s">
        <v>135</v>
      </c>
      <c r="D388" s="45">
        <v>91926</v>
      </c>
      <c r="E388" s="6" t="s">
        <v>840</v>
      </c>
      <c r="F388" s="45" t="s">
        <v>187</v>
      </c>
      <c r="G388" s="46">
        <f t="shared" si="43"/>
        <v>700</v>
      </c>
      <c r="H388" s="46">
        <f>TRUNC(S388*(1-LOTE_02!$K$10),2)</f>
        <v>3.83</v>
      </c>
      <c r="I388" s="46">
        <f>TRUNC(T388*(1-LOTE_02!$K$10),2)</f>
        <v>1.1599999999999999</v>
      </c>
      <c r="J388" s="100">
        <f t="shared" si="44"/>
        <v>0.22470000000000001</v>
      </c>
      <c r="K388" s="48">
        <f t="shared" si="38"/>
        <v>4.6900000000000004</v>
      </c>
      <c r="L388" s="48">
        <f t="shared" si="39"/>
        <v>1.42</v>
      </c>
      <c r="M388" s="48">
        <f t="shared" si="40"/>
        <v>3283</v>
      </c>
      <c r="N388" s="48">
        <f t="shared" si="41"/>
        <v>994</v>
      </c>
      <c r="O388" s="50">
        <f t="shared" si="42"/>
        <v>4277</v>
      </c>
      <c r="P388" s="50">
        <v>0</v>
      </c>
      <c r="Q388" s="76"/>
      <c r="R388" s="140">
        <f>100*S9+400*S10</f>
        <v>700</v>
      </c>
      <c r="S388" s="79">
        <v>3.83</v>
      </c>
      <c r="T388" s="80">
        <v>1.1599999999999999</v>
      </c>
    </row>
    <row r="389" spans="2:20" ht="56">
      <c r="B389" s="5" t="s">
        <v>937</v>
      </c>
      <c r="C389" s="45" t="s">
        <v>135</v>
      </c>
      <c r="D389" s="45">
        <v>91928</v>
      </c>
      <c r="E389" s="6" t="s">
        <v>844</v>
      </c>
      <c r="F389" s="45" t="s">
        <v>187</v>
      </c>
      <c r="G389" s="46">
        <f t="shared" si="43"/>
        <v>500</v>
      </c>
      <c r="H389" s="46">
        <f>TRUNC(S389*(1-LOTE_02!$K$10),2)</f>
        <v>6.21</v>
      </c>
      <c r="I389" s="46">
        <f>TRUNC(T389*(1-LOTE_02!$K$10),2)</f>
        <v>1.57</v>
      </c>
      <c r="J389" s="100">
        <f t="shared" si="44"/>
        <v>0.22470000000000001</v>
      </c>
      <c r="K389" s="48">
        <f t="shared" si="38"/>
        <v>7.6</v>
      </c>
      <c r="L389" s="48">
        <f t="shared" si="39"/>
        <v>1.92</v>
      </c>
      <c r="M389" s="48">
        <f t="shared" si="40"/>
        <v>3800</v>
      </c>
      <c r="N389" s="48">
        <f t="shared" si="41"/>
        <v>960</v>
      </c>
      <c r="O389" s="50">
        <f t="shared" si="42"/>
        <v>4760</v>
      </c>
      <c r="P389" s="50">
        <v>0</v>
      </c>
      <c r="Q389" s="76"/>
      <c r="R389" s="140">
        <f>100*S9+200*S10</f>
        <v>500</v>
      </c>
      <c r="S389" s="79">
        <v>6.21</v>
      </c>
      <c r="T389" s="80">
        <v>1.57</v>
      </c>
    </row>
    <row r="390" spans="2:20" ht="56">
      <c r="B390" s="5" t="s">
        <v>938</v>
      </c>
      <c r="C390" s="45" t="s">
        <v>135</v>
      </c>
      <c r="D390" s="45">
        <v>91930</v>
      </c>
      <c r="E390" s="6" t="s">
        <v>939</v>
      </c>
      <c r="F390" s="45" t="s">
        <v>187</v>
      </c>
      <c r="G390" s="46">
        <f t="shared" si="43"/>
        <v>350</v>
      </c>
      <c r="H390" s="46">
        <f>TRUNC(S390*(1-LOTE_02!$K$10),2)</f>
        <v>8.84</v>
      </c>
      <c r="I390" s="46">
        <f>TRUNC(T390*(1-LOTE_02!$K$10),2)</f>
        <v>2.0699999999999998</v>
      </c>
      <c r="J390" s="100">
        <f t="shared" si="44"/>
        <v>0.22470000000000001</v>
      </c>
      <c r="K390" s="48">
        <f t="shared" si="38"/>
        <v>10.82</v>
      </c>
      <c r="L390" s="48">
        <f t="shared" si="39"/>
        <v>2.5299999999999998</v>
      </c>
      <c r="M390" s="48">
        <f t="shared" si="40"/>
        <v>3787</v>
      </c>
      <c r="N390" s="48">
        <f t="shared" si="41"/>
        <v>885.5</v>
      </c>
      <c r="O390" s="50">
        <f t="shared" si="42"/>
        <v>4672.5</v>
      </c>
      <c r="P390" s="50">
        <v>0</v>
      </c>
      <c r="Q390" s="76"/>
      <c r="R390" s="140">
        <f>50*S9+200*S10</f>
        <v>350</v>
      </c>
      <c r="S390" s="79">
        <v>8.84</v>
      </c>
      <c r="T390" s="80">
        <v>2.0699999999999998</v>
      </c>
    </row>
    <row r="391" spans="2:20" ht="42">
      <c r="B391" s="5" t="s">
        <v>940</v>
      </c>
      <c r="C391" s="45" t="s">
        <v>97</v>
      </c>
      <c r="D391" s="45" t="s">
        <v>904</v>
      </c>
      <c r="E391" s="6" t="s">
        <v>905</v>
      </c>
      <c r="F391" s="45" t="s">
        <v>104</v>
      </c>
      <c r="G391" s="46">
        <f t="shared" si="43"/>
        <v>16</v>
      </c>
      <c r="H391" s="46">
        <f>TRUNC(S391*(1-LOTE_02!$K$10),2)</f>
        <v>260.89</v>
      </c>
      <c r="I391" s="46">
        <f>TRUNC(T391*(1-LOTE_02!$K$10),2)</f>
        <v>8.33</v>
      </c>
      <c r="J391" s="100">
        <f t="shared" si="44"/>
        <v>0.22470000000000001</v>
      </c>
      <c r="K391" s="48">
        <f t="shared" si="38"/>
        <v>319.51</v>
      </c>
      <c r="L391" s="48">
        <f t="shared" si="39"/>
        <v>10.199999999999999</v>
      </c>
      <c r="M391" s="48">
        <f t="shared" si="40"/>
        <v>5112.16</v>
      </c>
      <c r="N391" s="48">
        <f t="shared" si="41"/>
        <v>163.19999999999999</v>
      </c>
      <c r="O391" s="50">
        <f t="shared" si="42"/>
        <v>5275.36</v>
      </c>
      <c r="P391" s="50">
        <v>0</v>
      </c>
      <c r="Q391" s="76"/>
      <c r="R391" s="140">
        <f>4*S9+4*S10</f>
        <v>16</v>
      </c>
      <c r="S391" s="79">
        <v>260.89</v>
      </c>
      <c r="T391" s="80">
        <v>8.33</v>
      </c>
    </row>
    <row r="392" spans="2:20" ht="28">
      <c r="B392" s="5" t="s">
        <v>941</v>
      </c>
      <c r="C392" s="45" t="s">
        <v>97</v>
      </c>
      <c r="D392" s="45" t="s">
        <v>907</v>
      </c>
      <c r="E392" s="6" t="s">
        <v>908</v>
      </c>
      <c r="F392" s="45" t="s">
        <v>104</v>
      </c>
      <c r="G392" s="46">
        <f t="shared" si="43"/>
        <v>8</v>
      </c>
      <c r="H392" s="46">
        <f>TRUNC(S392*(1-LOTE_02!$K$10),2)</f>
        <v>233.89</v>
      </c>
      <c r="I392" s="46">
        <f>TRUNC(T392*(1-LOTE_02!$K$10),2)</f>
        <v>8.33</v>
      </c>
      <c r="J392" s="100">
        <f t="shared" si="44"/>
        <v>0.22470000000000001</v>
      </c>
      <c r="K392" s="48">
        <f t="shared" si="38"/>
        <v>286.44</v>
      </c>
      <c r="L392" s="48">
        <f t="shared" si="39"/>
        <v>10.199999999999999</v>
      </c>
      <c r="M392" s="48">
        <f t="shared" si="40"/>
        <v>2291.52</v>
      </c>
      <c r="N392" s="48">
        <f t="shared" si="41"/>
        <v>81.599999999999994</v>
      </c>
      <c r="O392" s="50">
        <f t="shared" si="42"/>
        <v>2373.12</v>
      </c>
      <c r="P392" s="50">
        <v>0</v>
      </c>
      <c r="Q392" s="76"/>
      <c r="R392" s="140">
        <f>2*S9+2*S10</f>
        <v>8</v>
      </c>
      <c r="S392" s="79">
        <v>233.89</v>
      </c>
      <c r="T392" s="80">
        <v>8.33</v>
      </c>
    </row>
    <row r="393" spans="2:20" ht="42">
      <c r="B393" s="5" t="s">
        <v>942</v>
      </c>
      <c r="C393" s="45" t="s">
        <v>135</v>
      </c>
      <c r="D393" s="45">
        <v>101903</v>
      </c>
      <c r="E393" s="6" t="s">
        <v>943</v>
      </c>
      <c r="F393" s="45" t="s">
        <v>210</v>
      </c>
      <c r="G393" s="46">
        <f t="shared" si="43"/>
        <v>8</v>
      </c>
      <c r="H393" s="46">
        <f>TRUNC(S393*(1-LOTE_02!$K$10),2)</f>
        <v>361.16</v>
      </c>
      <c r="I393" s="46">
        <f>TRUNC(T393*(1-LOTE_02!$K$10),2)</f>
        <v>9.4499999999999993</v>
      </c>
      <c r="J393" s="100">
        <f t="shared" si="44"/>
        <v>0.22470000000000001</v>
      </c>
      <c r="K393" s="48">
        <f t="shared" si="38"/>
        <v>442.31</v>
      </c>
      <c r="L393" s="48">
        <f t="shared" si="39"/>
        <v>11.57</v>
      </c>
      <c r="M393" s="48">
        <f t="shared" si="40"/>
        <v>3538.48</v>
      </c>
      <c r="N393" s="48">
        <f t="shared" si="41"/>
        <v>92.56</v>
      </c>
      <c r="O393" s="50">
        <f t="shared" si="42"/>
        <v>3631.04</v>
      </c>
      <c r="P393" s="50">
        <v>0</v>
      </c>
      <c r="Q393" s="76"/>
      <c r="R393" s="140">
        <f>2*S9+2*S10</f>
        <v>8</v>
      </c>
      <c r="S393" s="79">
        <v>361.16</v>
      </c>
      <c r="T393" s="80">
        <v>9.4499999999999993</v>
      </c>
    </row>
    <row r="394" spans="2:20" ht="42">
      <c r="B394" s="101" t="s">
        <v>944</v>
      </c>
      <c r="C394" s="102" t="s">
        <v>21</v>
      </c>
      <c r="D394" s="102" t="s">
        <v>21</v>
      </c>
      <c r="E394" s="103" t="s">
        <v>945</v>
      </c>
      <c r="F394" s="102" t="s">
        <v>21</v>
      </c>
      <c r="G394" s="46">
        <f t="shared" si="43"/>
        <v>0</v>
      </c>
      <c r="H394" s="46"/>
      <c r="I394" s="46"/>
      <c r="J394" s="105"/>
      <c r="K394" s="48">
        <f t="shared" si="38"/>
        <v>0</v>
      </c>
      <c r="L394" s="48">
        <f t="shared" si="39"/>
        <v>0</v>
      </c>
      <c r="M394" s="48">
        <f t="shared" si="40"/>
        <v>0</v>
      </c>
      <c r="N394" s="48">
        <f t="shared" si="41"/>
        <v>0</v>
      </c>
      <c r="O394" s="50">
        <f t="shared" si="42"/>
        <v>0</v>
      </c>
      <c r="P394" s="50">
        <v>0</v>
      </c>
      <c r="Q394" s="76"/>
      <c r="R394" s="154"/>
      <c r="S394" s="79" t="s">
        <v>22</v>
      </c>
      <c r="T394" s="80" t="s">
        <v>22</v>
      </c>
    </row>
    <row r="395" spans="2:20" ht="56">
      <c r="B395" s="5" t="s">
        <v>946</v>
      </c>
      <c r="C395" s="45" t="s">
        <v>135</v>
      </c>
      <c r="D395" s="45">
        <v>96984</v>
      </c>
      <c r="E395" s="6" t="s">
        <v>947</v>
      </c>
      <c r="F395" s="45" t="s">
        <v>210</v>
      </c>
      <c r="G395" s="46">
        <f t="shared" si="43"/>
        <v>40</v>
      </c>
      <c r="H395" s="46">
        <f>TRUNC(S395*(1-LOTE_02!$K$10),2)</f>
        <v>31.44</v>
      </c>
      <c r="I395" s="46">
        <f>TRUNC(T395*(1-LOTE_02!$K$10),2)</f>
        <v>30.77</v>
      </c>
      <c r="J395" s="100">
        <f t="shared" si="44"/>
        <v>0.22470000000000001</v>
      </c>
      <c r="K395" s="48">
        <f t="shared" si="38"/>
        <v>38.5</v>
      </c>
      <c r="L395" s="48">
        <f t="shared" si="39"/>
        <v>37.68</v>
      </c>
      <c r="M395" s="48">
        <f t="shared" si="40"/>
        <v>1540</v>
      </c>
      <c r="N395" s="48">
        <f t="shared" si="41"/>
        <v>1507.2</v>
      </c>
      <c r="O395" s="50">
        <f t="shared" si="42"/>
        <v>3047.2</v>
      </c>
      <c r="P395" s="50">
        <v>0</v>
      </c>
      <c r="Q395" s="76"/>
      <c r="R395" s="140">
        <f>10*S9+10*S10</f>
        <v>40</v>
      </c>
      <c r="S395" s="79">
        <v>31.44</v>
      </c>
      <c r="T395" s="80">
        <v>30.77</v>
      </c>
    </row>
    <row r="396" spans="2:20" ht="42">
      <c r="B396" s="5" t="s">
        <v>948</v>
      </c>
      <c r="C396" s="45" t="s">
        <v>97</v>
      </c>
      <c r="D396" s="45" t="s">
        <v>949</v>
      </c>
      <c r="E396" s="6" t="s">
        <v>950</v>
      </c>
      <c r="F396" s="45" t="s">
        <v>104</v>
      </c>
      <c r="G396" s="46">
        <f t="shared" si="43"/>
        <v>24</v>
      </c>
      <c r="H396" s="46">
        <f>TRUNC(S396*(1-LOTE_02!$K$10),2)</f>
        <v>3.86</v>
      </c>
      <c r="I396" s="46">
        <f>TRUNC(T396*(1-LOTE_02!$K$10),2)</f>
        <v>1.04</v>
      </c>
      <c r="J396" s="100">
        <f t="shared" si="44"/>
        <v>0.22470000000000001</v>
      </c>
      <c r="K396" s="48">
        <f t="shared" si="38"/>
        <v>4.72</v>
      </c>
      <c r="L396" s="48">
        <f t="shared" si="39"/>
        <v>1.27</v>
      </c>
      <c r="M396" s="48">
        <f t="shared" si="40"/>
        <v>113.28</v>
      </c>
      <c r="N396" s="48">
        <f t="shared" si="41"/>
        <v>30.48</v>
      </c>
      <c r="O396" s="50">
        <f t="shared" si="42"/>
        <v>143.76</v>
      </c>
      <c r="P396" s="50">
        <v>0</v>
      </c>
      <c r="Q396" s="76"/>
      <c r="R396" s="140">
        <f>6*S9+6*S10</f>
        <v>24</v>
      </c>
      <c r="S396" s="79">
        <v>3.86</v>
      </c>
      <c r="T396" s="80">
        <v>1.04</v>
      </c>
    </row>
    <row r="397" spans="2:20" ht="42">
      <c r="B397" s="5" t="s">
        <v>951</v>
      </c>
      <c r="C397" s="45" t="s">
        <v>135</v>
      </c>
      <c r="D397" s="45">
        <v>96985</v>
      </c>
      <c r="E397" s="6" t="s">
        <v>952</v>
      </c>
      <c r="F397" s="45" t="s">
        <v>210</v>
      </c>
      <c r="G397" s="46">
        <f t="shared" si="43"/>
        <v>40</v>
      </c>
      <c r="H397" s="46">
        <f>TRUNC(S397*(1-LOTE_02!$K$10),2)</f>
        <v>76.599999999999994</v>
      </c>
      <c r="I397" s="46">
        <f>TRUNC(T397*(1-LOTE_02!$K$10),2)</f>
        <v>9.9600000000000009</v>
      </c>
      <c r="J397" s="100">
        <f t="shared" si="44"/>
        <v>0.22470000000000001</v>
      </c>
      <c r="K397" s="48">
        <f t="shared" si="38"/>
        <v>93.81</v>
      </c>
      <c r="L397" s="48">
        <f t="shared" si="39"/>
        <v>12.19</v>
      </c>
      <c r="M397" s="48">
        <f t="shared" si="40"/>
        <v>3752.4</v>
      </c>
      <c r="N397" s="48">
        <f t="shared" si="41"/>
        <v>487.6</v>
      </c>
      <c r="O397" s="50">
        <f t="shared" si="42"/>
        <v>4240</v>
      </c>
      <c r="P397" s="50">
        <v>0</v>
      </c>
      <c r="Q397" s="76"/>
      <c r="R397" s="140">
        <f>10*S9+10*S10</f>
        <v>40</v>
      </c>
      <c r="S397" s="79">
        <v>76.599999999999994</v>
      </c>
      <c r="T397" s="80">
        <v>9.9600000000000009</v>
      </c>
    </row>
    <row r="398" spans="2:20" ht="56">
      <c r="B398" s="5" t="s">
        <v>953</v>
      </c>
      <c r="C398" s="45" t="s">
        <v>135</v>
      </c>
      <c r="D398" s="45">
        <v>98111</v>
      </c>
      <c r="E398" s="6" t="s">
        <v>954</v>
      </c>
      <c r="F398" s="45" t="s">
        <v>210</v>
      </c>
      <c r="G398" s="46">
        <f t="shared" si="43"/>
        <v>12</v>
      </c>
      <c r="H398" s="46">
        <f>TRUNC(S398*(1-LOTE_02!$K$10),2)</f>
        <v>58.22</v>
      </c>
      <c r="I398" s="46">
        <f>TRUNC(T398*(1-LOTE_02!$K$10),2)</f>
        <v>6.65</v>
      </c>
      <c r="J398" s="100">
        <f t="shared" si="44"/>
        <v>0.22470000000000001</v>
      </c>
      <c r="K398" s="48">
        <f t="shared" si="38"/>
        <v>71.3</v>
      </c>
      <c r="L398" s="48">
        <f t="shared" si="39"/>
        <v>8.14</v>
      </c>
      <c r="M398" s="48">
        <f t="shared" si="40"/>
        <v>855.6</v>
      </c>
      <c r="N398" s="48">
        <f t="shared" si="41"/>
        <v>97.68</v>
      </c>
      <c r="O398" s="50">
        <f t="shared" si="42"/>
        <v>953.28</v>
      </c>
      <c r="P398" s="50">
        <v>0</v>
      </c>
      <c r="Q398" s="76"/>
      <c r="R398" s="140">
        <f>3*S9+3*S10</f>
        <v>12</v>
      </c>
      <c r="S398" s="79">
        <v>58.220000000000006</v>
      </c>
      <c r="T398" s="80">
        <v>6.65</v>
      </c>
    </row>
    <row r="399" spans="2:20" ht="28">
      <c r="B399" s="5" t="s">
        <v>955</v>
      </c>
      <c r="C399" s="45" t="s">
        <v>97</v>
      </c>
      <c r="D399" s="45" t="s">
        <v>956</v>
      </c>
      <c r="E399" s="6" t="s">
        <v>957</v>
      </c>
      <c r="F399" s="45" t="s">
        <v>187</v>
      </c>
      <c r="G399" s="46">
        <f t="shared" si="43"/>
        <v>200</v>
      </c>
      <c r="H399" s="46">
        <f>TRUNC(S399*(1-LOTE_02!$K$10),2)</f>
        <v>66.31</v>
      </c>
      <c r="I399" s="46">
        <f>TRUNC(T399*(1-LOTE_02!$K$10),2)</f>
        <v>4.16</v>
      </c>
      <c r="J399" s="100">
        <f t="shared" si="44"/>
        <v>0.22470000000000001</v>
      </c>
      <c r="K399" s="48">
        <f t="shared" si="38"/>
        <v>81.2</v>
      </c>
      <c r="L399" s="48">
        <f t="shared" si="39"/>
        <v>5.09</v>
      </c>
      <c r="M399" s="48">
        <f t="shared" si="40"/>
        <v>16240</v>
      </c>
      <c r="N399" s="48">
        <f t="shared" si="41"/>
        <v>1018</v>
      </c>
      <c r="O399" s="50">
        <f t="shared" si="42"/>
        <v>17258</v>
      </c>
      <c r="P399" s="50">
        <v>0</v>
      </c>
      <c r="Q399" s="76"/>
      <c r="R399" s="140">
        <f>50*S9+50*S10</f>
        <v>200</v>
      </c>
      <c r="S399" s="79">
        <v>66.31</v>
      </c>
      <c r="T399" s="80">
        <v>4.16</v>
      </c>
    </row>
    <row r="400" spans="2:20" ht="42">
      <c r="B400" s="5" t="s">
        <v>958</v>
      </c>
      <c r="C400" s="45" t="s">
        <v>135</v>
      </c>
      <c r="D400" s="45">
        <v>96977</v>
      </c>
      <c r="E400" s="6" t="s">
        <v>959</v>
      </c>
      <c r="F400" s="45" t="s">
        <v>187</v>
      </c>
      <c r="G400" s="46">
        <f t="shared" si="43"/>
        <v>200</v>
      </c>
      <c r="H400" s="46">
        <f>TRUNC(S400*(1-LOTE_02!$K$10),2)</f>
        <v>69.02</v>
      </c>
      <c r="I400" s="46">
        <f>TRUNC(T400*(1-LOTE_02!$K$10),2)</f>
        <v>1.32</v>
      </c>
      <c r="J400" s="100">
        <f t="shared" si="44"/>
        <v>0.22470000000000001</v>
      </c>
      <c r="K400" s="48">
        <f t="shared" ref="K400:K463" si="45">TRUNC(H400*(1+J400),2)</f>
        <v>84.52</v>
      </c>
      <c r="L400" s="48">
        <f t="shared" ref="L400:L463" si="46">TRUNC(I400*(1+J400),2)</f>
        <v>1.61</v>
      </c>
      <c r="M400" s="48">
        <f t="shared" ref="M400:M463" si="47">TRUNC(K400*G400,2)</f>
        <v>16904</v>
      </c>
      <c r="N400" s="48">
        <f t="shared" ref="N400:N463" si="48">TRUNC(L400*G400,2)</f>
        <v>322</v>
      </c>
      <c r="O400" s="50">
        <f t="shared" ref="O400:O463" si="49">TRUNC(M400+N400,2)</f>
        <v>17226</v>
      </c>
      <c r="P400" s="50">
        <v>0</v>
      </c>
      <c r="Q400" s="76"/>
      <c r="R400" s="140">
        <f>50*S9+50*S10</f>
        <v>200</v>
      </c>
      <c r="S400" s="79">
        <v>69.02000000000001</v>
      </c>
      <c r="T400" s="80">
        <v>1.32</v>
      </c>
    </row>
    <row r="401" spans="2:20" ht="28">
      <c r="B401" s="5" t="s">
        <v>960</v>
      </c>
      <c r="C401" s="45" t="s">
        <v>97</v>
      </c>
      <c r="D401" s="45" t="s">
        <v>961</v>
      </c>
      <c r="E401" s="6" t="s">
        <v>962</v>
      </c>
      <c r="F401" s="45" t="s">
        <v>187</v>
      </c>
      <c r="G401" s="46">
        <f t="shared" si="43"/>
        <v>720</v>
      </c>
      <c r="H401" s="46">
        <f>TRUNC(S401*(1-LOTE_02!$K$10),2)</f>
        <v>13.17</v>
      </c>
      <c r="I401" s="46">
        <f>TRUNC(T401*(1-LOTE_02!$K$10),2)</f>
        <v>4.17</v>
      </c>
      <c r="J401" s="100">
        <f t="shared" si="44"/>
        <v>0.22470000000000001</v>
      </c>
      <c r="K401" s="48">
        <f t="shared" si="45"/>
        <v>16.12</v>
      </c>
      <c r="L401" s="48">
        <f t="shared" si="46"/>
        <v>5.0999999999999996</v>
      </c>
      <c r="M401" s="48">
        <f t="shared" si="47"/>
        <v>11606.4</v>
      </c>
      <c r="N401" s="48">
        <f t="shared" si="48"/>
        <v>3672</v>
      </c>
      <c r="O401" s="50">
        <f t="shared" si="49"/>
        <v>15278.4</v>
      </c>
      <c r="P401" s="50">
        <v>0</v>
      </c>
      <c r="Q401" s="76"/>
      <c r="R401" s="140">
        <f>60*3*S9+180*S10</f>
        <v>720</v>
      </c>
      <c r="S401" s="79">
        <v>13.17</v>
      </c>
      <c r="T401" s="80">
        <v>4.17</v>
      </c>
    </row>
    <row r="402" spans="2:20" ht="42">
      <c r="B402" s="5" t="s">
        <v>963</v>
      </c>
      <c r="C402" s="45" t="s">
        <v>97</v>
      </c>
      <c r="D402" s="45" t="s">
        <v>964</v>
      </c>
      <c r="E402" s="6" t="s">
        <v>965</v>
      </c>
      <c r="F402" s="45" t="s">
        <v>104</v>
      </c>
      <c r="G402" s="46">
        <f t="shared" ref="G402:G465" si="50">TRUNC(R402,2)</f>
        <v>20</v>
      </c>
      <c r="H402" s="46">
        <f>TRUNC(S402*(1-LOTE_02!$K$10),2)</f>
        <v>17.329999999999998</v>
      </c>
      <c r="I402" s="46">
        <f>TRUNC(T402*(1-LOTE_02!$K$10),2)</f>
        <v>1.94</v>
      </c>
      <c r="J402" s="100">
        <f t="shared" ref="J402:J465" si="51">$J$4</f>
        <v>0.22470000000000001</v>
      </c>
      <c r="K402" s="48">
        <f t="shared" si="45"/>
        <v>21.22</v>
      </c>
      <c r="L402" s="48">
        <f t="shared" si="46"/>
        <v>2.37</v>
      </c>
      <c r="M402" s="48">
        <f t="shared" si="47"/>
        <v>424.4</v>
      </c>
      <c r="N402" s="48">
        <f t="shared" si="48"/>
        <v>47.4</v>
      </c>
      <c r="O402" s="50">
        <f t="shared" si="49"/>
        <v>471.8</v>
      </c>
      <c r="P402" s="50">
        <v>0</v>
      </c>
      <c r="Q402" s="76"/>
      <c r="R402" s="140">
        <f>5*S9+5*S10</f>
        <v>20</v>
      </c>
      <c r="S402" s="79">
        <v>17.329999999999998</v>
      </c>
      <c r="T402" s="80">
        <v>1.94</v>
      </c>
    </row>
    <row r="403" spans="2:20" ht="28">
      <c r="B403" s="5" t="s">
        <v>966</v>
      </c>
      <c r="C403" s="45" t="s">
        <v>97</v>
      </c>
      <c r="D403" s="45" t="s">
        <v>967</v>
      </c>
      <c r="E403" s="6" t="s">
        <v>968</v>
      </c>
      <c r="F403" s="45" t="s">
        <v>104</v>
      </c>
      <c r="G403" s="46">
        <f t="shared" si="50"/>
        <v>40</v>
      </c>
      <c r="H403" s="46">
        <f>TRUNC(S403*(1-LOTE_02!$K$10),2)</f>
        <v>20.83</v>
      </c>
      <c r="I403" s="46">
        <f>TRUNC(T403*(1-LOTE_02!$K$10),2)</f>
        <v>33.33</v>
      </c>
      <c r="J403" s="100">
        <f t="shared" si="51"/>
        <v>0.22470000000000001</v>
      </c>
      <c r="K403" s="48">
        <f t="shared" si="45"/>
        <v>25.51</v>
      </c>
      <c r="L403" s="48">
        <f t="shared" si="46"/>
        <v>40.81</v>
      </c>
      <c r="M403" s="48">
        <f t="shared" si="47"/>
        <v>1020.4</v>
      </c>
      <c r="N403" s="48">
        <f t="shared" si="48"/>
        <v>1632.4</v>
      </c>
      <c r="O403" s="50">
        <f t="shared" si="49"/>
        <v>2652.8</v>
      </c>
      <c r="P403" s="50">
        <v>0</v>
      </c>
      <c r="Q403" s="76"/>
      <c r="R403" s="140">
        <f>10*S9+10*S10</f>
        <v>40</v>
      </c>
      <c r="S403" s="79">
        <v>20.83</v>
      </c>
      <c r="T403" s="80">
        <v>33.33</v>
      </c>
    </row>
    <row r="404" spans="2:20" ht="56">
      <c r="B404" s="5" t="s">
        <v>969</v>
      </c>
      <c r="C404" s="45" t="s">
        <v>97</v>
      </c>
      <c r="D404" s="45" t="s">
        <v>970</v>
      </c>
      <c r="E404" s="6" t="s">
        <v>971</v>
      </c>
      <c r="F404" s="45" t="s">
        <v>104</v>
      </c>
      <c r="G404" s="46">
        <f t="shared" si="50"/>
        <v>20</v>
      </c>
      <c r="H404" s="46">
        <f>TRUNC(S404*(1-LOTE_02!$K$10),2)</f>
        <v>127.81</v>
      </c>
      <c r="I404" s="46">
        <f>TRUNC(T404*(1-LOTE_02!$K$10),2)</f>
        <v>11.78</v>
      </c>
      <c r="J404" s="100">
        <f t="shared" si="51"/>
        <v>0.22470000000000001</v>
      </c>
      <c r="K404" s="48">
        <f t="shared" si="45"/>
        <v>156.52000000000001</v>
      </c>
      <c r="L404" s="48">
        <f t="shared" si="46"/>
        <v>14.42</v>
      </c>
      <c r="M404" s="48">
        <f t="shared" si="47"/>
        <v>3130.4</v>
      </c>
      <c r="N404" s="48">
        <f t="shared" si="48"/>
        <v>288.39999999999998</v>
      </c>
      <c r="O404" s="50">
        <f t="shared" si="49"/>
        <v>3418.8</v>
      </c>
      <c r="P404" s="50">
        <v>0</v>
      </c>
      <c r="Q404" s="76"/>
      <c r="R404" s="140">
        <f>5*S9+5*S10</f>
        <v>20</v>
      </c>
      <c r="S404" s="79">
        <v>127.81</v>
      </c>
      <c r="T404" s="80">
        <v>11.78</v>
      </c>
    </row>
    <row r="405" spans="2:20" ht="56">
      <c r="B405" s="5" t="s">
        <v>972</v>
      </c>
      <c r="C405" s="45" t="s">
        <v>97</v>
      </c>
      <c r="D405" s="45" t="s">
        <v>973</v>
      </c>
      <c r="E405" s="6" t="s">
        <v>974</v>
      </c>
      <c r="F405" s="45" t="s">
        <v>104</v>
      </c>
      <c r="G405" s="46">
        <f t="shared" si="50"/>
        <v>4</v>
      </c>
      <c r="H405" s="46">
        <f>TRUNC(S405*(1-LOTE_02!$K$10),2)</f>
        <v>52.87</v>
      </c>
      <c r="I405" s="46">
        <f>TRUNC(T405*(1-LOTE_02!$K$10),2)</f>
        <v>268.77</v>
      </c>
      <c r="J405" s="100">
        <f t="shared" si="51"/>
        <v>0.22470000000000001</v>
      </c>
      <c r="K405" s="48">
        <f t="shared" si="45"/>
        <v>64.739999999999995</v>
      </c>
      <c r="L405" s="48">
        <f t="shared" si="46"/>
        <v>329.16</v>
      </c>
      <c r="M405" s="48">
        <f t="shared" si="47"/>
        <v>258.95999999999998</v>
      </c>
      <c r="N405" s="48">
        <f t="shared" si="48"/>
        <v>1316.64</v>
      </c>
      <c r="O405" s="50">
        <f t="shared" si="49"/>
        <v>1575.6</v>
      </c>
      <c r="P405" s="50">
        <v>0</v>
      </c>
      <c r="Q405" s="76"/>
      <c r="R405" s="140">
        <f>1*S9+1*S10</f>
        <v>4</v>
      </c>
      <c r="S405" s="79">
        <v>52.87</v>
      </c>
      <c r="T405" s="80">
        <v>268.77</v>
      </c>
    </row>
    <row r="406" spans="2:20">
      <c r="B406" s="101" t="s">
        <v>975</v>
      </c>
      <c r="C406" s="102" t="s">
        <v>21</v>
      </c>
      <c r="D406" s="102" t="s">
        <v>21</v>
      </c>
      <c r="E406" s="103" t="s">
        <v>976</v>
      </c>
      <c r="F406" s="102" t="s">
        <v>21</v>
      </c>
      <c r="G406" s="46">
        <f t="shared" si="50"/>
        <v>0</v>
      </c>
      <c r="H406" s="46"/>
      <c r="I406" s="46"/>
      <c r="J406" s="105"/>
      <c r="K406" s="48">
        <f t="shared" si="45"/>
        <v>0</v>
      </c>
      <c r="L406" s="48">
        <f t="shared" si="46"/>
        <v>0</v>
      </c>
      <c r="M406" s="48">
        <f t="shared" si="47"/>
        <v>0</v>
      </c>
      <c r="N406" s="48">
        <f t="shared" si="48"/>
        <v>0</v>
      </c>
      <c r="O406" s="50">
        <f t="shared" si="49"/>
        <v>0</v>
      </c>
      <c r="P406" s="50">
        <v>0</v>
      </c>
      <c r="Q406" s="76"/>
      <c r="R406" s="154"/>
      <c r="S406" s="79" t="s">
        <v>22</v>
      </c>
      <c r="T406" s="80" t="s">
        <v>22</v>
      </c>
    </row>
    <row r="407" spans="2:20" ht="98">
      <c r="B407" s="5" t="s">
        <v>977</v>
      </c>
      <c r="C407" s="45" t="s">
        <v>97</v>
      </c>
      <c r="D407" s="45" t="s">
        <v>978</v>
      </c>
      <c r="E407" s="6" t="s">
        <v>979</v>
      </c>
      <c r="F407" s="45" t="s">
        <v>104</v>
      </c>
      <c r="G407" s="46">
        <f t="shared" si="50"/>
        <v>4</v>
      </c>
      <c r="H407" s="46">
        <f>TRUNC(S407*(1-LOTE_02!$K$10),2)</f>
        <v>3236.92</v>
      </c>
      <c r="I407" s="46">
        <f>TRUNC(T407*(1-LOTE_02!$K$10),2)</f>
        <v>500.04</v>
      </c>
      <c r="J407" s="100">
        <f t="shared" si="51"/>
        <v>0.22470000000000001</v>
      </c>
      <c r="K407" s="48">
        <f t="shared" si="45"/>
        <v>3964.25</v>
      </c>
      <c r="L407" s="48">
        <f t="shared" si="46"/>
        <v>612.39</v>
      </c>
      <c r="M407" s="48">
        <f t="shared" si="47"/>
        <v>15857</v>
      </c>
      <c r="N407" s="48">
        <f t="shared" si="48"/>
        <v>2449.56</v>
      </c>
      <c r="O407" s="50">
        <f t="shared" si="49"/>
        <v>18306.560000000001</v>
      </c>
      <c r="P407" s="50">
        <v>0</v>
      </c>
      <c r="Q407" s="76"/>
      <c r="R407" s="140">
        <f>IF((1*S9+1*S10)&gt;5,5,(1*S9+1*S10))</f>
        <v>4</v>
      </c>
      <c r="S407" s="79">
        <v>3236.92</v>
      </c>
      <c r="T407" s="80">
        <v>500.04</v>
      </c>
    </row>
    <row r="408" spans="2:20" ht="56">
      <c r="B408" s="5" t="s">
        <v>980</v>
      </c>
      <c r="C408" s="45" t="s">
        <v>97</v>
      </c>
      <c r="D408" s="45" t="s">
        <v>981</v>
      </c>
      <c r="E408" s="6" t="s">
        <v>982</v>
      </c>
      <c r="F408" s="45" t="s">
        <v>104</v>
      </c>
      <c r="G408" s="46">
        <f t="shared" si="50"/>
        <v>4</v>
      </c>
      <c r="H408" s="46">
        <f>TRUNC(S408*(1-LOTE_02!$K$10),2)</f>
        <v>75.680000000000007</v>
      </c>
      <c r="I408" s="46">
        <f>TRUNC(T408*(1-LOTE_02!$K$10),2)</f>
        <v>333.36</v>
      </c>
      <c r="J408" s="100">
        <f t="shared" si="51"/>
        <v>0.22470000000000001</v>
      </c>
      <c r="K408" s="48">
        <f t="shared" si="45"/>
        <v>92.68</v>
      </c>
      <c r="L408" s="48">
        <f t="shared" si="46"/>
        <v>408.26</v>
      </c>
      <c r="M408" s="48">
        <f t="shared" si="47"/>
        <v>370.72</v>
      </c>
      <c r="N408" s="48">
        <f t="shared" si="48"/>
        <v>1633.04</v>
      </c>
      <c r="O408" s="50">
        <f t="shared" si="49"/>
        <v>2003.76</v>
      </c>
      <c r="P408" s="50">
        <v>0</v>
      </c>
      <c r="Q408" s="76"/>
      <c r="R408" s="140">
        <f>1*S9+1*S10</f>
        <v>4</v>
      </c>
      <c r="S408" s="79">
        <v>75.680000000000007</v>
      </c>
      <c r="T408" s="80">
        <v>333.36</v>
      </c>
    </row>
    <row r="409" spans="2:20" ht="28">
      <c r="B409" s="5" t="s">
        <v>983</v>
      </c>
      <c r="C409" s="45" t="s">
        <v>97</v>
      </c>
      <c r="D409" s="45" t="s">
        <v>984</v>
      </c>
      <c r="E409" s="6" t="s">
        <v>985</v>
      </c>
      <c r="F409" s="45" t="s">
        <v>104</v>
      </c>
      <c r="G409" s="46">
        <f t="shared" si="50"/>
        <v>4</v>
      </c>
      <c r="H409" s="46">
        <f>TRUNC(S409*(1-LOTE_02!$K$10),2)</f>
        <v>75.680000000000007</v>
      </c>
      <c r="I409" s="46">
        <f>TRUNC(T409*(1-LOTE_02!$K$10),2)</f>
        <v>333.36</v>
      </c>
      <c r="J409" s="100">
        <f t="shared" si="51"/>
        <v>0.22470000000000001</v>
      </c>
      <c r="K409" s="48">
        <f t="shared" si="45"/>
        <v>92.68</v>
      </c>
      <c r="L409" s="48">
        <f t="shared" si="46"/>
        <v>408.26</v>
      </c>
      <c r="M409" s="48">
        <f t="shared" si="47"/>
        <v>370.72</v>
      </c>
      <c r="N409" s="48">
        <f t="shared" si="48"/>
        <v>1633.04</v>
      </c>
      <c r="O409" s="50">
        <f t="shared" si="49"/>
        <v>2003.76</v>
      </c>
      <c r="P409" s="50">
        <v>0</v>
      </c>
      <c r="Q409" s="76"/>
      <c r="R409" s="140">
        <f>IF((1*S9+1*S10)&gt;10,10,(1*S9+1*S10))</f>
        <v>4</v>
      </c>
      <c r="S409" s="79">
        <v>75.680000000000007</v>
      </c>
      <c r="T409" s="80">
        <v>333.36</v>
      </c>
    </row>
    <row r="410" spans="2:20" ht="28">
      <c r="B410" s="5" t="s">
        <v>986</v>
      </c>
      <c r="C410" s="45" t="s">
        <v>97</v>
      </c>
      <c r="D410" s="45" t="s">
        <v>987</v>
      </c>
      <c r="E410" s="6" t="s">
        <v>988</v>
      </c>
      <c r="F410" s="45" t="s">
        <v>104</v>
      </c>
      <c r="G410" s="46">
        <f t="shared" si="50"/>
        <v>20</v>
      </c>
      <c r="H410" s="46">
        <f>TRUNC(S410*(1-LOTE_02!$K$10),2)</f>
        <v>164.96</v>
      </c>
      <c r="I410" s="46">
        <f>TRUNC(T410*(1-LOTE_02!$K$10),2)</f>
        <v>4.07</v>
      </c>
      <c r="J410" s="100">
        <f t="shared" si="51"/>
        <v>0.22470000000000001</v>
      </c>
      <c r="K410" s="48">
        <f t="shared" si="45"/>
        <v>202.02</v>
      </c>
      <c r="L410" s="48">
        <f t="shared" si="46"/>
        <v>4.9800000000000004</v>
      </c>
      <c r="M410" s="48">
        <f t="shared" si="47"/>
        <v>4040.4</v>
      </c>
      <c r="N410" s="48">
        <f t="shared" si="48"/>
        <v>99.6</v>
      </c>
      <c r="O410" s="50">
        <f t="shared" si="49"/>
        <v>4140</v>
      </c>
      <c r="P410" s="50">
        <v>0</v>
      </c>
      <c r="Q410" s="76"/>
      <c r="R410" s="140">
        <f>5*S9+5*S10</f>
        <v>20</v>
      </c>
      <c r="S410" s="79">
        <v>164.96</v>
      </c>
      <c r="T410" s="80">
        <v>4.07</v>
      </c>
    </row>
    <row r="411" spans="2:20" ht="28">
      <c r="B411" s="5" t="s">
        <v>989</v>
      </c>
      <c r="C411" s="45" t="s">
        <v>97</v>
      </c>
      <c r="D411" s="45" t="s">
        <v>990</v>
      </c>
      <c r="E411" s="6" t="s">
        <v>991</v>
      </c>
      <c r="F411" s="45" t="s">
        <v>104</v>
      </c>
      <c r="G411" s="46">
        <f t="shared" si="50"/>
        <v>20</v>
      </c>
      <c r="H411" s="46">
        <f>TRUNC(S411*(1-LOTE_02!$K$10),2)</f>
        <v>36.25</v>
      </c>
      <c r="I411" s="46">
        <f>TRUNC(T411*(1-LOTE_02!$K$10),2)</f>
        <v>31.96</v>
      </c>
      <c r="J411" s="100">
        <f t="shared" si="51"/>
        <v>0.22470000000000001</v>
      </c>
      <c r="K411" s="48">
        <f t="shared" si="45"/>
        <v>44.39</v>
      </c>
      <c r="L411" s="48">
        <f t="shared" si="46"/>
        <v>39.14</v>
      </c>
      <c r="M411" s="48">
        <f t="shared" si="47"/>
        <v>887.8</v>
      </c>
      <c r="N411" s="48">
        <f t="shared" si="48"/>
        <v>782.8</v>
      </c>
      <c r="O411" s="50">
        <f t="shared" si="49"/>
        <v>1670.6</v>
      </c>
      <c r="P411" s="50">
        <v>0</v>
      </c>
      <c r="Q411" s="76"/>
      <c r="R411" s="140">
        <f>5*S9+5*S10</f>
        <v>20</v>
      </c>
      <c r="S411" s="79">
        <v>36.25</v>
      </c>
      <c r="T411" s="80">
        <v>31.96</v>
      </c>
    </row>
    <row r="412" spans="2:20" ht="84">
      <c r="B412" s="5" t="s">
        <v>992</v>
      </c>
      <c r="C412" s="45" t="s">
        <v>135</v>
      </c>
      <c r="D412" s="45">
        <v>100561</v>
      </c>
      <c r="E412" s="6" t="s">
        <v>993</v>
      </c>
      <c r="F412" s="45" t="s">
        <v>210</v>
      </c>
      <c r="G412" s="46">
        <f t="shared" si="50"/>
        <v>4</v>
      </c>
      <c r="H412" s="46">
        <f>TRUNC(S412*(1-LOTE_02!$K$10),2)</f>
        <v>126.18</v>
      </c>
      <c r="I412" s="46">
        <f>TRUNC(T412*(1-LOTE_02!$K$10),2)</f>
        <v>34.99</v>
      </c>
      <c r="J412" s="100">
        <f t="shared" si="51"/>
        <v>0.22470000000000001</v>
      </c>
      <c r="K412" s="48">
        <f t="shared" si="45"/>
        <v>154.53</v>
      </c>
      <c r="L412" s="48">
        <f t="shared" si="46"/>
        <v>42.85</v>
      </c>
      <c r="M412" s="48">
        <f t="shared" si="47"/>
        <v>618.12</v>
      </c>
      <c r="N412" s="48">
        <f t="shared" si="48"/>
        <v>171.4</v>
      </c>
      <c r="O412" s="50">
        <f t="shared" si="49"/>
        <v>789.52</v>
      </c>
      <c r="P412" s="50">
        <v>0</v>
      </c>
      <c r="Q412" s="76"/>
      <c r="R412" s="140">
        <f>IF((1*S9+1*S10)&gt;10,10,(1*S9+1*S10))</f>
        <v>4</v>
      </c>
      <c r="S412" s="79">
        <v>126.17999999999998</v>
      </c>
      <c r="T412" s="80">
        <v>34.99</v>
      </c>
    </row>
    <row r="413" spans="2:20" ht="84">
      <c r="B413" s="5" t="s">
        <v>994</v>
      </c>
      <c r="C413" s="45" t="s">
        <v>135</v>
      </c>
      <c r="D413" s="45">
        <v>101875</v>
      </c>
      <c r="E413" s="6" t="s">
        <v>995</v>
      </c>
      <c r="F413" s="45" t="s">
        <v>210</v>
      </c>
      <c r="G413" s="46">
        <f t="shared" si="50"/>
        <v>4</v>
      </c>
      <c r="H413" s="46">
        <f>TRUNC(S413*(1-LOTE_02!$K$10),2)</f>
        <v>362.71</v>
      </c>
      <c r="I413" s="46">
        <f>TRUNC(T413*(1-LOTE_02!$K$10),2)</f>
        <v>59.92</v>
      </c>
      <c r="J413" s="100">
        <f t="shared" si="51"/>
        <v>0.22470000000000001</v>
      </c>
      <c r="K413" s="48">
        <f t="shared" si="45"/>
        <v>444.21</v>
      </c>
      <c r="L413" s="48">
        <f t="shared" si="46"/>
        <v>73.38</v>
      </c>
      <c r="M413" s="48">
        <f t="shared" si="47"/>
        <v>1776.84</v>
      </c>
      <c r="N413" s="48">
        <f t="shared" si="48"/>
        <v>293.52</v>
      </c>
      <c r="O413" s="50">
        <f t="shared" si="49"/>
        <v>2070.36</v>
      </c>
      <c r="P413" s="50">
        <v>0</v>
      </c>
      <c r="Q413" s="76"/>
      <c r="R413" s="140">
        <f>IF((1*S10+1*S9)&gt;10,10,(1*S10+1*S9))</f>
        <v>4</v>
      </c>
      <c r="S413" s="79">
        <v>362.71</v>
      </c>
      <c r="T413" s="80">
        <v>59.92</v>
      </c>
    </row>
    <row r="414" spans="2:20" ht="56">
      <c r="B414" s="5" t="s">
        <v>996</v>
      </c>
      <c r="C414" s="45" t="s">
        <v>97</v>
      </c>
      <c r="D414" s="45" t="s">
        <v>997</v>
      </c>
      <c r="E414" s="6" t="s">
        <v>998</v>
      </c>
      <c r="F414" s="45" t="s">
        <v>999</v>
      </c>
      <c r="G414" s="46">
        <f t="shared" si="50"/>
        <v>35</v>
      </c>
      <c r="H414" s="46">
        <f>TRUNC(S414*(1-LOTE_02!$K$10),2)</f>
        <v>301.97000000000003</v>
      </c>
      <c r="I414" s="46">
        <f>TRUNC(T414*(1-LOTE_02!$K$10),2)</f>
        <v>337.46</v>
      </c>
      <c r="J414" s="100">
        <f t="shared" si="51"/>
        <v>0.22470000000000001</v>
      </c>
      <c r="K414" s="48">
        <f t="shared" si="45"/>
        <v>369.82</v>
      </c>
      <c r="L414" s="48">
        <f t="shared" si="46"/>
        <v>413.28</v>
      </c>
      <c r="M414" s="48">
        <f t="shared" si="47"/>
        <v>12943.7</v>
      </c>
      <c r="N414" s="48">
        <f t="shared" si="48"/>
        <v>14464.8</v>
      </c>
      <c r="O414" s="50">
        <f t="shared" si="49"/>
        <v>27408.5</v>
      </c>
      <c r="P414" s="50">
        <v>0</v>
      </c>
      <c r="Q414" s="76"/>
      <c r="R414" s="140">
        <f>IF((5*S9+20*S10)&gt;100,100,(5*S9+20*S10))</f>
        <v>35</v>
      </c>
      <c r="S414" s="79">
        <v>301.97000000000003</v>
      </c>
      <c r="T414" s="80">
        <v>337.46</v>
      </c>
    </row>
    <row r="415" spans="2:20" ht="56">
      <c r="B415" s="5" t="s">
        <v>1000</v>
      </c>
      <c r="C415" s="45" t="s">
        <v>135</v>
      </c>
      <c r="D415" s="45">
        <v>98295</v>
      </c>
      <c r="E415" s="6" t="s">
        <v>1001</v>
      </c>
      <c r="F415" s="45" t="s">
        <v>187</v>
      </c>
      <c r="G415" s="46">
        <f t="shared" si="50"/>
        <v>2500</v>
      </c>
      <c r="H415" s="46">
        <f>TRUNC(S415*(1-LOTE_02!$K$10),2)</f>
        <v>4.3899999999999997</v>
      </c>
      <c r="I415" s="46">
        <f>TRUNC(T415*(1-LOTE_02!$K$10),2)</f>
        <v>0.1</v>
      </c>
      <c r="J415" s="100">
        <f t="shared" si="51"/>
        <v>0.22470000000000001</v>
      </c>
      <c r="K415" s="48">
        <f t="shared" si="45"/>
        <v>5.37</v>
      </c>
      <c r="L415" s="48">
        <f t="shared" si="46"/>
        <v>0.12</v>
      </c>
      <c r="M415" s="48">
        <f t="shared" si="47"/>
        <v>13425</v>
      </c>
      <c r="N415" s="48">
        <f t="shared" si="48"/>
        <v>300</v>
      </c>
      <c r="O415" s="50">
        <f t="shared" si="49"/>
        <v>13725</v>
      </c>
      <c r="P415" s="50">
        <v>0</v>
      </c>
      <c r="Q415" s="76"/>
      <c r="R415" s="140">
        <f>IF((500*S9+1000*S10)&gt;15000,15000,(500*S9+1000*S10))</f>
        <v>2500</v>
      </c>
      <c r="S415" s="79">
        <v>4.3900000000000006</v>
      </c>
      <c r="T415" s="80">
        <v>0.1</v>
      </c>
    </row>
    <row r="416" spans="2:20" ht="42">
      <c r="B416" s="5" t="s">
        <v>1002</v>
      </c>
      <c r="C416" s="45" t="s">
        <v>135</v>
      </c>
      <c r="D416" s="45">
        <v>98301</v>
      </c>
      <c r="E416" s="6" t="s">
        <v>1003</v>
      </c>
      <c r="F416" s="45" t="s">
        <v>210</v>
      </c>
      <c r="G416" s="46">
        <f t="shared" si="50"/>
        <v>20</v>
      </c>
      <c r="H416" s="46">
        <f>TRUNC(S416*(1-LOTE_02!$K$10),2)</f>
        <v>340.4</v>
      </c>
      <c r="I416" s="46">
        <f>TRUNC(T416*(1-LOTE_02!$K$10),2)</f>
        <v>211.02</v>
      </c>
      <c r="J416" s="100">
        <f t="shared" si="51"/>
        <v>0.22470000000000001</v>
      </c>
      <c r="K416" s="48">
        <f t="shared" si="45"/>
        <v>416.88</v>
      </c>
      <c r="L416" s="48">
        <f t="shared" si="46"/>
        <v>258.43</v>
      </c>
      <c r="M416" s="48">
        <f t="shared" si="47"/>
        <v>8337.6</v>
      </c>
      <c r="N416" s="48">
        <f t="shared" si="48"/>
        <v>5168.6000000000004</v>
      </c>
      <c r="O416" s="50">
        <f t="shared" si="49"/>
        <v>13506.2</v>
      </c>
      <c r="P416" s="50">
        <v>0</v>
      </c>
      <c r="Q416" s="76"/>
      <c r="R416" s="140">
        <f>5*S9+5*S10</f>
        <v>20</v>
      </c>
      <c r="S416" s="79">
        <v>340.4</v>
      </c>
      <c r="T416" s="80">
        <v>211.02</v>
      </c>
    </row>
    <row r="417" spans="2:20" ht="28">
      <c r="B417" s="5" t="s">
        <v>1004</v>
      </c>
      <c r="C417" s="45" t="s">
        <v>97</v>
      </c>
      <c r="D417" s="45" t="s">
        <v>1005</v>
      </c>
      <c r="E417" s="6" t="s">
        <v>1006</v>
      </c>
      <c r="F417" s="45" t="s">
        <v>104</v>
      </c>
      <c r="G417" s="46">
        <f t="shared" si="50"/>
        <v>160</v>
      </c>
      <c r="H417" s="46">
        <f>TRUNC(S417*(1-LOTE_02!$K$10),2)</f>
        <v>26.58</v>
      </c>
      <c r="I417" s="46">
        <f>TRUNC(T417*(1-LOTE_02!$K$10),2)</f>
        <v>16.22</v>
      </c>
      <c r="J417" s="100">
        <f t="shared" si="51"/>
        <v>0.22470000000000001</v>
      </c>
      <c r="K417" s="48">
        <f t="shared" si="45"/>
        <v>32.549999999999997</v>
      </c>
      <c r="L417" s="48">
        <f t="shared" si="46"/>
        <v>19.86</v>
      </c>
      <c r="M417" s="48">
        <f t="shared" si="47"/>
        <v>5208</v>
      </c>
      <c r="N417" s="48">
        <f t="shared" si="48"/>
        <v>3177.6</v>
      </c>
      <c r="O417" s="50">
        <f t="shared" si="49"/>
        <v>8385.6</v>
      </c>
      <c r="P417" s="50">
        <v>0</v>
      </c>
      <c r="Q417" s="76"/>
      <c r="R417" s="140">
        <f>30*S9+70*S10</f>
        <v>160</v>
      </c>
      <c r="S417" s="79">
        <v>26.58</v>
      </c>
      <c r="T417" s="80">
        <v>16.22</v>
      </c>
    </row>
    <row r="418" spans="2:20" ht="28">
      <c r="B418" s="5" t="s">
        <v>1007</v>
      </c>
      <c r="C418" s="45" t="s">
        <v>97</v>
      </c>
      <c r="D418" s="45" t="s">
        <v>1008</v>
      </c>
      <c r="E418" s="6" t="s">
        <v>1009</v>
      </c>
      <c r="F418" s="45" t="s">
        <v>104</v>
      </c>
      <c r="G418" s="46">
        <f t="shared" si="50"/>
        <v>160</v>
      </c>
      <c r="H418" s="46">
        <f>TRUNC(S418*(1-LOTE_02!$K$10),2)</f>
        <v>49.59</v>
      </c>
      <c r="I418" s="46">
        <f>TRUNC(T418*(1-LOTE_02!$K$10),2)</f>
        <v>16.22</v>
      </c>
      <c r="J418" s="100">
        <f t="shared" si="51"/>
        <v>0.22470000000000001</v>
      </c>
      <c r="K418" s="48">
        <f t="shared" si="45"/>
        <v>60.73</v>
      </c>
      <c r="L418" s="48">
        <f t="shared" si="46"/>
        <v>19.86</v>
      </c>
      <c r="M418" s="48">
        <f t="shared" si="47"/>
        <v>9716.7999999999993</v>
      </c>
      <c r="N418" s="48">
        <f t="shared" si="48"/>
        <v>3177.6</v>
      </c>
      <c r="O418" s="50">
        <f t="shared" si="49"/>
        <v>12894.4</v>
      </c>
      <c r="P418" s="50">
        <v>0</v>
      </c>
      <c r="Q418" s="76"/>
      <c r="R418" s="140">
        <f>30*S9+70*S10</f>
        <v>160</v>
      </c>
      <c r="S418" s="79">
        <v>49.59</v>
      </c>
      <c r="T418" s="80">
        <v>16.22</v>
      </c>
    </row>
    <row r="419" spans="2:20" ht="28">
      <c r="B419" s="5" t="s">
        <v>1010</v>
      </c>
      <c r="C419" s="45" t="s">
        <v>97</v>
      </c>
      <c r="D419" s="45" t="s">
        <v>1011</v>
      </c>
      <c r="E419" s="6" t="s">
        <v>1012</v>
      </c>
      <c r="F419" s="45" t="s">
        <v>999</v>
      </c>
      <c r="G419" s="46">
        <f t="shared" si="50"/>
        <v>80</v>
      </c>
      <c r="H419" s="46">
        <f>TRUNC(S419*(1-LOTE_02!$K$10),2)</f>
        <v>25.24</v>
      </c>
      <c r="I419" s="46">
        <f>TRUNC(T419*(1-LOTE_02!$K$10),2)</f>
        <v>0.46</v>
      </c>
      <c r="J419" s="100">
        <f t="shared" si="51"/>
        <v>0.22470000000000001</v>
      </c>
      <c r="K419" s="48">
        <f t="shared" si="45"/>
        <v>30.91</v>
      </c>
      <c r="L419" s="48">
        <f t="shared" si="46"/>
        <v>0.56000000000000005</v>
      </c>
      <c r="M419" s="48">
        <f t="shared" si="47"/>
        <v>2472.8000000000002</v>
      </c>
      <c r="N419" s="48">
        <f t="shared" si="48"/>
        <v>44.8</v>
      </c>
      <c r="O419" s="50">
        <f t="shared" si="49"/>
        <v>2517.6</v>
      </c>
      <c r="P419" s="50">
        <v>0</v>
      </c>
      <c r="Q419" s="76"/>
      <c r="R419" s="140">
        <f>20*S9+20*S10</f>
        <v>80</v>
      </c>
      <c r="S419" s="79">
        <v>25.24</v>
      </c>
      <c r="T419" s="80">
        <v>0.46</v>
      </c>
    </row>
    <row r="420" spans="2:20" ht="56">
      <c r="B420" s="5" t="s">
        <v>1013</v>
      </c>
      <c r="C420" s="45" t="s">
        <v>135</v>
      </c>
      <c r="D420" s="45">
        <v>98268</v>
      </c>
      <c r="E420" s="6" t="s">
        <v>1014</v>
      </c>
      <c r="F420" s="45" t="s">
        <v>187</v>
      </c>
      <c r="G420" s="46">
        <f t="shared" si="50"/>
        <v>70</v>
      </c>
      <c r="H420" s="46">
        <f>TRUNC(S420*(1-LOTE_02!$K$10),2)</f>
        <v>9.11</v>
      </c>
      <c r="I420" s="46">
        <f>TRUNC(T420*(1-LOTE_02!$K$10),2)</f>
        <v>3.88</v>
      </c>
      <c r="J420" s="100">
        <f t="shared" si="51"/>
        <v>0.22470000000000001</v>
      </c>
      <c r="K420" s="48">
        <f t="shared" si="45"/>
        <v>11.15</v>
      </c>
      <c r="L420" s="48">
        <f t="shared" si="46"/>
        <v>4.75</v>
      </c>
      <c r="M420" s="48">
        <f t="shared" si="47"/>
        <v>780.5</v>
      </c>
      <c r="N420" s="48">
        <f t="shared" si="48"/>
        <v>332.5</v>
      </c>
      <c r="O420" s="50">
        <f t="shared" si="49"/>
        <v>1113</v>
      </c>
      <c r="P420" s="50">
        <v>0</v>
      </c>
      <c r="Q420" s="76"/>
      <c r="R420" s="140">
        <f>10*S9+40*S10</f>
        <v>70</v>
      </c>
      <c r="S420" s="79">
        <v>9.11</v>
      </c>
      <c r="T420" s="80">
        <v>3.88</v>
      </c>
    </row>
    <row r="421" spans="2:20" ht="28">
      <c r="B421" s="5" t="s">
        <v>1015</v>
      </c>
      <c r="C421" s="45" t="s">
        <v>135</v>
      </c>
      <c r="D421" s="45">
        <v>98307</v>
      </c>
      <c r="E421" s="6" t="s">
        <v>1016</v>
      </c>
      <c r="F421" s="45" t="s">
        <v>210</v>
      </c>
      <c r="G421" s="46">
        <f t="shared" si="50"/>
        <v>160</v>
      </c>
      <c r="H421" s="46">
        <f>TRUNC(S421*(1-LOTE_02!$K$10),2)</f>
        <v>54.42</v>
      </c>
      <c r="I421" s="46">
        <f>TRUNC(T421*(1-LOTE_02!$K$10),2)</f>
        <v>10.42</v>
      </c>
      <c r="J421" s="100">
        <f t="shared" si="51"/>
        <v>0.22470000000000001</v>
      </c>
      <c r="K421" s="48">
        <f t="shared" si="45"/>
        <v>66.64</v>
      </c>
      <c r="L421" s="48">
        <f t="shared" si="46"/>
        <v>12.76</v>
      </c>
      <c r="M421" s="48">
        <f t="shared" si="47"/>
        <v>10662.4</v>
      </c>
      <c r="N421" s="48">
        <f t="shared" si="48"/>
        <v>2041.6</v>
      </c>
      <c r="O421" s="50">
        <f t="shared" si="49"/>
        <v>12704</v>
      </c>
      <c r="P421" s="50">
        <v>0</v>
      </c>
      <c r="Q421" s="76"/>
      <c r="R421" s="140">
        <f>30*S9+70*S10</f>
        <v>160</v>
      </c>
      <c r="S421" s="79">
        <v>54.42</v>
      </c>
      <c r="T421" s="80">
        <v>10.42</v>
      </c>
    </row>
    <row r="422" spans="2:20" ht="28">
      <c r="B422" s="5" t="s">
        <v>1017</v>
      </c>
      <c r="C422" s="45" t="s">
        <v>97</v>
      </c>
      <c r="D422" s="45" t="s">
        <v>1018</v>
      </c>
      <c r="E422" s="6" t="s">
        <v>1019</v>
      </c>
      <c r="F422" s="45" t="s">
        <v>104</v>
      </c>
      <c r="G422" s="46">
        <f t="shared" si="50"/>
        <v>20</v>
      </c>
      <c r="H422" s="46">
        <f>TRUNC(S422*(1-LOTE_02!$K$10),2)</f>
        <v>209.27</v>
      </c>
      <c r="I422" s="46">
        <f>TRUNC(T422*(1-LOTE_02!$K$10),2)</f>
        <v>8.14</v>
      </c>
      <c r="J422" s="100">
        <f t="shared" si="51"/>
        <v>0.22470000000000001</v>
      </c>
      <c r="K422" s="48">
        <f t="shared" si="45"/>
        <v>256.29000000000002</v>
      </c>
      <c r="L422" s="48">
        <f t="shared" si="46"/>
        <v>9.9600000000000009</v>
      </c>
      <c r="M422" s="48">
        <f t="shared" si="47"/>
        <v>5125.8</v>
      </c>
      <c r="N422" s="48">
        <f t="shared" si="48"/>
        <v>199.2</v>
      </c>
      <c r="O422" s="50">
        <f t="shared" si="49"/>
        <v>5325</v>
      </c>
      <c r="P422" s="50">
        <v>0</v>
      </c>
      <c r="Q422" s="76"/>
      <c r="R422" s="140">
        <f>5*S9+5*S10</f>
        <v>20</v>
      </c>
      <c r="S422" s="79">
        <v>209.27</v>
      </c>
      <c r="T422" s="80">
        <v>8.14</v>
      </c>
    </row>
    <row r="423" spans="2:20" ht="56">
      <c r="B423" s="5" t="s">
        <v>1020</v>
      </c>
      <c r="C423" s="45" t="s">
        <v>135</v>
      </c>
      <c r="D423" s="45">
        <v>91941</v>
      </c>
      <c r="E423" s="6" t="s">
        <v>1021</v>
      </c>
      <c r="F423" s="45" t="s">
        <v>210</v>
      </c>
      <c r="G423" s="46">
        <f t="shared" si="50"/>
        <v>80</v>
      </c>
      <c r="H423" s="46">
        <f>TRUNC(S423*(1-LOTE_02!$K$10),2)</f>
        <v>5.67</v>
      </c>
      <c r="I423" s="46">
        <f>TRUNC(T423*(1-LOTE_02!$K$10),2)</f>
        <v>7.03</v>
      </c>
      <c r="J423" s="100">
        <f t="shared" si="51"/>
        <v>0.22470000000000001</v>
      </c>
      <c r="K423" s="48">
        <f t="shared" si="45"/>
        <v>6.94</v>
      </c>
      <c r="L423" s="48">
        <f t="shared" si="46"/>
        <v>8.6</v>
      </c>
      <c r="M423" s="48">
        <f t="shared" si="47"/>
        <v>555.20000000000005</v>
      </c>
      <c r="N423" s="48">
        <f t="shared" si="48"/>
        <v>688</v>
      </c>
      <c r="O423" s="50">
        <f t="shared" si="49"/>
        <v>1243.2</v>
      </c>
      <c r="P423" s="50">
        <v>0</v>
      </c>
      <c r="Q423" s="76"/>
      <c r="R423" s="140">
        <f>IF((10*S9+50*S10)&gt;200,200,(10*S9+50*S10))</f>
        <v>80</v>
      </c>
      <c r="S423" s="79">
        <v>5.669999999999999</v>
      </c>
      <c r="T423" s="80">
        <v>7.03</v>
      </c>
    </row>
    <row r="424" spans="2:20" ht="56">
      <c r="B424" s="5" t="s">
        <v>1022</v>
      </c>
      <c r="C424" s="45" t="s">
        <v>135</v>
      </c>
      <c r="D424" s="45">
        <v>91944</v>
      </c>
      <c r="E424" s="6" t="s">
        <v>935</v>
      </c>
      <c r="F424" s="45" t="s">
        <v>210</v>
      </c>
      <c r="G424" s="46">
        <f t="shared" si="50"/>
        <v>80</v>
      </c>
      <c r="H424" s="46">
        <f>TRUNC(S424*(1-LOTE_02!$K$10),2)</f>
        <v>9.26</v>
      </c>
      <c r="I424" s="46">
        <f>TRUNC(T424*(1-LOTE_02!$K$10),2)</f>
        <v>7.29</v>
      </c>
      <c r="J424" s="100">
        <f t="shared" si="51"/>
        <v>0.22470000000000001</v>
      </c>
      <c r="K424" s="48">
        <f t="shared" si="45"/>
        <v>11.34</v>
      </c>
      <c r="L424" s="48">
        <f t="shared" si="46"/>
        <v>8.92</v>
      </c>
      <c r="M424" s="48">
        <f t="shared" si="47"/>
        <v>907.2</v>
      </c>
      <c r="N424" s="48">
        <f t="shared" si="48"/>
        <v>713.6</v>
      </c>
      <c r="O424" s="50">
        <f t="shared" si="49"/>
        <v>1620.8</v>
      </c>
      <c r="P424" s="50">
        <v>0</v>
      </c>
      <c r="Q424" s="76"/>
      <c r="R424" s="140">
        <f>IF((10*S9+50*S10)&gt;200,200,(10*S9+50*S10))</f>
        <v>80</v>
      </c>
      <c r="S424" s="79">
        <v>9.2600000000000016</v>
      </c>
      <c r="T424" s="80">
        <v>7.29</v>
      </c>
    </row>
    <row r="425" spans="2:20" ht="70">
      <c r="B425" s="5" t="s">
        <v>1023</v>
      </c>
      <c r="C425" s="45" t="s">
        <v>135</v>
      </c>
      <c r="D425" s="45">
        <v>97887</v>
      </c>
      <c r="E425" s="6" t="s">
        <v>1024</v>
      </c>
      <c r="F425" s="45" t="s">
        <v>210</v>
      </c>
      <c r="G425" s="46">
        <f t="shared" si="50"/>
        <v>20</v>
      </c>
      <c r="H425" s="46">
        <f>TRUNC(S425*(1-LOTE_02!$K$10),2)</f>
        <v>174.77</v>
      </c>
      <c r="I425" s="46">
        <f>TRUNC(T425*(1-LOTE_02!$K$10),2)</f>
        <v>123.37</v>
      </c>
      <c r="J425" s="100">
        <f t="shared" si="51"/>
        <v>0.22470000000000001</v>
      </c>
      <c r="K425" s="48">
        <f t="shared" si="45"/>
        <v>214.04</v>
      </c>
      <c r="L425" s="48">
        <f t="shared" si="46"/>
        <v>151.09</v>
      </c>
      <c r="M425" s="48">
        <f t="shared" si="47"/>
        <v>4280.8</v>
      </c>
      <c r="N425" s="48">
        <f t="shared" si="48"/>
        <v>3021.8</v>
      </c>
      <c r="O425" s="50">
        <f t="shared" si="49"/>
        <v>7302.6</v>
      </c>
      <c r="P425" s="50">
        <v>0</v>
      </c>
      <c r="Q425" s="76"/>
      <c r="R425" s="140">
        <f>5*S9+5*S10</f>
        <v>20</v>
      </c>
      <c r="S425" s="79">
        <v>174.76999999999998</v>
      </c>
      <c r="T425" s="80">
        <v>123.37</v>
      </c>
    </row>
    <row r="426" spans="2:20" ht="70">
      <c r="B426" s="5" t="s">
        <v>1025</v>
      </c>
      <c r="C426" s="45" t="s">
        <v>135</v>
      </c>
      <c r="D426" s="45">
        <v>93009</v>
      </c>
      <c r="E426" s="6" t="s">
        <v>1026</v>
      </c>
      <c r="F426" s="45" t="s">
        <v>187</v>
      </c>
      <c r="G426" s="46">
        <f t="shared" si="50"/>
        <v>80</v>
      </c>
      <c r="H426" s="46">
        <f>TRUNC(S426*(1-LOTE_02!$K$10),2)</f>
        <v>27.11</v>
      </c>
      <c r="I426" s="46">
        <f>TRUNC(T426*(1-LOTE_02!$K$10),2)</f>
        <v>5.18</v>
      </c>
      <c r="J426" s="100">
        <f t="shared" si="51"/>
        <v>0.22470000000000001</v>
      </c>
      <c r="K426" s="48">
        <f t="shared" si="45"/>
        <v>33.200000000000003</v>
      </c>
      <c r="L426" s="48">
        <f t="shared" si="46"/>
        <v>6.34</v>
      </c>
      <c r="M426" s="48">
        <f t="shared" si="47"/>
        <v>2656</v>
      </c>
      <c r="N426" s="48">
        <f t="shared" si="48"/>
        <v>507.2</v>
      </c>
      <c r="O426" s="50">
        <f t="shared" si="49"/>
        <v>3163.2</v>
      </c>
      <c r="P426" s="50">
        <v>0</v>
      </c>
      <c r="Q426" s="76"/>
      <c r="R426" s="140">
        <f>10*S9+50*S10</f>
        <v>80</v>
      </c>
      <c r="S426" s="79">
        <v>27.11</v>
      </c>
      <c r="T426" s="80">
        <v>5.18</v>
      </c>
    </row>
    <row r="427" spans="2:20" ht="42">
      <c r="B427" s="5" t="s">
        <v>1027</v>
      </c>
      <c r="C427" s="45" t="s">
        <v>165</v>
      </c>
      <c r="D427" s="45" t="s">
        <v>1028</v>
      </c>
      <c r="E427" s="6" t="s">
        <v>1029</v>
      </c>
      <c r="F427" s="45" t="s">
        <v>531</v>
      </c>
      <c r="G427" s="46">
        <f t="shared" si="50"/>
        <v>25</v>
      </c>
      <c r="H427" s="46">
        <f>TRUNC(S427*(1-LOTE_02!$K$10),2)</f>
        <v>21.87</v>
      </c>
      <c r="I427" s="46">
        <f>TRUNC(T427*(1-LOTE_02!$K$10),2)</f>
        <v>23.91</v>
      </c>
      <c r="J427" s="100">
        <f t="shared" si="51"/>
        <v>0.22470000000000001</v>
      </c>
      <c r="K427" s="48">
        <f t="shared" si="45"/>
        <v>26.78</v>
      </c>
      <c r="L427" s="48">
        <f t="shared" si="46"/>
        <v>29.28</v>
      </c>
      <c r="M427" s="48">
        <f t="shared" si="47"/>
        <v>669.5</v>
      </c>
      <c r="N427" s="48">
        <f t="shared" si="48"/>
        <v>732</v>
      </c>
      <c r="O427" s="50">
        <f t="shared" si="49"/>
        <v>1401.5</v>
      </c>
      <c r="P427" s="50">
        <v>0</v>
      </c>
      <c r="Q427" s="76"/>
      <c r="R427" s="140">
        <f>5*S9+10*S10</f>
        <v>25</v>
      </c>
      <c r="S427" s="79">
        <v>21.87</v>
      </c>
      <c r="T427" s="80">
        <v>23.91</v>
      </c>
    </row>
    <row r="428" spans="2:20" ht="70">
      <c r="B428" s="5" t="s">
        <v>1030</v>
      </c>
      <c r="C428" s="45" t="s">
        <v>135</v>
      </c>
      <c r="D428" s="45">
        <v>91864</v>
      </c>
      <c r="E428" s="6" t="s">
        <v>838</v>
      </c>
      <c r="F428" s="45" t="s">
        <v>187</v>
      </c>
      <c r="G428" s="46">
        <f t="shared" si="50"/>
        <v>100</v>
      </c>
      <c r="H428" s="46">
        <f>TRUNC(S428*(1-LOTE_02!$K$10),2)</f>
        <v>11.46</v>
      </c>
      <c r="I428" s="46">
        <f>TRUNC(T428*(1-LOTE_02!$K$10),2)</f>
        <v>5.66</v>
      </c>
      <c r="J428" s="100">
        <f t="shared" si="51"/>
        <v>0.22470000000000001</v>
      </c>
      <c r="K428" s="48">
        <f t="shared" si="45"/>
        <v>14.03</v>
      </c>
      <c r="L428" s="48">
        <f t="shared" si="46"/>
        <v>6.93</v>
      </c>
      <c r="M428" s="48">
        <f t="shared" si="47"/>
        <v>1403</v>
      </c>
      <c r="N428" s="48">
        <f t="shared" si="48"/>
        <v>693</v>
      </c>
      <c r="O428" s="50">
        <f t="shared" si="49"/>
        <v>2096</v>
      </c>
      <c r="P428" s="50">
        <v>0</v>
      </c>
      <c r="Q428" s="76"/>
      <c r="R428" s="140">
        <f>20*S9+40*S10</f>
        <v>100</v>
      </c>
      <c r="S428" s="79">
        <v>11.46</v>
      </c>
      <c r="T428" s="80">
        <v>5.66</v>
      </c>
    </row>
    <row r="429" spans="2:20" ht="70">
      <c r="B429" s="5" t="s">
        <v>1031</v>
      </c>
      <c r="C429" s="45" t="s">
        <v>135</v>
      </c>
      <c r="D429" s="45">
        <v>91867</v>
      </c>
      <c r="E429" s="6" t="s">
        <v>927</v>
      </c>
      <c r="F429" s="45" t="s">
        <v>187</v>
      </c>
      <c r="G429" s="46">
        <f t="shared" si="50"/>
        <v>20</v>
      </c>
      <c r="H429" s="46">
        <f>TRUNC(S429*(1-LOTE_02!$K$10),2)</f>
        <v>7.42</v>
      </c>
      <c r="I429" s="46">
        <f>TRUNC(T429*(1-LOTE_02!$K$10),2)</f>
        <v>3.82</v>
      </c>
      <c r="J429" s="100">
        <f t="shared" si="51"/>
        <v>0.22470000000000001</v>
      </c>
      <c r="K429" s="48">
        <f t="shared" si="45"/>
        <v>9.08</v>
      </c>
      <c r="L429" s="48">
        <f t="shared" si="46"/>
        <v>4.67</v>
      </c>
      <c r="M429" s="48">
        <f t="shared" si="47"/>
        <v>181.6</v>
      </c>
      <c r="N429" s="48">
        <f t="shared" si="48"/>
        <v>93.4</v>
      </c>
      <c r="O429" s="50">
        <f t="shared" si="49"/>
        <v>275</v>
      </c>
      <c r="P429" s="50">
        <v>0</v>
      </c>
      <c r="Q429" s="76"/>
      <c r="R429" s="140">
        <f>5*S9+5*S10</f>
        <v>20</v>
      </c>
      <c r="S429" s="79">
        <v>7.42</v>
      </c>
      <c r="T429" s="80">
        <v>3.82</v>
      </c>
    </row>
    <row r="430" spans="2:20" ht="42">
      <c r="B430" s="5" t="s">
        <v>1032</v>
      </c>
      <c r="C430" s="45" t="s">
        <v>165</v>
      </c>
      <c r="D430" s="45" t="s">
        <v>1033</v>
      </c>
      <c r="E430" s="6" t="s">
        <v>1034</v>
      </c>
      <c r="F430" s="45" t="s">
        <v>531</v>
      </c>
      <c r="G430" s="46">
        <f>IF($S$11=0,0,TRUNC(R430,2))</f>
        <v>50</v>
      </c>
      <c r="H430" s="46">
        <f>TRUNC(S430*(1-LOTE_02!$K$10),2)</f>
        <v>25.9</v>
      </c>
      <c r="I430" s="46">
        <f>TRUNC(T430*(1-LOTE_02!$K$10),2)</f>
        <v>15.94</v>
      </c>
      <c r="J430" s="100">
        <f t="shared" si="51"/>
        <v>0.22470000000000001</v>
      </c>
      <c r="K430" s="48">
        <f t="shared" si="45"/>
        <v>31.71</v>
      </c>
      <c r="L430" s="48">
        <f t="shared" si="46"/>
        <v>19.52</v>
      </c>
      <c r="M430" s="48">
        <f t="shared" si="47"/>
        <v>1585.5</v>
      </c>
      <c r="N430" s="48">
        <f t="shared" si="48"/>
        <v>976</v>
      </c>
      <c r="O430" s="50">
        <f t="shared" si="49"/>
        <v>2561.5</v>
      </c>
      <c r="P430" s="50">
        <v>0</v>
      </c>
      <c r="Q430" s="76"/>
      <c r="R430" s="140">
        <f>5*S9+25*S10+10</f>
        <v>50</v>
      </c>
      <c r="S430" s="79">
        <v>25.9</v>
      </c>
      <c r="T430" s="80">
        <v>15.94</v>
      </c>
    </row>
    <row r="431" spans="2:20" ht="42">
      <c r="B431" s="5" t="s">
        <v>1035</v>
      </c>
      <c r="C431" s="45" t="s">
        <v>165</v>
      </c>
      <c r="D431" s="45" t="s">
        <v>1036</v>
      </c>
      <c r="E431" s="6" t="s">
        <v>1037</v>
      </c>
      <c r="F431" s="45" t="s">
        <v>531</v>
      </c>
      <c r="G431" s="46">
        <f t="shared" si="50"/>
        <v>25</v>
      </c>
      <c r="H431" s="46">
        <f>TRUNC(S431*(1-LOTE_02!$K$10),2)</f>
        <v>19.43</v>
      </c>
      <c r="I431" s="46">
        <f>TRUNC(T431*(1-LOTE_02!$K$10),2)</f>
        <v>15.94</v>
      </c>
      <c r="J431" s="100">
        <f t="shared" si="51"/>
        <v>0.22470000000000001</v>
      </c>
      <c r="K431" s="48">
        <f t="shared" si="45"/>
        <v>23.79</v>
      </c>
      <c r="L431" s="48">
        <f t="shared" si="46"/>
        <v>19.52</v>
      </c>
      <c r="M431" s="48">
        <f t="shared" si="47"/>
        <v>594.75</v>
      </c>
      <c r="N431" s="48">
        <f t="shared" si="48"/>
        <v>488</v>
      </c>
      <c r="O431" s="50">
        <f t="shared" si="49"/>
        <v>1082.75</v>
      </c>
      <c r="P431" s="50">
        <v>0</v>
      </c>
      <c r="Q431" s="76"/>
      <c r="R431" s="140">
        <f>5*S9+10*S10</f>
        <v>25</v>
      </c>
      <c r="S431" s="79">
        <v>19.43</v>
      </c>
      <c r="T431" s="80">
        <v>15.94</v>
      </c>
    </row>
    <row r="432" spans="2:20" ht="56">
      <c r="B432" s="5" t="s">
        <v>1038</v>
      </c>
      <c r="C432" s="45" t="s">
        <v>97</v>
      </c>
      <c r="D432" s="45" t="s">
        <v>1039</v>
      </c>
      <c r="E432" s="6" t="s">
        <v>1040</v>
      </c>
      <c r="F432" s="45" t="s">
        <v>925</v>
      </c>
      <c r="G432" s="46">
        <f t="shared" si="50"/>
        <v>35</v>
      </c>
      <c r="H432" s="46">
        <f>TRUNC(S432*(1-LOTE_02!$K$10),2)</f>
        <v>30.72</v>
      </c>
      <c r="I432" s="46">
        <f>TRUNC(T432*(1-LOTE_02!$K$10),2)</f>
        <v>20.83</v>
      </c>
      <c r="J432" s="100">
        <f t="shared" si="51"/>
        <v>0.22470000000000001</v>
      </c>
      <c r="K432" s="48">
        <f t="shared" si="45"/>
        <v>37.619999999999997</v>
      </c>
      <c r="L432" s="48">
        <f t="shared" si="46"/>
        <v>25.51</v>
      </c>
      <c r="M432" s="48">
        <f t="shared" si="47"/>
        <v>1316.7</v>
      </c>
      <c r="N432" s="48">
        <f t="shared" si="48"/>
        <v>892.85</v>
      </c>
      <c r="O432" s="50">
        <f t="shared" si="49"/>
        <v>2209.5500000000002</v>
      </c>
      <c r="P432" s="50">
        <v>0</v>
      </c>
      <c r="Q432" s="76"/>
      <c r="R432" s="140">
        <f>5*S9+20*S10</f>
        <v>35</v>
      </c>
      <c r="S432" s="79">
        <v>30.72</v>
      </c>
      <c r="T432" s="80">
        <v>20.83</v>
      </c>
    </row>
    <row r="433" spans="2:20" ht="42">
      <c r="B433" s="5" t="s">
        <v>1041</v>
      </c>
      <c r="C433" s="45" t="s">
        <v>165</v>
      </c>
      <c r="D433" s="45" t="s">
        <v>1042</v>
      </c>
      <c r="E433" s="6" t="s">
        <v>1043</v>
      </c>
      <c r="F433" s="45" t="s">
        <v>531</v>
      </c>
      <c r="G433" s="46">
        <f t="shared" si="50"/>
        <v>20</v>
      </c>
      <c r="H433" s="46">
        <f>TRUNC(S433*(1-LOTE_02!$K$10),2)</f>
        <v>46.68</v>
      </c>
      <c r="I433" s="46">
        <f>TRUNC(T433*(1-LOTE_02!$K$10),2)</f>
        <v>15.42</v>
      </c>
      <c r="J433" s="100">
        <f t="shared" si="51"/>
        <v>0.22470000000000001</v>
      </c>
      <c r="K433" s="48">
        <f t="shared" si="45"/>
        <v>57.16</v>
      </c>
      <c r="L433" s="48">
        <f t="shared" si="46"/>
        <v>18.88</v>
      </c>
      <c r="M433" s="48">
        <f t="shared" si="47"/>
        <v>1143.2</v>
      </c>
      <c r="N433" s="48">
        <f t="shared" si="48"/>
        <v>377.6</v>
      </c>
      <c r="O433" s="50">
        <f t="shared" si="49"/>
        <v>1520.8</v>
      </c>
      <c r="P433" s="50">
        <v>0</v>
      </c>
      <c r="Q433" s="76"/>
      <c r="R433" s="140">
        <f>5*S9+5*S10</f>
        <v>20</v>
      </c>
      <c r="S433" s="79">
        <v>46.68</v>
      </c>
      <c r="T433" s="80">
        <v>15.42</v>
      </c>
    </row>
    <row r="434" spans="2:20" ht="28">
      <c r="B434" s="5" t="s">
        <v>1044</v>
      </c>
      <c r="C434" s="45" t="s">
        <v>97</v>
      </c>
      <c r="D434" s="45" t="s">
        <v>1045</v>
      </c>
      <c r="E434" s="6" t="s">
        <v>1046</v>
      </c>
      <c r="F434" s="45" t="s">
        <v>187</v>
      </c>
      <c r="G434" s="46">
        <f t="shared" si="50"/>
        <v>120</v>
      </c>
      <c r="H434" s="46">
        <f>TRUNC(S434*(1-LOTE_02!$K$10),2)</f>
        <v>48.69</v>
      </c>
      <c r="I434" s="46">
        <f>TRUNC(T434*(1-LOTE_02!$K$10),2)</f>
        <v>30.54</v>
      </c>
      <c r="J434" s="100">
        <f t="shared" si="51"/>
        <v>0.22470000000000001</v>
      </c>
      <c r="K434" s="48">
        <f t="shared" si="45"/>
        <v>59.63</v>
      </c>
      <c r="L434" s="48">
        <f t="shared" si="46"/>
        <v>37.4</v>
      </c>
      <c r="M434" s="48">
        <f t="shared" si="47"/>
        <v>7155.6</v>
      </c>
      <c r="N434" s="48">
        <f t="shared" si="48"/>
        <v>4488</v>
      </c>
      <c r="O434" s="50">
        <f t="shared" si="49"/>
        <v>11643.6</v>
      </c>
      <c r="P434" s="50">
        <v>0</v>
      </c>
      <c r="Q434" s="76"/>
      <c r="R434" s="140">
        <f>30*S9+30*S10</f>
        <v>120</v>
      </c>
      <c r="S434" s="79">
        <v>48.69</v>
      </c>
      <c r="T434" s="80">
        <v>30.54</v>
      </c>
    </row>
    <row r="435" spans="2:20">
      <c r="B435" s="5" t="s">
        <v>1047</v>
      </c>
      <c r="C435" s="45" t="s">
        <v>97</v>
      </c>
      <c r="D435" s="45" t="s">
        <v>1048</v>
      </c>
      <c r="E435" s="6" t="s">
        <v>1049</v>
      </c>
      <c r="F435" s="45" t="s">
        <v>104</v>
      </c>
      <c r="G435" s="46">
        <f t="shared" si="50"/>
        <v>20</v>
      </c>
      <c r="H435" s="46">
        <f>TRUNC(S435*(1-LOTE_02!$K$10),2)</f>
        <v>108.69</v>
      </c>
      <c r="I435" s="46">
        <f>TRUNC(T435*(1-LOTE_02!$K$10),2)</f>
        <v>9.9499999999999993</v>
      </c>
      <c r="J435" s="100">
        <f t="shared" si="51"/>
        <v>0.22470000000000001</v>
      </c>
      <c r="K435" s="48">
        <f t="shared" si="45"/>
        <v>133.11000000000001</v>
      </c>
      <c r="L435" s="48">
        <f t="shared" si="46"/>
        <v>12.18</v>
      </c>
      <c r="M435" s="48">
        <f t="shared" si="47"/>
        <v>2662.2</v>
      </c>
      <c r="N435" s="48">
        <f t="shared" si="48"/>
        <v>243.6</v>
      </c>
      <c r="O435" s="50">
        <f t="shared" si="49"/>
        <v>2905.8</v>
      </c>
      <c r="P435" s="50">
        <v>0</v>
      </c>
      <c r="Q435" s="76"/>
      <c r="R435" s="140">
        <f>5*S9+5*S10</f>
        <v>20</v>
      </c>
      <c r="S435" s="79">
        <v>108.69</v>
      </c>
      <c r="T435" s="80">
        <v>9.9499999999999993</v>
      </c>
    </row>
    <row r="436" spans="2:20">
      <c r="B436" s="5" t="s">
        <v>1050</v>
      </c>
      <c r="C436" s="45" t="s">
        <v>97</v>
      </c>
      <c r="D436" s="45" t="s">
        <v>1051</v>
      </c>
      <c r="E436" s="6" t="s">
        <v>1052</v>
      </c>
      <c r="F436" s="45" t="s">
        <v>104</v>
      </c>
      <c r="G436" s="46">
        <f t="shared" si="50"/>
        <v>20</v>
      </c>
      <c r="H436" s="46">
        <f>TRUNC(S436*(1-LOTE_02!$K$10),2)</f>
        <v>16.27</v>
      </c>
      <c r="I436" s="46">
        <f>TRUNC(T436*(1-LOTE_02!$K$10),2)</f>
        <v>9.9499999999999993</v>
      </c>
      <c r="J436" s="100">
        <f t="shared" si="51"/>
        <v>0.22470000000000001</v>
      </c>
      <c r="K436" s="48">
        <f t="shared" si="45"/>
        <v>19.920000000000002</v>
      </c>
      <c r="L436" s="48">
        <f t="shared" si="46"/>
        <v>12.18</v>
      </c>
      <c r="M436" s="48">
        <f t="shared" si="47"/>
        <v>398.4</v>
      </c>
      <c r="N436" s="48">
        <f t="shared" si="48"/>
        <v>243.6</v>
      </c>
      <c r="O436" s="50">
        <f t="shared" si="49"/>
        <v>642</v>
      </c>
      <c r="P436" s="50">
        <v>0</v>
      </c>
      <c r="Q436" s="76"/>
      <c r="R436" s="140">
        <f>5*S9+5*S10</f>
        <v>20</v>
      </c>
      <c r="S436" s="79">
        <v>16.27</v>
      </c>
      <c r="T436" s="80">
        <v>9.9499999999999993</v>
      </c>
    </row>
    <row r="437" spans="2:20">
      <c r="B437" s="5" t="s">
        <v>1053</v>
      </c>
      <c r="C437" s="45" t="s">
        <v>97</v>
      </c>
      <c r="D437" s="45" t="s">
        <v>1054</v>
      </c>
      <c r="E437" s="6" t="s">
        <v>1055</v>
      </c>
      <c r="F437" s="45" t="s">
        <v>104</v>
      </c>
      <c r="G437" s="46">
        <f t="shared" si="50"/>
        <v>20</v>
      </c>
      <c r="H437" s="46">
        <f>TRUNC(S437*(1-LOTE_02!$K$10),2)</f>
        <v>103.02</v>
      </c>
      <c r="I437" s="46">
        <f>TRUNC(T437*(1-LOTE_02!$K$10),2)</f>
        <v>9.9499999999999993</v>
      </c>
      <c r="J437" s="100">
        <f t="shared" si="51"/>
        <v>0.22470000000000001</v>
      </c>
      <c r="K437" s="48">
        <f t="shared" si="45"/>
        <v>126.16</v>
      </c>
      <c r="L437" s="48">
        <f t="shared" si="46"/>
        <v>12.18</v>
      </c>
      <c r="M437" s="48">
        <f t="shared" si="47"/>
        <v>2523.1999999999998</v>
      </c>
      <c r="N437" s="48">
        <f t="shared" si="48"/>
        <v>243.6</v>
      </c>
      <c r="O437" s="50">
        <f t="shared" si="49"/>
        <v>2766.8</v>
      </c>
      <c r="P437" s="50">
        <v>0</v>
      </c>
      <c r="Q437" s="76"/>
      <c r="R437" s="140">
        <f>5*S9+5*S10</f>
        <v>20</v>
      </c>
      <c r="S437" s="79">
        <v>103.02</v>
      </c>
      <c r="T437" s="80">
        <v>9.9499999999999993</v>
      </c>
    </row>
    <row r="438" spans="2:20">
      <c r="B438" s="5" t="s">
        <v>1056</v>
      </c>
      <c r="C438" s="45" t="s">
        <v>97</v>
      </c>
      <c r="D438" s="45" t="s">
        <v>1057</v>
      </c>
      <c r="E438" s="6" t="s">
        <v>1058</v>
      </c>
      <c r="F438" s="45" t="s">
        <v>1059</v>
      </c>
      <c r="G438" s="46">
        <f t="shared" si="50"/>
        <v>11</v>
      </c>
      <c r="H438" s="46">
        <f>TRUNC(S438*(1-LOTE_02!$K$10),2)</f>
        <v>28.89</v>
      </c>
      <c r="I438" s="46">
        <f>TRUNC(T438*(1-LOTE_02!$K$10),2)</f>
        <v>8.33</v>
      </c>
      <c r="J438" s="100">
        <f t="shared" si="51"/>
        <v>0.22470000000000001</v>
      </c>
      <c r="K438" s="48">
        <f t="shared" si="45"/>
        <v>35.380000000000003</v>
      </c>
      <c r="L438" s="48">
        <f t="shared" si="46"/>
        <v>10.199999999999999</v>
      </c>
      <c r="M438" s="48">
        <f t="shared" si="47"/>
        <v>389.18</v>
      </c>
      <c r="N438" s="48">
        <f t="shared" si="48"/>
        <v>112.2</v>
      </c>
      <c r="O438" s="50">
        <f t="shared" si="49"/>
        <v>501.38</v>
      </c>
      <c r="P438" s="50">
        <v>0</v>
      </c>
      <c r="Q438" s="76"/>
      <c r="R438" s="140">
        <f>2*S9+5*S10</f>
        <v>11</v>
      </c>
      <c r="S438" s="79">
        <v>28.89</v>
      </c>
      <c r="T438" s="80">
        <v>8.33</v>
      </c>
    </row>
    <row r="439" spans="2:20" ht="28">
      <c r="B439" s="5" t="s">
        <v>1060</v>
      </c>
      <c r="C439" s="45" t="s">
        <v>97</v>
      </c>
      <c r="D439" s="45" t="s">
        <v>1061</v>
      </c>
      <c r="E439" s="6" t="s">
        <v>1062</v>
      </c>
      <c r="F439" s="45" t="s">
        <v>104</v>
      </c>
      <c r="G439" s="46">
        <f t="shared" si="50"/>
        <v>80</v>
      </c>
      <c r="H439" s="46">
        <f>TRUNC(S439*(1-LOTE_02!$K$10),2)</f>
        <v>44.59</v>
      </c>
      <c r="I439" s="46">
        <f>TRUNC(T439*(1-LOTE_02!$K$10),2)</f>
        <v>32.44</v>
      </c>
      <c r="J439" s="100">
        <f t="shared" si="51"/>
        <v>0.22470000000000001</v>
      </c>
      <c r="K439" s="48">
        <f t="shared" si="45"/>
        <v>54.6</v>
      </c>
      <c r="L439" s="48">
        <f t="shared" si="46"/>
        <v>39.72</v>
      </c>
      <c r="M439" s="48">
        <f t="shared" si="47"/>
        <v>4368</v>
      </c>
      <c r="N439" s="48">
        <f t="shared" si="48"/>
        <v>3177.6</v>
      </c>
      <c r="O439" s="50">
        <f t="shared" si="49"/>
        <v>7545.6</v>
      </c>
      <c r="P439" s="50">
        <v>0</v>
      </c>
      <c r="Q439" s="76"/>
      <c r="R439" s="140">
        <f>20*S9+20*S10</f>
        <v>80</v>
      </c>
      <c r="S439" s="79">
        <v>44.59</v>
      </c>
      <c r="T439" s="80">
        <v>32.44</v>
      </c>
    </row>
    <row r="440" spans="2:20" ht="28">
      <c r="B440" s="101" t="s">
        <v>1063</v>
      </c>
      <c r="C440" s="102" t="s">
        <v>21</v>
      </c>
      <c r="D440" s="102" t="s">
        <v>21</v>
      </c>
      <c r="E440" s="103" t="s">
        <v>1064</v>
      </c>
      <c r="F440" s="102" t="s">
        <v>21</v>
      </c>
      <c r="G440" s="46">
        <f t="shared" si="50"/>
        <v>0</v>
      </c>
      <c r="H440" s="46"/>
      <c r="I440" s="46"/>
      <c r="J440" s="105"/>
      <c r="K440" s="48">
        <f t="shared" si="45"/>
        <v>0</v>
      </c>
      <c r="L440" s="48">
        <f t="shared" si="46"/>
        <v>0</v>
      </c>
      <c r="M440" s="48">
        <f t="shared" si="47"/>
        <v>0</v>
      </c>
      <c r="N440" s="48">
        <f t="shared" si="48"/>
        <v>0</v>
      </c>
      <c r="O440" s="50">
        <f t="shared" si="49"/>
        <v>0</v>
      </c>
      <c r="P440" s="50">
        <v>0</v>
      </c>
      <c r="Q440" s="76"/>
      <c r="R440" s="154"/>
      <c r="S440" s="79" t="s">
        <v>22</v>
      </c>
      <c r="T440" s="80" t="s">
        <v>22</v>
      </c>
    </row>
    <row r="441" spans="2:20" ht="84">
      <c r="B441" s="5" t="s">
        <v>1065</v>
      </c>
      <c r="C441" s="45" t="s">
        <v>135</v>
      </c>
      <c r="D441" s="45">
        <v>101878</v>
      </c>
      <c r="E441" s="6" t="s">
        <v>1066</v>
      </c>
      <c r="F441" s="45" t="s">
        <v>210</v>
      </c>
      <c r="G441" s="46">
        <f t="shared" si="50"/>
        <v>4</v>
      </c>
      <c r="H441" s="46">
        <f>TRUNC(S441*(1-LOTE_02!$K$10),2)</f>
        <v>441.1</v>
      </c>
      <c r="I441" s="46">
        <f>TRUNC(T441*(1-LOTE_02!$K$10),2)</f>
        <v>12.51</v>
      </c>
      <c r="J441" s="100">
        <f t="shared" si="51"/>
        <v>0.22470000000000001</v>
      </c>
      <c r="K441" s="48">
        <f t="shared" si="45"/>
        <v>540.21</v>
      </c>
      <c r="L441" s="48">
        <f t="shared" si="46"/>
        <v>15.32</v>
      </c>
      <c r="M441" s="48">
        <f t="shared" si="47"/>
        <v>2160.84</v>
      </c>
      <c r="N441" s="48">
        <f t="shared" si="48"/>
        <v>61.28</v>
      </c>
      <c r="O441" s="50">
        <f t="shared" si="49"/>
        <v>2222.12</v>
      </c>
      <c r="P441" s="50">
        <v>0</v>
      </c>
      <c r="Q441" s="76"/>
      <c r="R441" s="140">
        <f>IF((1*S9+1*S10)&gt;10,10,(1*S9+1*S10))</f>
        <v>4</v>
      </c>
      <c r="S441" s="79">
        <v>441.1</v>
      </c>
      <c r="T441" s="80">
        <v>12.51</v>
      </c>
    </row>
    <row r="442" spans="2:20" ht="84">
      <c r="B442" s="5" t="s">
        <v>1067</v>
      </c>
      <c r="C442" s="45" t="s">
        <v>135</v>
      </c>
      <c r="D442" s="45">
        <v>101879</v>
      </c>
      <c r="E442" s="6" t="s">
        <v>1068</v>
      </c>
      <c r="F442" s="45" t="s">
        <v>210</v>
      </c>
      <c r="G442" s="46">
        <f t="shared" si="50"/>
        <v>4</v>
      </c>
      <c r="H442" s="46">
        <f>TRUNC(S442*(1-LOTE_02!$K$10),2)</f>
        <v>526.54999999999995</v>
      </c>
      <c r="I442" s="46">
        <f>TRUNC(T442*(1-LOTE_02!$K$10),2)</f>
        <v>68.42</v>
      </c>
      <c r="J442" s="100">
        <f t="shared" si="51"/>
        <v>0.22470000000000001</v>
      </c>
      <c r="K442" s="48">
        <f t="shared" si="45"/>
        <v>644.86</v>
      </c>
      <c r="L442" s="48">
        <f t="shared" si="46"/>
        <v>83.79</v>
      </c>
      <c r="M442" s="48">
        <f t="shared" si="47"/>
        <v>2579.44</v>
      </c>
      <c r="N442" s="48">
        <f t="shared" si="48"/>
        <v>335.16</v>
      </c>
      <c r="O442" s="50">
        <f t="shared" si="49"/>
        <v>2914.6</v>
      </c>
      <c r="P442" s="50">
        <v>0</v>
      </c>
      <c r="Q442" s="76"/>
      <c r="R442" s="140">
        <f>IF((1*S9+1*S10)&gt;10,10,(1*S9+1*S10))</f>
        <v>4</v>
      </c>
      <c r="S442" s="79">
        <v>526.55000000000007</v>
      </c>
      <c r="T442" s="80">
        <v>68.42</v>
      </c>
    </row>
    <row r="443" spans="2:20" ht="84">
      <c r="B443" s="5" t="s">
        <v>1069</v>
      </c>
      <c r="C443" s="45" t="s">
        <v>135</v>
      </c>
      <c r="D443" s="45">
        <v>101880</v>
      </c>
      <c r="E443" s="6" t="s">
        <v>1070</v>
      </c>
      <c r="F443" s="45" t="s">
        <v>210</v>
      </c>
      <c r="G443" s="46">
        <f t="shared" si="50"/>
        <v>4</v>
      </c>
      <c r="H443" s="46">
        <f>TRUNC(S443*(1-LOTE_02!$K$10),2)</f>
        <v>607.32000000000005</v>
      </c>
      <c r="I443" s="46">
        <f>TRUNC(T443*(1-LOTE_02!$K$10),2)</f>
        <v>84.46</v>
      </c>
      <c r="J443" s="100">
        <f t="shared" si="51"/>
        <v>0.22470000000000001</v>
      </c>
      <c r="K443" s="48">
        <f t="shared" si="45"/>
        <v>743.78</v>
      </c>
      <c r="L443" s="48">
        <f t="shared" si="46"/>
        <v>103.43</v>
      </c>
      <c r="M443" s="48">
        <f t="shared" si="47"/>
        <v>2975.12</v>
      </c>
      <c r="N443" s="48">
        <f t="shared" si="48"/>
        <v>413.72</v>
      </c>
      <c r="O443" s="50">
        <f t="shared" si="49"/>
        <v>3388.84</v>
      </c>
      <c r="P443" s="50">
        <v>0</v>
      </c>
      <c r="Q443" s="76"/>
      <c r="R443" s="140">
        <f>IF((1*S9+1*S10)&gt;10,10,(1*S9+1*S10))</f>
        <v>4</v>
      </c>
      <c r="S443" s="79">
        <v>607.31999999999994</v>
      </c>
      <c r="T443" s="80">
        <v>84.46</v>
      </c>
    </row>
    <row r="444" spans="2:20" ht="84">
      <c r="B444" s="5" t="s">
        <v>1071</v>
      </c>
      <c r="C444" s="45" t="s">
        <v>135</v>
      </c>
      <c r="D444" s="45">
        <v>101882</v>
      </c>
      <c r="E444" s="6" t="s">
        <v>1072</v>
      </c>
      <c r="F444" s="45" t="s">
        <v>210</v>
      </c>
      <c r="G444" s="46">
        <f t="shared" si="50"/>
        <v>4</v>
      </c>
      <c r="H444" s="46">
        <f>TRUNC(S444*(1-LOTE_02!$K$10),2)</f>
        <v>1240.51</v>
      </c>
      <c r="I444" s="46">
        <f>TRUNC(T444*(1-LOTE_02!$K$10),2)</f>
        <v>84.11</v>
      </c>
      <c r="J444" s="100">
        <f t="shared" si="51"/>
        <v>0.22470000000000001</v>
      </c>
      <c r="K444" s="48">
        <f t="shared" si="45"/>
        <v>1519.25</v>
      </c>
      <c r="L444" s="48">
        <f t="shared" si="46"/>
        <v>103</v>
      </c>
      <c r="M444" s="48">
        <f t="shared" si="47"/>
        <v>6077</v>
      </c>
      <c r="N444" s="48">
        <f t="shared" si="48"/>
        <v>412</v>
      </c>
      <c r="O444" s="50">
        <f t="shared" si="49"/>
        <v>6489</v>
      </c>
      <c r="P444" s="50">
        <v>0</v>
      </c>
      <c r="Q444" s="76"/>
      <c r="R444" s="140">
        <f>IF((1*S9+1*S10)&gt;10,10,(1*S9+1*S10))</f>
        <v>4</v>
      </c>
      <c r="S444" s="79">
        <v>1240.51</v>
      </c>
      <c r="T444" s="80">
        <v>84.11</v>
      </c>
    </row>
    <row r="445" spans="2:20" ht="84">
      <c r="B445" s="5" t="s">
        <v>1073</v>
      </c>
      <c r="C445" s="45" t="s">
        <v>135</v>
      </c>
      <c r="D445" s="45">
        <v>101881</v>
      </c>
      <c r="E445" s="6" t="s">
        <v>1074</v>
      </c>
      <c r="F445" s="45" t="s">
        <v>210</v>
      </c>
      <c r="G445" s="46">
        <f t="shared" si="50"/>
        <v>4</v>
      </c>
      <c r="H445" s="46">
        <f>TRUNC(S445*(1-LOTE_02!$K$10),2)</f>
        <v>873.67</v>
      </c>
      <c r="I445" s="46">
        <f>TRUNC(T445*(1-LOTE_02!$K$10),2)</f>
        <v>84.82</v>
      </c>
      <c r="J445" s="100">
        <f t="shared" si="51"/>
        <v>0.22470000000000001</v>
      </c>
      <c r="K445" s="48">
        <f t="shared" si="45"/>
        <v>1069.98</v>
      </c>
      <c r="L445" s="48">
        <f t="shared" si="46"/>
        <v>103.87</v>
      </c>
      <c r="M445" s="48">
        <f t="shared" si="47"/>
        <v>4279.92</v>
      </c>
      <c r="N445" s="48">
        <f t="shared" si="48"/>
        <v>415.48</v>
      </c>
      <c r="O445" s="50">
        <f t="shared" si="49"/>
        <v>4695.3999999999996</v>
      </c>
      <c r="P445" s="50">
        <v>0</v>
      </c>
      <c r="Q445" s="76"/>
      <c r="R445" s="140">
        <f>IF((1*S9+1*S10)&gt;10,10,(1*S9+1*S10))</f>
        <v>4</v>
      </c>
      <c r="S445" s="79">
        <v>873.67000000000007</v>
      </c>
      <c r="T445" s="80">
        <v>84.82</v>
      </c>
    </row>
    <row r="446" spans="2:20" ht="56">
      <c r="B446" s="5" t="s">
        <v>1075</v>
      </c>
      <c r="C446" s="45" t="s">
        <v>135</v>
      </c>
      <c r="D446" s="45">
        <v>93653</v>
      </c>
      <c r="E446" s="6" t="s">
        <v>1076</v>
      </c>
      <c r="F446" s="45" t="s">
        <v>210</v>
      </c>
      <c r="G446" s="46">
        <f t="shared" si="50"/>
        <v>60</v>
      </c>
      <c r="H446" s="46">
        <f>TRUNC(S446*(1-LOTE_02!$K$10),2)</f>
        <v>10.76</v>
      </c>
      <c r="I446" s="46">
        <f>TRUNC(T446*(1-LOTE_02!$K$10),2)</f>
        <v>1.28</v>
      </c>
      <c r="J446" s="100">
        <f t="shared" si="51"/>
        <v>0.22470000000000001</v>
      </c>
      <c r="K446" s="48">
        <f t="shared" si="45"/>
        <v>13.17</v>
      </c>
      <c r="L446" s="48">
        <f t="shared" si="46"/>
        <v>1.56</v>
      </c>
      <c r="M446" s="48">
        <f t="shared" si="47"/>
        <v>790.2</v>
      </c>
      <c r="N446" s="48">
        <f t="shared" si="48"/>
        <v>93.6</v>
      </c>
      <c r="O446" s="50">
        <f t="shared" si="49"/>
        <v>883.8</v>
      </c>
      <c r="P446" s="50">
        <v>0</v>
      </c>
      <c r="Q446" s="76"/>
      <c r="R446" s="140">
        <f>10*S9+30*S10</f>
        <v>60</v>
      </c>
      <c r="S446" s="79">
        <v>10.76</v>
      </c>
      <c r="T446" s="80">
        <v>1.28</v>
      </c>
    </row>
    <row r="447" spans="2:20" ht="56">
      <c r="B447" s="5" t="s">
        <v>1077</v>
      </c>
      <c r="C447" s="45" t="s">
        <v>135</v>
      </c>
      <c r="D447" s="45">
        <v>93654</v>
      </c>
      <c r="E447" s="6" t="s">
        <v>1078</v>
      </c>
      <c r="F447" s="45" t="s">
        <v>210</v>
      </c>
      <c r="G447" s="46">
        <f t="shared" si="50"/>
        <v>60</v>
      </c>
      <c r="H447" s="46">
        <f>TRUNC(S447*(1-LOTE_02!$K$10),2)</f>
        <v>10.76</v>
      </c>
      <c r="I447" s="46">
        <f>TRUNC(T447*(1-LOTE_02!$K$10),2)</f>
        <v>1.28</v>
      </c>
      <c r="J447" s="100">
        <f t="shared" si="51"/>
        <v>0.22470000000000001</v>
      </c>
      <c r="K447" s="48">
        <f t="shared" si="45"/>
        <v>13.17</v>
      </c>
      <c r="L447" s="48">
        <f t="shared" si="46"/>
        <v>1.56</v>
      </c>
      <c r="M447" s="48">
        <f t="shared" si="47"/>
        <v>790.2</v>
      </c>
      <c r="N447" s="48">
        <f t="shared" si="48"/>
        <v>93.6</v>
      </c>
      <c r="O447" s="50">
        <f t="shared" si="49"/>
        <v>883.8</v>
      </c>
      <c r="P447" s="50">
        <v>0</v>
      </c>
      <c r="Q447" s="76"/>
      <c r="R447" s="140">
        <f>10*S9+30*S10</f>
        <v>60</v>
      </c>
      <c r="S447" s="79">
        <v>10.76</v>
      </c>
      <c r="T447" s="80">
        <v>1.28</v>
      </c>
    </row>
    <row r="448" spans="2:20" ht="56">
      <c r="B448" s="5" t="s">
        <v>1079</v>
      </c>
      <c r="C448" s="45" t="s">
        <v>135</v>
      </c>
      <c r="D448" s="45">
        <v>93655</v>
      </c>
      <c r="E448" s="6" t="s">
        <v>1080</v>
      </c>
      <c r="F448" s="45" t="s">
        <v>210</v>
      </c>
      <c r="G448" s="46">
        <f t="shared" si="50"/>
        <v>20</v>
      </c>
      <c r="H448" s="46">
        <f>TRUNC(S448*(1-LOTE_02!$K$10),2)</f>
        <v>11.26</v>
      </c>
      <c r="I448" s="46">
        <f>TRUNC(T448*(1-LOTE_02!$K$10),2)</f>
        <v>1.74</v>
      </c>
      <c r="J448" s="100">
        <f t="shared" si="51"/>
        <v>0.22470000000000001</v>
      </c>
      <c r="K448" s="48">
        <f t="shared" si="45"/>
        <v>13.79</v>
      </c>
      <c r="L448" s="48">
        <f t="shared" si="46"/>
        <v>2.13</v>
      </c>
      <c r="M448" s="48">
        <f t="shared" si="47"/>
        <v>275.8</v>
      </c>
      <c r="N448" s="48">
        <f t="shared" si="48"/>
        <v>42.6</v>
      </c>
      <c r="O448" s="50">
        <f t="shared" si="49"/>
        <v>318.39999999999998</v>
      </c>
      <c r="P448" s="50">
        <v>0</v>
      </c>
      <c r="Q448" s="76"/>
      <c r="R448" s="140">
        <f>5*S9+5*S10</f>
        <v>20</v>
      </c>
      <c r="S448" s="79">
        <v>11.26</v>
      </c>
      <c r="T448" s="80">
        <v>1.74</v>
      </c>
    </row>
    <row r="449" spans="2:20" ht="56">
      <c r="B449" s="5" t="s">
        <v>1081</v>
      </c>
      <c r="C449" s="45" t="s">
        <v>135</v>
      </c>
      <c r="D449" s="45">
        <v>93661</v>
      </c>
      <c r="E449" s="6" t="s">
        <v>912</v>
      </c>
      <c r="F449" s="45" t="s">
        <v>210</v>
      </c>
      <c r="G449" s="46">
        <f t="shared" si="50"/>
        <v>4</v>
      </c>
      <c r="H449" s="46">
        <f>TRUNC(S449*(1-LOTE_02!$K$10),2)</f>
        <v>55.27</v>
      </c>
      <c r="I449" s="46">
        <f>TRUNC(T449*(1-LOTE_02!$K$10),2)</f>
        <v>2.54</v>
      </c>
      <c r="J449" s="100">
        <f t="shared" si="51"/>
        <v>0.22470000000000001</v>
      </c>
      <c r="K449" s="48">
        <f t="shared" si="45"/>
        <v>67.680000000000007</v>
      </c>
      <c r="L449" s="48">
        <f t="shared" si="46"/>
        <v>3.11</v>
      </c>
      <c r="M449" s="48">
        <f t="shared" si="47"/>
        <v>270.72000000000003</v>
      </c>
      <c r="N449" s="48">
        <f t="shared" si="48"/>
        <v>12.44</v>
      </c>
      <c r="O449" s="50">
        <f t="shared" si="49"/>
        <v>283.16000000000003</v>
      </c>
      <c r="P449" s="50">
        <v>0</v>
      </c>
      <c r="Q449" s="76"/>
      <c r="R449" s="140">
        <f>1*S9+1*S10</f>
        <v>4</v>
      </c>
      <c r="S449" s="79">
        <v>55.27</v>
      </c>
      <c r="T449" s="80">
        <v>2.54</v>
      </c>
    </row>
    <row r="450" spans="2:20" ht="56">
      <c r="B450" s="5" t="s">
        <v>1082</v>
      </c>
      <c r="C450" s="45" t="s">
        <v>135</v>
      </c>
      <c r="D450" s="45">
        <v>93666</v>
      </c>
      <c r="E450" s="6" t="s">
        <v>1083</v>
      </c>
      <c r="F450" s="45" t="s">
        <v>210</v>
      </c>
      <c r="G450" s="46">
        <f t="shared" si="50"/>
        <v>4</v>
      </c>
      <c r="H450" s="46">
        <f>TRUNC(S450*(1-LOTE_02!$K$10),2)</f>
        <v>60.88</v>
      </c>
      <c r="I450" s="46">
        <f>TRUNC(T450*(1-LOTE_02!$K$10),2)</f>
        <v>13.19</v>
      </c>
      <c r="J450" s="100">
        <f t="shared" si="51"/>
        <v>0.22470000000000001</v>
      </c>
      <c r="K450" s="48">
        <f t="shared" si="45"/>
        <v>74.55</v>
      </c>
      <c r="L450" s="48">
        <f t="shared" si="46"/>
        <v>16.149999999999999</v>
      </c>
      <c r="M450" s="48">
        <f t="shared" si="47"/>
        <v>298.2</v>
      </c>
      <c r="N450" s="48">
        <f t="shared" si="48"/>
        <v>64.599999999999994</v>
      </c>
      <c r="O450" s="50">
        <f t="shared" si="49"/>
        <v>362.8</v>
      </c>
      <c r="P450" s="50">
        <v>0</v>
      </c>
      <c r="Q450" s="76"/>
      <c r="R450" s="140">
        <f>1*S9+1*S10</f>
        <v>4</v>
      </c>
      <c r="S450" s="79">
        <v>60.879999999999995</v>
      </c>
      <c r="T450" s="80">
        <v>13.19</v>
      </c>
    </row>
    <row r="451" spans="2:20" ht="56">
      <c r="B451" s="5" t="s">
        <v>1084</v>
      </c>
      <c r="C451" s="45" t="s">
        <v>135</v>
      </c>
      <c r="D451" s="45">
        <v>93672</v>
      </c>
      <c r="E451" s="6" t="s">
        <v>1085</v>
      </c>
      <c r="F451" s="45" t="s">
        <v>210</v>
      </c>
      <c r="G451" s="46">
        <f t="shared" si="50"/>
        <v>4</v>
      </c>
      <c r="H451" s="46">
        <f>TRUNC(S451*(1-LOTE_02!$K$10),2)</f>
        <v>75.03</v>
      </c>
      <c r="I451" s="46">
        <f>TRUNC(T451*(1-LOTE_02!$K$10),2)</f>
        <v>14.19</v>
      </c>
      <c r="J451" s="100">
        <f t="shared" si="51"/>
        <v>0.22470000000000001</v>
      </c>
      <c r="K451" s="48">
        <f t="shared" si="45"/>
        <v>91.88</v>
      </c>
      <c r="L451" s="48">
        <f t="shared" si="46"/>
        <v>17.37</v>
      </c>
      <c r="M451" s="48">
        <f t="shared" si="47"/>
        <v>367.52</v>
      </c>
      <c r="N451" s="48">
        <f t="shared" si="48"/>
        <v>69.48</v>
      </c>
      <c r="O451" s="50">
        <f t="shared" si="49"/>
        <v>437</v>
      </c>
      <c r="P451" s="50">
        <v>0</v>
      </c>
      <c r="Q451" s="76"/>
      <c r="R451" s="140">
        <f>1*S9+1*S10</f>
        <v>4</v>
      </c>
      <c r="S451" s="79">
        <v>75.03</v>
      </c>
      <c r="T451" s="80">
        <v>14.19</v>
      </c>
    </row>
    <row r="452" spans="2:20" ht="56">
      <c r="B452" s="5" t="s">
        <v>1086</v>
      </c>
      <c r="C452" s="45" t="s">
        <v>135</v>
      </c>
      <c r="D452" s="45">
        <v>101894</v>
      </c>
      <c r="E452" s="6" t="s">
        <v>1087</v>
      </c>
      <c r="F452" s="45" t="s">
        <v>210</v>
      </c>
      <c r="G452" s="46">
        <f t="shared" si="50"/>
        <v>4</v>
      </c>
      <c r="H452" s="46">
        <f>TRUNC(S452*(1-LOTE_02!$K$10),2)</f>
        <v>131.12</v>
      </c>
      <c r="I452" s="46">
        <f>TRUNC(T452*(1-LOTE_02!$K$10),2)</f>
        <v>27.14</v>
      </c>
      <c r="J452" s="100">
        <f t="shared" si="51"/>
        <v>0.22470000000000001</v>
      </c>
      <c r="K452" s="48">
        <f t="shared" si="45"/>
        <v>160.58000000000001</v>
      </c>
      <c r="L452" s="48">
        <f t="shared" si="46"/>
        <v>33.229999999999997</v>
      </c>
      <c r="M452" s="48">
        <f t="shared" si="47"/>
        <v>642.32000000000005</v>
      </c>
      <c r="N452" s="48">
        <f t="shared" si="48"/>
        <v>132.91999999999999</v>
      </c>
      <c r="O452" s="50">
        <f t="shared" si="49"/>
        <v>775.24</v>
      </c>
      <c r="P452" s="50">
        <v>0</v>
      </c>
      <c r="Q452" s="76"/>
      <c r="R452" s="140">
        <f>1*S9+1*S10</f>
        <v>4</v>
      </c>
      <c r="S452" s="79">
        <v>131.12</v>
      </c>
      <c r="T452" s="80">
        <v>27.14</v>
      </c>
    </row>
    <row r="453" spans="2:20" ht="56">
      <c r="B453" s="5" t="s">
        <v>1088</v>
      </c>
      <c r="C453" s="45" t="s">
        <v>135</v>
      </c>
      <c r="D453" s="45">
        <v>91932</v>
      </c>
      <c r="E453" s="6" t="s">
        <v>1089</v>
      </c>
      <c r="F453" s="45" t="s">
        <v>187</v>
      </c>
      <c r="G453" s="46">
        <f t="shared" si="50"/>
        <v>90</v>
      </c>
      <c r="H453" s="46">
        <f>TRUNC(S453*(1-LOTE_02!$K$10),2)</f>
        <v>16.61</v>
      </c>
      <c r="I453" s="46">
        <f>TRUNC(T453*(1-LOTE_02!$K$10),2)</f>
        <v>3.1</v>
      </c>
      <c r="J453" s="100">
        <f t="shared" si="51"/>
        <v>0.22470000000000001</v>
      </c>
      <c r="K453" s="48">
        <f t="shared" si="45"/>
        <v>20.34</v>
      </c>
      <c r="L453" s="48">
        <f t="shared" si="46"/>
        <v>3.79</v>
      </c>
      <c r="M453" s="48">
        <f t="shared" si="47"/>
        <v>1830.6</v>
      </c>
      <c r="N453" s="48">
        <f t="shared" si="48"/>
        <v>341.1</v>
      </c>
      <c r="O453" s="50">
        <f t="shared" si="49"/>
        <v>2171.6999999999998</v>
      </c>
      <c r="P453" s="50">
        <v>0</v>
      </c>
      <c r="Q453" s="76"/>
      <c r="R453" s="140">
        <f>20*S9+30*S10</f>
        <v>90</v>
      </c>
      <c r="S453" s="79">
        <v>16.61</v>
      </c>
      <c r="T453" s="80">
        <v>3.1</v>
      </c>
    </row>
    <row r="454" spans="2:20" ht="56">
      <c r="B454" s="5" t="s">
        <v>1090</v>
      </c>
      <c r="C454" s="45" t="s">
        <v>135</v>
      </c>
      <c r="D454" s="45">
        <v>91928</v>
      </c>
      <c r="E454" s="6" t="s">
        <v>844</v>
      </c>
      <c r="F454" s="45" t="s">
        <v>187</v>
      </c>
      <c r="G454" s="46">
        <f t="shared" si="50"/>
        <v>90</v>
      </c>
      <c r="H454" s="46">
        <f>TRUNC(S454*(1-LOTE_02!$K$10),2)</f>
        <v>6.21</v>
      </c>
      <c r="I454" s="46">
        <f>TRUNC(T454*(1-LOTE_02!$K$10),2)</f>
        <v>1.57</v>
      </c>
      <c r="J454" s="100">
        <f t="shared" si="51"/>
        <v>0.22470000000000001</v>
      </c>
      <c r="K454" s="48">
        <f t="shared" si="45"/>
        <v>7.6</v>
      </c>
      <c r="L454" s="48">
        <f t="shared" si="46"/>
        <v>1.92</v>
      </c>
      <c r="M454" s="48">
        <f t="shared" si="47"/>
        <v>684</v>
      </c>
      <c r="N454" s="48">
        <f t="shared" si="48"/>
        <v>172.8</v>
      </c>
      <c r="O454" s="50">
        <f t="shared" si="49"/>
        <v>856.8</v>
      </c>
      <c r="P454" s="50">
        <v>0</v>
      </c>
      <c r="Q454" s="76"/>
      <c r="R454" s="140">
        <f>20*S9+30*S10</f>
        <v>90</v>
      </c>
      <c r="S454" s="79">
        <v>6.21</v>
      </c>
      <c r="T454" s="80">
        <v>1.57</v>
      </c>
    </row>
    <row r="455" spans="2:20" ht="56">
      <c r="B455" s="5" t="s">
        <v>1091</v>
      </c>
      <c r="C455" s="45" t="s">
        <v>135</v>
      </c>
      <c r="D455" s="45">
        <v>91926</v>
      </c>
      <c r="E455" s="6" t="s">
        <v>840</v>
      </c>
      <c r="F455" s="45" t="s">
        <v>187</v>
      </c>
      <c r="G455" s="46">
        <f t="shared" si="50"/>
        <v>1600</v>
      </c>
      <c r="H455" s="46">
        <f>TRUNC(S455*(1-LOTE_02!$K$10),2)</f>
        <v>3.83</v>
      </c>
      <c r="I455" s="46">
        <f>TRUNC(T455*(1-LOTE_02!$K$10),2)</f>
        <v>1.1599999999999999</v>
      </c>
      <c r="J455" s="100">
        <f t="shared" si="51"/>
        <v>0.22470000000000001</v>
      </c>
      <c r="K455" s="48">
        <f t="shared" si="45"/>
        <v>4.6900000000000004</v>
      </c>
      <c r="L455" s="48">
        <f t="shared" si="46"/>
        <v>1.42</v>
      </c>
      <c r="M455" s="48">
        <f t="shared" si="47"/>
        <v>7504</v>
      </c>
      <c r="N455" s="48">
        <f t="shared" si="48"/>
        <v>2272</v>
      </c>
      <c r="O455" s="50">
        <f t="shared" si="49"/>
        <v>9776</v>
      </c>
      <c r="P455" s="50">
        <v>0</v>
      </c>
      <c r="Q455" s="76"/>
      <c r="R455" s="140">
        <f>1000*S10+200*S9</f>
        <v>1600</v>
      </c>
      <c r="S455" s="79">
        <v>3.83</v>
      </c>
      <c r="T455" s="80">
        <v>1.1599999999999999</v>
      </c>
    </row>
    <row r="456" spans="2:20" ht="56">
      <c r="B456" s="5" t="s">
        <v>1092</v>
      </c>
      <c r="C456" s="45" t="s">
        <v>135</v>
      </c>
      <c r="D456" s="45">
        <v>91927</v>
      </c>
      <c r="E456" s="6" t="s">
        <v>1093</v>
      </c>
      <c r="F456" s="45" t="s">
        <v>187</v>
      </c>
      <c r="G456" s="46">
        <f t="shared" si="50"/>
        <v>1600</v>
      </c>
      <c r="H456" s="46">
        <f>TRUNC(S456*(1-LOTE_02!$K$10),2)</f>
        <v>4.4800000000000004</v>
      </c>
      <c r="I456" s="46">
        <f>TRUNC(T456*(1-LOTE_02!$K$10),2)</f>
        <v>1.1599999999999999</v>
      </c>
      <c r="J456" s="100">
        <f t="shared" si="51"/>
        <v>0.22470000000000001</v>
      </c>
      <c r="K456" s="48">
        <f t="shared" si="45"/>
        <v>5.48</v>
      </c>
      <c r="L456" s="48">
        <f t="shared" si="46"/>
        <v>1.42</v>
      </c>
      <c r="M456" s="48">
        <f t="shared" si="47"/>
        <v>8768</v>
      </c>
      <c r="N456" s="48">
        <f t="shared" si="48"/>
        <v>2272</v>
      </c>
      <c r="O456" s="50">
        <f t="shared" si="49"/>
        <v>11040</v>
      </c>
      <c r="P456" s="50">
        <v>0</v>
      </c>
      <c r="Q456" s="76"/>
      <c r="R456" s="140">
        <f>1000*S10+200*S9</f>
        <v>1600</v>
      </c>
      <c r="S456" s="79">
        <v>4.4799999999999995</v>
      </c>
      <c r="T456" s="80">
        <v>1.1599999999999999</v>
      </c>
    </row>
    <row r="457" spans="2:20" ht="28">
      <c r="B457" s="5" t="s">
        <v>1094</v>
      </c>
      <c r="C457" s="45" t="s">
        <v>97</v>
      </c>
      <c r="D457" s="45" t="s">
        <v>1095</v>
      </c>
      <c r="E457" s="6" t="s">
        <v>1096</v>
      </c>
      <c r="F457" s="45" t="s">
        <v>104</v>
      </c>
      <c r="G457" s="46">
        <f t="shared" si="50"/>
        <v>4</v>
      </c>
      <c r="H457" s="46">
        <f>TRUNC(S457*(1-LOTE_02!$K$10),2)</f>
        <v>11.35</v>
      </c>
      <c r="I457" s="46">
        <f>TRUNC(T457*(1-LOTE_02!$K$10),2)</f>
        <v>50</v>
      </c>
      <c r="J457" s="100">
        <f t="shared" si="51"/>
        <v>0.22470000000000001</v>
      </c>
      <c r="K457" s="48">
        <f t="shared" si="45"/>
        <v>13.9</v>
      </c>
      <c r="L457" s="48">
        <f t="shared" si="46"/>
        <v>61.23</v>
      </c>
      <c r="M457" s="48">
        <f t="shared" si="47"/>
        <v>55.6</v>
      </c>
      <c r="N457" s="48">
        <f t="shared" si="48"/>
        <v>244.92</v>
      </c>
      <c r="O457" s="50">
        <f t="shared" si="49"/>
        <v>300.52</v>
      </c>
      <c r="P457" s="50">
        <v>0</v>
      </c>
      <c r="Q457" s="76"/>
      <c r="R457" s="140">
        <f>IF((1*S9+1*S10)&gt;10,10,(1*S9+1*S10))</f>
        <v>4</v>
      </c>
      <c r="S457" s="79">
        <v>11.35</v>
      </c>
      <c r="T457" s="80">
        <v>50</v>
      </c>
    </row>
    <row r="458" spans="2:20" ht="42">
      <c r="B458" s="5" t="s">
        <v>1097</v>
      </c>
      <c r="C458" s="45" t="s">
        <v>165</v>
      </c>
      <c r="D458" s="45" t="s">
        <v>1098</v>
      </c>
      <c r="E458" s="6" t="s">
        <v>1099</v>
      </c>
      <c r="F458" s="45" t="s">
        <v>559</v>
      </c>
      <c r="G458" s="46">
        <f t="shared" si="50"/>
        <v>4</v>
      </c>
      <c r="H458" s="46">
        <f>TRUNC(S458*(1-LOTE_02!$K$10),2)</f>
        <v>266.07</v>
      </c>
      <c r="I458" s="46">
        <f>TRUNC(T458*(1-LOTE_02!$K$10),2)</f>
        <v>98.84</v>
      </c>
      <c r="J458" s="100">
        <f t="shared" si="51"/>
        <v>0.22470000000000001</v>
      </c>
      <c r="K458" s="48">
        <f t="shared" si="45"/>
        <v>325.85000000000002</v>
      </c>
      <c r="L458" s="48">
        <f t="shared" si="46"/>
        <v>121.04</v>
      </c>
      <c r="M458" s="48">
        <f t="shared" si="47"/>
        <v>1303.4000000000001</v>
      </c>
      <c r="N458" s="48">
        <f t="shared" si="48"/>
        <v>484.16</v>
      </c>
      <c r="O458" s="50">
        <f t="shared" si="49"/>
        <v>1787.56</v>
      </c>
      <c r="P458" s="50">
        <v>0</v>
      </c>
      <c r="Q458" s="76"/>
      <c r="R458" s="140">
        <f>IF((1*S9+1*S10)&gt;10,10,(1*S9+1*S10))</f>
        <v>4</v>
      </c>
      <c r="S458" s="79">
        <v>266.07</v>
      </c>
      <c r="T458" s="80">
        <v>98.84</v>
      </c>
    </row>
    <row r="459" spans="2:20" ht="42">
      <c r="B459" s="5" t="s">
        <v>1100</v>
      </c>
      <c r="C459" s="45" t="s">
        <v>165</v>
      </c>
      <c r="D459" s="45" t="s">
        <v>1101</v>
      </c>
      <c r="E459" s="6" t="s">
        <v>1102</v>
      </c>
      <c r="F459" s="45" t="s">
        <v>559</v>
      </c>
      <c r="G459" s="46">
        <f t="shared" si="50"/>
        <v>4</v>
      </c>
      <c r="H459" s="46">
        <f>TRUNC(S459*(1-LOTE_02!$K$10),2)</f>
        <v>192.55</v>
      </c>
      <c r="I459" s="46">
        <f>TRUNC(T459*(1-LOTE_02!$K$10),2)</f>
        <v>92.47</v>
      </c>
      <c r="J459" s="100">
        <f t="shared" si="51"/>
        <v>0.22470000000000001</v>
      </c>
      <c r="K459" s="48">
        <f t="shared" si="45"/>
        <v>235.81</v>
      </c>
      <c r="L459" s="48">
        <f t="shared" si="46"/>
        <v>113.24</v>
      </c>
      <c r="M459" s="48">
        <f t="shared" si="47"/>
        <v>943.24</v>
      </c>
      <c r="N459" s="48">
        <f t="shared" si="48"/>
        <v>452.96</v>
      </c>
      <c r="O459" s="50">
        <f t="shared" si="49"/>
        <v>1396.2</v>
      </c>
      <c r="P459" s="50">
        <v>0</v>
      </c>
      <c r="Q459" s="76"/>
      <c r="R459" s="140">
        <f>IF((1*S9+1*S10)&gt;10,10,(1*S9+1*S10))</f>
        <v>4</v>
      </c>
      <c r="S459" s="79">
        <v>192.55</v>
      </c>
      <c r="T459" s="80">
        <v>92.47</v>
      </c>
    </row>
    <row r="460" spans="2:20" ht="42">
      <c r="B460" s="5" t="s">
        <v>1103</v>
      </c>
      <c r="C460" s="45" t="s">
        <v>165</v>
      </c>
      <c r="D460" s="45" t="s">
        <v>1104</v>
      </c>
      <c r="E460" s="6" t="s">
        <v>1105</v>
      </c>
      <c r="F460" s="45" t="s">
        <v>559</v>
      </c>
      <c r="G460" s="46">
        <f t="shared" si="50"/>
        <v>4</v>
      </c>
      <c r="H460" s="46">
        <f>TRUNC(S460*(1-LOTE_02!$K$10),2)</f>
        <v>102.97</v>
      </c>
      <c r="I460" s="46">
        <f>TRUNC(T460*(1-LOTE_02!$K$10),2)</f>
        <v>82.9</v>
      </c>
      <c r="J460" s="100">
        <f t="shared" si="51"/>
        <v>0.22470000000000001</v>
      </c>
      <c r="K460" s="48">
        <f t="shared" si="45"/>
        <v>126.1</v>
      </c>
      <c r="L460" s="48">
        <f t="shared" si="46"/>
        <v>101.52</v>
      </c>
      <c r="M460" s="48">
        <f t="shared" si="47"/>
        <v>504.4</v>
      </c>
      <c r="N460" s="48">
        <f t="shared" si="48"/>
        <v>406.08</v>
      </c>
      <c r="O460" s="50">
        <f t="shared" si="49"/>
        <v>910.48</v>
      </c>
      <c r="P460" s="50">
        <v>0</v>
      </c>
      <c r="Q460" s="76"/>
      <c r="R460" s="140">
        <f>IF((1*S9+1*S10)&gt;10,10,(1*S9+1*S10))</f>
        <v>4</v>
      </c>
      <c r="S460" s="79">
        <v>102.97</v>
      </c>
      <c r="T460" s="80">
        <v>82.9</v>
      </c>
    </row>
    <row r="461" spans="2:20" ht="28">
      <c r="B461" s="5" t="s">
        <v>1106</v>
      </c>
      <c r="C461" s="45" t="s">
        <v>97</v>
      </c>
      <c r="D461" s="45" t="s">
        <v>1107</v>
      </c>
      <c r="E461" s="6" t="s">
        <v>1108</v>
      </c>
      <c r="F461" s="45" t="s">
        <v>104</v>
      </c>
      <c r="G461" s="46">
        <f t="shared" si="50"/>
        <v>4</v>
      </c>
      <c r="H461" s="46">
        <f>TRUNC(S461*(1-LOTE_02!$K$10),2)</f>
        <v>197.51</v>
      </c>
      <c r="I461" s="46">
        <f>TRUNC(T461*(1-LOTE_02!$K$10),2)</f>
        <v>12.5</v>
      </c>
      <c r="J461" s="100">
        <f t="shared" si="51"/>
        <v>0.22470000000000001</v>
      </c>
      <c r="K461" s="48">
        <f t="shared" si="45"/>
        <v>241.89</v>
      </c>
      <c r="L461" s="48">
        <f t="shared" si="46"/>
        <v>15.3</v>
      </c>
      <c r="M461" s="48">
        <f t="shared" si="47"/>
        <v>967.56</v>
      </c>
      <c r="N461" s="48">
        <f t="shared" si="48"/>
        <v>61.2</v>
      </c>
      <c r="O461" s="50">
        <f t="shared" si="49"/>
        <v>1028.76</v>
      </c>
      <c r="P461" s="50">
        <v>0</v>
      </c>
      <c r="Q461" s="76"/>
      <c r="R461" s="140">
        <f>1*S9+1*S10</f>
        <v>4</v>
      </c>
      <c r="S461" s="79">
        <v>197.51</v>
      </c>
      <c r="T461" s="80">
        <v>12.5</v>
      </c>
    </row>
    <row r="462" spans="2:20" ht="42">
      <c r="B462" s="5" t="s">
        <v>1109</v>
      </c>
      <c r="C462" s="45" t="s">
        <v>97</v>
      </c>
      <c r="D462" s="45" t="s">
        <v>1110</v>
      </c>
      <c r="E462" s="6" t="s">
        <v>1111</v>
      </c>
      <c r="F462" s="45" t="s">
        <v>104</v>
      </c>
      <c r="G462" s="46">
        <f t="shared" si="50"/>
        <v>10</v>
      </c>
      <c r="H462" s="46">
        <f>TRUNC(S462*(1-LOTE_02!$K$10),2)</f>
        <v>102</v>
      </c>
      <c r="I462" s="46">
        <f>TRUNC(T462*(1-LOTE_02!$K$10),2)</f>
        <v>20.83</v>
      </c>
      <c r="J462" s="100">
        <f t="shared" si="51"/>
        <v>0.22470000000000001</v>
      </c>
      <c r="K462" s="48">
        <f t="shared" si="45"/>
        <v>124.91</v>
      </c>
      <c r="L462" s="48">
        <f t="shared" si="46"/>
        <v>25.51</v>
      </c>
      <c r="M462" s="48">
        <f t="shared" si="47"/>
        <v>1249.0999999999999</v>
      </c>
      <c r="N462" s="48">
        <f t="shared" si="48"/>
        <v>255.1</v>
      </c>
      <c r="O462" s="50">
        <f t="shared" si="49"/>
        <v>1504.2</v>
      </c>
      <c r="P462" s="50">
        <v>0</v>
      </c>
      <c r="Q462" s="76"/>
      <c r="R462" s="140">
        <f>IF((2*S9+4*S10)&gt;50,50,(2*S9+4*S10))</f>
        <v>10</v>
      </c>
      <c r="S462" s="79">
        <v>102</v>
      </c>
      <c r="T462" s="80">
        <v>20.83</v>
      </c>
    </row>
    <row r="463" spans="2:20" ht="42">
      <c r="B463" s="5" t="s">
        <v>1112</v>
      </c>
      <c r="C463" s="45" t="s">
        <v>97</v>
      </c>
      <c r="D463" s="45" t="s">
        <v>1113</v>
      </c>
      <c r="E463" s="6" t="s">
        <v>1114</v>
      </c>
      <c r="F463" s="45" t="s">
        <v>104</v>
      </c>
      <c r="G463" s="46">
        <f t="shared" si="50"/>
        <v>4</v>
      </c>
      <c r="H463" s="46">
        <f>TRUNC(S463*(1-LOTE_02!$K$10),2)</f>
        <v>269.73</v>
      </c>
      <c r="I463" s="46">
        <f>TRUNC(T463*(1-LOTE_02!$K$10),2)</f>
        <v>20.83</v>
      </c>
      <c r="J463" s="100">
        <f t="shared" si="51"/>
        <v>0.22470000000000001</v>
      </c>
      <c r="K463" s="48">
        <f t="shared" si="45"/>
        <v>330.33</v>
      </c>
      <c r="L463" s="48">
        <f t="shared" si="46"/>
        <v>25.51</v>
      </c>
      <c r="M463" s="48">
        <f t="shared" si="47"/>
        <v>1321.32</v>
      </c>
      <c r="N463" s="48">
        <f t="shared" si="48"/>
        <v>102.04</v>
      </c>
      <c r="O463" s="50">
        <f t="shared" si="49"/>
        <v>1423.36</v>
      </c>
      <c r="P463" s="50">
        <v>0</v>
      </c>
      <c r="Q463" s="76"/>
      <c r="R463" s="140">
        <f>1*S9+1*S10</f>
        <v>4</v>
      </c>
      <c r="S463" s="79">
        <v>269.73</v>
      </c>
      <c r="T463" s="80">
        <v>20.83</v>
      </c>
    </row>
    <row r="464" spans="2:20" ht="42">
      <c r="B464" s="5" t="s">
        <v>1115</v>
      </c>
      <c r="C464" s="45" t="s">
        <v>97</v>
      </c>
      <c r="D464" s="45" t="s">
        <v>1116</v>
      </c>
      <c r="E464" s="6" t="s">
        <v>1117</v>
      </c>
      <c r="F464" s="45" t="s">
        <v>104</v>
      </c>
      <c r="G464" s="46">
        <f t="shared" si="50"/>
        <v>4</v>
      </c>
      <c r="H464" s="46">
        <f>TRUNC(S464*(1-LOTE_02!$K$10),2)</f>
        <v>240</v>
      </c>
      <c r="I464" s="46">
        <f>TRUNC(T464*(1-LOTE_02!$K$10),2)</f>
        <v>14.58</v>
      </c>
      <c r="J464" s="100">
        <f t="shared" si="51"/>
        <v>0.22470000000000001</v>
      </c>
      <c r="K464" s="48">
        <f t="shared" ref="K464:K527" si="52">TRUNC(H464*(1+J464),2)</f>
        <v>293.92</v>
      </c>
      <c r="L464" s="48">
        <f t="shared" ref="L464:L527" si="53">TRUNC(I464*(1+J464),2)</f>
        <v>17.850000000000001</v>
      </c>
      <c r="M464" s="48">
        <f t="shared" ref="M464:M527" si="54">TRUNC(K464*G464,2)</f>
        <v>1175.68</v>
      </c>
      <c r="N464" s="48">
        <f t="shared" ref="N464:N527" si="55">TRUNC(L464*G464,2)</f>
        <v>71.400000000000006</v>
      </c>
      <c r="O464" s="50">
        <f t="shared" ref="O464:O527" si="56">TRUNC(M464+N464,2)</f>
        <v>1247.08</v>
      </c>
      <c r="P464" s="50">
        <v>0</v>
      </c>
      <c r="Q464" s="76"/>
      <c r="R464" s="140">
        <f>1*S9+1*S10</f>
        <v>4</v>
      </c>
      <c r="S464" s="79">
        <v>240</v>
      </c>
      <c r="T464" s="80">
        <v>14.58</v>
      </c>
    </row>
    <row r="465" spans="2:20">
      <c r="B465" s="5" t="s">
        <v>1118</v>
      </c>
      <c r="C465" s="45" t="s">
        <v>97</v>
      </c>
      <c r="D465" s="45" t="s">
        <v>1119</v>
      </c>
      <c r="E465" s="6" t="s">
        <v>1120</v>
      </c>
      <c r="F465" s="45" t="s">
        <v>104</v>
      </c>
      <c r="G465" s="46">
        <f t="shared" si="50"/>
        <v>4</v>
      </c>
      <c r="H465" s="46">
        <f>TRUNC(S465*(1-LOTE_02!$K$10),2)</f>
        <v>128.31</v>
      </c>
      <c r="I465" s="46">
        <f>TRUNC(T465*(1-LOTE_02!$K$10),2)</f>
        <v>14.58</v>
      </c>
      <c r="J465" s="100">
        <f t="shared" si="51"/>
        <v>0.22470000000000001</v>
      </c>
      <c r="K465" s="48">
        <f t="shared" si="52"/>
        <v>157.13999999999999</v>
      </c>
      <c r="L465" s="48">
        <f t="shared" si="53"/>
        <v>17.850000000000001</v>
      </c>
      <c r="M465" s="48">
        <f t="shared" si="54"/>
        <v>628.55999999999995</v>
      </c>
      <c r="N465" s="48">
        <f t="shared" si="55"/>
        <v>71.400000000000006</v>
      </c>
      <c r="O465" s="50">
        <f t="shared" si="56"/>
        <v>699.96</v>
      </c>
      <c r="P465" s="50">
        <v>0</v>
      </c>
      <c r="Q465" s="76"/>
      <c r="R465" s="140">
        <f>1*S9+1*S10</f>
        <v>4</v>
      </c>
      <c r="S465" s="79">
        <v>128.31</v>
      </c>
      <c r="T465" s="80">
        <v>14.58</v>
      </c>
    </row>
    <row r="466" spans="2:20">
      <c r="B466" s="5" t="s">
        <v>1121</v>
      </c>
      <c r="C466" s="45" t="s">
        <v>97</v>
      </c>
      <c r="D466" s="45" t="s">
        <v>1122</v>
      </c>
      <c r="E466" s="6" t="s">
        <v>1123</v>
      </c>
      <c r="F466" s="45" t="s">
        <v>104</v>
      </c>
      <c r="G466" s="46">
        <f t="shared" ref="G466:G529" si="57">TRUNC(R466,2)</f>
        <v>4</v>
      </c>
      <c r="H466" s="46">
        <f>TRUNC(S466*(1-LOTE_02!$K$10),2)</f>
        <v>340.7</v>
      </c>
      <c r="I466" s="46">
        <f>TRUNC(T466*(1-LOTE_02!$K$10),2)</f>
        <v>38.33</v>
      </c>
      <c r="J466" s="100">
        <f t="shared" ref="J466:J529" si="58">$J$4</f>
        <v>0.22470000000000001</v>
      </c>
      <c r="K466" s="48">
        <f t="shared" si="52"/>
        <v>417.25</v>
      </c>
      <c r="L466" s="48">
        <f t="shared" si="53"/>
        <v>46.94</v>
      </c>
      <c r="M466" s="48">
        <f t="shared" si="54"/>
        <v>1669</v>
      </c>
      <c r="N466" s="48">
        <f t="shared" si="55"/>
        <v>187.76</v>
      </c>
      <c r="O466" s="50">
        <f t="shared" si="56"/>
        <v>1856.76</v>
      </c>
      <c r="P466" s="50">
        <v>0</v>
      </c>
      <c r="Q466" s="76"/>
      <c r="R466" s="140">
        <f>1*S9+1*S10</f>
        <v>4</v>
      </c>
      <c r="S466" s="79">
        <v>340.7</v>
      </c>
      <c r="T466" s="80">
        <v>38.33</v>
      </c>
    </row>
    <row r="467" spans="2:20" ht="56">
      <c r="B467" s="5" t="s">
        <v>1124</v>
      </c>
      <c r="C467" s="45" t="s">
        <v>97</v>
      </c>
      <c r="D467" s="45" t="s">
        <v>1039</v>
      </c>
      <c r="E467" s="6" t="s">
        <v>1040</v>
      </c>
      <c r="F467" s="45" t="s">
        <v>925</v>
      </c>
      <c r="G467" s="46">
        <f t="shared" si="57"/>
        <v>200</v>
      </c>
      <c r="H467" s="46">
        <f>TRUNC(S467*(1-LOTE_02!$K$10),2)</f>
        <v>30.72</v>
      </c>
      <c r="I467" s="46">
        <f>TRUNC(T467*(1-LOTE_02!$K$10),2)</f>
        <v>20.83</v>
      </c>
      <c r="J467" s="100">
        <f t="shared" si="58"/>
        <v>0.22470000000000001</v>
      </c>
      <c r="K467" s="48">
        <f t="shared" si="52"/>
        <v>37.619999999999997</v>
      </c>
      <c r="L467" s="48">
        <f t="shared" si="53"/>
        <v>25.51</v>
      </c>
      <c r="M467" s="48">
        <f t="shared" si="54"/>
        <v>7524</v>
      </c>
      <c r="N467" s="48">
        <f t="shared" si="55"/>
        <v>5102</v>
      </c>
      <c r="O467" s="50">
        <f t="shared" si="56"/>
        <v>12626</v>
      </c>
      <c r="P467" s="50">
        <v>0</v>
      </c>
      <c r="Q467" s="76"/>
      <c r="R467" s="140">
        <f>50*S9+50*S10</f>
        <v>200</v>
      </c>
      <c r="S467" s="79">
        <v>30.72</v>
      </c>
      <c r="T467" s="80">
        <v>20.83</v>
      </c>
    </row>
    <row r="468" spans="2:20" ht="70">
      <c r="B468" s="5" t="s">
        <v>1125</v>
      </c>
      <c r="C468" s="45" t="s">
        <v>135</v>
      </c>
      <c r="D468" s="45">
        <v>91867</v>
      </c>
      <c r="E468" s="6" t="s">
        <v>927</v>
      </c>
      <c r="F468" s="45" t="s">
        <v>187</v>
      </c>
      <c r="G468" s="46">
        <f t="shared" si="57"/>
        <v>200</v>
      </c>
      <c r="H468" s="46">
        <f>TRUNC(S468*(1-LOTE_02!$K$10),2)</f>
        <v>7.42</v>
      </c>
      <c r="I468" s="46">
        <f>TRUNC(T468*(1-LOTE_02!$K$10),2)</f>
        <v>3.82</v>
      </c>
      <c r="J468" s="100">
        <f t="shared" si="58"/>
        <v>0.22470000000000001</v>
      </c>
      <c r="K468" s="48">
        <f t="shared" si="52"/>
        <v>9.08</v>
      </c>
      <c r="L468" s="48">
        <f t="shared" si="53"/>
        <v>4.67</v>
      </c>
      <c r="M468" s="48">
        <f t="shared" si="54"/>
        <v>1816</v>
      </c>
      <c r="N468" s="48">
        <f t="shared" si="55"/>
        <v>934</v>
      </c>
      <c r="O468" s="50">
        <f t="shared" si="56"/>
        <v>2750</v>
      </c>
      <c r="P468" s="50">
        <v>0</v>
      </c>
      <c r="Q468" s="76"/>
      <c r="R468" s="140">
        <f>50*S9+50*S10</f>
        <v>200</v>
      </c>
      <c r="S468" s="79">
        <v>7.42</v>
      </c>
      <c r="T468" s="80">
        <v>3.82</v>
      </c>
    </row>
    <row r="469" spans="2:20" ht="70">
      <c r="B469" s="5" t="s">
        <v>1126</v>
      </c>
      <c r="C469" s="45" t="s">
        <v>135</v>
      </c>
      <c r="D469" s="45">
        <v>91864</v>
      </c>
      <c r="E469" s="6" t="s">
        <v>838</v>
      </c>
      <c r="F469" s="45" t="s">
        <v>187</v>
      </c>
      <c r="G469" s="46">
        <f t="shared" si="57"/>
        <v>20</v>
      </c>
      <c r="H469" s="46">
        <f>TRUNC(S469*(1-LOTE_02!$K$10),2)</f>
        <v>11.46</v>
      </c>
      <c r="I469" s="46">
        <f>TRUNC(T469*(1-LOTE_02!$K$10),2)</f>
        <v>5.66</v>
      </c>
      <c r="J469" s="100">
        <f t="shared" si="58"/>
        <v>0.22470000000000001</v>
      </c>
      <c r="K469" s="48">
        <f t="shared" si="52"/>
        <v>14.03</v>
      </c>
      <c r="L469" s="48">
        <f t="shared" si="53"/>
        <v>6.93</v>
      </c>
      <c r="M469" s="48">
        <f t="shared" si="54"/>
        <v>280.60000000000002</v>
      </c>
      <c r="N469" s="48">
        <f t="shared" si="55"/>
        <v>138.6</v>
      </c>
      <c r="O469" s="50">
        <f t="shared" si="56"/>
        <v>419.2</v>
      </c>
      <c r="P469" s="50">
        <v>0</v>
      </c>
      <c r="Q469" s="76"/>
      <c r="R469" s="140">
        <f>5*S9+5*S10</f>
        <v>20</v>
      </c>
      <c r="S469" s="79">
        <v>11.46</v>
      </c>
      <c r="T469" s="80">
        <v>5.66</v>
      </c>
    </row>
    <row r="470" spans="2:20" ht="42">
      <c r="B470" s="5" t="s">
        <v>1127</v>
      </c>
      <c r="C470" s="45" t="s">
        <v>165</v>
      </c>
      <c r="D470" s="45" t="s">
        <v>1036</v>
      </c>
      <c r="E470" s="6" t="s">
        <v>1037</v>
      </c>
      <c r="F470" s="45" t="s">
        <v>531</v>
      </c>
      <c r="G470" s="46">
        <f t="shared" si="57"/>
        <v>20</v>
      </c>
      <c r="H470" s="46">
        <f>TRUNC(S470*(1-LOTE_02!$K$10),2)</f>
        <v>19.43</v>
      </c>
      <c r="I470" s="46">
        <f>TRUNC(T470*(1-LOTE_02!$K$10),2)</f>
        <v>15.94</v>
      </c>
      <c r="J470" s="100">
        <f t="shared" si="58"/>
        <v>0.22470000000000001</v>
      </c>
      <c r="K470" s="48">
        <f t="shared" si="52"/>
        <v>23.79</v>
      </c>
      <c r="L470" s="48">
        <f t="shared" si="53"/>
        <v>19.52</v>
      </c>
      <c r="M470" s="48">
        <f t="shared" si="54"/>
        <v>475.8</v>
      </c>
      <c r="N470" s="48">
        <f t="shared" si="55"/>
        <v>390.4</v>
      </c>
      <c r="O470" s="50">
        <f t="shared" si="56"/>
        <v>866.2</v>
      </c>
      <c r="P470" s="50">
        <v>0</v>
      </c>
      <c r="Q470" s="76"/>
      <c r="R470" s="140">
        <f>5*S9+5*S10</f>
        <v>20</v>
      </c>
      <c r="S470" s="79">
        <v>19.43</v>
      </c>
      <c r="T470" s="80">
        <v>15.94</v>
      </c>
    </row>
    <row r="471" spans="2:20" ht="28">
      <c r="B471" s="5" t="s">
        <v>1128</v>
      </c>
      <c r="C471" s="45" t="s">
        <v>165</v>
      </c>
      <c r="D471" s="45" t="s">
        <v>1129</v>
      </c>
      <c r="E471" s="6" t="s">
        <v>1130</v>
      </c>
      <c r="F471" s="45" t="s">
        <v>531</v>
      </c>
      <c r="G471" s="46">
        <f t="shared" si="57"/>
        <v>40</v>
      </c>
      <c r="H471" s="46">
        <f>TRUNC(S471*(1-LOTE_02!$K$10),2)</f>
        <v>54.46</v>
      </c>
      <c r="I471" s="46">
        <f>TRUNC(T471*(1-LOTE_02!$K$10),2)</f>
        <v>5.74</v>
      </c>
      <c r="J471" s="100">
        <f t="shared" si="58"/>
        <v>0.22470000000000001</v>
      </c>
      <c r="K471" s="48">
        <f t="shared" si="52"/>
        <v>66.69</v>
      </c>
      <c r="L471" s="48">
        <f t="shared" si="53"/>
        <v>7.02</v>
      </c>
      <c r="M471" s="48">
        <f t="shared" si="54"/>
        <v>2667.6</v>
      </c>
      <c r="N471" s="48">
        <f t="shared" si="55"/>
        <v>280.8</v>
      </c>
      <c r="O471" s="50">
        <f t="shared" si="56"/>
        <v>2948.4</v>
      </c>
      <c r="P471" s="50">
        <v>0</v>
      </c>
      <c r="Q471" s="76"/>
      <c r="R471" s="140">
        <f>10*S9+10*S10</f>
        <v>40</v>
      </c>
      <c r="S471" s="79">
        <v>54.46</v>
      </c>
      <c r="T471" s="80">
        <v>5.74</v>
      </c>
    </row>
    <row r="472" spans="2:20" ht="28">
      <c r="B472" s="5" t="s">
        <v>1131</v>
      </c>
      <c r="C472" s="45" t="s">
        <v>97</v>
      </c>
      <c r="D472" s="45" t="s">
        <v>1132</v>
      </c>
      <c r="E472" s="6" t="s">
        <v>1133</v>
      </c>
      <c r="F472" s="45" t="s">
        <v>187</v>
      </c>
      <c r="G472" s="46">
        <f t="shared" si="57"/>
        <v>40</v>
      </c>
      <c r="H472" s="46">
        <f>TRUNC(S472*(1-LOTE_02!$K$10),2)</f>
        <v>11.1</v>
      </c>
      <c r="I472" s="46">
        <f>TRUNC(T472*(1-LOTE_02!$K$10),2)</f>
        <v>1.66</v>
      </c>
      <c r="J472" s="100">
        <f t="shared" si="58"/>
        <v>0.22470000000000001</v>
      </c>
      <c r="K472" s="48">
        <f t="shared" si="52"/>
        <v>13.59</v>
      </c>
      <c r="L472" s="48">
        <f t="shared" si="53"/>
        <v>2.0299999999999998</v>
      </c>
      <c r="M472" s="48">
        <f t="shared" si="54"/>
        <v>543.6</v>
      </c>
      <c r="N472" s="48">
        <f t="shared" si="55"/>
        <v>81.2</v>
      </c>
      <c r="O472" s="50">
        <f t="shared" si="56"/>
        <v>624.79999999999995</v>
      </c>
      <c r="P472" s="50">
        <v>0</v>
      </c>
      <c r="Q472" s="76"/>
      <c r="R472" s="140">
        <f>10*S9+10*S10</f>
        <v>40</v>
      </c>
      <c r="S472" s="79">
        <v>11.1</v>
      </c>
      <c r="T472" s="80">
        <v>1.66</v>
      </c>
    </row>
    <row r="473" spans="2:20" ht="56">
      <c r="B473" s="5" t="s">
        <v>1134</v>
      </c>
      <c r="C473" s="45" t="s">
        <v>135</v>
      </c>
      <c r="D473" s="45">
        <v>95778</v>
      </c>
      <c r="E473" s="6" t="s">
        <v>1814</v>
      </c>
      <c r="F473" s="45" t="s">
        <v>210</v>
      </c>
      <c r="G473" s="46">
        <f t="shared" si="57"/>
        <v>20</v>
      </c>
      <c r="H473" s="46">
        <f>TRUNC(S473*(1-LOTE_02!$K$10),2)</f>
        <v>16.93</v>
      </c>
      <c r="I473" s="46">
        <f>TRUNC(T473*(1-LOTE_02!$K$10),2)</f>
        <v>10.28</v>
      </c>
      <c r="J473" s="100">
        <f t="shared" si="58"/>
        <v>0.22470000000000001</v>
      </c>
      <c r="K473" s="48">
        <f t="shared" si="52"/>
        <v>20.73</v>
      </c>
      <c r="L473" s="48">
        <f t="shared" si="53"/>
        <v>12.58</v>
      </c>
      <c r="M473" s="48">
        <f t="shared" si="54"/>
        <v>414.6</v>
      </c>
      <c r="N473" s="48">
        <f t="shared" si="55"/>
        <v>251.6</v>
      </c>
      <c r="O473" s="50">
        <f t="shared" si="56"/>
        <v>666.2</v>
      </c>
      <c r="P473" s="50">
        <v>0</v>
      </c>
      <c r="Q473" s="76"/>
      <c r="R473" s="140">
        <f>5*S9+5*S10</f>
        <v>20</v>
      </c>
      <c r="S473" s="79">
        <v>16.93</v>
      </c>
      <c r="T473" s="80">
        <v>10.28</v>
      </c>
    </row>
    <row r="474" spans="2:20" ht="56">
      <c r="B474" s="5" t="s">
        <v>1135</v>
      </c>
      <c r="C474" s="45" t="s">
        <v>135</v>
      </c>
      <c r="D474" s="45">
        <v>91941</v>
      </c>
      <c r="E474" s="6" t="s">
        <v>1021</v>
      </c>
      <c r="F474" s="45" t="s">
        <v>210</v>
      </c>
      <c r="G474" s="46">
        <f t="shared" si="57"/>
        <v>20</v>
      </c>
      <c r="H474" s="46">
        <f>TRUNC(S474*(1-LOTE_02!$K$10),2)</f>
        <v>5.67</v>
      </c>
      <c r="I474" s="46">
        <f>TRUNC(T474*(1-LOTE_02!$K$10),2)</f>
        <v>7.03</v>
      </c>
      <c r="J474" s="100">
        <f t="shared" si="58"/>
        <v>0.22470000000000001</v>
      </c>
      <c r="K474" s="48">
        <f t="shared" si="52"/>
        <v>6.94</v>
      </c>
      <c r="L474" s="48">
        <f t="shared" si="53"/>
        <v>8.6</v>
      </c>
      <c r="M474" s="48">
        <f t="shared" si="54"/>
        <v>138.80000000000001</v>
      </c>
      <c r="N474" s="48">
        <f t="shared" si="55"/>
        <v>172</v>
      </c>
      <c r="O474" s="50">
        <f t="shared" si="56"/>
        <v>310.8</v>
      </c>
      <c r="P474" s="50">
        <v>0</v>
      </c>
      <c r="Q474" s="76"/>
      <c r="R474" s="140">
        <f>5*S9+5*S10</f>
        <v>20</v>
      </c>
      <c r="S474" s="79">
        <v>5.669999999999999</v>
      </c>
      <c r="T474" s="80">
        <v>7.03</v>
      </c>
    </row>
    <row r="475" spans="2:20" ht="56">
      <c r="B475" s="5" t="s">
        <v>1136</v>
      </c>
      <c r="C475" s="45" t="s">
        <v>135</v>
      </c>
      <c r="D475" s="45">
        <v>91944</v>
      </c>
      <c r="E475" s="6" t="s">
        <v>935</v>
      </c>
      <c r="F475" s="45" t="s">
        <v>210</v>
      </c>
      <c r="G475" s="46">
        <f t="shared" si="57"/>
        <v>31</v>
      </c>
      <c r="H475" s="46">
        <f>TRUNC(S475*(1-LOTE_02!$K$10),2)</f>
        <v>9.26</v>
      </c>
      <c r="I475" s="46">
        <f>TRUNC(T475*(1-LOTE_02!$K$10),2)</f>
        <v>7.29</v>
      </c>
      <c r="J475" s="100">
        <f t="shared" si="58"/>
        <v>0.22470000000000001</v>
      </c>
      <c r="K475" s="48">
        <f t="shared" si="52"/>
        <v>11.34</v>
      </c>
      <c r="L475" s="48">
        <f t="shared" si="53"/>
        <v>8.92</v>
      </c>
      <c r="M475" s="48">
        <f t="shared" si="54"/>
        <v>351.54</v>
      </c>
      <c r="N475" s="48">
        <f t="shared" si="55"/>
        <v>276.52</v>
      </c>
      <c r="O475" s="50">
        <f t="shared" si="56"/>
        <v>628.05999999999995</v>
      </c>
      <c r="P475" s="50">
        <v>0</v>
      </c>
      <c r="Q475" s="76"/>
      <c r="R475" s="140">
        <f>10*S9+1*S10</f>
        <v>31</v>
      </c>
      <c r="S475" s="79">
        <v>9.2600000000000016</v>
      </c>
      <c r="T475" s="80">
        <v>7.29</v>
      </c>
    </row>
    <row r="476" spans="2:20" ht="56">
      <c r="B476" s="5" t="s">
        <v>1137</v>
      </c>
      <c r="C476" s="45" t="s">
        <v>135</v>
      </c>
      <c r="D476" s="45">
        <v>92000</v>
      </c>
      <c r="E476" s="6" t="s">
        <v>856</v>
      </c>
      <c r="F476" s="45" t="s">
        <v>210</v>
      </c>
      <c r="G476" s="46">
        <f t="shared" si="57"/>
        <v>80</v>
      </c>
      <c r="H476" s="46">
        <f>TRUNC(S476*(1-LOTE_02!$K$10),2)</f>
        <v>18.78</v>
      </c>
      <c r="I476" s="46">
        <f>TRUNC(T476*(1-LOTE_02!$K$10),2)</f>
        <v>15.86</v>
      </c>
      <c r="J476" s="100">
        <f t="shared" si="58"/>
        <v>0.22470000000000001</v>
      </c>
      <c r="K476" s="48">
        <f t="shared" si="52"/>
        <v>22.99</v>
      </c>
      <c r="L476" s="48">
        <f t="shared" si="53"/>
        <v>19.420000000000002</v>
      </c>
      <c r="M476" s="48">
        <f t="shared" si="54"/>
        <v>1839.2</v>
      </c>
      <c r="N476" s="48">
        <f t="shared" si="55"/>
        <v>1553.6</v>
      </c>
      <c r="O476" s="50">
        <f t="shared" si="56"/>
        <v>3392.8</v>
      </c>
      <c r="P476" s="50">
        <v>0</v>
      </c>
      <c r="Q476" s="76"/>
      <c r="R476" s="140">
        <f>20*S9+20*S10</f>
        <v>80</v>
      </c>
      <c r="S476" s="79">
        <v>18.78</v>
      </c>
      <c r="T476" s="80">
        <v>15.86</v>
      </c>
    </row>
    <row r="477" spans="2:20" ht="28">
      <c r="B477" s="101" t="s">
        <v>1063</v>
      </c>
      <c r="C477" s="102" t="s">
        <v>21</v>
      </c>
      <c r="D477" s="102" t="s">
        <v>21</v>
      </c>
      <c r="E477" s="103" t="s">
        <v>1138</v>
      </c>
      <c r="F477" s="102" t="s">
        <v>21</v>
      </c>
      <c r="G477" s="46">
        <f t="shared" si="57"/>
        <v>0</v>
      </c>
      <c r="H477" s="46"/>
      <c r="I477" s="46"/>
      <c r="J477" s="105"/>
      <c r="K477" s="48">
        <f t="shared" si="52"/>
        <v>0</v>
      </c>
      <c r="L477" s="48">
        <f t="shared" si="53"/>
        <v>0</v>
      </c>
      <c r="M477" s="48">
        <f t="shared" si="54"/>
        <v>0</v>
      </c>
      <c r="N477" s="48">
        <f t="shared" si="55"/>
        <v>0</v>
      </c>
      <c r="O477" s="50">
        <f t="shared" si="56"/>
        <v>0</v>
      </c>
      <c r="P477" s="50">
        <v>0</v>
      </c>
      <c r="Q477" s="76"/>
      <c r="R477" s="154"/>
      <c r="S477" s="79" t="s">
        <v>22</v>
      </c>
      <c r="T477" s="80" t="s">
        <v>22</v>
      </c>
    </row>
    <row r="478" spans="2:20" ht="56">
      <c r="B478" s="5" t="s">
        <v>1139</v>
      </c>
      <c r="C478" s="45" t="s">
        <v>97</v>
      </c>
      <c r="D478" s="45" t="s">
        <v>1140</v>
      </c>
      <c r="E478" s="6" t="s">
        <v>1141</v>
      </c>
      <c r="F478" s="45" t="s">
        <v>104</v>
      </c>
      <c r="G478" s="46">
        <f t="shared" si="57"/>
        <v>4</v>
      </c>
      <c r="H478" s="46">
        <f>TRUNC(S478*(1-LOTE_02!$K$10),2)</f>
        <v>117.53</v>
      </c>
      <c r="I478" s="46">
        <f>TRUNC(T478*(1-LOTE_02!$K$10),2)</f>
        <v>275.02</v>
      </c>
      <c r="J478" s="100">
        <f t="shared" si="58"/>
        <v>0.22470000000000001</v>
      </c>
      <c r="K478" s="48">
        <f t="shared" si="52"/>
        <v>143.93</v>
      </c>
      <c r="L478" s="48">
        <f t="shared" si="53"/>
        <v>336.81</v>
      </c>
      <c r="M478" s="48">
        <f t="shared" si="54"/>
        <v>575.72</v>
      </c>
      <c r="N478" s="48">
        <f t="shared" si="55"/>
        <v>1347.24</v>
      </c>
      <c r="O478" s="50">
        <f t="shared" si="56"/>
        <v>1922.96</v>
      </c>
      <c r="P478" s="50">
        <v>0</v>
      </c>
      <c r="Q478" s="76"/>
      <c r="R478" s="140">
        <f>1*S9+1*S10</f>
        <v>4</v>
      </c>
      <c r="S478" s="79">
        <v>117.53</v>
      </c>
      <c r="T478" s="80">
        <v>275.02</v>
      </c>
    </row>
    <row r="479" spans="2:20" ht="28">
      <c r="B479" s="5" t="s">
        <v>1142</v>
      </c>
      <c r="C479" s="45" t="s">
        <v>97</v>
      </c>
      <c r="D479" s="45" t="s">
        <v>1143</v>
      </c>
      <c r="E479" s="6" t="s">
        <v>1144</v>
      </c>
      <c r="F479" s="45" t="s">
        <v>104</v>
      </c>
      <c r="G479" s="46">
        <f t="shared" si="57"/>
        <v>4</v>
      </c>
      <c r="H479" s="46">
        <f>TRUNC(S479*(1-LOTE_02!$K$10),2)</f>
        <v>9.4600000000000009</v>
      </c>
      <c r="I479" s="46">
        <f>TRUNC(T479*(1-LOTE_02!$K$10),2)</f>
        <v>41.67</v>
      </c>
      <c r="J479" s="100">
        <f t="shared" si="58"/>
        <v>0.22470000000000001</v>
      </c>
      <c r="K479" s="48">
        <f t="shared" si="52"/>
        <v>11.58</v>
      </c>
      <c r="L479" s="48">
        <f t="shared" si="53"/>
        <v>51.03</v>
      </c>
      <c r="M479" s="48">
        <f t="shared" si="54"/>
        <v>46.32</v>
      </c>
      <c r="N479" s="48">
        <f t="shared" si="55"/>
        <v>204.12</v>
      </c>
      <c r="O479" s="50">
        <f t="shared" si="56"/>
        <v>250.44</v>
      </c>
      <c r="P479" s="50">
        <v>0</v>
      </c>
      <c r="Q479" s="76"/>
      <c r="R479" s="140">
        <f>IF((1*S9+1*S10)&gt;10,10,(1*S9+1*S10))</f>
        <v>4</v>
      </c>
      <c r="S479" s="79">
        <v>9.4600000000000009</v>
      </c>
      <c r="T479" s="80">
        <v>41.67</v>
      </c>
    </row>
    <row r="480" spans="2:20">
      <c r="B480" s="5" t="s">
        <v>1145</v>
      </c>
      <c r="C480" s="45" t="s">
        <v>97</v>
      </c>
      <c r="D480" s="45" t="s">
        <v>1146</v>
      </c>
      <c r="E480" s="6" t="s">
        <v>1147</v>
      </c>
      <c r="F480" s="45" t="s">
        <v>104</v>
      </c>
      <c r="G480" s="46">
        <f t="shared" si="57"/>
        <v>4</v>
      </c>
      <c r="H480" s="46">
        <f>TRUNC(S480*(1-LOTE_02!$K$10),2)</f>
        <v>75.680000000000007</v>
      </c>
      <c r="I480" s="46">
        <f>TRUNC(T480*(1-LOTE_02!$K$10),2)</f>
        <v>333.36</v>
      </c>
      <c r="J480" s="100">
        <f t="shared" si="58"/>
        <v>0.22470000000000001</v>
      </c>
      <c r="K480" s="48">
        <f t="shared" si="52"/>
        <v>92.68</v>
      </c>
      <c r="L480" s="48">
        <f t="shared" si="53"/>
        <v>408.26</v>
      </c>
      <c r="M480" s="48">
        <f t="shared" si="54"/>
        <v>370.72</v>
      </c>
      <c r="N480" s="48">
        <f t="shared" si="55"/>
        <v>1633.04</v>
      </c>
      <c r="O480" s="50">
        <f t="shared" si="56"/>
        <v>2003.76</v>
      </c>
      <c r="P480" s="50">
        <v>0</v>
      </c>
      <c r="Q480" s="76"/>
      <c r="R480" s="140">
        <f>IF((1*S9+1*S10)&gt;10,10,(1*S9+1*S10))</f>
        <v>4</v>
      </c>
      <c r="S480" s="79">
        <v>75.680000000000007</v>
      </c>
      <c r="T480" s="80">
        <v>333.36</v>
      </c>
    </row>
    <row r="481" spans="2:20" ht="28">
      <c r="B481" s="5" t="s">
        <v>1148</v>
      </c>
      <c r="C481" s="45" t="s">
        <v>97</v>
      </c>
      <c r="D481" s="45" t="s">
        <v>1149</v>
      </c>
      <c r="E481" s="6" t="s">
        <v>1150</v>
      </c>
      <c r="F481" s="45" t="s">
        <v>104</v>
      </c>
      <c r="G481" s="46">
        <f t="shared" si="57"/>
        <v>4</v>
      </c>
      <c r="H481" s="46">
        <f>TRUNC(S481*(1-LOTE_02!$K$10),2)</f>
        <v>116.08</v>
      </c>
      <c r="I481" s="46">
        <f>TRUNC(T481*(1-LOTE_02!$K$10),2)</f>
        <v>537.67999999999995</v>
      </c>
      <c r="J481" s="100">
        <f t="shared" si="58"/>
        <v>0.22470000000000001</v>
      </c>
      <c r="K481" s="48">
        <f t="shared" si="52"/>
        <v>142.16</v>
      </c>
      <c r="L481" s="48">
        <f t="shared" si="53"/>
        <v>658.49</v>
      </c>
      <c r="M481" s="48">
        <f t="shared" si="54"/>
        <v>568.64</v>
      </c>
      <c r="N481" s="48">
        <f t="shared" si="55"/>
        <v>2633.96</v>
      </c>
      <c r="O481" s="50">
        <f t="shared" si="56"/>
        <v>3202.6</v>
      </c>
      <c r="P481" s="50">
        <v>0</v>
      </c>
      <c r="Q481" s="76"/>
      <c r="R481" s="140">
        <f>IF((1*S9+1*S10)&gt;10,10,(1*S9+1*S10))</f>
        <v>4</v>
      </c>
      <c r="S481" s="79">
        <v>116.08</v>
      </c>
      <c r="T481" s="80">
        <v>537.67999999999995</v>
      </c>
    </row>
    <row r="482" spans="2:20">
      <c r="B482" s="5" t="s">
        <v>1151</v>
      </c>
      <c r="C482" s="45" t="s">
        <v>97</v>
      </c>
      <c r="D482" s="45" t="s">
        <v>1152</v>
      </c>
      <c r="E482" s="6" t="s">
        <v>1153</v>
      </c>
      <c r="F482" s="45" t="s">
        <v>104</v>
      </c>
      <c r="G482" s="46">
        <f t="shared" si="57"/>
        <v>4</v>
      </c>
      <c r="H482" s="46">
        <f>TRUNC(S482*(1-LOTE_02!$K$10),2)</f>
        <v>18.920000000000002</v>
      </c>
      <c r="I482" s="46">
        <f>TRUNC(T482*(1-LOTE_02!$K$10),2)</f>
        <v>83.34</v>
      </c>
      <c r="J482" s="100">
        <f t="shared" si="58"/>
        <v>0.22470000000000001</v>
      </c>
      <c r="K482" s="48">
        <f t="shared" si="52"/>
        <v>23.17</v>
      </c>
      <c r="L482" s="48">
        <f t="shared" si="53"/>
        <v>102.06</v>
      </c>
      <c r="M482" s="48">
        <f t="shared" si="54"/>
        <v>92.68</v>
      </c>
      <c r="N482" s="48">
        <f t="shared" si="55"/>
        <v>408.24</v>
      </c>
      <c r="O482" s="50">
        <f t="shared" si="56"/>
        <v>500.92</v>
      </c>
      <c r="P482" s="50">
        <v>0</v>
      </c>
      <c r="Q482" s="76"/>
      <c r="R482" s="140">
        <f>IF((1*S9+1*S10)&gt;10,10,(1*S9+1*S10))</f>
        <v>4</v>
      </c>
      <c r="S482" s="79">
        <v>18.920000000000002</v>
      </c>
      <c r="T482" s="80">
        <v>83.34</v>
      </c>
    </row>
    <row r="483" spans="2:20" ht="56">
      <c r="B483" s="5" t="s">
        <v>1154</v>
      </c>
      <c r="C483" s="45" t="s">
        <v>97</v>
      </c>
      <c r="D483" s="45" t="s">
        <v>1155</v>
      </c>
      <c r="E483" s="6" t="s">
        <v>1156</v>
      </c>
      <c r="F483" s="45" t="s">
        <v>104</v>
      </c>
      <c r="G483" s="46">
        <f t="shared" si="57"/>
        <v>4</v>
      </c>
      <c r="H483" s="46">
        <f>TRUNC(S483*(1-LOTE_02!$K$10),2)</f>
        <v>80.41</v>
      </c>
      <c r="I483" s="46">
        <f>TRUNC(T483*(1-LOTE_02!$K$10),2)</f>
        <v>354.19</v>
      </c>
      <c r="J483" s="100">
        <f t="shared" si="58"/>
        <v>0.22470000000000001</v>
      </c>
      <c r="K483" s="48">
        <f t="shared" si="52"/>
        <v>98.47</v>
      </c>
      <c r="L483" s="48">
        <f t="shared" si="53"/>
        <v>433.77</v>
      </c>
      <c r="M483" s="48">
        <f t="shared" si="54"/>
        <v>393.88</v>
      </c>
      <c r="N483" s="48">
        <f t="shared" si="55"/>
        <v>1735.08</v>
      </c>
      <c r="O483" s="50">
        <f t="shared" si="56"/>
        <v>2128.96</v>
      </c>
      <c r="P483" s="50">
        <v>0</v>
      </c>
      <c r="Q483" s="76"/>
      <c r="R483" s="140">
        <f>IF((1*S9+1*S10)&gt;10,10,(1*S9+1*S10))</f>
        <v>4</v>
      </c>
      <c r="S483" s="79">
        <v>80.41</v>
      </c>
      <c r="T483" s="80">
        <v>354.19</v>
      </c>
    </row>
    <row r="484" spans="2:20" ht="56">
      <c r="B484" s="5" t="s">
        <v>1157</v>
      </c>
      <c r="C484" s="45" t="s">
        <v>97</v>
      </c>
      <c r="D484" s="45" t="s">
        <v>1158</v>
      </c>
      <c r="E484" s="6" t="s">
        <v>1159</v>
      </c>
      <c r="F484" s="45" t="s">
        <v>104</v>
      </c>
      <c r="G484" s="46">
        <f t="shared" si="57"/>
        <v>4</v>
      </c>
      <c r="H484" s="46">
        <f>TRUNC(S484*(1-LOTE_02!$K$10),2)</f>
        <v>1392.25</v>
      </c>
      <c r="I484" s="46">
        <f>TRUNC(T484*(1-LOTE_02!$K$10),2)</f>
        <v>4616.55</v>
      </c>
      <c r="J484" s="100">
        <f t="shared" si="58"/>
        <v>0.22470000000000001</v>
      </c>
      <c r="K484" s="48">
        <f t="shared" si="52"/>
        <v>1705.08</v>
      </c>
      <c r="L484" s="48">
        <f t="shared" si="53"/>
        <v>5653.88</v>
      </c>
      <c r="M484" s="48">
        <f t="shared" si="54"/>
        <v>6820.32</v>
      </c>
      <c r="N484" s="48">
        <f t="shared" si="55"/>
        <v>22615.52</v>
      </c>
      <c r="O484" s="50">
        <f t="shared" si="56"/>
        <v>29435.84</v>
      </c>
      <c r="P484" s="50">
        <v>0</v>
      </c>
      <c r="Q484" s="76"/>
      <c r="R484" s="140">
        <f>IF((1*S9+1*S10)&gt;10,10,(1*S9+1*S10))</f>
        <v>4</v>
      </c>
      <c r="S484" s="79">
        <v>1392.25</v>
      </c>
      <c r="T484" s="80">
        <v>4616.55</v>
      </c>
    </row>
    <row r="485" spans="2:20" ht="70">
      <c r="B485" s="5" t="s">
        <v>1160</v>
      </c>
      <c r="C485" s="45" t="s">
        <v>97</v>
      </c>
      <c r="D485" s="45" t="s">
        <v>1161</v>
      </c>
      <c r="E485" s="6" t="s">
        <v>1162</v>
      </c>
      <c r="F485" s="45" t="s">
        <v>104</v>
      </c>
      <c r="G485" s="46">
        <f t="shared" si="57"/>
        <v>4</v>
      </c>
      <c r="H485" s="46">
        <f>TRUNC(S485*(1-LOTE_02!$K$10),2)</f>
        <v>1856.85</v>
      </c>
      <c r="I485" s="46">
        <f>TRUNC(T485*(1-LOTE_02!$K$10),2)</f>
        <v>1003.42</v>
      </c>
      <c r="J485" s="100">
        <f t="shared" si="58"/>
        <v>0.22470000000000001</v>
      </c>
      <c r="K485" s="48">
        <f t="shared" si="52"/>
        <v>2274.08</v>
      </c>
      <c r="L485" s="48">
        <f t="shared" si="53"/>
        <v>1228.8800000000001</v>
      </c>
      <c r="M485" s="48">
        <f t="shared" si="54"/>
        <v>9096.32</v>
      </c>
      <c r="N485" s="48">
        <f t="shared" si="55"/>
        <v>4915.5200000000004</v>
      </c>
      <c r="O485" s="50">
        <f t="shared" si="56"/>
        <v>14011.84</v>
      </c>
      <c r="P485" s="50">
        <v>0</v>
      </c>
      <c r="Q485" s="76"/>
      <c r="R485" s="140">
        <f>IF((1*S9+1*S10)&gt;10,10,(1*S9+1*S10))</f>
        <v>4</v>
      </c>
      <c r="S485" s="79">
        <v>1856.85</v>
      </c>
      <c r="T485" s="80">
        <v>1003.42</v>
      </c>
    </row>
    <row r="486" spans="2:20" ht="28">
      <c r="B486" s="5" t="s">
        <v>1163</v>
      </c>
      <c r="C486" s="45" t="s">
        <v>97</v>
      </c>
      <c r="D486" s="45" t="s">
        <v>1164</v>
      </c>
      <c r="E486" s="6" t="s">
        <v>1165</v>
      </c>
      <c r="F486" s="45" t="s">
        <v>104</v>
      </c>
      <c r="G486" s="46">
        <f t="shared" si="57"/>
        <v>64</v>
      </c>
      <c r="H486" s="46">
        <f>TRUNC(S486*(1-LOTE_02!$K$10),2)</f>
        <v>162.32</v>
      </c>
      <c r="I486" s="46">
        <f>TRUNC(T486*(1-LOTE_02!$K$10),2)</f>
        <v>13.24</v>
      </c>
      <c r="J486" s="100">
        <f t="shared" si="58"/>
        <v>0.22470000000000001</v>
      </c>
      <c r="K486" s="48">
        <f t="shared" si="52"/>
        <v>198.79</v>
      </c>
      <c r="L486" s="48">
        <f t="shared" si="53"/>
        <v>16.21</v>
      </c>
      <c r="M486" s="48">
        <f t="shared" si="54"/>
        <v>12722.56</v>
      </c>
      <c r="N486" s="48">
        <f t="shared" si="55"/>
        <v>1037.44</v>
      </c>
      <c r="O486" s="50">
        <f t="shared" si="56"/>
        <v>13760</v>
      </c>
      <c r="P486" s="50">
        <v>0</v>
      </c>
      <c r="Q486" s="76"/>
      <c r="R486" s="140">
        <f>16*S10+16*S9</f>
        <v>64</v>
      </c>
      <c r="S486" s="79">
        <v>162.32</v>
      </c>
      <c r="T486" s="80">
        <v>13.24</v>
      </c>
    </row>
    <row r="487" spans="2:20" ht="28">
      <c r="B487" s="5" t="s">
        <v>1166</v>
      </c>
      <c r="C487" s="45" t="s">
        <v>97</v>
      </c>
      <c r="D487" s="45" t="s">
        <v>1167</v>
      </c>
      <c r="E487" s="6" t="s">
        <v>1168</v>
      </c>
      <c r="F487" s="45" t="s">
        <v>104</v>
      </c>
      <c r="G487" s="46">
        <f t="shared" si="57"/>
        <v>64</v>
      </c>
      <c r="H487" s="46">
        <f>TRUNC(S487*(1-LOTE_02!$K$10),2)</f>
        <v>177.92</v>
      </c>
      <c r="I487" s="46">
        <f>TRUNC(T487*(1-LOTE_02!$K$10),2)</f>
        <v>13.24</v>
      </c>
      <c r="J487" s="100">
        <f t="shared" si="58"/>
        <v>0.22470000000000001</v>
      </c>
      <c r="K487" s="48">
        <f t="shared" si="52"/>
        <v>217.89</v>
      </c>
      <c r="L487" s="48">
        <f t="shared" si="53"/>
        <v>16.21</v>
      </c>
      <c r="M487" s="48">
        <f t="shared" si="54"/>
        <v>13944.96</v>
      </c>
      <c r="N487" s="48">
        <f t="shared" si="55"/>
        <v>1037.44</v>
      </c>
      <c r="O487" s="50">
        <f t="shared" si="56"/>
        <v>14982.4</v>
      </c>
      <c r="P487" s="50">
        <v>0</v>
      </c>
      <c r="Q487" s="76"/>
      <c r="R487" s="140">
        <f>16*S10+16*S9</f>
        <v>64</v>
      </c>
      <c r="S487" s="79">
        <v>177.92</v>
      </c>
      <c r="T487" s="80">
        <v>13.24</v>
      </c>
    </row>
    <row r="488" spans="2:20" ht="28">
      <c r="B488" s="5" t="s">
        <v>1169</v>
      </c>
      <c r="C488" s="45" t="s">
        <v>97</v>
      </c>
      <c r="D488" s="45" t="s">
        <v>1170</v>
      </c>
      <c r="E488" s="6" t="s">
        <v>1171</v>
      </c>
      <c r="F488" s="45" t="s">
        <v>104</v>
      </c>
      <c r="G488" s="46">
        <f t="shared" si="57"/>
        <v>64</v>
      </c>
      <c r="H488" s="46">
        <f>TRUNC(S488*(1-LOTE_02!$K$10),2)</f>
        <v>331.42</v>
      </c>
      <c r="I488" s="46">
        <f>TRUNC(T488*(1-LOTE_02!$K$10),2)</f>
        <v>13.24</v>
      </c>
      <c r="J488" s="100">
        <f t="shared" si="58"/>
        <v>0.22470000000000001</v>
      </c>
      <c r="K488" s="48">
        <f t="shared" si="52"/>
        <v>405.89</v>
      </c>
      <c r="L488" s="48">
        <f t="shared" si="53"/>
        <v>16.21</v>
      </c>
      <c r="M488" s="48">
        <f t="shared" si="54"/>
        <v>25976.959999999999</v>
      </c>
      <c r="N488" s="48">
        <f t="shared" si="55"/>
        <v>1037.44</v>
      </c>
      <c r="O488" s="50">
        <f t="shared" si="56"/>
        <v>27014.400000000001</v>
      </c>
      <c r="P488" s="50">
        <v>0</v>
      </c>
      <c r="Q488" s="76"/>
      <c r="R488" s="140">
        <f>16*S10+16*S9</f>
        <v>64</v>
      </c>
      <c r="S488" s="79">
        <v>331.42</v>
      </c>
      <c r="T488" s="80">
        <v>13.24</v>
      </c>
    </row>
    <row r="489" spans="2:20" ht="56">
      <c r="B489" s="5" t="s">
        <v>1172</v>
      </c>
      <c r="C489" s="45" t="s">
        <v>97</v>
      </c>
      <c r="D489" s="45" t="s">
        <v>1173</v>
      </c>
      <c r="E489" s="6" t="s">
        <v>1174</v>
      </c>
      <c r="F489" s="45" t="s">
        <v>104</v>
      </c>
      <c r="G489" s="46">
        <f t="shared" si="57"/>
        <v>4</v>
      </c>
      <c r="H489" s="46">
        <f>TRUNC(S489*(1-LOTE_02!$K$10),2)</f>
        <v>737.79</v>
      </c>
      <c r="I489" s="46">
        <f>TRUNC(T489*(1-LOTE_02!$K$10),2)</f>
        <v>132.44999999999999</v>
      </c>
      <c r="J489" s="100">
        <f t="shared" si="58"/>
        <v>0.22470000000000001</v>
      </c>
      <c r="K489" s="48">
        <f t="shared" si="52"/>
        <v>903.57</v>
      </c>
      <c r="L489" s="48">
        <f t="shared" si="53"/>
        <v>162.21</v>
      </c>
      <c r="M489" s="48">
        <f t="shared" si="54"/>
        <v>3614.28</v>
      </c>
      <c r="N489" s="48">
        <f t="shared" si="55"/>
        <v>648.84</v>
      </c>
      <c r="O489" s="50">
        <f t="shared" si="56"/>
        <v>4263.12</v>
      </c>
      <c r="P489" s="50">
        <v>0</v>
      </c>
      <c r="Q489" s="76"/>
      <c r="R489" s="140">
        <f>S10+S9</f>
        <v>4</v>
      </c>
      <c r="S489" s="79">
        <v>737.79</v>
      </c>
      <c r="T489" s="80">
        <v>132.44999999999999</v>
      </c>
    </row>
    <row r="490" spans="2:20" ht="56">
      <c r="B490" s="5" t="s">
        <v>1175</v>
      </c>
      <c r="C490" s="45" t="s">
        <v>97</v>
      </c>
      <c r="D490" s="45" t="s">
        <v>1176</v>
      </c>
      <c r="E490" s="6" t="s">
        <v>1177</v>
      </c>
      <c r="F490" s="45" t="s">
        <v>104</v>
      </c>
      <c r="G490" s="46">
        <f t="shared" si="57"/>
        <v>4</v>
      </c>
      <c r="H490" s="46">
        <f>TRUNC(S490*(1-LOTE_02!$K$10),2)</f>
        <v>1927.6</v>
      </c>
      <c r="I490" s="46">
        <f>TRUNC(T490*(1-LOTE_02!$K$10),2)</f>
        <v>423.84</v>
      </c>
      <c r="J490" s="100">
        <f t="shared" si="58"/>
        <v>0.22470000000000001</v>
      </c>
      <c r="K490" s="48">
        <f t="shared" si="52"/>
        <v>2360.73</v>
      </c>
      <c r="L490" s="48">
        <f t="shared" si="53"/>
        <v>519.07000000000005</v>
      </c>
      <c r="M490" s="48">
        <f t="shared" si="54"/>
        <v>9442.92</v>
      </c>
      <c r="N490" s="48">
        <f t="shared" si="55"/>
        <v>2076.2800000000002</v>
      </c>
      <c r="O490" s="50">
        <f t="shared" si="56"/>
        <v>11519.2</v>
      </c>
      <c r="P490" s="50">
        <v>0</v>
      </c>
      <c r="Q490" s="76"/>
      <c r="R490" s="140">
        <f>S10+S9</f>
        <v>4</v>
      </c>
      <c r="S490" s="79">
        <v>1927.6</v>
      </c>
      <c r="T490" s="80">
        <v>423.84</v>
      </c>
    </row>
    <row r="491" spans="2:20" ht="56">
      <c r="B491" s="5" t="s">
        <v>1178</v>
      </c>
      <c r="C491" s="45" t="s">
        <v>97</v>
      </c>
      <c r="D491" s="45" t="s">
        <v>1179</v>
      </c>
      <c r="E491" s="6" t="s">
        <v>1180</v>
      </c>
      <c r="F491" s="45" t="s">
        <v>104</v>
      </c>
      <c r="G491" s="46">
        <f t="shared" si="57"/>
        <v>4</v>
      </c>
      <c r="H491" s="46">
        <f>TRUNC(S491*(1-LOTE_02!$K$10),2)</f>
        <v>2177.6</v>
      </c>
      <c r="I491" s="46">
        <f>TRUNC(T491*(1-LOTE_02!$K$10),2)</f>
        <v>423.84</v>
      </c>
      <c r="J491" s="100">
        <f t="shared" si="58"/>
        <v>0.22470000000000001</v>
      </c>
      <c r="K491" s="48">
        <f t="shared" si="52"/>
        <v>2666.9</v>
      </c>
      <c r="L491" s="48">
        <f t="shared" si="53"/>
        <v>519.07000000000005</v>
      </c>
      <c r="M491" s="48">
        <f t="shared" si="54"/>
        <v>10667.6</v>
      </c>
      <c r="N491" s="48">
        <f t="shared" si="55"/>
        <v>2076.2800000000002</v>
      </c>
      <c r="O491" s="50">
        <f t="shared" si="56"/>
        <v>12743.88</v>
      </c>
      <c r="P491" s="50">
        <v>0</v>
      </c>
      <c r="Q491" s="76"/>
      <c r="R491" s="140">
        <f>S10+S9</f>
        <v>4</v>
      </c>
      <c r="S491" s="79">
        <v>2177.6</v>
      </c>
      <c r="T491" s="80">
        <v>423.84</v>
      </c>
    </row>
    <row r="492" spans="2:20" ht="56">
      <c r="B492" s="5" t="s">
        <v>1181</v>
      </c>
      <c r="C492" s="45" t="s">
        <v>97</v>
      </c>
      <c r="D492" s="45" t="s">
        <v>1182</v>
      </c>
      <c r="E492" s="6" t="s">
        <v>1183</v>
      </c>
      <c r="F492" s="45" t="s">
        <v>104</v>
      </c>
      <c r="G492" s="46">
        <f t="shared" si="57"/>
        <v>4</v>
      </c>
      <c r="H492" s="46">
        <f>TRUNC(S492*(1-LOTE_02!$K$10),2)</f>
        <v>3647</v>
      </c>
      <c r="I492" s="46">
        <f>TRUNC(T492*(1-LOTE_02!$K$10),2)</f>
        <v>529.79999999999995</v>
      </c>
      <c r="J492" s="100">
        <f t="shared" si="58"/>
        <v>0.22470000000000001</v>
      </c>
      <c r="K492" s="48">
        <f t="shared" si="52"/>
        <v>4466.4799999999996</v>
      </c>
      <c r="L492" s="48">
        <f t="shared" si="53"/>
        <v>648.84</v>
      </c>
      <c r="M492" s="48">
        <f t="shared" si="54"/>
        <v>17865.919999999998</v>
      </c>
      <c r="N492" s="48">
        <f t="shared" si="55"/>
        <v>2595.36</v>
      </c>
      <c r="O492" s="50">
        <f t="shared" si="56"/>
        <v>20461.28</v>
      </c>
      <c r="P492" s="50">
        <v>0</v>
      </c>
      <c r="Q492" s="76"/>
      <c r="R492" s="140">
        <f>S10+S9</f>
        <v>4</v>
      </c>
      <c r="S492" s="79">
        <v>3647</v>
      </c>
      <c r="T492" s="80">
        <v>529.79999999999995</v>
      </c>
    </row>
    <row r="493" spans="2:20" ht="56">
      <c r="B493" s="5" t="s">
        <v>1184</v>
      </c>
      <c r="C493" s="45" t="s">
        <v>97</v>
      </c>
      <c r="D493" s="45" t="s">
        <v>1185</v>
      </c>
      <c r="E493" s="6" t="s">
        <v>1186</v>
      </c>
      <c r="F493" s="45" t="s">
        <v>104</v>
      </c>
      <c r="G493" s="46">
        <f t="shared" si="57"/>
        <v>4</v>
      </c>
      <c r="H493" s="46">
        <f>TRUNC(S493*(1-LOTE_02!$K$10),2)</f>
        <v>3947</v>
      </c>
      <c r="I493" s="46">
        <f>TRUNC(T493*(1-LOTE_02!$K$10),2)</f>
        <v>529.79999999999995</v>
      </c>
      <c r="J493" s="100">
        <f t="shared" si="58"/>
        <v>0.22470000000000001</v>
      </c>
      <c r="K493" s="48">
        <f t="shared" si="52"/>
        <v>4833.8900000000003</v>
      </c>
      <c r="L493" s="48">
        <f t="shared" si="53"/>
        <v>648.84</v>
      </c>
      <c r="M493" s="48">
        <f t="shared" si="54"/>
        <v>19335.560000000001</v>
      </c>
      <c r="N493" s="48">
        <f t="shared" si="55"/>
        <v>2595.36</v>
      </c>
      <c r="O493" s="50">
        <f t="shared" si="56"/>
        <v>21930.92</v>
      </c>
      <c r="P493" s="50">
        <v>0</v>
      </c>
      <c r="Q493" s="76"/>
      <c r="R493" s="140">
        <f>S10+S9</f>
        <v>4</v>
      </c>
      <c r="S493" s="79">
        <v>3947</v>
      </c>
      <c r="T493" s="80">
        <v>529.79999999999995</v>
      </c>
    </row>
    <row r="494" spans="2:20" ht="28">
      <c r="B494" s="5" t="s">
        <v>1187</v>
      </c>
      <c r="C494" s="45" t="s">
        <v>97</v>
      </c>
      <c r="D494" s="45" t="s">
        <v>1188</v>
      </c>
      <c r="E494" s="6" t="s">
        <v>1189</v>
      </c>
      <c r="F494" s="45" t="s">
        <v>104</v>
      </c>
      <c r="G494" s="46">
        <f t="shared" si="57"/>
        <v>20</v>
      </c>
      <c r="H494" s="46">
        <f>TRUNC(S494*(1-LOTE_02!$K$10),2)</f>
        <v>25.38</v>
      </c>
      <c r="I494" s="46">
        <f>TRUNC(T494*(1-LOTE_02!$K$10),2)</f>
        <v>32.44</v>
      </c>
      <c r="J494" s="100">
        <f t="shared" si="58"/>
        <v>0.22470000000000001</v>
      </c>
      <c r="K494" s="48">
        <f t="shared" si="52"/>
        <v>31.08</v>
      </c>
      <c r="L494" s="48">
        <f t="shared" si="53"/>
        <v>39.72</v>
      </c>
      <c r="M494" s="48">
        <f t="shared" si="54"/>
        <v>621.6</v>
      </c>
      <c r="N494" s="48">
        <f t="shared" si="55"/>
        <v>794.4</v>
      </c>
      <c r="O494" s="50">
        <f t="shared" si="56"/>
        <v>1416</v>
      </c>
      <c r="P494" s="50">
        <v>0</v>
      </c>
      <c r="Q494" s="76"/>
      <c r="R494" s="140">
        <f>5*S9+5*S10</f>
        <v>20</v>
      </c>
      <c r="S494" s="79">
        <v>25.38</v>
      </c>
      <c r="T494" s="80">
        <v>32.44</v>
      </c>
    </row>
    <row r="495" spans="2:20">
      <c r="B495" s="101" t="s">
        <v>50</v>
      </c>
      <c r="C495" s="102" t="s">
        <v>21</v>
      </c>
      <c r="D495" s="102" t="s">
        <v>21</v>
      </c>
      <c r="E495" s="103" t="s">
        <v>87</v>
      </c>
      <c r="F495" s="102" t="s">
        <v>21</v>
      </c>
      <c r="G495" s="46">
        <f t="shared" si="57"/>
        <v>0</v>
      </c>
      <c r="H495" s="46"/>
      <c r="I495" s="46"/>
      <c r="J495" s="105"/>
      <c r="K495" s="48">
        <f t="shared" si="52"/>
        <v>0</v>
      </c>
      <c r="L495" s="48">
        <f t="shared" si="53"/>
        <v>0</v>
      </c>
      <c r="M495" s="48">
        <f t="shared" si="54"/>
        <v>0</v>
      </c>
      <c r="N495" s="48">
        <f t="shared" si="55"/>
        <v>0</v>
      </c>
      <c r="O495" s="50">
        <f t="shared" si="56"/>
        <v>0</v>
      </c>
      <c r="P495" s="104">
        <f>SUM(O496:O580)</f>
        <v>189022.70999999993</v>
      </c>
      <c r="Q495" s="76"/>
      <c r="R495" s="154"/>
      <c r="S495" s="79" t="s">
        <v>22</v>
      </c>
      <c r="T495" s="80" t="s">
        <v>22</v>
      </c>
    </row>
    <row r="496" spans="2:20" ht="42">
      <c r="B496" s="5" t="s">
        <v>1190</v>
      </c>
      <c r="C496" s="45" t="s">
        <v>135</v>
      </c>
      <c r="D496" s="45">
        <v>90447</v>
      </c>
      <c r="E496" s="6" t="s">
        <v>1191</v>
      </c>
      <c r="F496" s="45" t="s">
        <v>187</v>
      </c>
      <c r="G496" s="46">
        <f t="shared" si="57"/>
        <v>200</v>
      </c>
      <c r="H496" s="46">
        <f>TRUNC(S496*(1-LOTE_02!$K$10),2)</f>
        <v>1.47</v>
      </c>
      <c r="I496" s="46">
        <f>TRUNC(T496*(1-LOTE_02!$K$10),2)</f>
        <v>6.69</v>
      </c>
      <c r="J496" s="100">
        <f t="shared" si="58"/>
        <v>0.22470000000000001</v>
      </c>
      <c r="K496" s="48">
        <f t="shared" si="52"/>
        <v>1.8</v>
      </c>
      <c r="L496" s="48">
        <f t="shared" si="53"/>
        <v>8.19</v>
      </c>
      <c r="M496" s="48">
        <f t="shared" si="54"/>
        <v>360</v>
      </c>
      <c r="N496" s="48">
        <f t="shared" si="55"/>
        <v>1638</v>
      </c>
      <c r="O496" s="50">
        <f t="shared" si="56"/>
        <v>1998</v>
      </c>
      <c r="P496" s="50">
        <v>0</v>
      </c>
      <c r="Q496" s="76"/>
      <c r="R496" s="140">
        <f>50*S9+50*S10</f>
        <v>200</v>
      </c>
      <c r="S496" s="79">
        <v>1.4699999999999998</v>
      </c>
      <c r="T496" s="80">
        <v>6.69</v>
      </c>
    </row>
    <row r="497" spans="2:20" ht="70">
      <c r="B497" s="5" t="s">
        <v>1192</v>
      </c>
      <c r="C497" s="45" t="s">
        <v>135</v>
      </c>
      <c r="D497" s="45">
        <v>91222</v>
      </c>
      <c r="E497" s="6" t="s">
        <v>1193</v>
      </c>
      <c r="F497" s="45" t="s">
        <v>187</v>
      </c>
      <c r="G497" s="46">
        <f t="shared" si="57"/>
        <v>45</v>
      </c>
      <c r="H497" s="46">
        <f>TRUNC(S497*(1-LOTE_02!$K$10),2)</f>
        <v>1.39</v>
      </c>
      <c r="I497" s="46">
        <f>TRUNC(T497*(1-LOTE_02!$K$10),2)</f>
        <v>7.33</v>
      </c>
      <c r="J497" s="100">
        <f t="shared" si="58"/>
        <v>0.22470000000000001</v>
      </c>
      <c r="K497" s="48">
        <f t="shared" si="52"/>
        <v>1.7</v>
      </c>
      <c r="L497" s="48">
        <f t="shared" si="53"/>
        <v>8.9700000000000006</v>
      </c>
      <c r="M497" s="48">
        <f t="shared" si="54"/>
        <v>76.5</v>
      </c>
      <c r="N497" s="48">
        <f t="shared" si="55"/>
        <v>403.65</v>
      </c>
      <c r="O497" s="50">
        <f t="shared" si="56"/>
        <v>480.15</v>
      </c>
      <c r="P497" s="50">
        <v>0</v>
      </c>
      <c r="Q497" s="76"/>
      <c r="R497" s="140">
        <f>IF((5*S9+30*S10)&gt;200,200,(5*S9+30*S10))</f>
        <v>45</v>
      </c>
      <c r="S497" s="79">
        <v>1.3900000000000006</v>
      </c>
      <c r="T497" s="80">
        <v>7.33</v>
      </c>
    </row>
    <row r="498" spans="2:20" ht="84">
      <c r="B498" s="5" t="s">
        <v>1194</v>
      </c>
      <c r="C498" s="45" t="s">
        <v>135</v>
      </c>
      <c r="D498" s="45">
        <v>90445</v>
      </c>
      <c r="E498" s="6" t="s">
        <v>1195</v>
      </c>
      <c r="F498" s="45" t="s">
        <v>187</v>
      </c>
      <c r="G498" s="46">
        <f t="shared" si="57"/>
        <v>45</v>
      </c>
      <c r="H498" s="46">
        <f>TRUNC(S498*(1-LOTE_02!$K$10),2)</f>
        <v>2.94</v>
      </c>
      <c r="I498" s="46">
        <f>TRUNC(T498*(1-LOTE_02!$K$10),2)</f>
        <v>11.86</v>
      </c>
      <c r="J498" s="100">
        <f t="shared" si="58"/>
        <v>0.22470000000000001</v>
      </c>
      <c r="K498" s="48">
        <f t="shared" si="52"/>
        <v>3.6</v>
      </c>
      <c r="L498" s="48">
        <f t="shared" si="53"/>
        <v>14.52</v>
      </c>
      <c r="M498" s="48">
        <f t="shared" si="54"/>
        <v>162</v>
      </c>
      <c r="N498" s="48">
        <f t="shared" si="55"/>
        <v>653.4</v>
      </c>
      <c r="O498" s="50">
        <f t="shared" si="56"/>
        <v>815.4</v>
      </c>
      <c r="P498" s="50">
        <v>0</v>
      </c>
      <c r="Q498" s="76"/>
      <c r="R498" s="140">
        <f>IF((5*S9+30*S10)&gt;100,100,(5*S9+30*S10))</f>
        <v>45</v>
      </c>
      <c r="S498" s="79">
        <v>2.9400000000000013</v>
      </c>
      <c r="T498" s="80">
        <v>11.86</v>
      </c>
    </row>
    <row r="499" spans="2:20" ht="28">
      <c r="B499" s="5" t="s">
        <v>1196</v>
      </c>
      <c r="C499" s="45" t="s">
        <v>97</v>
      </c>
      <c r="D499" s="45" t="s">
        <v>1197</v>
      </c>
      <c r="E499" s="6" t="s">
        <v>1198</v>
      </c>
      <c r="F499" s="45" t="s">
        <v>999</v>
      </c>
      <c r="G499" s="46">
        <f t="shared" si="57"/>
        <v>25</v>
      </c>
      <c r="H499" s="46">
        <f>TRUNC(S499*(1-LOTE_02!$K$10),2)</f>
        <v>206.43</v>
      </c>
      <c r="I499" s="46">
        <f>TRUNC(T499*(1-LOTE_02!$K$10),2)</f>
        <v>382.71</v>
      </c>
      <c r="J499" s="100">
        <f t="shared" si="58"/>
        <v>0.22470000000000001</v>
      </c>
      <c r="K499" s="48">
        <f t="shared" si="52"/>
        <v>252.81</v>
      </c>
      <c r="L499" s="48">
        <f t="shared" si="53"/>
        <v>468.7</v>
      </c>
      <c r="M499" s="48">
        <f t="shared" si="54"/>
        <v>6320.25</v>
      </c>
      <c r="N499" s="48">
        <f t="shared" si="55"/>
        <v>11717.5</v>
      </c>
      <c r="O499" s="50">
        <f t="shared" si="56"/>
        <v>18037.75</v>
      </c>
      <c r="P499" s="50">
        <v>0</v>
      </c>
      <c r="Q499" s="76"/>
      <c r="R499" s="140">
        <f>IF((5*S9+10*S10)&gt;50,50,(5*S9+10*S10))</f>
        <v>25</v>
      </c>
      <c r="S499" s="79">
        <v>206.43</v>
      </c>
      <c r="T499" s="80">
        <v>382.71</v>
      </c>
    </row>
    <row r="500" spans="2:20" ht="28">
      <c r="B500" s="5" t="s">
        <v>1199</v>
      </c>
      <c r="C500" s="45" t="s">
        <v>97</v>
      </c>
      <c r="D500" s="45" t="s">
        <v>1200</v>
      </c>
      <c r="E500" s="6" t="s">
        <v>1201</v>
      </c>
      <c r="F500" s="45" t="s">
        <v>999</v>
      </c>
      <c r="G500" s="46">
        <f t="shared" si="57"/>
        <v>25</v>
      </c>
      <c r="H500" s="46">
        <f>TRUNC(S500*(1-LOTE_02!$K$10),2)</f>
        <v>99.35</v>
      </c>
      <c r="I500" s="46">
        <f>TRUNC(T500*(1-LOTE_02!$K$10),2)</f>
        <v>84.81</v>
      </c>
      <c r="J500" s="100">
        <f t="shared" si="58"/>
        <v>0.22470000000000001</v>
      </c>
      <c r="K500" s="48">
        <f t="shared" si="52"/>
        <v>121.67</v>
      </c>
      <c r="L500" s="48">
        <f t="shared" si="53"/>
        <v>103.86</v>
      </c>
      <c r="M500" s="48">
        <f t="shared" si="54"/>
        <v>3041.75</v>
      </c>
      <c r="N500" s="48">
        <f t="shared" si="55"/>
        <v>2596.5</v>
      </c>
      <c r="O500" s="50">
        <f t="shared" si="56"/>
        <v>5638.25</v>
      </c>
      <c r="P500" s="50">
        <v>0</v>
      </c>
      <c r="Q500" s="76"/>
      <c r="R500" s="140">
        <f>IF((5*S9+10*S10)&gt;50,50,(5*S9+10*S10))</f>
        <v>25</v>
      </c>
      <c r="S500" s="79">
        <v>99.35</v>
      </c>
      <c r="T500" s="80">
        <v>84.81</v>
      </c>
    </row>
    <row r="501" spans="2:20" ht="84">
      <c r="B501" s="5" t="s">
        <v>1202</v>
      </c>
      <c r="C501" s="45" t="s">
        <v>97</v>
      </c>
      <c r="D501" s="45" t="s">
        <v>1203</v>
      </c>
      <c r="E501" s="6" t="s">
        <v>1204</v>
      </c>
      <c r="F501" s="45" t="s">
        <v>104</v>
      </c>
      <c r="G501" s="46">
        <f t="shared" si="57"/>
        <v>25</v>
      </c>
      <c r="H501" s="46">
        <f>TRUNC(S501*(1-LOTE_02!$K$10),2)</f>
        <v>667.63</v>
      </c>
      <c r="I501" s="46">
        <f>TRUNC(T501*(1-LOTE_02!$K$10),2)</f>
        <v>685.61</v>
      </c>
      <c r="J501" s="100">
        <f t="shared" si="58"/>
        <v>0.22470000000000001</v>
      </c>
      <c r="K501" s="48">
        <f t="shared" si="52"/>
        <v>817.64</v>
      </c>
      <c r="L501" s="48">
        <f t="shared" si="53"/>
        <v>839.66</v>
      </c>
      <c r="M501" s="48">
        <f t="shared" si="54"/>
        <v>20441</v>
      </c>
      <c r="N501" s="48">
        <f t="shared" si="55"/>
        <v>20991.5</v>
      </c>
      <c r="O501" s="50">
        <f t="shared" si="56"/>
        <v>41432.5</v>
      </c>
      <c r="P501" s="50">
        <v>0</v>
      </c>
      <c r="Q501" s="76"/>
      <c r="R501" s="140">
        <f>IF((5*S9+10*S10)&gt;50,50,(5*S9+10*S10))</f>
        <v>25</v>
      </c>
      <c r="S501" s="79">
        <v>667.63</v>
      </c>
      <c r="T501" s="80">
        <v>685.61</v>
      </c>
    </row>
    <row r="502" spans="2:20" ht="42">
      <c r="B502" s="5" t="s">
        <v>1205</v>
      </c>
      <c r="C502" s="45" t="s">
        <v>135</v>
      </c>
      <c r="D502" s="45">
        <v>86886</v>
      </c>
      <c r="E502" s="6" t="s">
        <v>1816</v>
      </c>
      <c r="F502" s="45" t="s">
        <v>210</v>
      </c>
      <c r="G502" s="46">
        <f t="shared" si="57"/>
        <v>25</v>
      </c>
      <c r="H502" s="46">
        <f>TRUNC(S502*(1-LOTE_02!$K$10),2)</f>
        <v>54.95</v>
      </c>
      <c r="I502" s="46">
        <f>TRUNC(T502*(1-LOTE_02!$K$10),2)</f>
        <v>4.34</v>
      </c>
      <c r="J502" s="100">
        <f t="shared" si="58"/>
        <v>0.22470000000000001</v>
      </c>
      <c r="K502" s="48">
        <f t="shared" si="52"/>
        <v>67.290000000000006</v>
      </c>
      <c r="L502" s="48">
        <f t="shared" si="53"/>
        <v>5.31</v>
      </c>
      <c r="M502" s="48">
        <f t="shared" si="54"/>
        <v>1682.25</v>
      </c>
      <c r="N502" s="48">
        <f t="shared" si="55"/>
        <v>132.75</v>
      </c>
      <c r="O502" s="50">
        <f t="shared" si="56"/>
        <v>1815</v>
      </c>
      <c r="P502" s="50">
        <v>0</v>
      </c>
      <c r="Q502" s="76"/>
      <c r="R502" s="140">
        <f>IF((5*S9+10*S10)&gt;50,50,(5*S9+10*S10))</f>
        <v>25</v>
      </c>
      <c r="S502" s="79">
        <v>54.95</v>
      </c>
      <c r="T502" s="80">
        <v>4.34</v>
      </c>
    </row>
    <row r="503" spans="2:20" ht="28">
      <c r="B503" s="5" t="s">
        <v>1206</v>
      </c>
      <c r="C503" s="45" t="s">
        <v>165</v>
      </c>
      <c r="D503" s="45" t="s">
        <v>1207</v>
      </c>
      <c r="E503" s="6" t="s">
        <v>1208</v>
      </c>
      <c r="F503" s="45" t="s">
        <v>559</v>
      </c>
      <c r="G503" s="46">
        <f t="shared" si="57"/>
        <v>25</v>
      </c>
      <c r="H503" s="46">
        <f>TRUNC(S503*(1-LOTE_02!$K$10),2)</f>
        <v>182.41</v>
      </c>
      <c r="I503" s="46">
        <f>TRUNC(T503*(1-LOTE_02!$K$10),2)</f>
        <v>19.45</v>
      </c>
      <c r="J503" s="100">
        <f t="shared" si="58"/>
        <v>0.22470000000000001</v>
      </c>
      <c r="K503" s="48">
        <f t="shared" si="52"/>
        <v>223.39</v>
      </c>
      <c r="L503" s="48">
        <f t="shared" si="53"/>
        <v>23.82</v>
      </c>
      <c r="M503" s="48">
        <f t="shared" si="54"/>
        <v>5584.75</v>
      </c>
      <c r="N503" s="48">
        <f t="shared" si="55"/>
        <v>595.5</v>
      </c>
      <c r="O503" s="50">
        <f t="shared" si="56"/>
        <v>6180.25</v>
      </c>
      <c r="P503" s="50">
        <v>0</v>
      </c>
      <c r="Q503" s="76"/>
      <c r="R503" s="140">
        <f>IF((5*S9+10*S10)&gt;50,50,(5*S9+10*S10))</f>
        <v>25</v>
      </c>
      <c r="S503" s="79">
        <v>182.41</v>
      </c>
      <c r="T503" s="80">
        <v>19.45</v>
      </c>
    </row>
    <row r="504" spans="2:20" ht="28">
      <c r="B504" s="5" t="s">
        <v>1209</v>
      </c>
      <c r="C504" s="45" t="s">
        <v>165</v>
      </c>
      <c r="D504" s="45" t="s">
        <v>1210</v>
      </c>
      <c r="E504" s="6" t="s">
        <v>1211</v>
      </c>
      <c r="F504" s="45" t="s">
        <v>559</v>
      </c>
      <c r="G504" s="46">
        <f t="shared" si="57"/>
        <v>25</v>
      </c>
      <c r="H504" s="46">
        <f>TRUNC(S504*(1-LOTE_02!$K$10),2)</f>
        <v>119.1</v>
      </c>
      <c r="I504" s="46">
        <f>TRUNC(T504*(1-LOTE_02!$K$10),2)</f>
        <v>19.45</v>
      </c>
      <c r="J504" s="100">
        <f t="shared" si="58"/>
        <v>0.22470000000000001</v>
      </c>
      <c r="K504" s="48">
        <f t="shared" si="52"/>
        <v>145.86000000000001</v>
      </c>
      <c r="L504" s="48">
        <f t="shared" si="53"/>
        <v>23.82</v>
      </c>
      <c r="M504" s="48">
        <f t="shared" si="54"/>
        <v>3646.5</v>
      </c>
      <c r="N504" s="48">
        <f t="shared" si="55"/>
        <v>595.5</v>
      </c>
      <c r="O504" s="50">
        <f t="shared" si="56"/>
        <v>4242</v>
      </c>
      <c r="P504" s="50">
        <v>0</v>
      </c>
      <c r="Q504" s="76"/>
      <c r="R504" s="140">
        <f>IF((5*S9+10*S10)&gt;50,50,(5*S9+10*S10))</f>
        <v>25</v>
      </c>
      <c r="S504" s="79">
        <v>119.1</v>
      </c>
      <c r="T504" s="80">
        <v>19.45</v>
      </c>
    </row>
    <row r="505" spans="2:20" ht="56">
      <c r="B505" s="5" t="s">
        <v>1212</v>
      </c>
      <c r="C505" s="45" t="s">
        <v>135</v>
      </c>
      <c r="D505" s="45">
        <v>89358</v>
      </c>
      <c r="E505" s="6" t="s">
        <v>1213</v>
      </c>
      <c r="F505" s="45" t="s">
        <v>210</v>
      </c>
      <c r="G505" s="46">
        <f t="shared" si="57"/>
        <v>25</v>
      </c>
      <c r="H505" s="46">
        <f>TRUNC(S505*(1-LOTE_02!$K$10),2)</f>
        <v>2.56</v>
      </c>
      <c r="I505" s="46">
        <f>TRUNC(T505*(1-LOTE_02!$K$10),2)</f>
        <v>5.43</v>
      </c>
      <c r="J505" s="100">
        <f t="shared" si="58"/>
        <v>0.22470000000000001</v>
      </c>
      <c r="K505" s="48">
        <f t="shared" si="52"/>
        <v>3.13</v>
      </c>
      <c r="L505" s="48">
        <f t="shared" si="53"/>
        <v>6.65</v>
      </c>
      <c r="M505" s="48">
        <f t="shared" si="54"/>
        <v>78.25</v>
      </c>
      <c r="N505" s="48">
        <f t="shared" si="55"/>
        <v>166.25</v>
      </c>
      <c r="O505" s="50">
        <f t="shared" si="56"/>
        <v>244.5</v>
      </c>
      <c r="P505" s="50">
        <v>0</v>
      </c>
      <c r="Q505" s="76"/>
      <c r="R505" s="140">
        <f>IF((5*S9+10*S10)&gt;50,50,(5*S9+10*S10))</f>
        <v>25</v>
      </c>
      <c r="S505" s="79">
        <v>2.5600000000000005</v>
      </c>
      <c r="T505" s="80">
        <v>5.43</v>
      </c>
    </row>
    <row r="506" spans="2:20" ht="56">
      <c r="B506" s="5" t="s">
        <v>1214</v>
      </c>
      <c r="C506" s="45" t="s">
        <v>135</v>
      </c>
      <c r="D506" s="45">
        <v>89362</v>
      </c>
      <c r="E506" s="6" t="s">
        <v>1215</v>
      </c>
      <c r="F506" s="45" t="s">
        <v>210</v>
      </c>
      <c r="G506" s="46">
        <f t="shared" si="57"/>
        <v>25</v>
      </c>
      <c r="H506" s="46">
        <f>TRUNC(S506*(1-LOTE_02!$K$10),2)</f>
        <v>3.21</v>
      </c>
      <c r="I506" s="46">
        <f>TRUNC(T506*(1-LOTE_02!$K$10),2)</f>
        <v>6.29</v>
      </c>
      <c r="J506" s="100">
        <f t="shared" si="58"/>
        <v>0.22470000000000001</v>
      </c>
      <c r="K506" s="48">
        <f t="shared" si="52"/>
        <v>3.93</v>
      </c>
      <c r="L506" s="48">
        <f t="shared" si="53"/>
        <v>7.7</v>
      </c>
      <c r="M506" s="48">
        <f t="shared" si="54"/>
        <v>98.25</v>
      </c>
      <c r="N506" s="48">
        <f t="shared" si="55"/>
        <v>192.5</v>
      </c>
      <c r="O506" s="50">
        <f t="shared" si="56"/>
        <v>290.75</v>
      </c>
      <c r="P506" s="50">
        <v>0</v>
      </c>
      <c r="Q506" s="76"/>
      <c r="R506" s="140">
        <f>IF((5*S9+10*S10)&gt;50,50,(5*S9+10*S10))</f>
        <v>25</v>
      </c>
      <c r="S506" s="79">
        <v>3.21</v>
      </c>
      <c r="T506" s="80">
        <v>6.29</v>
      </c>
    </row>
    <row r="507" spans="2:20" ht="70">
      <c r="B507" s="5" t="s">
        <v>1216</v>
      </c>
      <c r="C507" s="45" t="s">
        <v>135</v>
      </c>
      <c r="D507" s="45">
        <v>89366</v>
      </c>
      <c r="E507" s="6" t="s">
        <v>1217</v>
      </c>
      <c r="F507" s="45" t="s">
        <v>210</v>
      </c>
      <c r="G507" s="46">
        <f t="shared" si="57"/>
        <v>25</v>
      </c>
      <c r="H507" s="46">
        <f>TRUNC(S507*(1-LOTE_02!$K$10),2)</f>
        <v>10.16</v>
      </c>
      <c r="I507" s="46">
        <f>TRUNC(T507*(1-LOTE_02!$K$10),2)</f>
        <v>5.86</v>
      </c>
      <c r="J507" s="100">
        <f t="shared" si="58"/>
        <v>0.22470000000000001</v>
      </c>
      <c r="K507" s="48">
        <f t="shared" si="52"/>
        <v>12.44</v>
      </c>
      <c r="L507" s="48">
        <f t="shared" si="53"/>
        <v>7.17</v>
      </c>
      <c r="M507" s="48">
        <f t="shared" si="54"/>
        <v>311</v>
      </c>
      <c r="N507" s="48">
        <f t="shared" si="55"/>
        <v>179.25</v>
      </c>
      <c r="O507" s="50">
        <f t="shared" si="56"/>
        <v>490.25</v>
      </c>
      <c r="P507" s="50">
        <v>0</v>
      </c>
      <c r="Q507" s="76"/>
      <c r="R507" s="140">
        <f>IF((5*S9+10*S10)&gt;50,50,(5*S9+10*S10))</f>
        <v>25</v>
      </c>
      <c r="S507" s="79">
        <v>10.16</v>
      </c>
      <c r="T507" s="80">
        <v>5.86</v>
      </c>
    </row>
    <row r="508" spans="2:20" ht="70">
      <c r="B508" s="5" t="s">
        <v>1218</v>
      </c>
      <c r="C508" s="45" t="s">
        <v>135</v>
      </c>
      <c r="D508" s="45">
        <v>89366</v>
      </c>
      <c r="E508" s="6" t="s">
        <v>1217</v>
      </c>
      <c r="F508" s="45" t="s">
        <v>210</v>
      </c>
      <c r="G508" s="46">
        <f t="shared" si="57"/>
        <v>25</v>
      </c>
      <c r="H508" s="46">
        <f>TRUNC(S508*(1-LOTE_02!$K$10),2)</f>
        <v>10.16</v>
      </c>
      <c r="I508" s="46">
        <f>TRUNC(T508*(1-LOTE_02!$K$10),2)</f>
        <v>5.86</v>
      </c>
      <c r="J508" s="100">
        <f t="shared" si="58"/>
        <v>0.22470000000000001</v>
      </c>
      <c r="K508" s="48">
        <f t="shared" si="52"/>
        <v>12.44</v>
      </c>
      <c r="L508" s="48">
        <f t="shared" si="53"/>
        <v>7.17</v>
      </c>
      <c r="M508" s="48">
        <f t="shared" si="54"/>
        <v>311</v>
      </c>
      <c r="N508" s="48">
        <f t="shared" si="55"/>
        <v>179.25</v>
      </c>
      <c r="O508" s="50">
        <f t="shared" si="56"/>
        <v>490.25</v>
      </c>
      <c r="P508" s="50">
        <v>0</v>
      </c>
      <c r="Q508" s="76"/>
      <c r="R508" s="140">
        <f>IF((5*S9+10*S10)&gt;50,50,(5*S9+10*S10))</f>
        <v>25</v>
      </c>
      <c r="S508" s="79">
        <v>10.16</v>
      </c>
      <c r="T508" s="80">
        <v>5.86</v>
      </c>
    </row>
    <row r="509" spans="2:20" ht="56">
      <c r="B509" s="5" t="s">
        <v>1219</v>
      </c>
      <c r="C509" s="45" t="s">
        <v>135</v>
      </c>
      <c r="D509" s="45">
        <v>89367</v>
      </c>
      <c r="E509" s="6" t="s">
        <v>1220</v>
      </c>
      <c r="F509" s="45" t="s">
        <v>210</v>
      </c>
      <c r="G509" s="46">
        <f t="shared" si="57"/>
        <v>25</v>
      </c>
      <c r="H509" s="46">
        <f>TRUNC(S509*(1-LOTE_02!$K$10),2)</f>
        <v>5.55</v>
      </c>
      <c r="I509" s="46">
        <f>TRUNC(T509*(1-LOTE_02!$K$10),2)</f>
        <v>7.5</v>
      </c>
      <c r="J509" s="100">
        <f t="shared" si="58"/>
        <v>0.22470000000000001</v>
      </c>
      <c r="K509" s="48">
        <f t="shared" si="52"/>
        <v>6.79</v>
      </c>
      <c r="L509" s="48">
        <f t="shared" si="53"/>
        <v>9.18</v>
      </c>
      <c r="M509" s="48">
        <f t="shared" si="54"/>
        <v>169.75</v>
      </c>
      <c r="N509" s="48">
        <f t="shared" si="55"/>
        <v>229.5</v>
      </c>
      <c r="O509" s="50">
        <f t="shared" si="56"/>
        <v>399.25</v>
      </c>
      <c r="P509" s="50">
        <v>0</v>
      </c>
      <c r="Q509" s="76"/>
      <c r="R509" s="140">
        <f>IF((5*S9+10*S10)&gt;50,50,(5*S9+10*S10))</f>
        <v>25</v>
      </c>
      <c r="S509" s="79">
        <v>5.5500000000000007</v>
      </c>
      <c r="T509" s="80">
        <v>7.5</v>
      </c>
    </row>
    <row r="510" spans="2:20" ht="56">
      <c r="B510" s="5" t="s">
        <v>1221</v>
      </c>
      <c r="C510" s="45" t="s">
        <v>135</v>
      </c>
      <c r="D510" s="45">
        <v>89497</v>
      </c>
      <c r="E510" s="6" t="s">
        <v>1222</v>
      </c>
      <c r="F510" s="45" t="s">
        <v>210</v>
      </c>
      <c r="G510" s="46">
        <f t="shared" si="57"/>
        <v>25</v>
      </c>
      <c r="H510" s="46">
        <f>TRUNC(S510*(1-LOTE_02!$K$10),2)</f>
        <v>8.67</v>
      </c>
      <c r="I510" s="46">
        <f>TRUNC(T510*(1-LOTE_02!$K$10),2)</f>
        <v>4.33</v>
      </c>
      <c r="J510" s="100">
        <f t="shared" si="58"/>
        <v>0.22470000000000001</v>
      </c>
      <c r="K510" s="48">
        <f t="shared" si="52"/>
        <v>10.61</v>
      </c>
      <c r="L510" s="48">
        <f t="shared" si="53"/>
        <v>5.3</v>
      </c>
      <c r="M510" s="48">
        <f t="shared" si="54"/>
        <v>265.25</v>
      </c>
      <c r="N510" s="48">
        <f t="shared" si="55"/>
        <v>132.5</v>
      </c>
      <c r="O510" s="50">
        <f t="shared" si="56"/>
        <v>397.75</v>
      </c>
      <c r="P510" s="50">
        <v>0</v>
      </c>
      <c r="Q510" s="76"/>
      <c r="R510" s="140">
        <f>IF((5*S9+10*S10)&gt;50,50,(5*S9+10*S10))</f>
        <v>25</v>
      </c>
      <c r="S510" s="79">
        <v>8.67</v>
      </c>
      <c r="T510" s="80">
        <v>4.33</v>
      </c>
    </row>
    <row r="511" spans="2:20" ht="70">
      <c r="B511" s="5" t="s">
        <v>1223</v>
      </c>
      <c r="C511" s="45" t="s">
        <v>135</v>
      </c>
      <c r="D511" s="45">
        <v>96853</v>
      </c>
      <c r="E511" s="6" t="s">
        <v>1224</v>
      </c>
      <c r="F511" s="45" t="s">
        <v>210</v>
      </c>
      <c r="G511" s="46">
        <f t="shared" si="57"/>
        <v>25</v>
      </c>
      <c r="H511" s="46">
        <f>TRUNC(S511*(1-LOTE_02!$K$10),2)</f>
        <v>15.11</v>
      </c>
      <c r="I511" s="46">
        <f>TRUNC(T511*(1-LOTE_02!$K$10),2)</f>
        <v>9.7799999999999994</v>
      </c>
      <c r="J511" s="100">
        <f t="shared" si="58"/>
        <v>0.22470000000000001</v>
      </c>
      <c r="K511" s="48">
        <f t="shared" si="52"/>
        <v>18.5</v>
      </c>
      <c r="L511" s="48">
        <f t="shared" si="53"/>
        <v>11.97</v>
      </c>
      <c r="M511" s="48">
        <f t="shared" si="54"/>
        <v>462.5</v>
      </c>
      <c r="N511" s="48">
        <f t="shared" si="55"/>
        <v>299.25</v>
      </c>
      <c r="O511" s="50">
        <f t="shared" si="56"/>
        <v>761.75</v>
      </c>
      <c r="P511" s="50">
        <v>0</v>
      </c>
      <c r="Q511" s="76"/>
      <c r="R511" s="140">
        <f>IF((5*S9+10*S10)&gt;50,50,(5*S9+10*S10))</f>
        <v>25</v>
      </c>
      <c r="S511" s="79">
        <v>15.110000000000001</v>
      </c>
      <c r="T511" s="80">
        <v>9.7799999999999994</v>
      </c>
    </row>
    <row r="512" spans="2:20" ht="70">
      <c r="B512" s="5" t="s">
        <v>1225</v>
      </c>
      <c r="C512" s="45" t="s">
        <v>135</v>
      </c>
      <c r="D512" s="45">
        <v>90373</v>
      </c>
      <c r="E512" s="6" t="s">
        <v>1226</v>
      </c>
      <c r="F512" s="45" t="s">
        <v>210</v>
      </c>
      <c r="G512" s="46">
        <f t="shared" si="57"/>
        <v>25</v>
      </c>
      <c r="H512" s="46">
        <f>TRUNC(S512*(1-LOTE_02!$K$10),2)</f>
        <v>7.4</v>
      </c>
      <c r="I512" s="46">
        <f>TRUNC(T512*(1-LOTE_02!$K$10),2)</f>
        <v>5.44</v>
      </c>
      <c r="J512" s="100">
        <f t="shared" si="58"/>
        <v>0.22470000000000001</v>
      </c>
      <c r="K512" s="48">
        <f t="shared" si="52"/>
        <v>9.06</v>
      </c>
      <c r="L512" s="48">
        <f t="shared" si="53"/>
        <v>6.66</v>
      </c>
      <c r="M512" s="48">
        <f t="shared" si="54"/>
        <v>226.5</v>
      </c>
      <c r="N512" s="48">
        <f t="shared" si="55"/>
        <v>166.5</v>
      </c>
      <c r="O512" s="50">
        <f t="shared" si="56"/>
        <v>393</v>
      </c>
      <c r="P512" s="50">
        <v>0</v>
      </c>
      <c r="Q512" s="76"/>
      <c r="R512" s="140">
        <f>IF((5*S9+10*S10)&gt;50,50,(5*S9+10*S10))</f>
        <v>25</v>
      </c>
      <c r="S512" s="79">
        <v>7.3999999999999995</v>
      </c>
      <c r="T512" s="80">
        <v>5.44</v>
      </c>
    </row>
    <row r="513" spans="2:20" ht="56">
      <c r="B513" s="5" t="s">
        <v>1227</v>
      </c>
      <c r="C513" s="45" t="s">
        <v>135</v>
      </c>
      <c r="D513" s="45">
        <v>89369</v>
      </c>
      <c r="E513" s="6" t="s">
        <v>1228</v>
      </c>
      <c r="F513" s="45" t="s">
        <v>210</v>
      </c>
      <c r="G513" s="46">
        <f t="shared" si="57"/>
        <v>25</v>
      </c>
      <c r="H513" s="46">
        <f>TRUNC(S513*(1-LOTE_02!$K$10),2)</f>
        <v>9.5</v>
      </c>
      <c r="I513" s="46">
        <f>TRUNC(T513*(1-LOTE_02!$K$10),2)</f>
        <v>7.51</v>
      </c>
      <c r="J513" s="100">
        <f t="shared" si="58"/>
        <v>0.22470000000000001</v>
      </c>
      <c r="K513" s="48">
        <f t="shared" si="52"/>
        <v>11.63</v>
      </c>
      <c r="L513" s="48">
        <f t="shared" si="53"/>
        <v>9.19</v>
      </c>
      <c r="M513" s="48">
        <f t="shared" si="54"/>
        <v>290.75</v>
      </c>
      <c r="N513" s="48">
        <f t="shared" si="55"/>
        <v>229.75</v>
      </c>
      <c r="O513" s="50">
        <f t="shared" si="56"/>
        <v>520.5</v>
      </c>
      <c r="P513" s="50">
        <v>0</v>
      </c>
      <c r="Q513" s="76"/>
      <c r="R513" s="140">
        <f>IF((5*S9+10*S10)&gt;50,50,(5*S9+10*S10))</f>
        <v>25</v>
      </c>
      <c r="S513" s="79">
        <v>9.5000000000000018</v>
      </c>
      <c r="T513" s="80">
        <v>7.51</v>
      </c>
    </row>
    <row r="514" spans="2:20" ht="84">
      <c r="B514" s="5" t="s">
        <v>1229</v>
      </c>
      <c r="C514" s="45" t="s">
        <v>135</v>
      </c>
      <c r="D514" s="45">
        <v>89391</v>
      </c>
      <c r="E514" s="6" t="s">
        <v>1230</v>
      </c>
      <c r="F514" s="45" t="s">
        <v>210</v>
      </c>
      <c r="G514" s="46">
        <f t="shared" si="57"/>
        <v>25</v>
      </c>
      <c r="H514" s="46">
        <f>TRUNC(S514*(1-LOTE_02!$K$10),2)</f>
        <v>4.1399999999999997</v>
      </c>
      <c r="I514" s="46">
        <f>TRUNC(T514*(1-LOTE_02!$K$10),2)</f>
        <v>4.58</v>
      </c>
      <c r="J514" s="100">
        <f t="shared" si="58"/>
        <v>0.22470000000000001</v>
      </c>
      <c r="K514" s="48">
        <f t="shared" si="52"/>
        <v>5.07</v>
      </c>
      <c r="L514" s="48">
        <f t="shared" si="53"/>
        <v>5.6</v>
      </c>
      <c r="M514" s="48">
        <f t="shared" si="54"/>
        <v>126.75</v>
      </c>
      <c r="N514" s="48">
        <f t="shared" si="55"/>
        <v>140</v>
      </c>
      <c r="O514" s="50">
        <f t="shared" si="56"/>
        <v>266.75</v>
      </c>
      <c r="P514" s="50">
        <v>0</v>
      </c>
      <c r="Q514" s="76"/>
      <c r="R514" s="140">
        <f>IF((5*S9+10*S10)&gt;50,50,(5*S9+10*S10))</f>
        <v>25</v>
      </c>
      <c r="S514" s="79">
        <v>4.1400000000000006</v>
      </c>
      <c r="T514" s="80">
        <v>4.58</v>
      </c>
    </row>
    <row r="515" spans="2:20" ht="56">
      <c r="B515" s="5" t="s">
        <v>1231</v>
      </c>
      <c r="C515" s="45" t="s">
        <v>135</v>
      </c>
      <c r="D515" s="45">
        <v>89401</v>
      </c>
      <c r="E515" s="6" t="s">
        <v>1232</v>
      </c>
      <c r="F515" s="45" t="s">
        <v>187</v>
      </c>
      <c r="G515" s="46">
        <f t="shared" si="57"/>
        <v>50</v>
      </c>
      <c r="H515" s="46">
        <f>TRUNC(S515*(1-LOTE_02!$K$10),2)</f>
        <v>4.9800000000000004</v>
      </c>
      <c r="I515" s="46">
        <f>TRUNC(T515*(1-LOTE_02!$K$10),2)</f>
        <v>5.69</v>
      </c>
      <c r="J515" s="100">
        <f t="shared" si="58"/>
        <v>0.22470000000000001</v>
      </c>
      <c r="K515" s="48">
        <f t="shared" si="52"/>
        <v>6.09</v>
      </c>
      <c r="L515" s="48">
        <f t="shared" si="53"/>
        <v>6.96</v>
      </c>
      <c r="M515" s="48">
        <f t="shared" si="54"/>
        <v>304.5</v>
      </c>
      <c r="N515" s="48">
        <f t="shared" si="55"/>
        <v>348</v>
      </c>
      <c r="O515" s="50">
        <f t="shared" si="56"/>
        <v>652.5</v>
      </c>
      <c r="P515" s="50">
        <v>0</v>
      </c>
      <c r="Q515" s="76"/>
      <c r="R515" s="140">
        <f>IF((10*S9+20*S10)&gt;100,100,(10*S9+20*S10))</f>
        <v>50</v>
      </c>
      <c r="S515" s="79">
        <v>4.9799999999999995</v>
      </c>
      <c r="T515" s="80">
        <v>5.69</v>
      </c>
    </row>
    <row r="516" spans="2:20" ht="56">
      <c r="B516" s="5" t="s">
        <v>1233</v>
      </c>
      <c r="C516" s="45" t="s">
        <v>135</v>
      </c>
      <c r="D516" s="45">
        <v>89402</v>
      </c>
      <c r="E516" s="6" t="s">
        <v>1234</v>
      </c>
      <c r="F516" s="45" t="s">
        <v>187</v>
      </c>
      <c r="G516" s="46">
        <f t="shared" si="57"/>
        <v>50</v>
      </c>
      <c r="H516" s="46">
        <f>TRUNC(S516*(1-LOTE_02!$K$10),2)</f>
        <v>5.67</v>
      </c>
      <c r="I516" s="46">
        <f>TRUNC(T516*(1-LOTE_02!$K$10),2)</f>
        <v>6.6</v>
      </c>
      <c r="J516" s="100">
        <f t="shared" si="58"/>
        <v>0.22470000000000001</v>
      </c>
      <c r="K516" s="48">
        <f t="shared" si="52"/>
        <v>6.94</v>
      </c>
      <c r="L516" s="48">
        <f t="shared" si="53"/>
        <v>8.08</v>
      </c>
      <c r="M516" s="48">
        <f t="shared" si="54"/>
        <v>347</v>
      </c>
      <c r="N516" s="48">
        <f t="shared" si="55"/>
        <v>404</v>
      </c>
      <c r="O516" s="50">
        <f t="shared" si="56"/>
        <v>751</v>
      </c>
      <c r="P516" s="50">
        <v>0</v>
      </c>
      <c r="Q516" s="76"/>
      <c r="R516" s="140">
        <f>IF((10*S9+20*S10)&gt;100,100,(10*S9+20*S10))</f>
        <v>50</v>
      </c>
      <c r="S516" s="79">
        <v>5.67</v>
      </c>
      <c r="T516" s="80">
        <v>6.6</v>
      </c>
    </row>
    <row r="517" spans="2:20" ht="56">
      <c r="B517" s="5" t="s">
        <v>1235</v>
      </c>
      <c r="C517" s="45" t="s">
        <v>135</v>
      </c>
      <c r="D517" s="45">
        <v>89403</v>
      </c>
      <c r="E517" s="6" t="s">
        <v>1236</v>
      </c>
      <c r="F517" s="45" t="s">
        <v>187</v>
      </c>
      <c r="G517" s="46">
        <f t="shared" si="57"/>
        <v>50</v>
      </c>
      <c r="H517" s="46">
        <f>TRUNC(S517*(1-LOTE_02!$K$10),2)</f>
        <v>10.9</v>
      </c>
      <c r="I517" s="46">
        <f>TRUNC(T517*(1-LOTE_02!$K$10),2)</f>
        <v>7.86</v>
      </c>
      <c r="J517" s="100">
        <f t="shared" si="58"/>
        <v>0.22470000000000001</v>
      </c>
      <c r="K517" s="48">
        <f t="shared" si="52"/>
        <v>13.34</v>
      </c>
      <c r="L517" s="48">
        <f t="shared" si="53"/>
        <v>9.6199999999999992</v>
      </c>
      <c r="M517" s="48">
        <f t="shared" si="54"/>
        <v>667</v>
      </c>
      <c r="N517" s="48">
        <f t="shared" si="55"/>
        <v>481</v>
      </c>
      <c r="O517" s="50">
        <f t="shared" si="56"/>
        <v>1148</v>
      </c>
      <c r="P517" s="50">
        <v>0</v>
      </c>
      <c r="Q517" s="76"/>
      <c r="R517" s="140">
        <f>IF((10*S9+20*S10)&gt;100,100,(10*S9+20*S10))</f>
        <v>50</v>
      </c>
      <c r="S517" s="79">
        <v>10.900000000000002</v>
      </c>
      <c r="T517" s="80">
        <v>7.86</v>
      </c>
    </row>
    <row r="518" spans="2:20" ht="56">
      <c r="B518" s="5" t="s">
        <v>1237</v>
      </c>
      <c r="C518" s="45" t="s">
        <v>135</v>
      </c>
      <c r="D518" s="45">
        <v>89448</v>
      </c>
      <c r="E518" s="6" t="s">
        <v>1238</v>
      </c>
      <c r="F518" s="45" t="s">
        <v>187</v>
      </c>
      <c r="G518" s="46">
        <f t="shared" si="57"/>
        <v>50</v>
      </c>
      <c r="H518" s="46">
        <f>TRUNC(S518*(1-LOTE_02!$K$10),2)</f>
        <v>14.76</v>
      </c>
      <c r="I518" s="46">
        <f>TRUNC(T518*(1-LOTE_02!$K$10),2)</f>
        <v>1.1599999999999999</v>
      </c>
      <c r="J518" s="100">
        <f t="shared" si="58"/>
        <v>0.22470000000000001</v>
      </c>
      <c r="K518" s="48">
        <f t="shared" si="52"/>
        <v>18.07</v>
      </c>
      <c r="L518" s="48">
        <f t="shared" si="53"/>
        <v>1.42</v>
      </c>
      <c r="M518" s="48">
        <f t="shared" si="54"/>
        <v>903.5</v>
      </c>
      <c r="N518" s="48">
        <f t="shared" si="55"/>
        <v>71</v>
      </c>
      <c r="O518" s="50">
        <f t="shared" si="56"/>
        <v>974.5</v>
      </c>
      <c r="P518" s="50">
        <v>0</v>
      </c>
      <c r="Q518" s="76"/>
      <c r="R518" s="140">
        <f>IF((10*S9+20*S10)&gt;100,100,(10*S9+20*S10))</f>
        <v>50</v>
      </c>
      <c r="S518" s="79">
        <v>14.76</v>
      </c>
      <c r="T518" s="80">
        <v>1.1599999999999999</v>
      </c>
    </row>
    <row r="519" spans="2:20" ht="70">
      <c r="B519" s="5" t="s">
        <v>1239</v>
      </c>
      <c r="C519" s="45" t="s">
        <v>135</v>
      </c>
      <c r="D519" s="45">
        <v>89711</v>
      </c>
      <c r="E519" s="6" t="s">
        <v>1240</v>
      </c>
      <c r="F519" s="45" t="s">
        <v>187</v>
      </c>
      <c r="G519" s="46">
        <f t="shared" si="57"/>
        <v>50</v>
      </c>
      <c r="H519" s="46">
        <f>TRUNC(S519*(1-LOTE_02!$K$10),2)</f>
        <v>7.82</v>
      </c>
      <c r="I519" s="46">
        <f>TRUNC(T519*(1-LOTE_02!$K$10),2)</f>
        <v>12.23</v>
      </c>
      <c r="J519" s="100">
        <f t="shared" si="58"/>
        <v>0.22470000000000001</v>
      </c>
      <c r="K519" s="48">
        <f t="shared" si="52"/>
        <v>9.57</v>
      </c>
      <c r="L519" s="48">
        <f t="shared" si="53"/>
        <v>14.97</v>
      </c>
      <c r="M519" s="48">
        <f t="shared" si="54"/>
        <v>478.5</v>
      </c>
      <c r="N519" s="48">
        <f t="shared" si="55"/>
        <v>748.5</v>
      </c>
      <c r="O519" s="50">
        <f t="shared" si="56"/>
        <v>1227</v>
      </c>
      <c r="P519" s="50">
        <v>0</v>
      </c>
      <c r="Q519" s="76"/>
      <c r="R519" s="140">
        <f>IF((10*S9+20*S10)&gt;100,100,(10*S9+20*S10))</f>
        <v>50</v>
      </c>
      <c r="S519" s="79">
        <v>7.82</v>
      </c>
      <c r="T519" s="80">
        <v>12.23</v>
      </c>
    </row>
    <row r="520" spans="2:20" ht="70">
      <c r="B520" s="5" t="s">
        <v>1241</v>
      </c>
      <c r="C520" s="45" t="s">
        <v>135</v>
      </c>
      <c r="D520" s="45">
        <v>89712</v>
      </c>
      <c r="E520" s="6" t="s">
        <v>1242</v>
      </c>
      <c r="F520" s="45" t="s">
        <v>187</v>
      </c>
      <c r="G520" s="46">
        <f t="shared" si="57"/>
        <v>50</v>
      </c>
      <c r="H520" s="46">
        <f>TRUNC(S520*(1-LOTE_02!$K$10),2)</f>
        <v>11.54</v>
      </c>
      <c r="I520" s="46">
        <f>TRUNC(T520*(1-LOTE_02!$K$10),2)</f>
        <v>13.28</v>
      </c>
      <c r="J520" s="100">
        <f t="shared" si="58"/>
        <v>0.22470000000000001</v>
      </c>
      <c r="K520" s="48">
        <f t="shared" si="52"/>
        <v>14.13</v>
      </c>
      <c r="L520" s="48">
        <f t="shared" si="53"/>
        <v>16.260000000000002</v>
      </c>
      <c r="M520" s="48">
        <f t="shared" si="54"/>
        <v>706.5</v>
      </c>
      <c r="N520" s="48">
        <f t="shared" si="55"/>
        <v>813</v>
      </c>
      <c r="O520" s="50">
        <f t="shared" si="56"/>
        <v>1519.5</v>
      </c>
      <c r="P520" s="50">
        <v>0</v>
      </c>
      <c r="Q520" s="76"/>
      <c r="R520" s="140">
        <f>IF((10*S9+20*S10)&gt;100,100,(10*S9+20*S10))</f>
        <v>50</v>
      </c>
      <c r="S520" s="79">
        <v>11.540000000000001</v>
      </c>
      <c r="T520" s="80">
        <v>13.28</v>
      </c>
    </row>
    <row r="521" spans="2:20" ht="70">
      <c r="B521" s="5" t="s">
        <v>1243</v>
      </c>
      <c r="C521" s="45" t="s">
        <v>135</v>
      </c>
      <c r="D521" s="45">
        <v>89714</v>
      </c>
      <c r="E521" s="6" t="s">
        <v>1244</v>
      </c>
      <c r="F521" s="45" t="s">
        <v>187</v>
      </c>
      <c r="G521" s="46">
        <f t="shared" si="57"/>
        <v>60</v>
      </c>
      <c r="H521" s="46">
        <f>TRUNC(S521*(1-LOTE_02!$K$10),2)</f>
        <v>16</v>
      </c>
      <c r="I521" s="46">
        <f>TRUNC(T521*(1-LOTE_02!$K$10),2)</f>
        <v>18.57</v>
      </c>
      <c r="J521" s="100">
        <f t="shared" si="58"/>
        <v>0.22470000000000001</v>
      </c>
      <c r="K521" s="48">
        <f t="shared" si="52"/>
        <v>19.59</v>
      </c>
      <c r="L521" s="48">
        <f t="shared" si="53"/>
        <v>22.74</v>
      </c>
      <c r="M521" s="48">
        <f t="shared" si="54"/>
        <v>1175.4000000000001</v>
      </c>
      <c r="N521" s="48">
        <f t="shared" si="55"/>
        <v>1364.4</v>
      </c>
      <c r="O521" s="50">
        <f t="shared" si="56"/>
        <v>2539.8000000000002</v>
      </c>
      <c r="P521" s="50">
        <v>0</v>
      </c>
      <c r="Q521" s="76"/>
      <c r="R521" s="140">
        <f>IF((10*S9+30*S10)&gt;200,200,(10*S9+30*S10))</f>
        <v>60</v>
      </c>
      <c r="S521" s="79">
        <v>16</v>
      </c>
      <c r="T521" s="80">
        <v>18.57</v>
      </c>
    </row>
    <row r="522" spans="2:20" ht="70">
      <c r="B522" s="5" t="s">
        <v>1245</v>
      </c>
      <c r="C522" s="45" t="s">
        <v>135</v>
      </c>
      <c r="D522" s="45">
        <v>89689</v>
      </c>
      <c r="E522" s="6" t="s">
        <v>1246</v>
      </c>
      <c r="F522" s="45" t="s">
        <v>210</v>
      </c>
      <c r="G522" s="46">
        <f t="shared" si="57"/>
        <v>25</v>
      </c>
      <c r="H522" s="46">
        <f>TRUNC(S522*(1-LOTE_02!$K$10),2)</f>
        <v>34.86</v>
      </c>
      <c r="I522" s="46">
        <f>TRUNC(T522*(1-LOTE_02!$K$10),2)</f>
        <v>4.58</v>
      </c>
      <c r="J522" s="100">
        <f t="shared" si="58"/>
        <v>0.22470000000000001</v>
      </c>
      <c r="K522" s="48">
        <f t="shared" si="52"/>
        <v>42.69</v>
      </c>
      <c r="L522" s="48">
        <f t="shared" si="53"/>
        <v>5.6</v>
      </c>
      <c r="M522" s="48">
        <f t="shared" si="54"/>
        <v>1067.25</v>
      </c>
      <c r="N522" s="48">
        <f t="shared" si="55"/>
        <v>140</v>
      </c>
      <c r="O522" s="50">
        <f t="shared" si="56"/>
        <v>1207.25</v>
      </c>
      <c r="P522" s="50">
        <v>0</v>
      </c>
      <c r="Q522" s="76"/>
      <c r="R522" s="140">
        <f>IF((5*S9+10*S10)&gt;50,50,(5*S9+10*S10))</f>
        <v>25</v>
      </c>
      <c r="S522" s="79">
        <v>34.86</v>
      </c>
      <c r="T522" s="80">
        <v>4.58</v>
      </c>
    </row>
    <row r="523" spans="2:20" ht="70">
      <c r="B523" s="5" t="s">
        <v>1247</v>
      </c>
      <c r="C523" s="45" t="s">
        <v>135</v>
      </c>
      <c r="D523" s="45">
        <v>89759</v>
      </c>
      <c r="E523" s="6" t="s">
        <v>1248</v>
      </c>
      <c r="F523" s="45" t="s">
        <v>210</v>
      </c>
      <c r="G523" s="46">
        <f t="shared" si="57"/>
        <v>25</v>
      </c>
      <c r="H523" s="46">
        <f>TRUNC(S523*(1-LOTE_02!$K$10),2)</f>
        <v>8.59</v>
      </c>
      <c r="I523" s="46">
        <f>TRUNC(T523*(1-LOTE_02!$K$10),2)</f>
        <v>3.59</v>
      </c>
      <c r="J523" s="100">
        <f t="shared" si="58"/>
        <v>0.22470000000000001</v>
      </c>
      <c r="K523" s="48">
        <f t="shared" si="52"/>
        <v>10.52</v>
      </c>
      <c r="L523" s="48">
        <f t="shared" si="53"/>
        <v>4.3899999999999997</v>
      </c>
      <c r="M523" s="48">
        <f t="shared" si="54"/>
        <v>263</v>
      </c>
      <c r="N523" s="48">
        <f t="shared" si="55"/>
        <v>109.75</v>
      </c>
      <c r="O523" s="50">
        <f t="shared" si="56"/>
        <v>372.75</v>
      </c>
      <c r="P523" s="50">
        <v>0</v>
      </c>
      <c r="Q523" s="76"/>
      <c r="R523" s="140">
        <f>IF((5*S9+10*S10)&gt;50,50,(5*S9+10*S10))</f>
        <v>25</v>
      </c>
      <c r="S523" s="79">
        <v>8.59</v>
      </c>
      <c r="T523" s="80">
        <v>3.59</v>
      </c>
    </row>
    <row r="524" spans="2:20" ht="56">
      <c r="B524" s="5" t="s">
        <v>1249</v>
      </c>
      <c r="C524" s="45" t="s">
        <v>135</v>
      </c>
      <c r="D524" s="45">
        <v>103964</v>
      </c>
      <c r="E524" s="6" t="s">
        <v>1250</v>
      </c>
      <c r="F524" s="45" t="s">
        <v>210</v>
      </c>
      <c r="G524" s="46">
        <f t="shared" si="57"/>
        <v>25</v>
      </c>
      <c r="H524" s="46">
        <f>TRUNC(S524*(1-LOTE_02!$K$10),2)</f>
        <v>5.65</v>
      </c>
      <c r="I524" s="46">
        <f>TRUNC(T524*(1-LOTE_02!$K$10),2)</f>
        <v>2.39</v>
      </c>
      <c r="J524" s="100">
        <f t="shared" si="58"/>
        <v>0.22470000000000001</v>
      </c>
      <c r="K524" s="48">
        <f t="shared" si="52"/>
        <v>6.91</v>
      </c>
      <c r="L524" s="48">
        <f t="shared" si="53"/>
        <v>2.92</v>
      </c>
      <c r="M524" s="48">
        <f t="shared" si="54"/>
        <v>172.75</v>
      </c>
      <c r="N524" s="48">
        <f t="shared" si="55"/>
        <v>73</v>
      </c>
      <c r="O524" s="50">
        <f t="shared" si="56"/>
        <v>245.75</v>
      </c>
      <c r="P524" s="50">
        <v>0</v>
      </c>
      <c r="Q524" s="76"/>
      <c r="R524" s="140">
        <f>IF((5*S9+10*S10)&gt;50,50,(5*S9+10*S10))</f>
        <v>25</v>
      </c>
      <c r="S524" s="79">
        <v>5.6499999999999986</v>
      </c>
      <c r="T524" s="80">
        <v>2.39</v>
      </c>
    </row>
    <row r="525" spans="2:20" ht="70">
      <c r="B525" s="5" t="s">
        <v>1251</v>
      </c>
      <c r="C525" s="45" t="s">
        <v>135</v>
      </c>
      <c r="D525" s="45">
        <v>89709</v>
      </c>
      <c r="E525" s="6" t="s">
        <v>1252</v>
      </c>
      <c r="F525" s="45" t="s">
        <v>210</v>
      </c>
      <c r="G525" s="46">
        <f t="shared" si="57"/>
        <v>11</v>
      </c>
      <c r="H525" s="46">
        <f>TRUNC(S525*(1-LOTE_02!$K$10),2)</f>
        <v>17.27</v>
      </c>
      <c r="I525" s="46">
        <f>TRUNC(T525*(1-LOTE_02!$K$10),2)</f>
        <v>7.09</v>
      </c>
      <c r="J525" s="100">
        <f t="shared" si="58"/>
        <v>0.22470000000000001</v>
      </c>
      <c r="K525" s="48">
        <f t="shared" si="52"/>
        <v>21.15</v>
      </c>
      <c r="L525" s="48">
        <f t="shared" si="53"/>
        <v>8.68</v>
      </c>
      <c r="M525" s="48">
        <f t="shared" si="54"/>
        <v>232.65</v>
      </c>
      <c r="N525" s="48">
        <f t="shared" si="55"/>
        <v>95.48</v>
      </c>
      <c r="O525" s="50">
        <f t="shared" si="56"/>
        <v>328.13</v>
      </c>
      <c r="P525" s="50">
        <v>0</v>
      </c>
      <c r="Q525" s="76"/>
      <c r="R525" s="140">
        <f>IF((2*S9+5*S10)&gt;50,50,(2*S9+5*S10))</f>
        <v>11</v>
      </c>
      <c r="S525" s="79">
        <v>17.27</v>
      </c>
      <c r="T525" s="80">
        <v>7.09</v>
      </c>
    </row>
    <row r="526" spans="2:20" ht="56">
      <c r="B526" s="5" t="s">
        <v>1253</v>
      </c>
      <c r="C526" s="45" t="s">
        <v>135</v>
      </c>
      <c r="D526" s="45">
        <v>89491</v>
      </c>
      <c r="E526" s="6" t="s">
        <v>1254</v>
      </c>
      <c r="F526" s="45" t="s">
        <v>210</v>
      </c>
      <c r="G526" s="46">
        <f t="shared" si="57"/>
        <v>11</v>
      </c>
      <c r="H526" s="46">
        <f>TRUNC(S526*(1-LOTE_02!$K$10),2)</f>
        <v>106.15</v>
      </c>
      <c r="I526" s="46">
        <f>TRUNC(T526*(1-LOTE_02!$K$10),2)</f>
        <v>14.51</v>
      </c>
      <c r="J526" s="100">
        <f t="shared" si="58"/>
        <v>0.22470000000000001</v>
      </c>
      <c r="K526" s="48">
        <f t="shared" si="52"/>
        <v>130</v>
      </c>
      <c r="L526" s="48">
        <f t="shared" si="53"/>
        <v>17.77</v>
      </c>
      <c r="M526" s="48">
        <f t="shared" si="54"/>
        <v>1430</v>
      </c>
      <c r="N526" s="48">
        <f t="shared" si="55"/>
        <v>195.47</v>
      </c>
      <c r="O526" s="50">
        <f t="shared" si="56"/>
        <v>1625.47</v>
      </c>
      <c r="P526" s="50">
        <v>0</v>
      </c>
      <c r="Q526" s="76"/>
      <c r="R526" s="140">
        <f>IF((2*S9+5*S10)&gt;50,50,(2*S9+5*S10))</f>
        <v>11</v>
      </c>
      <c r="S526" s="79">
        <v>106.14999999999999</v>
      </c>
      <c r="T526" s="80">
        <v>14.51</v>
      </c>
    </row>
    <row r="527" spans="2:20" ht="28">
      <c r="B527" s="5" t="s">
        <v>1255</v>
      </c>
      <c r="C527" s="45" t="s">
        <v>165</v>
      </c>
      <c r="D527" s="45" t="s">
        <v>1210</v>
      </c>
      <c r="E527" s="6" t="s">
        <v>1211</v>
      </c>
      <c r="F527" s="45" t="s">
        <v>559</v>
      </c>
      <c r="G527" s="46">
        <f t="shared" si="57"/>
        <v>25</v>
      </c>
      <c r="H527" s="46">
        <f>TRUNC(S527*(1-LOTE_02!$K$10),2)</f>
        <v>119.1</v>
      </c>
      <c r="I527" s="46">
        <f>TRUNC(T527*(1-LOTE_02!$K$10),2)</f>
        <v>19.45</v>
      </c>
      <c r="J527" s="100">
        <f t="shared" si="58"/>
        <v>0.22470000000000001</v>
      </c>
      <c r="K527" s="48">
        <f t="shared" si="52"/>
        <v>145.86000000000001</v>
      </c>
      <c r="L527" s="48">
        <f t="shared" si="53"/>
        <v>23.82</v>
      </c>
      <c r="M527" s="48">
        <f t="shared" si="54"/>
        <v>3646.5</v>
      </c>
      <c r="N527" s="48">
        <f t="shared" si="55"/>
        <v>595.5</v>
      </c>
      <c r="O527" s="50">
        <f t="shared" si="56"/>
        <v>4242</v>
      </c>
      <c r="P527" s="50">
        <v>0</v>
      </c>
      <c r="Q527" s="76"/>
      <c r="R527" s="140">
        <f>IF((5*S9+10*S10)&gt;50,50,(5*S9+10*S10))</f>
        <v>25</v>
      </c>
      <c r="S527" s="79">
        <v>119.1</v>
      </c>
      <c r="T527" s="80">
        <v>19.45</v>
      </c>
    </row>
    <row r="528" spans="2:20" ht="56">
      <c r="B528" s="5" t="s">
        <v>1256</v>
      </c>
      <c r="C528" s="45" t="s">
        <v>135</v>
      </c>
      <c r="D528" s="45">
        <v>89986</v>
      </c>
      <c r="E528" s="6" t="s">
        <v>1257</v>
      </c>
      <c r="F528" s="45" t="s">
        <v>210</v>
      </c>
      <c r="G528" s="46">
        <f t="shared" si="57"/>
        <v>25</v>
      </c>
      <c r="H528" s="46">
        <f>TRUNC(S528*(1-LOTE_02!$K$10),2)</f>
        <v>81.59</v>
      </c>
      <c r="I528" s="46">
        <f>TRUNC(T528*(1-LOTE_02!$K$10),2)</f>
        <v>6.56</v>
      </c>
      <c r="J528" s="100">
        <f t="shared" si="58"/>
        <v>0.22470000000000001</v>
      </c>
      <c r="K528" s="48">
        <f t="shared" ref="K528:K591" si="59">TRUNC(H528*(1+J528),2)</f>
        <v>99.92</v>
      </c>
      <c r="L528" s="48">
        <f t="shared" ref="L528:L591" si="60">TRUNC(I528*(1+J528),2)</f>
        <v>8.0299999999999994</v>
      </c>
      <c r="M528" s="48">
        <f t="shared" ref="M528:M591" si="61">TRUNC(K528*G528,2)</f>
        <v>2498</v>
      </c>
      <c r="N528" s="48">
        <f t="shared" ref="N528:N591" si="62">TRUNC(L528*G528,2)</f>
        <v>200.75</v>
      </c>
      <c r="O528" s="50">
        <f t="shared" ref="O528:O591" si="63">TRUNC(M528+N528,2)</f>
        <v>2698.75</v>
      </c>
      <c r="P528" s="50">
        <v>0</v>
      </c>
      <c r="Q528" s="76"/>
      <c r="R528" s="140">
        <f>IF((5*S9+10*S10)&gt;50,50,(5*S9+10*S10))</f>
        <v>25</v>
      </c>
      <c r="S528" s="79">
        <v>81.59</v>
      </c>
      <c r="T528" s="80">
        <v>6.56</v>
      </c>
    </row>
    <row r="529" spans="2:20" ht="28">
      <c r="B529" s="5" t="s">
        <v>1258</v>
      </c>
      <c r="C529" s="45" t="s">
        <v>165</v>
      </c>
      <c r="D529" s="45" t="s">
        <v>1259</v>
      </c>
      <c r="E529" s="6" t="s">
        <v>1260</v>
      </c>
      <c r="F529" s="45" t="s">
        <v>559</v>
      </c>
      <c r="G529" s="46">
        <f t="shared" si="57"/>
        <v>25</v>
      </c>
      <c r="H529" s="46">
        <f>TRUNC(S529*(1-LOTE_02!$K$10),2)</f>
        <v>95.61</v>
      </c>
      <c r="I529" s="46">
        <f>TRUNC(T529*(1-LOTE_02!$K$10),2)</f>
        <v>19.45</v>
      </c>
      <c r="J529" s="100">
        <f t="shared" si="58"/>
        <v>0.22470000000000001</v>
      </c>
      <c r="K529" s="48">
        <f t="shared" si="59"/>
        <v>117.09</v>
      </c>
      <c r="L529" s="48">
        <f t="shared" si="60"/>
        <v>23.82</v>
      </c>
      <c r="M529" s="48">
        <f t="shared" si="61"/>
        <v>2927.25</v>
      </c>
      <c r="N529" s="48">
        <f t="shared" si="62"/>
        <v>595.5</v>
      </c>
      <c r="O529" s="50">
        <f t="shared" si="63"/>
        <v>3522.75</v>
      </c>
      <c r="P529" s="50">
        <v>0</v>
      </c>
      <c r="Q529" s="76"/>
      <c r="R529" s="140">
        <f>IF((5*S9+10*S10)&gt;50,50,(5*S9+10*S10))</f>
        <v>25</v>
      </c>
      <c r="S529" s="79">
        <v>95.61</v>
      </c>
      <c r="T529" s="80">
        <v>19.45</v>
      </c>
    </row>
    <row r="530" spans="2:20" ht="42">
      <c r="B530" s="5" t="s">
        <v>1261</v>
      </c>
      <c r="C530" s="45" t="s">
        <v>135</v>
      </c>
      <c r="D530" s="45">
        <v>94496</v>
      </c>
      <c r="E530" s="6" t="s">
        <v>1262</v>
      </c>
      <c r="F530" s="45" t="s">
        <v>210</v>
      </c>
      <c r="G530" s="46">
        <f t="shared" ref="G530:G593" si="64">TRUNC(R530,2)</f>
        <v>25</v>
      </c>
      <c r="H530" s="46">
        <f>TRUNC(S530*(1-LOTE_02!$K$10),2)</f>
        <v>81.55</v>
      </c>
      <c r="I530" s="46">
        <f>TRUNC(T530*(1-LOTE_02!$K$10),2)</f>
        <v>7.28</v>
      </c>
      <c r="J530" s="100">
        <f t="shared" ref="J530:J593" si="65">$J$4</f>
        <v>0.22470000000000001</v>
      </c>
      <c r="K530" s="48">
        <f t="shared" si="59"/>
        <v>99.87</v>
      </c>
      <c r="L530" s="48">
        <f t="shared" si="60"/>
        <v>8.91</v>
      </c>
      <c r="M530" s="48">
        <f t="shared" si="61"/>
        <v>2496.75</v>
      </c>
      <c r="N530" s="48">
        <f t="shared" si="62"/>
        <v>222.75</v>
      </c>
      <c r="O530" s="50">
        <f t="shared" si="63"/>
        <v>2719.5</v>
      </c>
      <c r="P530" s="50">
        <v>0</v>
      </c>
      <c r="Q530" s="76"/>
      <c r="R530" s="140">
        <f>IF((5*S9+10*S10)&gt;50,50,(5*S9+10*S10))</f>
        <v>25</v>
      </c>
      <c r="S530" s="79">
        <v>81.55</v>
      </c>
      <c r="T530" s="80">
        <v>7.28</v>
      </c>
    </row>
    <row r="531" spans="2:20" ht="70">
      <c r="B531" s="5" t="s">
        <v>1263</v>
      </c>
      <c r="C531" s="45" t="s">
        <v>135</v>
      </c>
      <c r="D531" s="45">
        <v>94691</v>
      </c>
      <c r="E531" s="6" t="s">
        <v>1264</v>
      </c>
      <c r="F531" s="45" t="s">
        <v>210</v>
      </c>
      <c r="G531" s="46">
        <f t="shared" si="64"/>
        <v>25</v>
      </c>
      <c r="H531" s="46">
        <f>TRUNC(S531*(1-LOTE_02!$K$10),2)</f>
        <v>9.41</v>
      </c>
      <c r="I531" s="46">
        <f>TRUNC(T531*(1-LOTE_02!$K$10),2)</f>
        <v>3.81</v>
      </c>
      <c r="J531" s="100">
        <f t="shared" si="65"/>
        <v>0.22470000000000001</v>
      </c>
      <c r="K531" s="48">
        <f t="shared" si="59"/>
        <v>11.52</v>
      </c>
      <c r="L531" s="48">
        <f t="shared" si="60"/>
        <v>4.66</v>
      </c>
      <c r="M531" s="48">
        <f t="shared" si="61"/>
        <v>288</v>
      </c>
      <c r="N531" s="48">
        <f t="shared" si="62"/>
        <v>116.5</v>
      </c>
      <c r="O531" s="50">
        <f t="shared" si="63"/>
        <v>404.5</v>
      </c>
      <c r="P531" s="50">
        <v>0</v>
      </c>
      <c r="Q531" s="76"/>
      <c r="R531" s="140">
        <f>IF((5*S9+10*S10)&gt;50,50,(5*S9+10*S10))</f>
        <v>25</v>
      </c>
      <c r="S531" s="79">
        <v>9.41</v>
      </c>
      <c r="T531" s="80">
        <v>3.81</v>
      </c>
    </row>
    <row r="532" spans="2:20" ht="70">
      <c r="B532" s="5" t="s">
        <v>1265</v>
      </c>
      <c r="C532" s="45" t="s">
        <v>135</v>
      </c>
      <c r="D532" s="45">
        <v>94693</v>
      </c>
      <c r="E532" s="6" t="s">
        <v>1266</v>
      </c>
      <c r="F532" s="45" t="s">
        <v>210</v>
      </c>
      <c r="G532" s="46">
        <f t="shared" si="64"/>
        <v>25</v>
      </c>
      <c r="H532" s="46">
        <f>TRUNC(S532*(1-LOTE_02!$K$10),2)</f>
        <v>12.25</v>
      </c>
      <c r="I532" s="46">
        <f>TRUNC(T532*(1-LOTE_02!$K$10),2)</f>
        <v>5.07</v>
      </c>
      <c r="J532" s="100">
        <f t="shared" si="65"/>
        <v>0.22470000000000001</v>
      </c>
      <c r="K532" s="48">
        <f t="shared" si="59"/>
        <v>15</v>
      </c>
      <c r="L532" s="48">
        <f t="shared" si="60"/>
        <v>6.2</v>
      </c>
      <c r="M532" s="48">
        <f t="shared" si="61"/>
        <v>375</v>
      </c>
      <c r="N532" s="48">
        <f t="shared" si="62"/>
        <v>155</v>
      </c>
      <c r="O532" s="50">
        <f t="shared" si="63"/>
        <v>530</v>
      </c>
      <c r="P532" s="50">
        <v>0</v>
      </c>
      <c r="Q532" s="76"/>
      <c r="R532" s="140">
        <f>IF((5*S9+10*S10)&gt;50,50,(5*S9+10*S10))</f>
        <v>25</v>
      </c>
      <c r="S532" s="79">
        <v>12.25</v>
      </c>
      <c r="T532" s="80">
        <v>5.07</v>
      </c>
    </row>
    <row r="533" spans="2:20" ht="28">
      <c r="B533" s="5" t="s">
        <v>1267</v>
      </c>
      <c r="C533" s="45" t="s">
        <v>165</v>
      </c>
      <c r="D533" s="45" t="s">
        <v>1268</v>
      </c>
      <c r="E533" s="6" t="s">
        <v>1269</v>
      </c>
      <c r="F533" s="45" t="s">
        <v>559</v>
      </c>
      <c r="G533" s="46">
        <f t="shared" si="64"/>
        <v>25</v>
      </c>
      <c r="H533" s="46">
        <f>TRUNC(S533*(1-LOTE_02!$K$10),2)</f>
        <v>5.89</v>
      </c>
      <c r="I533" s="46">
        <f>TRUNC(T533*(1-LOTE_02!$K$10),2)</f>
        <v>6.06</v>
      </c>
      <c r="J533" s="100">
        <f t="shared" si="65"/>
        <v>0.22470000000000001</v>
      </c>
      <c r="K533" s="48">
        <f t="shared" si="59"/>
        <v>7.21</v>
      </c>
      <c r="L533" s="48">
        <f t="shared" si="60"/>
        <v>7.42</v>
      </c>
      <c r="M533" s="48">
        <f t="shared" si="61"/>
        <v>180.25</v>
      </c>
      <c r="N533" s="48">
        <f t="shared" si="62"/>
        <v>185.5</v>
      </c>
      <c r="O533" s="50">
        <f t="shared" si="63"/>
        <v>365.75</v>
      </c>
      <c r="P533" s="50">
        <v>0</v>
      </c>
      <c r="Q533" s="76"/>
      <c r="R533" s="140">
        <f>IF((5*S9+10*S10)&gt;50,50,(5*S9+10*S10))</f>
        <v>25</v>
      </c>
      <c r="S533" s="79">
        <v>5.89</v>
      </c>
      <c r="T533" s="80">
        <v>6.06</v>
      </c>
    </row>
    <row r="534" spans="2:20" ht="28">
      <c r="B534" s="5" t="s">
        <v>1270</v>
      </c>
      <c r="C534" s="45" t="s">
        <v>165</v>
      </c>
      <c r="D534" s="45" t="s">
        <v>1271</v>
      </c>
      <c r="E534" s="6" t="s">
        <v>1272</v>
      </c>
      <c r="F534" s="45" t="s">
        <v>559</v>
      </c>
      <c r="G534" s="46">
        <f t="shared" si="64"/>
        <v>25</v>
      </c>
      <c r="H534" s="46">
        <f>TRUNC(S534*(1-LOTE_02!$K$10),2)</f>
        <v>6.82</v>
      </c>
      <c r="I534" s="46">
        <f>TRUNC(T534*(1-LOTE_02!$K$10),2)</f>
        <v>6.38</v>
      </c>
      <c r="J534" s="100">
        <f t="shared" si="65"/>
        <v>0.22470000000000001</v>
      </c>
      <c r="K534" s="48">
        <f t="shared" si="59"/>
        <v>8.35</v>
      </c>
      <c r="L534" s="48">
        <f t="shared" si="60"/>
        <v>7.81</v>
      </c>
      <c r="M534" s="48">
        <f t="shared" si="61"/>
        <v>208.75</v>
      </c>
      <c r="N534" s="48">
        <f t="shared" si="62"/>
        <v>195.25</v>
      </c>
      <c r="O534" s="50">
        <f t="shared" si="63"/>
        <v>404</v>
      </c>
      <c r="P534" s="50">
        <v>0</v>
      </c>
      <c r="Q534" s="76"/>
      <c r="R534" s="140">
        <f>IF((5*S9+10*S10)&gt;50,50,(5*S9+10*S10))</f>
        <v>25</v>
      </c>
      <c r="S534" s="79">
        <v>6.82</v>
      </c>
      <c r="T534" s="80">
        <v>6.38</v>
      </c>
    </row>
    <row r="535" spans="2:20" ht="56">
      <c r="B535" s="5" t="s">
        <v>1273</v>
      </c>
      <c r="C535" s="45" t="s">
        <v>135</v>
      </c>
      <c r="D535" s="45">
        <v>89395</v>
      </c>
      <c r="E535" s="6" t="s">
        <v>1274</v>
      </c>
      <c r="F535" s="45" t="s">
        <v>210</v>
      </c>
      <c r="G535" s="46">
        <f t="shared" si="64"/>
        <v>25</v>
      </c>
      <c r="H535" s="46">
        <f>TRUNC(S535*(1-LOTE_02!$K$10),2)</f>
        <v>4.7300000000000004</v>
      </c>
      <c r="I535" s="46">
        <f>TRUNC(T535*(1-LOTE_02!$K$10),2)</f>
        <v>8.39</v>
      </c>
      <c r="J535" s="100">
        <f t="shared" si="65"/>
        <v>0.22470000000000001</v>
      </c>
      <c r="K535" s="48">
        <f t="shared" si="59"/>
        <v>5.79</v>
      </c>
      <c r="L535" s="48">
        <f t="shared" si="60"/>
        <v>10.27</v>
      </c>
      <c r="M535" s="48">
        <f t="shared" si="61"/>
        <v>144.75</v>
      </c>
      <c r="N535" s="48">
        <f t="shared" si="62"/>
        <v>256.75</v>
      </c>
      <c r="O535" s="50">
        <f t="shared" si="63"/>
        <v>401.5</v>
      </c>
      <c r="P535" s="50">
        <v>0</v>
      </c>
      <c r="Q535" s="76"/>
      <c r="R535" s="140">
        <f>IF((5*S9+10*S10)&gt;50,50,(5*S9+10*S10))</f>
        <v>25</v>
      </c>
      <c r="S535" s="79">
        <v>4.7299999999999986</v>
      </c>
      <c r="T535" s="80">
        <v>8.39</v>
      </c>
    </row>
    <row r="536" spans="2:20" ht="70">
      <c r="B536" s="5" t="s">
        <v>1275</v>
      </c>
      <c r="C536" s="45" t="s">
        <v>135</v>
      </c>
      <c r="D536" s="45">
        <v>89546</v>
      </c>
      <c r="E536" s="6" t="s">
        <v>1276</v>
      </c>
      <c r="F536" s="45" t="s">
        <v>210</v>
      </c>
      <c r="G536" s="46">
        <f t="shared" si="64"/>
        <v>25</v>
      </c>
      <c r="H536" s="46">
        <f>TRUNC(S536*(1-LOTE_02!$K$10),2)</f>
        <v>9.1199999999999992</v>
      </c>
      <c r="I536" s="46">
        <f>TRUNC(T536*(1-LOTE_02!$K$10),2)</f>
        <v>1.49</v>
      </c>
      <c r="J536" s="100">
        <f t="shared" si="65"/>
        <v>0.22470000000000001</v>
      </c>
      <c r="K536" s="48">
        <f t="shared" si="59"/>
        <v>11.16</v>
      </c>
      <c r="L536" s="48">
        <f t="shared" si="60"/>
        <v>1.82</v>
      </c>
      <c r="M536" s="48">
        <f t="shared" si="61"/>
        <v>279</v>
      </c>
      <c r="N536" s="48">
        <f t="shared" si="62"/>
        <v>45.5</v>
      </c>
      <c r="O536" s="50">
        <f t="shared" si="63"/>
        <v>324.5</v>
      </c>
      <c r="P536" s="50">
        <v>0</v>
      </c>
      <c r="Q536" s="76"/>
      <c r="R536" s="140">
        <f>IF((5*S9+10*S10)&gt;50,50,(5*S9+10*S10))</f>
        <v>25</v>
      </c>
      <c r="S536" s="79">
        <v>9.1199999999999992</v>
      </c>
      <c r="T536" s="80">
        <v>1.49</v>
      </c>
    </row>
    <row r="537" spans="2:20" ht="28">
      <c r="B537" s="5" t="s">
        <v>1277</v>
      </c>
      <c r="C537" s="45" t="s">
        <v>97</v>
      </c>
      <c r="D537" s="45" t="s">
        <v>1278</v>
      </c>
      <c r="E537" s="6" t="s">
        <v>1279</v>
      </c>
      <c r="F537" s="45" t="s">
        <v>104</v>
      </c>
      <c r="G537" s="46">
        <f t="shared" si="64"/>
        <v>8</v>
      </c>
      <c r="H537" s="46">
        <f>TRUNC(S537*(1-LOTE_02!$K$10),2)</f>
        <v>15.31</v>
      </c>
      <c r="I537" s="46">
        <f>TRUNC(T537*(1-LOTE_02!$K$10),2)</f>
        <v>4.57</v>
      </c>
      <c r="J537" s="100">
        <f t="shared" si="65"/>
        <v>0.22470000000000001</v>
      </c>
      <c r="K537" s="48">
        <f t="shared" si="59"/>
        <v>18.75</v>
      </c>
      <c r="L537" s="48">
        <f t="shared" si="60"/>
        <v>5.59</v>
      </c>
      <c r="M537" s="48">
        <f t="shared" si="61"/>
        <v>150</v>
      </c>
      <c r="N537" s="48">
        <f t="shared" si="62"/>
        <v>44.72</v>
      </c>
      <c r="O537" s="50">
        <f t="shared" si="63"/>
        <v>194.72</v>
      </c>
      <c r="P537" s="50">
        <v>0</v>
      </c>
      <c r="Q537" s="76"/>
      <c r="R537" s="140">
        <f>2*S9+2*S10</f>
        <v>8</v>
      </c>
      <c r="S537" s="79">
        <v>15.31</v>
      </c>
      <c r="T537" s="80">
        <v>4.57</v>
      </c>
    </row>
    <row r="538" spans="2:20" ht="70">
      <c r="B538" s="5" t="s">
        <v>1280</v>
      </c>
      <c r="C538" s="45" t="s">
        <v>135</v>
      </c>
      <c r="D538" s="45">
        <v>89707</v>
      </c>
      <c r="E538" s="6" t="s">
        <v>1281</v>
      </c>
      <c r="F538" s="45" t="s">
        <v>210</v>
      </c>
      <c r="G538" s="46">
        <f t="shared" si="64"/>
        <v>11</v>
      </c>
      <c r="H538" s="46">
        <f>TRUNC(S538*(1-LOTE_02!$K$10),2)</f>
        <v>38.65</v>
      </c>
      <c r="I538" s="46">
        <f>TRUNC(T538*(1-LOTE_02!$K$10),2)</f>
        <v>17</v>
      </c>
      <c r="J538" s="100">
        <f t="shared" si="65"/>
        <v>0.22470000000000001</v>
      </c>
      <c r="K538" s="48">
        <f t="shared" si="59"/>
        <v>47.33</v>
      </c>
      <c r="L538" s="48">
        <f t="shared" si="60"/>
        <v>20.81</v>
      </c>
      <c r="M538" s="48">
        <f t="shared" si="61"/>
        <v>520.63</v>
      </c>
      <c r="N538" s="48">
        <f t="shared" si="62"/>
        <v>228.91</v>
      </c>
      <c r="O538" s="50">
        <f t="shared" si="63"/>
        <v>749.54</v>
      </c>
      <c r="P538" s="50">
        <v>0</v>
      </c>
      <c r="Q538" s="76"/>
      <c r="R538" s="140">
        <f>IF((2*S9+5*S10)&gt;50,50,(2*S9+5*S10))</f>
        <v>11</v>
      </c>
      <c r="S538" s="79">
        <v>38.65</v>
      </c>
      <c r="T538" s="80">
        <v>17</v>
      </c>
    </row>
    <row r="539" spans="2:20" ht="28">
      <c r="B539" s="5" t="s">
        <v>1282</v>
      </c>
      <c r="C539" s="45" t="s">
        <v>97</v>
      </c>
      <c r="D539" s="45" t="s">
        <v>1283</v>
      </c>
      <c r="E539" s="6" t="s">
        <v>1284</v>
      </c>
      <c r="F539" s="45" t="s">
        <v>104</v>
      </c>
      <c r="G539" s="46">
        <f t="shared" si="64"/>
        <v>4</v>
      </c>
      <c r="H539" s="46">
        <f>TRUNC(S539*(1-LOTE_02!$K$10),2)</f>
        <v>350</v>
      </c>
      <c r="I539" s="46">
        <f>TRUNC(T539*(1-LOTE_02!$K$10),2)</f>
        <v>0</v>
      </c>
      <c r="J539" s="100">
        <f t="shared" si="65"/>
        <v>0.22470000000000001</v>
      </c>
      <c r="K539" s="48">
        <f t="shared" si="59"/>
        <v>428.64</v>
      </c>
      <c r="L539" s="48">
        <f t="shared" si="60"/>
        <v>0</v>
      </c>
      <c r="M539" s="48">
        <f t="shared" si="61"/>
        <v>1714.56</v>
      </c>
      <c r="N539" s="48">
        <f t="shared" si="62"/>
        <v>0</v>
      </c>
      <c r="O539" s="50">
        <f t="shared" si="63"/>
        <v>1714.56</v>
      </c>
      <c r="P539" s="50">
        <v>0</v>
      </c>
      <c r="Q539" s="76"/>
      <c r="R539" s="140">
        <f>1*S9+1*S10</f>
        <v>4</v>
      </c>
      <c r="S539" s="79">
        <v>350</v>
      </c>
      <c r="T539" s="80">
        <v>0</v>
      </c>
    </row>
    <row r="540" spans="2:20" ht="28">
      <c r="B540" s="101" t="s">
        <v>1285</v>
      </c>
      <c r="C540" s="102" t="s">
        <v>21</v>
      </c>
      <c r="D540" s="102" t="s">
        <v>21</v>
      </c>
      <c r="E540" s="103" t="s">
        <v>1286</v>
      </c>
      <c r="F540" s="102" t="s">
        <v>21</v>
      </c>
      <c r="G540" s="46">
        <f t="shared" si="64"/>
        <v>0</v>
      </c>
      <c r="H540" s="46"/>
      <c r="I540" s="46"/>
      <c r="J540" s="105"/>
      <c r="K540" s="48">
        <f t="shared" si="59"/>
        <v>0</v>
      </c>
      <c r="L540" s="48">
        <f t="shared" si="60"/>
        <v>0</v>
      </c>
      <c r="M540" s="48">
        <f t="shared" si="61"/>
        <v>0</v>
      </c>
      <c r="N540" s="48">
        <f t="shared" si="62"/>
        <v>0</v>
      </c>
      <c r="O540" s="50">
        <f t="shared" si="63"/>
        <v>0</v>
      </c>
      <c r="P540" s="50">
        <v>0</v>
      </c>
      <c r="Q540" s="76"/>
      <c r="R540" s="154"/>
      <c r="S540" s="79" t="s">
        <v>22</v>
      </c>
      <c r="T540" s="80" t="s">
        <v>22</v>
      </c>
    </row>
    <row r="541" spans="2:20" ht="42">
      <c r="B541" s="5" t="s">
        <v>1287</v>
      </c>
      <c r="C541" s="45" t="s">
        <v>97</v>
      </c>
      <c r="D541" s="45" t="s">
        <v>1288</v>
      </c>
      <c r="E541" s="6" t="s">
        <v>1289</v>
      </c>
      <c r="F541" s="45" t="s">
        <v>104</v>
      </c>
      <c r="G541" s="46">
        <f t="shared" si="64"/>
        <v>8</v>
      </c>
      <c r="H541" s="46">
        <f>TRUNC(S541*(1-LOTE_02!$K$10),2)</f>
        <v>4.18</v>
      </c>
      <c r="I541" s="46">
        <f>TRUNC(T541*(1-LOTE_02!$K$10),2)</f>
        <v>20.82</v>
      </c>
      <c r="J541" s="100">
        <f t="shared" si="65"/>
        <v>0.22470000000000001</v>
      </c>
      <c r="K541" s="48">
        <f t="shared" si="59"/>
        <v>5.1100000000000003</v>
      </c>
      <c r="L541" s="48">
        <f t="shared" si="60"/>
        <v>25.49</v>
      </c>
      <c r="M541" s="48">
        <f t="shared" si="61"/>
        <v>40.880000000000003</v>
      </c>
      <c r="N541" s="48">
        <f t="shared" si="62"/>
        <v>203.92</v>
      </c>
      <c r="O541" s="50">
        <f t="shared" si="63"/>
        <v>244.8</v>
      </c>
      <c r="P541" s="50">
        <v>0</v>
      </c>
      <c r="Q541" s="76"/>
      <c r="R541" s="140">
        <f>2*S9+2*S10</f>
        <v>8</v>
      </c>
      <c r="S541" s="79">
        <v>4.18</v>
      </c>
      <c r="T541" s="80">
        <v>20.82</v>
      </c>
    </row>
    <row r="542" spans="2:20" ht="28">
      <c r="B542" s="5" t="s">
        <v>1290</v>
      </c>
      <c r="C542" s="45" t="s">
        <v>97</v>
      </c>
      <c r="D542" s="45" t="s">
        <v>1291</v>
      </c>
      <c r="E542" s="6" t="s">
        <v>1292</v>
      </c>
      <c r="F542" s="45" t="s">
        <v>104</v>
      </c>
      <c r="G542" s="46">
        <f t="shared" si="64"/>
        <v>8</v>
      </c>
      <c r="H542" s="46">
        <f>TRUNC(S542*(1-LOTE_02!$K$10),2)</f>
        <v>2.42</v>
      </c>
      <c r="I542" s="46">
        <f>TRUNC(T542*(1-LOTE_02!$K$10),2)</f>
        <v>4.12</v>
      </c>
      <c r="J542" s="100">
        <f t="shared" si="65"/>
        <v>0.22470000000000001</v>
      </c>
      <c r="K542" s="48">
        <f t="shared" si="59"/>
        <v>2.96</v>
      </c>
      <c r="L542" s="48">
        <f t="shared" si="60"/>
        <v>5.04</v>
      </c>
      <c r="M542" s="48">
        <f t="shared" si="61"/>
        <v>23.68</v>
      </c>
      <c r="N542" s="48">
        <f t="shared" si="62"/>
        <v>40.32</v>
      </c>
      <c r="O542" s="50">
        <f t="shared" si="63"/>
        <v>64</v>
      </c>
      <c r="P542" s="50">
        <v>0</v>
      </c>
      <c r="Q542" s="76"/>
      <c r="R542" s="140">
        <f>2*S9+2*S10</f>
        <v>8</v>
      </c>
      <c r="S542" s="79">
        <v>2.42</v>
      </c>
      <c r="T542" s="80">
        <v>4.12</v>
      </c>
    </row>
    <row r="543" spans="2:20" ht="28">
      <c r="B543" s="5" t="s">
        <v>1293</v>
      </c>
      <c r="C543" s="45" t="s">
        <v>97</v>
      </c>
      <c r="D543" s="45" t="s">
        <v>1294</v>
      </c>
      <c r="E543" s="6" t="s">
        <v>1295</v>
      </c>
      <c r="F543" s="45" t="s">
        <v>104</v>
      </c>
      <c r="G543" s="46">
        <f t="shared" si="64"/>
        <v>8</v>
      </c>
      <c r="H543" s="46">
        <f>TRUNC(S543*(1-LOTE_02!$K$10),2)</f>
        <v>2.42</v>
      </c>
      <c r="I543" s="46">
        <f>TRUNC(T543*(1-LOTE_02!$K$10),2)</f>
        <v>4.12</v>
      </c>
      <c r="J543" s="100">
        <f t="shared" si="65"/>
        <v>0.22470000000000001</v>
      </c>
      <c r="K543" s="48">
        <f t="shared" si="59"/>
        <v>2.96</v>
      </c>
      <c r="L543" s="48">
        <f t="shared" si="60"/>
        <v>5.04</v>
      </c>
      <c r="M543" s="48">
        <f t="shared" si="61"/>
        <v>23.68</v>
      </c>
      <c r="N543" s="48">
        <f t="shared" si="62"/>
        <v>40.32</v>
      </c>
      <c r="O543" s="50">
        <f t="shared" si="63"/>
        <v>64</v>
      </c>
      <c r="P543" s="50">
        <v>0</v>
      </c>
      <c r="Q543" s="76"/>
      <c r="R543" s="140">
        <f>2*S9+2*S10</f>
        <v>8</v>
      </c>
      <c r="S543" s="79">
        <v>2.42</v>
      </c>
      <c r="T543" s="80">
        <v>4.12</v>
      </c>
    </row>
    <row r="544" spans="2:20" ht="70">
      <c r="B544" s="5" t="s">
        <v>1296</v>
      </c>
      <c r="C544" s="45" t="s">
        <v>97</v>
      </c>
      <c r="D544" s="45" t="s">
        <v>1297</v>
      </c>
      <c r="E544" s="6" t="s">
        <v>1298</v>
      </c>
      <c r="F544" s="45" t="s">
        <v>104</v>
      </c>
      <c r="G544" s="46">
        <f t="shared" si="64"/>
        <v>8</v>
      </c>
      <c r="H544" s="46">
        <f>TRUNC(S544*(1-LOTE_02!$K$10),2)</f>
        <v>409.6</v>
      </c>
      <c r="I544" s="46">
        <f>TRUNC(T544*(1-LOTE_02!$K$10),2)</f>
        <v>36.409999999999997</v>
      </c>
      <c r="J544" s="100">
        <f t="shared" si="65"/>
        <v>0.22470000000000001</v>
      </c>
      <c r="K544" s="48">
        <f t="shared" si="59"/>
        <v>501.63</v>
      </c>
      <c r="L544" s="48">
        <f t="shared" si="60"/>
        <v>44.59</v>
      </c>
      <c r="M544" s="48">
        <f t="shared" si="61"/>
        <v>4013.04</v>
      </c>
      <c r="N544" s="48">
        <f t="shared" si="62"/>
        <v>356.72</v>
      </c>
      <c r="O544" s="50">
        <f t="shared" si="63"/>
        <v>4369.76</v>
      </c>
      <c r="P544" s="50">
        <v>0</v>
      </c>
      <c r="Q544" s="76"/>
      <c r="R544" s="140">
        <f>2*S9+2*S10</f>
        <v>8</v>
      </c>
      <c r="S544" s="79">
        <v>409.6</v>
      </c>
      <c r="T544" s="80">
        <v>36.409999999999997</v>
      </c>
    </row>
    <row r="545" spans="2:20" ht="28">
      <c r="B545" s="5" t="s">
        <v>1299</v>
      </c>
      <c r="C545" s="45" t="s">
        <v>97</v>
      </c>
      <c r="D545" s="45" t="s">
        <v>1300</v>
      </c>
      <c r="E545" s="6" t="s">
        <v>1301</v>
      </c>
      <c r="F545" s="45" t="s">
        <v>104</v>
      </c>
      <c r="G545" s="46">
        <f t="shared" si="64"/>
        <v>8</v>
      </c>
      <c r="H545" s="46">
        <f>TRUNC(S545*(1-LOTE_02!$K$10),2)</f>
        <v>99.81</v>
      </c>
      <c r="I545" s="46">
        <f>TRUNC(T545*(1-LOTE_02!$K$10),2)</f>
        <v>26.09</v>
      </c>
      <c r="J545" s="100">
        <f t="shared" si="65"/>
        <v>0.22470000000000001</v>
      </c>
      <c r="K545" s="48">
        <f t="shared" si="59"/>
        <v>122.23</v>
      </c>
      <c r="L545" s="48">
        <f t="shared" si="60"/>
        <v>31.95</v>
      </c>
      <c r="M545" s="48">
        <f t="shared" si="61"/>
        <v>977.84</v>
      </c>
      <c r="N545" s="48">
        <f t="shared" si="62"/>
        <v>255.6</v>
      </c>
      <c r="O545" s="50">
        <f t="shared" si="63"/>
        <v>1233.44</v>
      </c>
      <c r="P545" s="50">
        <v>0</v>
      </c>
      <c r="Q545" s="76"/>
      <c r="R545" s="140">
        <f>2*S9+2*S10</f>
        <v>8</v>
      </c>
      <c r="S545" s="79">
        <v>99.81</v>
      </c>
      <c r="T545" s="80">
        <v>26.09</v>
      </c>
    </row>
    <row r="546" spans="2:20" ht="28">
      <c r="B546" s="5" t="s">
        <v>1302</v>
      </c>
      <c r="C546" s="45" t="s">
        <v>97</v>
      </c>
      <c r="D546" s="45" t="s">
        <v>1303</v>
      </c>
      <c r="E546" s="6" t="s">
        <v>1304</v>
      </c>
      <c r="F546" s="45" t="s">
        <v>104</v>
      </c>
      <c r="G546" s="46">
        <f t="shared" si="64"/>
        <v>8</v>
      </c>
      <c r="H546" s="46">
        <f>TRUNC(S546*(1-LOTE_02!$K$10),2)</f>
        <v>94.54</v>
      </c>
      <c r="I546" s="46">
        <f>TRUNC(T546*(1-LOTE_02!$K$10),2)</f>
        <v>17.12</v>
      </c>
      <c r="J546" s="100">
        <f t="shared" si="65"/>
        <v>0.22470000000000001</v>
      </c>
      <c r="K546" s="48">
        <f t="shared" si="59"/>
        <v>115.78</v>
      </c>
      <c r="L546" s="48">
        <f t="shared" si="60"/>
        <v>20.96</v>
      </c>
      <c r="M546" s="48">
        <f t="shared" si="61"/>
        <v>926.24</v>
      </c>
      <c r="N546" s="48">
        <f t="shared" si="62"/>
        <v>167.68</v>
      </c>
      <c r="O546" s="50">
        <f t="shared" si="63"/>
        <v>1093.92</v>
      </c>
      <c r="P546" s="50">
        <v>0</v>
      </c>
      <c r="Q546" s="76"/>
      <c r="R546" s="140">
        <f>2*S9+2*S10</f>
        <v>8</v>
      </c>
      <c r="S546" s="79">
        <v>94.54</v>
      </c>
      <c r="T546" s="80">
        <v>17.12</v>
      </c>
    </row>
    <row r="547" spans="2:20" ht="70">
      <c r="B547" s="5" t="s">
        <v>1305</v>
      </c>
      <c r="C547" s="45" t="s">
        <v>135</v>
      </c>
      <c r="D547" s="45">
        <v>86932</v>
      </c>
      <c r="E547" s="6" t="s">
        <v>1817</v>
      </c>
      <c r="F547" s="45" t="s">
        <v>210</v>
      </c>
      <c r="G547" s="46">
        <f t="shared" si="64"/>
        <v>5</v>
      </c>
      <c r="H547" s="46">
        <f>TRUNC(S547*(1-LOTE_02!$K$10),2)</f>
        <v>486.06</v>
      </c>
      <c r="I547" s="46">
        <f>TRUNC(T547*(1-LOTE_02!$K$10),2)</f>
        <v>28.17</v>
      </c>
      <c r="J547" s="100">
        <f t="shared" si="65"/>
        <v>0.22470000000000001</v>
      </c>
      <c r="K547" s="48">
        <f t="shared" si="59"/>
        <v>595.27</v>
      </c>
      <c r="L547" s="48">
        <f t="shared" si="60"/>
        <v>34.49</v>
      </c>
      <c r="M547" s="48">
        <f t="shared" si="61"/>
        <v>2976.35</v>
      </c>
      <c r="N547" s="48">
        <f t="shared" si="62"/>
        <v>172.45</v>
      </c>
      <c r="O547" s="50">
        <f t="shared" si="63"/>
        <v>3148.8</v>
      </c>
      <c r="P547" s="50">
        <v>0</v>
      </c>
      <c r="Q547" s="76"/>
      <c r="R547" s="140">
        <f>1*S9+2*S10</f>
        <v>5</v>
      </c>
      <c r="S547" s="79">
        <v>486.06</v>
      </c>
      <c r="T547" s="80">
        <v>28.17</v>
      </c>
    </row>
    <row r="548" spans="2:20" ht="28">
      <c r="B548" s="5" t="s">
        <v>1306</v>
      </c>
      <c r="C548" s="45" t="s">
        <v>97</v>
      </c>
      <c r="D548" s="45" t="s">
        <v>1307</v>
      </c>
      <c r="E548" s="6" t="s">
        <v>1308</v>
      </c>
      <c r="F548" s="45" t="s">
        <v>104</v>
      </c>
      <c r="G548" s="46">
        <f t="shared" si="64"/>
        <v>8</v>
      </c>
      <c r="H548" s="46">
        <f>TRUNC(S548*(1-LOTE_02!$K$10),2)</f>
        <v>111.05</v>
      </c>
      <c r="I548" s="46">
        <f>TRUNC(T548*(1-LOTE_02!$K$10),2)</f>
        <v>4.3099999999999996</v>
      </c>
      <c r="J548" s="100">
        <f t="shared" si="65"/>
        <v>0.22470000000000001</v>
      </c>
      <c r="K548" s="48">
        <f t="shared" si="59"/>
        <v>136</v>
      </c>
      <c r="L548" s="48">
        <f t="shared" si="60"/>
        <v>5.27</v>
      </c>
      <c r="M548" s="48">
        <f t="shared" si="61"/>
        <v>1088</v>
      </c>
      <c r="N548" s="48">
        <f t="shared" si="62"/>
        <v>42.16</v>
      </c>
      <c r="O548" s="50">
        <f t="shared" si="63"/>
        <v>1130.1600000000001</v>
      </c>
      <c r="P548" s="50">
        <v>0</v>
      </c>
      <c r="Q548" s="76"/>
      <c r="R548" s="140">
        <f>2*S9+2*S10</f>
        <v>8</v>
      </c>
      <c r="S548" s="79">
        <v>111.05</v>
      </c>
      <c r="T548" s="80">
        <v>4.3099999999999996</v>
      </c>
    </row>
    <row r="549" spans="2:20" ht="28">
      <c r="B549" s="5" t="s">
        <v>1309</v>
      </c>
      <c r="C549" s="45" t="s">
        <v>97</v>
      </c>
      <c r="D549" s="45" t="s">
        <v>1310</v>
      </c>
      <c r="E549" s="6" t="s">
        <v>1311</v>
      </c>
      <c r="F549" s="45" t="s">
        <v>104</v>
      </c>
      <c r="G549" s="46">
        <f t="shared" si="64"/>
        <v>8</v>
      </c>
      <c r="H549" s="46">
        <f>TRUNC(S549*(1-LOTE_02!$K$10),2)</f>
        <v>370.76</v>
      </c>
      <c r="I549" s="46">
        <f>TRUNC(T549*(1-LOTE_02!$K$10),2)</f>
        <v>4.3099999999999996</v>
      </c>
      <c r="J549" s="100">
        <f t="shared" si="65"/>
        <v>0.22470000000000001</v>
      </c>
      <c r="K549" s="48">
        <f t="shared" si="59"/>
        <v>454.06</v>
      </c>
      <c r="L549" s="48">
        <f t="shared" si="60"/>
        <v>5.27</v>
      </c>
      <c r="M549" s="48">
        <f t="shared" si="61"/>
        <v>3632.48</v>
      </c>
      <c r="N549" s="48">
        <f t="shared" si="62"/>
        <v>42.16</v>
      </c>
      <c r="O549" s="50">
        <f t="shared" si="63"/>
        <v>3674.64</v>
      </c>
      <c r="P549" s="50">
        <v>0</v>
      </c>
      <c r="Q549" s="76"/>
      <c r="R549" s="140">
        <f>2*S9+2*S10</f>
        <v>8</v>
      </c>
      <c r="S549" s="79">
        <v>370.76</v>
      </c>
      <c r="T549" s="80">
        <v>4.3099999999999996</v>
      </c>
    </row>
    <row r="550" spans="2:20" ht="56">
      <c r="B550" s="5" t="s">
        <v>1312</v>
      </c>
      <c r="C550" s="45" t="s">
        <v>135</v>
      </c>
      <c r="D550" s="45">
        <v>86903</v>
      </c>
      <c r="E550" s="6" t="s">
        <v>1818</v>
      </c>
      <c r="F550" s="45" t="s">
        <v>210</v>
      </c>
      <c r="G550" s="46">
        <f t="shared" si="64"/>
        <v>5</v>
      </c>
      <c r="H550" s="46">
        <f>TRUNC(S550*(1-LOTE_02!$K$10),2)</f>
        <v>315.13</v>
      </c>
      <c r="I550" s="46">
        <f>TRUNC(T550*(1-LOTE_02!$K$10),2)</f>
        <v>43.46</v>
      </c>
      <c r="J550" s="100">
        <f t="shared" si="65"/>
        <v>0.22470000000000001</v>
      </c>
      <c r="K550" s="48">
        <f t="shared" si="59"/>
        <v>385.93</v>
      </c>
      <c r="L550" s="48">
        <f t="shared" si="60"/>
        <v>53.22</v>
      </c>
      <c r="M550" s="48">
        <f t="shared" si="61"/>
        <v>1929.65</v>
      </c>
      <c r="N550" s="48">
        <f t="shared" si="62"/>
        <v>266.10000000000002</v>
      </c>
      <c r="O550" s="50">
        <f t="shared" si="63"/>
        <v>2195.75</v>
      </c>
      <c r="P550" s="50">
        <v>0</v>
      </c>
      <c r="Q550" s="76"/>
      <c r="R550" s="140">
        <f>1*S9+2*S10</f>
        <v>5</v>
      </c>
      <c r="S550" s="79">
        <v>315.13</v>
      </c>
      <c r="T550" s="80">
        <v>43.46</v>
      </c>
    </row>
    <row r="551" spans="2:20" ht="98">
      <c r="B551" s="5" t="s">
        <v>1313</v>
      </c>
      <c r="C551" s="45" t="s">
        <v>97</v>
      </c>
      <c r="D551" s="45" t="s">
        <v>1314</v>
      </c>
      <c r="E551" s="6" t="s">
        <v>1315</v>
      </c>
      <c r="F551" s="45" t="s">
        <v>104</v>
      </c>
      <c r="G551" s="46">
        <f t="shared" si="64"/>
        <v>5</v>
      </c>
      <c r="H551" s="46">
        <f>TRUNC(S551*(1-LOTE_02!$K$10),2)</f>
        <v>821.79</v>
      </c>
      <c r="I551" s="46">
        <f>TRUNC(T551*(1-LOTE_02!$K$10),2)</f>
        <v>68.89</v>
      </c>
      <c r="J551" s="100">
        <f t="shared" si="65"/>
        <v>0.22470000000000001</v>
      </c>
      <c r="K551" s="48">
        <f t="shared" si="59"/>
        <v>1006.44</v>
      </c>
      <c r="L551" s="48">
        <f t="shared" si="60"/>
        <v>84.36</v>
      </c>
      <c r="M551" s="48">
        <f t="shared" si="61"/>
        <v>5032.2</v>
      </c>
      <c r="N551" s="48">
        <f t="shared" si="62"/>
        <v>421.8</v>
      </c>
      <c r="O551" s="50">
        <f t="shared" si="63"/>
        <v>5454</v>
      </c>
      <c r="P551" s="50">
        <v>0</v>
      </c>
      <c r="Q551" s="76"/>
      <c r="R551" s="140">
        <f>1*S9+2*S10</f>
        <v>5</v>
      </c>
      <c r="S551" s="79">
        <v>821.79</v>
      </c>
      <c r="T551" s="80">
        <v>68.89</v>
      </c>
    </row>
    <row r="552" spans="2:20" ht="56">
      <c r="B552" s="5" t="s">
        <v>1316</v>
      </c>
      <c r="C552" s="45" t="s">
        <v>135</v>
      </c>
      <c r="D552" s="45">
        <v>86904</v>
      </c>
      <c r="E552" s="6" t="s">
        <v>1819</v>
      </c>
      <c r="F552" s="45" t="s">
        <v>210</v>
      </c>
      <c r="G552" s="46">
        <f t="shared" si="64"/>
        <v>5</v>
      </c>
      <c r="H552" s="46">
        <f>TRUNC(S552*(1-LOTE_02!$K$10),2)</f>
        <v>132.58000000000001</v>
      </c>
      <c r="I552" s="46">
        <f>TRUNC(T552*(1-LOTE_02!$K$10),2)</f>
        <v>11.62</v>
      </c>
      <c r="J552" s="100">
        <f t="shared" si="65"/>
        <v>0.22470000000000001</v>
      </c>
      <c r="K552" s="48">
        <f t="shared" si="59"/>
        <v>162.37</v>
      </c>
      <c r="L552" s="48">
        <f t="shared" si="60"/>
        <v>14.23</v>
      </c>
      <c r="M552" s="48">
        <f t="shared" si="61"/>
        <v>811.85</v>
      </c>
      <c r="N552" s="48">
        <f t="shared" si="62"/>
        <v>71.150000000000006</v>
      </c>
      <c r="O552" s="50">
        <f t="shared" si="63"/>
        <v>883</v>
      </c>
      <c r="P552" s="50">
        <v>0</v>
      </c>
      <c r="Q552" s="76"/>
      <c r="R552" s="140">
        <f>1*S9+2*S10</f>
        <v>5</v>
      </c>
      <c r="S552" s="79">
        <v>132.57999999999998</v>
      </c>
      <c r="T552" s="80">
        <v>11.62</v>
      </c>
    </row>
    <row r="553" spans="2:20" ht="56">
      <c r="B553" s="5" t="s">
        <v>1317</v>
      </c>
      <c r="C553" s="45" t="s">
        <v>135</v>
      </c>
      <c r="D553" s="45">
        <v>100858</v>
      </c>
      <c r="E553" s="6" t="s">
        <v>1820</v>
      </c>
      <c r="F553" s="45" t="s">
        <v>210</v>
      </c>
      <c r="G553" s="46">
        <f t="shared" si="64"/>
        <v>5</v>
      </c>
      <c r="H553" s="46">
        <f>TRUNC(S553*(1-LOTE_02!$K$10),2)</f>
        <v>702.47</v>
      </c>
      <c r="I553" s="46">
        <f>TRUNC(T553*(1-LOTE_02!$K$10),2)</f>
        <v>27.06</v>
      </c>
      <c r="J553" s="100">
        <f t="shared" si="65"/>
        <v>0.22470000000000001</v>
      </c>
      <c r="K553" s="48">
        <f t="shared" si="59"/>
        <v>860.31</v>
      </c>
      <c r="L553" s="48">
        <f t="shared" si="60"/>
        <v>33.14</v>
      </c>
      <c r="M553" s="48">
        <f t="shared" si="61"/>
        <v>4301.55</v>
      </c>
      <c r="N553" s="48">
        <f t="shared" si="62"/>
        <v>165.7</v>
      </c>
      <c r="O553" s="50">
        <f t="shared" si="63"/>
        <v>4467.25</v>
      </c>
      <c r="P553" s="50">
        <v>0</v>
      </c>
      <c r="Q553" s="76"/>
      <c r="R553" s="140">
        <f>1*S9+2*S10</f>
        <v>5</v>
      </c>
      <c r="S553" s="79">
        <v>702.47</v>
      </c>
      <c r="T553" s="80">
        <v>27.06</v>
      </c>
    </row>
    <row r="554" spans="2:20" ht="28">
      <c r="B554" s="5" t="s">
        <v>1318</v>
      </c>
      <c r="C554" s="45" t="s">
        <v>165</v>
      </c>
      <c r="D554" s="45" t="s">
        <v>1319</v>
      </c>
      <c r="E554" s="6" t="s">
        <v>1320</v>
      </c>
      <c r="F554" s="45" t="s">
        <v>168</v>
      </c>
      <c r="G554" s="46">
        <f t="shared" si="64"/>
        <v>3.36</v>
      </c>
      <c r="H554" s="46">
        <f>TRUNC(S554*(1-LOTE_02!$K$10),2)</f>
        <v>392.78</v>
      </c>
      <c r="I554" s="46">
        <f>TRUNC(T554*(1-LOTE_02!$K$10),2)</f>
        <v>78.489999999999995</v>
      </c>
      <c r="J554" s="100">
        <f t="shared" si="65"/>
        <v>0.22470000000000001</v>
      </c>
      <c r="K554" s="48">
        <f t="shared" si="59"/>
        <v>481.03</v>
      </c>
      <c r="L554" s="48">
        <f t="shared" si="60"/>
        <v>96.12</v>
      </c>
      <c r="M554" s="48">
        <f t="shared" si="61"/>
        <v>1616.26</v>
      </c>
      <c r="N554" s="48">
        <f t="shared" si="62"/>
        <v>322.95999999999998</v>
      </c>
      <c r="O554" s="50">
        <f t="shared" si="63"/>
        <v>1939.22</v>
      </c>
      <c r="P554" s="50">
        <v>0</v>
      </c>
      <c r="Q554" s="76"/>
      <c r="R554" s="140">
        <f>0.4*0.6*4*S9+0.4*0.6*2*S10</f>
        <v>3.36</v>
      </c>
      <c r="S554" s="79">
        <v>392.78</v>
      </c>
      <c r="T554" s="80">
        <v>78.489999999999995</v>
      </c>
    </row>
    <row r="555" spans="2:20" ht="42">
      <c r="B555" s="5" t="s">
        <v>1321</v>
      </c>
      <c r="C555" s="45" t="s">
        <v>135</v>
      </c>
      <c r="D555" s="45">
        <v>95544</v>
      </c>
      <c r="E555" s="6" t="s">
        <v>1821</v>
      </c>
      <c r="F555" s="45" t="s">
        <v>210</v>
      </c>
      <c r="G555" s="46">
        <f t="shared" si="64"/>
        <v>8</v>
      </c>
      <c r="H555" s="46">
        <f>TRUNC(S555*(1-LOTE_02!$K$10),2)</f>
        <v>64.489999999999995</v>
      </c>
      <c r="I555" s="46">
        <f>TRUNC(T555*(1-LOTE_02!$K$10),2)</f>
        <v>10.26</v>
      </c>
      <c r="J555" s="100">
        <f t="shared" si="65"/>
        <v>0.22470000000000001</v>
      </c>
      <c r="K555" s="48">
        <f t="shared" si="59"/>
        <v>78.98</v>
      </c>
      <c r="L555" s="48">
        <f t="shared" si="60"/>
        <v>12.56</v>
      </c>
      <c r="M555" s="48">
        <f t="shared" si="61"/>
        <v>631.84</v>
      </c>
      <c r="N555" s="48">
        <f t="shared" si="62"/>
        <v>100.48</v>
      </c>
      <c r="O555" s="50">
        <f t="shared" si="63"/>
        <v>732.32</v>
      </c>
      <c r="P555" s="50">
        <v>0</v>
      </c>
      <c r="Q555" s="76"/>
      <c r="R555" s="140">
        <f>2*S9+2*S10</f>
        <v>8</v>
      </c>
      <c r="S555" s="79">
        <v>64.489999999999995</v>
      </c>
      <c r="T555" s="80">
        <v>10.26</v>
      </c>
    </row>
    <row r="556" spans="2:20" ht="28">
      <c r="B556" s="5" t="s">
        <v>1322</v>
      </c>
      <c r="C556" s="45" t="s">
        <v>97</v>
      </c>
      <c r="D556" s="45" t="s">
        <v>1323</v>
      </c>
      <c r="E556" s="6" t="s">
        <v>1324</v>
      </c>
      <c r="F556" s="45" t="s">
        <v>104</v>
      </c>
      <c r="G556" s="46">
        <f t="shared" si="64"/>
        <v>8</v>
      </c>
      <c r="H556" s="46">
        <f>TRUNC(S556*(1-LOTE_02!$K$10),2)</f>
        <v>65.040000000000006</v>
      </c>
      <c r="I556" s="46">
        <f>TRUNC(T556*(1-LOTE_02!$K$10),2)</f>
        <v>4.12</v>
      </c>
      <c r="J556" s="100">
        <f t="shared" si="65"/>
        <v>0.22470000000000001</v>
      </c>
      <c r="K556" s="48">
        <f t="shared" si="59"/>
        <v>79.650000000000006</v>
      </c>
      <c r="L556" s="48">
        <f t="shared" si="60"/>
        <v>5.04</v>
      </c>
      <c r="M556" s="48">
        <f t="shared" si="61"/>
        <v>637.20000000000005</v>
      </c>
      <c r="N556" s="48">
        <f t="shared" si="62"/>
        <v>40.32</v>
      </c>
      <c r="O556" s="50">
        <f t="shared" si="63"/>
        <v>677.52</v>
      </c>
      <c r="P556" s="50">
        <v>0</v>
      </c>
      <c r="Q556" s="76"/>
      <c r="R556" s="140">
        <f>2*S9+2*S10</f>
        <v>8</v>
      </c>
      <c r="S556" s="79">
        <v>65.040000000000006</v>
      </c>
      <c r="T556" s="80">
        <v>4.12</v>
      </c>
    </row>
    <row r="557" spans="2:20" ht="42">
      <c r="B557" s="5" t="s">
        <v>1325</v>
      </c>
      <c r="C557" s="45" t="s">
        <v>97</v>
      </c>
      <c r="D557" s="45" t="s">
        <v>1326</v>
      </c>
      <c r="E557" s="6" t="s">
        <v>1327</v>
      </c>
      <c r="F557" s="45" t="s">
        <v>104</v>
      </c>
      <c r="G557" s="46">
        <f t="shared" si="64"/>
        <v>8</v>
      </c>
      <c r="H557" s="46">
        <f>TRUNC(S557*(1-LOTE_02!$K$10),2)</f>
        <v>65.040000000000006</v>
      </c>
      <c r="I557" s="46">
        <f>TRUNC(T557*(1-LOTE_02!$K$10),2)</f>
        <v>4.12</v>
      </c>
      <c r="J557" s="100">
        <f t="shared" si="65"/>
        <v>0.22470000000000001</v>
      </c>
      <c r="K557" s="48">
        <f t="shared" si="59"/>
        <v>79.650000000000006</v>
      </c>
      <c r="L557" s="48">
        <f t="shared" si="60"/>
        <v>5.04</v>
      </c>
      <c r="M557" s="48">
        <f t="shared" si="61"/>
        <v>637.20000000000005</v>
      </c>
      <c r="N557" s="48">
        <f t="shared" si="62"/>
        <v>40.32</v>
      </c>
      <c r="O557" s="50">
        <f t="shared" si="63"/>
        <v>677.52</v>
      </c>
      <c r="P557" s="50">
        <v>0</v>
      </c>
      <c r="Q557" s="76"/>
      <c r="R557" s="140">
        <f>2*S9+2*S10</f>
        <v>8</v>
      </c>
      <c r="S557" s="79">
        <v>65.040000000000006</v>
      </c>
      <c r="T557" s="80">
        <v>4.12</v>
      </c>
    </row>
    <row r="558" spans="2:20" ht="56">
      <c r="B558" s="5" t="s">
        <v>1328</v>
      </c>
      <c r="C558" s="45" t="s">
        <v>135</v>
      </c>
      <c r="D558" s="45">
        <v>95547</v>
      </c>
      <c r="E558" s="6" t="s">
        <v>1822</v>
      </c>
      <c r="F558" s="45" t="s">
        <v>210</v>
      </c>
      <c r="G558" s="46">
        <f t="shared" si="64"/>
        <v>8</v>
      </c>
      <c r="H558" s="46">
        <f>TRUNC(S558*(1-LOTE_02!$K$10),2)</f>
        <v>65.17</v>
      </c>
      <c r="I558" s="46">
        <f>TRUNC(T558*(1-LOTE_02!$K$10),2)</f>
        <v>8.1999999999999993</v>
      </c>
      <c r="J558" s="100">
        <f t="shared" si="65"/>
        <v>0.22470000000000001</v>
      </c>
      <c r="K558" s="48">
        <f t="shared" si="59"/>
        <v>79.81</v>
      </c>
      <c r="L558" s="48">
        <f t="shared" si="60"/>
        <v>10.039999999999999</v>
      </c>
      <c r="M558" s="48">
        <f t="shared" si="61"/>
        <v>638.48</v>
      </c>
      <c r="N558" s="48">
        <f t="shared" si="62"/>
        <v>80.319999999999993</v>
      </c>
      <c r="O558" s="50">
        <f t="shared" si="63"/>
        <v>718.8</v>
      </c>
      <c r="P558" s="50">
        <v>0</v>
      </c>
      <c r="Q558" s="76"/>
      <c r="R558" s="140">
        <f>2*S9+2*S10</f>
        <v>8</v>
      </c>
      <c r="S558" s="79">
        <v>65.17</v>
      </c>
      <c r="T558" s="80">
        <v>8.1999999999999993</v>
      </c>
    </row>
    <row r="559" spans="2:20" ht="42">
      <c r="B559" s="5" t="s">
        <v>1329</v>
      </c>
      <c r="C559" s="45" t="s">
        <v>135</v>
      </c>
      <c r="D559" s="45">
        <v>95545</v>
      </c>
      <c r="E559" s="6" t="s">
        <v>1823</v>
      </c>
      <c r="F559" s="45" t="s">
        <v>210</v>
      </c>
      <c r="G559" s="46">
        <f t="shared" si="64"/>
        <v>8</v>
      </c>
      <c r="H559" s="46">
        <f>TRUNC(S559*(1-LOTE_02!$K$10),2)</f>
        <v>62.94</v>
      </c>
      <c r="I559" s="46">
        <f>TRUNC(T559*(1-LOTE_02!$K$10),2)</f>
        <v>10.26</v>
      </c>
      <c r="J559" s="100">
        <f t="shared" si="65"/>
        <v>0.22470000000000001</v>
      </c>
      <c r="K559" s="48">
        <f t="shared" si="59"/>
        <v>77.08</v>
      </c>
      <c r="L559" s="48">
        <f t="shared" si="60"/>
        <v>12.56</v>
      </c>
      <c r="M559" s="48">
        <f t="shared" si="61"/>
        <v>616.64</v>
      </c>
      <c r="N559" s="48">
        <f t="shared" si="62"/>
        <v>100.48</v>
      </c>
      <c r="O559" s="50">
        <f t="shared" si="63"/>
        <v>717.12</v>
      </c>
      <c r="P559" s="50">
        <v>0</v>
      </c>
      <c r="Q559" s="76"/>
      <c r="R559" s="140">
        <f>2*S9+2*S10</f>
        <v>8</v>
      </c>
      <c r="S559" s="79">
        <v>62.940000000000005</v>
      </c>
      <c r="T559" s="80">
        <v>10.26</v>
      </c>
    </row>
    <row r="560" spans="2:20" ht="28">
      <c r="B560" s="5" t="s">
        <v>1330</v>
      </c>
      <c r="C560" s="45" t="s">
        <v>165</v>
      </c>
      <c r="D560" s="45" t="s">
        <v>1331</v>
      </c>
      <c r="E560" s="6" t="s">
        <v>1332</v>
      </c>
      <c r="F560" s="45" t="s">
        <v>559</v>
      </c>
      <c r="G560" s="46">
        <f t="shared" si="64"/>
        <v>8</v>
      </c>
      <c r="H560" s="46">
        <f>TRUNC(S560*(1-LOTE_02!$K$10),2)</f>
        <v>456.03</v>
      </c>
      <c r="I560" s="46">
        <f>TRUNC(T560*(1-LOTE_02!$K$10),2)</f>
        <v>15.94</v>
      </c>
      <c r="J560" s="100">
        <f t="shared" si="65"/>
        <v>0.22470000000000001</v>
      </c>
      <c r="K560" s="48">
        <f t="shared" si="59"/>
        <v>558.49</v>
      </c>
      <c r="L560" s="48">
        <f t="shared" si="60"/>
        <v>19.52</v>
      </c>
      <c r="M560" s="48">
        <f t="shared" si="61"/>
        <v>4467.92</v>
      </c>
      <c r="N560" s="48">
        <f t="shared" si="62"/>
        <v>156.16</v>
      </c>
      <c r="O560" s="50">
        <f t="shared" si="63"/>
        <v>4624.08</v>
      </c>
      <c r="P560" s="50">
        <v>0</v>
      </c>
      <c r="Q560" s="76"/>
      <c r="R560" s="140">
        <f>2*S9+2*S10</f>
        <v>8</v>
      </c>
      <c r="S560" s="79">
        <v>456.03</v>
      </c>
      <c r="T560" s="80">
        <v>15.94</v>
      </c>
    </row>
    <row r="561" spans="2:20" ht="42">
      <c r="B561" s="5" t="s">
        <v>1333</v>
      </c>
      <c r="C561" s="45" t="s">
        <v>97</v>
      </c>
      <c r="D561" s="45" t="s">
        <v>1354</v>
      </c>
      <c r="E561" s="6" t="s">
        <v>1355</v>
      </c>
      <c r="F561" s="45" t="s">
        <v>104</v>
      </c>
      <c r="G561" s="46">
        <f t="shared" si="64"/>
        <v>8</v>
      </c>
      <c r="H561" s="46">
        <f>TRUNC(S561*(1-LOTE_02!$K$10),2)</f>
        <v>45.47</v>
      </c>
      <c r="I561" s="46">
        <f>TRUNC(T561*(1-LOTE_02!$K$10),2)</f>
        <v>11.81</v>
      </c>
      <c r="J561" s="100">
        <f t="shared" si="65"/>
        <v>0.22470000000000001</v>
      </c>
      <c r="K561" s="48">
        <f t="shared" si="59"/>
        <v>55.68</v>
      </c>
      <c r="L561" s="48">
        <f t="shared" si="60"/>
        <v>14.46</v>
      </c>
      <c r="M561" s="48">
        <f t="shared" si="61"/>
        <v>445.44</v>
      </c>
      <c r="N561" s="48">
        <f t="shared" si="62"/>
        <v>115.68</v>
      </c>
      <c r="O561" s="50">
        <f t="shared" si="63"/>
        <v>561.12</v>
      </c>
      <c r="P561" s="50">
        <v>0</v>
      </c>
      <c r="Q561" s="76"/>
      <c r="R561" s="140">
        <f>2*S9+2*S10</f>
        <v>8</v>
      </c>
      <c r="S561" s="79">
        <v>45.47</v>
      </c>
      <c r="T561" s="80">
        <v>11.81</v>
      </c>
    </row>
    <row r="562" spans="2:20" ht="42">
      <c r="B562" s="5" t="s">
        <v>1334</v>
      </c>
      <c r="C562" s="45" t="s">
        <v>135</v>
      </c>
      <c r="D562" s="45">
        <v>95546</v>
      </c>
      <c r="E562" s="6" t="s">
        <v>1824</v>
      </c>
      <c r="F562" s="45" t="s">
        <v>210</v>
      </c>
      <c r="G562" s="46">
        <f t="shared" si="64"/>
        <v>8</v>
      </c>
      <c r="H562" s="46">
        <f>TRUNC(S562*(1-LOTE_02!$K$10),2)</f>
        <v>175.1</v>
      </c>
      <c r="I562" s="46">
        <f>TRUNC(T562*(1-LOTE_02!$K$10),2)</f>
        <v>62.44</v>
      </c>
      <c r="J562" s="100">
        <f t="shared" si="65"/>
        <v>0.22470000000000001</v>
      </c>
      <c r="K562" s="48">
        <f t="shared" si="59"/>
        <v>214.44</v>
      </c>
      <c r="L562" s="48">
        <f t="shared" si="60"/>
        <v>76.47</v>
      </c>
      <c r="M562" s="48">
        <f t="shared" si="61"/>
        <v>1715.52</v>
      </c>
      <c r="N562" s="48">
        <f t="shared" si="62"/>
        <v>611.76</v>
      </c>
      <c r="O562" s="50">
        <f t="shared" si="63"/>
        <v>2327.2800000000002</v>
      </c>
      <c r="P562" s="50">
        <v>0</v>
      </c>
      <c r="Q562" s="76"/>
      <c r="R562" s="140">
        <f>2*S9+2*S10</f>
        <v>8</v>
      </c>
      <c r="S562" s="79">
        <v>175.1</v>
      </c>
      <c r="T562" s="80">
        <v>62.44</v>
      </c>
    </row>
    <row r="563" spans="2:20" ht="42">
      <c r="B563" s="5" t="s">
        <v>1335</v>
      </c>
      <c r="C563" s="45" t="s">
        <v>97</v>
      </c>
      <c r="D563" s="45" t="s">
        <v>1336</v>
      </c>
      <c r="E563" s="6" t="s">
        <v>1337</v>
      </c>
      <c r="F563" s="45" t="s">
        <v>104</v>
      </c>
      <c r="G563" s="46">
        <f t="shared" si="64"/>
        <v>8</v>
      </c>
      <c r="H563" s="46">
        <f>TRUNC(S563*(1-LOTE_02!$K$10),2)</f>
        <v>68.319999999999993</v>
      </c>
      <c r="I563" s="46">
        <f>TRUNC(T563*(1-LOTE_02!$K$10),2)</f>
        <v>4.12</v>
      </c>
      <c r="J563" s="100">
        <f t="shared" si="65"/>
        <v>0.22470000000000001</v>
      </c>
      <c r="K563" s="48">
        <f t="shared" si="59"/>
        <v>83.67</v>
      </c>
      <c r="L563" s="48">
        <f t="shared" si="60"/>
        <v>5.04</v>
      </c>
      <c r="M563" s="48">
        <f t="shared" si="61"/>
        <v>669.36</v>
      </c>
      <c r="N563" s="48">
        <f t="shared" si="62"/>
        <v>40.32</v>
      </c>
      <c r="O563" s="50">
        <f t="shared" si="63"/>
        <v>709.68</v>
      </c>
      <c r="P563" s="50">
        <v>0</v>
      </c>
      <c r="Q563" s="76"/>
      <c r="R563" s="140">
        <f>2*S9+2*S10</f>
        <v>8</v>
      </c>
      <c r="S563" s="79">
        <v>68.319999999999993</v>
      </c>
      <c r="T563" s="80">
        <v>4.12</v>
      </c>
    </row>
    <row r="564" spans="2:20" ht="28">
      <c r="B564" s="5" t="s">
        <v>1338</v>
      </c>
      <c r="C564" s="45" t="s">
        <v>97</v>
      </c>
      <c r="D564" s="45" t="s">
        <v>1339</v>
      </c>
      <c r="E564" s="6" t="s">
        <v>1340</v>
      </c>
      <c r="F564" s="45" t="s">
        <v>104</v>
      </c>
      <c r="G564" s="46">
        <f t="shared" si="64"/>
        <v>8</v>
      </c>
      <c r="H564" s="46">
        <f>TRUNC(S564*(1-LOTE_02!$K$10),2)</f>
        <v>43.16</v>
      </c>
      <c r="I564" s="46">
        <f>TRUNC(T564*(1-LOTE_02!$K$10),2)</f>
        <v>4.12</v>
      </c>
      <c r="J564" s="100">
        <f t="shared" si="65"/>
        <v>0.22470000000000001</v>
      </c>
      <c r="K564" s="48">
        <f t="shared" si="59"/>
        <v>52.85</v>
      </c>
      <c r="L564" s="48">
        <f t="shared" si="60"/>
        <v>5.04</v>
      </c>
      <c r="M564" s="48">
        <f t="shared" si="61"/>
        <v>422.8</v>
      </c>
      <c r="N564" s="48">
        <f t="shared" si="62"/>
        <v>40.32</v>
      </c>
      <c r="O564" s="50">
        <f t="shared" si="63"/>
        <v>463.12</v>
      </c>
      <c r="P564" s="50">
        <v>0</v>
      </c>
      <c r="Q564" s="76"/>
      <c r="R564" s="140">
        <f>2*S9+2*S10</f>
        <v>8</v>
      </c>
      <c r="S564" s="79">
        <v>43.16</v>
      </c>
      <c r="T564" s="80">
        <v>4.12</v>
      </c>
    </row>
    <row r="565" spans="2:20" ht="28">
      <c r="B565" s="5" t="s">
        <v>1341</v>
      </c>
      <c r="C565" s="45" t="s">
        <v>97</v>
      </c>
      <c r="D565" s="45" t="s">
        <v>1342</v>
      </c>
      <c r="E565" s="6" t="s">
        <v>1343</v>
      </c>
      <c r="F565" s="45" t="s">
        <v>104</v>
      </c>
      <c r="G565" s="46">
        <f t="shared" si="64"/>
        <v>5</v>
      </c>
      <c r="H565" s="46">
        <f>TRUNC(S565*(1-LOTE_02!$K$10),2)</f>
        <v>88.86</v>
      </c>
      <c r="I565" s="46">
        <f>TRUNC(T565*(1-LOTE_02!$K$10),2)</f>
        <v>12.53</v>
      </c>
      <c r="J565" s="100">
        <f t="shared" si="65"/>
        <v>0.22470000000000001</v>
      </c>
      <c r="K565" s="48">
        <f t="shared" si="59"/>
        <v>108.82</v>
      </c>
      <c r="L565" s="48">
        <f t="shared" si="60"/>
        <v>15.34</v>
      </c>
      <c r="M565" s="48">
        <f t="shared" si="61"/>
        <v>544.1</v>
      </c>
      <c r="N565" s="48">
        <f t="shared" si="62"/>
        <v>76.7</v>
      </c>
      <c r="O565" s="50">
        <f t="shared" si="63"/>
        <v>620.79999999999995</v>
      </c>
      <c r="P565" s="50">
        <v>0</v>
      </c>
      <c r="Q565" s="76"/>
      <c r="R565" s="140">
        <f>1*S9+2*S10</f>
        <v>5</v>
      </c>
      <c r="S565" s="79">
        <v>88.86</v>
      </c>
      <c r="T565" s="80">
        <v>12.53</v>
      </c>
    </row>
    <row r="566" spans="2:20" ht="70">
      <c r="B566" s="5" t="s">
        <v>1344</v>
      </c>
      <c r="C566" s="45" t="s">
        <v>135</v>
      </c>
      <c r="D566" s="45">
        <v>86909</v>
      </c>
      <c r="E566" s="6" t="s">
        <v>1825</v>
      </c>
      <c r="F566" s="45" t="s">
        <v>210</v>
      </c>
      <c r="G566" s="46">
        <f t="shared" si="64"/>
        <v>4</v>
      </c>
      <c r="H566" s="46">
        <f>TRUNC(S566*(1-LOTE_02!$K$10),2)</f>
        <v>244.58</v>
      </c>
      <c r="I566" s="46">
        <f>TRUNC(T566*(1-LOTE_02!$K$10),2)</f>
        <v>4.33</v>
      </c>
      <c r="J566" s="100">
        <f t="shared" si="65"/>
        <v>0.22470000000000001</v>
      </c>
      <c r="K566" s="48">
        <f t="shared" si="59"/>
        <v>299.52999999999997</v>
      </c>
      <c r="L566" s="48">
        <f t="shared" si="60"/>
        <v>5.3</v>
      </c>
      <c r="M566" s="48">
        <f t="shared" si="61"/>
        <v>1198.1199999999999</v>
      </c>
      <c r="N566" s="48">
        <f t="shared" si="62"/>
        <v>21.2</v>
      </c>
      <c r="O566" s="50">
        <f t="shared" si="63"/>
        <v>1219.32</v>
      </c>
      <c r="P566" s="50">
        <v>0</v>
      </c>
      <c r="Q566" s="76"/>
      <c r="R566" s="140">
        <f>1*S9+1*S10</f>
        <v>4</v>
      </c>
      <c r="S566" s="79">
        <v>244.57999999999998</v>
      </c>
      <c r="T566" s="80">
        <v>4.33</v>
      </c>
    </row>
    <row r="567" spans="2:20" ht="70">
      <c r="B567" s="5" t="s">
        <v>1345</v>
      </c>
      <c r="C567" s="45" t="s">
        <v>135</v>
      </c>
      <c r="D567" s="45">
        <v>86910</v>
      </c>
      <c r="E567" s="6" t="s">
        <v>1826</v>
      </c>
      <c r="F567" s="45" t="s">
        <v>210</v>
      </c>
      <c r="G567" s="46">
        <f t="shared" si="64"/>
        <v>4</v>
      </c>
      <c r="H567" s="46">
        <f>TRUNC(S567*(1-LOTE_02!$K$10),2)</f>
        <v>243.32</v>
      </c>
      <c r="I567" s="46">
        <f>TRUNC(T567*(1-LOTE_02!$K$10),2)</f>
        <v>3.03</v>
      </c>
      <c r="J567" s="100">
        <f t="shared" si="65"/>
        <v>0.22470000000000001</v>
      </c>
      <c r="K567" s="48">
        <f t="shared" si="59"/>
        <v>297.99</v>
      </c>
      <c r="L567" s="48">
        <f t="shared" si="60"/>
        <v>3.71</v>
      </c>
      <c r="M567" s="48">
        <f t="shared" si="61"/>
        <v>1191.96</v>
      </c>
      <c r="N567" s="48">
        <f t="shared" si="62"/>
        <v>14.84</v>
      </c>
      <c r="O567" s="50">
        <f t="shared" si="63"/>
        <v>1206.8</v>
      </c>
      <c r="P567" s="50">
        <v>0</v>
      </c>
      <c r="Q567" s="76"/>
      <c r="R567" s="140">
        <f>1*S9+1*S10</f>
        <v>4</v>
      </c>
      <c r="S567" s="79">
        <v>243.32</v>
      </c>
      <c r="T567" s="80">
        <v>3.03</v>
      </c>
    </row>
    <row r="568" spans="2:20" ht="42">
      <c r="B568" s="5" t="s">
        <v>1346</v>
      </c>
      <c r="C568" s="45" t="s">
        <v>135</v>
      </c>
      <c r="D568" s="45">
        <v>100853</v>
      </c>
      <c r="E568" s="6" t="s">
        <v>1827</v>
      </c>
      <c r="F568" s="45" t="s">
        <v>210</v>
      </c>
      <c r="G568" s="46">
        <f t="shared" si="64"/>
        <v>4</v>
      </c>
      <c r="H568" s="46">
        <f>TRUNC(S568*(1-LOTE_02!$K$10),2)</f>
        <v>645.74</v>
      </c>
      <c r="I568" s="46">
        <f>TRUNC(T568*(1-LOTE_02!$K$10),2)</f>
        <v>12.1</v>
      </c>
      <c r="J568" s="100">
        <f t="shared" si="65"/>
        <v>0.22470000000000001</v>
      </c>
      <c r="K568" s="48">
        <f t="shared" si="59"/>
        <v>790.83</v>
      </c>
      <c r="L568" s="48">
        <f t="shared" si="60"/>
        <v>14.81</v>
      </c>
      <c r="M568" s="48">
        <f t="shared" si="61"/>
        <v>3163.32</v>
      </c>
      <c r="N568" s="48">
        <f t="shared" si="62"/>
        <v>59.24</v>
      </c>
      <c r="O568" s="50">
        <f t="shared" si="63"/>
        <v>3222.56</v>
      </c>
      <c r="P568" s="50">
        <v>0</v>
      </c>
      <c r="Q568" s="76"/>
      <c r="R568" s="140">
        <f>1*S9+1*S10</f>
        <v>4</v>
      </c>
      <c r="S568" s="79">
        <v>645.74</v>
      </c>
      <c r="T568" s="80">
        <v>12.1</v>
      </c>
    </row>
    <row r="569" spans="2:20" ht="70">
      <c r="B569" s="5" t="s">
        <v>1347</v>
      </c>
      <c r="C569" s="45" t="s">
        <v>97</v>
      </c>
      <c r="D569" s="45" t="s">
        <v>1348</v>
      </c>
      <c r="E569" s="6" t="s">
        <v>1349</v>
      </c>
      <c r="F569" s="45" t="s">
        <v>104</v>
      </c>
      <c r="G569" s="46">
        <f t="shared" si="64"/>
        <v>5</v>
      </c>
      <c r="H569" s="46">
        <f>TRUNC(S569*(1-LOTE_02!$K$10),2)</f>
        <v>208.55</v>
      </c>
      <c r="I569" s="46">
        <f>TRUNC(T569*(1-LOTE_02!$K$10),2)</f>
        <v>2.84</v>
      </c>
      <c r="J569" s="100">
        <f t="shared" si="65"/>
        <v>0.22470000000000001</v>
      </c>
      <c r="K569" s="48">
        <f t="shared" si="59"/>
        <v>255.41</v>
      </c>
      <c r="L569" s="48">
        <f t="shared" si="60"/>
        <v>3.47</v>
      </c>
      <c r="M569" s="48">
        <f t="shared" si="61"/>
        <v>1277.05</v>
      </c>
      <c r="N569" s="48">
        <f t="shared" si="62"/>
        <v>17.350000000000001</v>
      </c>
      <c r="O569" s="50">
        <f t="shared" si="63"/>
        <v>1294.4000000000001</v>
      </c>
      <c r="P569" s="50">
        <v>0</v>
      </c>
      <c r="Q569" s="76"/>
      <c r="R569" s="140">
        <f>1*S9+2*S10</f>
        <v>5</v>
      </c>
      <c r="S569" s="79">
        <v>208.55</v>
      </c>
      <c r="T569" s="80">
        <v>2.84</v>
      </c>
    </row>
    <row r="570" spans="2:20" ht="42">
      <c r="B570" s="5" t="s">
        <v>1350</v>
      </c>
      <c r="C570" s="45" t="s">
        <v>165</v>
      </c>
      <c r="D570" s="45" t="s">
        <v>1351</v>
      </c>
      <c r="E570" s="6" t="s">
        <v>1352</v>
      </c>
      <c r="F570" s="45" t="s">
        <v>559</v>
      </c>
      <c r="G570" s="46">
        <f t="shared" si="64"/>
        <v>8</v>
      </c>
      <c r="H570" s="46">
        <f>TRUNC(S570*(1-LOTE_02!$K$10),2)</f>
        <v>410.67</v>
      </c>
      <c r="I570" s="46">
        <f>TRUNC(T570*(1-LOTE_02!$K$10),2)</f>
        <v>63.77</v>
      </c>
      <c r="J570" s="100">
        <f t="shared" si="65"/>
        <v>0.22470000000000001</v>
      </c>
      <c r="K570" s="48">
        <f t="shared" si="59"/>
        <v>502.94</v>
      </c>
      <c r="L570" s="48">
        <f t="shared" si="60"/>
        <v>78.09</v>
      </c>
      <c r="M570" s="48">
        <f t="shared" si="61"/>
        <v>4023.52</v>
      </c>
      <c r="N570" s="48">
        <f t="shared" si="62"/>
        <v>624.72</v>
      </c>
      <c r="O570" s="50">
        <f t="shared" si="63"/>
        <v>4648.24</v>
      </c>
      <c r="P570" s="50">
        <v>0</v>
      </c>
      <c r="Q570" s="76"/>
      <c r="R570" s="140">
        <f>2*S9+2*S10</f>
        <v>8</v>
      </c>
      <c r="S570" s="79">
        <v>410.67</v>
      </c>
      <c r="T570" s="80">
        <v>63.77</v>
      </c>
    </row>
    <row r="571" spans="2:20" ht="42">
      <c r="B571" s="5" t="s">
        <v>1353</v>
      </c>
      <c r="C571" s="45" t="s">
        <v>97</v>
      </c>
      <c r="D571" s="45" t="s">
        <v>1354</v>
      </c>
      <c r="E571" s="6" t="s">
        <v>1355</v>
      </c>
      <c r="F571" s="45" t="s">
        <v>104</v>
      </c>
      <c r="G571" s="46">
        <f t="shared" si="64"/>
        <v>5</v>
      </c>
      <c r="H571" s="46">
        <f>TRUNC(S571*(1-LOTE_02!$K$10),2)</f>
        <v>45.47</v>
      </c>
      <c r="I571" s="46">
        <f>TRUNC(T571*(1-LOTE_02!$K$10),2)</f>
        <v>11.81</v>
      </c>
      <c r="J571" s="100">
        <f t="shared" si="65"/>
        <v>0.22470000000000001</v>
      </c>
      <c r="K571" s="48">
        <f t="shared" si="59"/>
        <v>55.68</v>
      </c>
      <c r="L571" s="48">
        <f t="shared" si="60"/>
        <v>14.46</v>
      </c>
      <c r="M571" s="48">
        <f t="shared" si="61"/>
        <v>278.39999999999998</v>
      </c>
      <c r="N571" s="48">
        <f t="shared" si="62"/>
        <v>72.3</v>
      </c>
      <c r="O571" s="50">
        <f t="shared" si="63"/>
        <v>350.7</v>
      </c>
      <c r="P571" s="50">
        <v>0</v>
      </c>
      <c r="Q571" s="76"/>
      <c r="R571" s="140">
        <f>1*S9+2*S10</f>
        <v>5</v>
      </c>
      <c r="S571" s="79">
        <v>45.47</v>
      </c>
      <c r="T571" s="80">
        <v>11.81</v>
      </c>
    </row>
    <row r="572" spans="2:20" ht="56">
      <c r="B572" s="5" t="s">
        <v>1356</v>
      </c>
      <c r="C572" s="45" t="s">
        <v>135</v>
      </c>
      <c r="D572" s="45">
        <v>86877</v>
      </c>
      <c r="E572" s="6" t="s">
        <v>1828</v>
      </c>
      <c r="F572" s="45" t="s">
        <v>210</v>
      </c>
      <c r="G572" s="46">
        <f t="shared" si="64"/>
        <v>4</v>
      </c>
      <c r="H572" s="46">
        <f>TRUNC(S572*(1-LOTE_02!$K$10),2)</f>
        <v>75.3</v>
      </c>
      <c r="I572" s="46">
        <f>TRUNC(T572*(1-LOTE_02!$K$10),2)</f>
        <v>4.96</v>
      </c>
      <c r="J572" s="100">
        <f t="shared" si="65"/>
        <v>0.22470000000000001</v>
      </c>
      <c r="K572" s="48">
        <f t="shared" si="59"/>
        <v>92.21</v>
      </c>
      <c r="L572" s="48">
        <f t="shared" si="60"/>
        <v>6.07</v>
      </c>
      <c r="M572" s="48">
        <f t="shared" si="61"/>
        <v>368.84</v>
      </c>
      <c r="N572" s="48">
        <f t="shared" si="62"/>
        <v>24.28</v>
      </c>
      <c r="O572" s="50">
        <f t="shared" si="63"/>
        <v>393.12</v>
      </c>
      <c r="P572" s="50">
        <v>0</v>
      </c>
      <c r="Q572" s="76"/>
      <c r="R572" s="140">
        <f>IF((1*S9+1*S10)&gt;10,10,(1*S9+1*S10))</f>
        <v>4</v>
      </c>
      <c r="S572" s="79">
        <v>75.300000000000011</v>
      </c>
      <c r="T572" s="80">
        <v>4.96</v>
      </c>
    </row>
    <row r="573" spans="2:20" ht="56">
      <c r="B573" s="5" t="s">
        <v>1357</v>
      </c>
      <c r="C573" s="45" t="s">
        <v>135</v>
      </c>
      <c r="D573" s="45">
        <v>86878</v>
      </c>
      <c r="E573" s="6" t="s">
        <v>1829</v>
      </c>
      <c r="F573" s="45" t="s">
        <v>210</v>
      </c>
      <c r="G573" s="46">
        <f t="shared" si="64"/>
        <v>4</v>
      </c>
      <c r="H573" s="46">
        <f>TRUNC(S573*(1-LOTE_02!$K$10),2)</f>
        <v>81.64</v>
      </c>
      <c r="I573" s="46">
        <f>TRUNC(T573*(1-LOTE_02!$K$10),2)</f>
        <v>4.96</v>
      </c>
      <c r="J573" s="100">
        <f t="shared" si="65"/>
        <v>0.22470000000000001</v>
      </c>
      <c r="K573" s="48">
        <f t="shared" si="59"/>
        <v>99.98</v>
      </c>
      <c r="L573" s="48">
        <f t="shared" si="60"/>
        <v>6.07</v>
      </c>
      <c r="M573" s="48">
        <f t="shared" si="61"/>
        <v>399.92</v>
      </c>
      <c r="N573" s="48">
        <f t="shared" si="62"/>
        <v>24.28</v>
      </c>
      <c r="O573" s="50">
        <f t="shared" si="63"/>
        <v>424.2</v>
      </c>
      <c r="P573" s="50">
        <v>0</v>
      </c>
      <c r="Q573" s="76"/>
      <c r="R573" s="140">
        <f>IF((1*S9+1*S10)&gt;10,10,(1*S9+1*S10))</f>
        <v>4</v>
      </c>
      <c r="S573" s="79">
        <v>81.64</v>
      </c>
      <c r="T573" s="80">
        <v>4.96</v>
      </c>
    </row>
    <row r="574" spans="2:20" ht="42">
      <c r="B574" s="5" t="s">
        <v>1358</v>
      </c>
      <c r="C574" s="45" t="s">
        <v>135</v>
      </c>
      <c r="D574" s="45">
        <v>86886</v>
      </c>
      <c r="E574" s="6" t="s">
        <v>1816</v>
      </c>
      <c r="F574" s="45" t="s">
        <v>210</v>
      </c>
      <c r="G574" s="46">
        <f t="shared" si="64"/>
        <v>8</v>
      </c>
      <c r="H574" s="46">
        <f>TRUNC(S574*(1-LOTE_02!$K$10),2)</f>
        <v>54.95</v>
      </c>
      <c r="I574" s="46">
        <f>TRUNC(T574*(1-LOTE_02!$K$10),2)</f>
        <v>4.34</v>
      </c>
      <c r="J574" s="100">
        <f t="shared" si="65"/>
        <v>0.22470000000000001</v>
      </c>
      <c r="K574" s="48">
        <f t="shared" si="59"/>
        <v>67.290000000000006</v>
      </c>
      <c r="L574" s="48">
        <f t="shared" si="60"/>
        <v>5.31</v>
      </c>
      <c r="M574" s="48">
        <f t="shared" si="61"/>
        <v>538.32000000000005</v>
      </c>
      <c r="N574" s="48">
        <f t="shared" si="62"/>
        <v>42.48</v>
      </c>
      <c r="O574" s="50">
        <f t="shared" si="63"/>
        <v>580.79999999999995</v>
      </c>
      <c r="P574" s="50">
        <v>0</v>
      </c>
      <c r="Q574" s="76"/>
      <c r="R574" s="140">
        <f>2*S9+2*S10</f>
        <v>8</v>
      </c>
      <c r="S574" s="79">
        <v>54.95</v>
      </c>
      <c r="T574" s="80">
        <v>4.34</v>
      </c>
    </row>
    <row r="575" spans="2:20" ht="42">
      <c r="B575" s="5" t="s">
        <v>1359</v>
      </c>
      <c r="C575" s="45" t="s">
        <v>135</v>
      </c>
      <c r="D575" s="45">
        <v>86887</v>
      </c>
      <c r="E575" s="6" t="s">
        <v>1830</v>
      </c>
      <c r="F575" s="45" t="s">
        <v>210</v>
      </c>
      <c r="G575" s="46">
        <f t="shared" si="64"/>
        <v>8</v>
      </c>
      <c r="H575" s="46">
        <f>TRUNC(S575*(1-LOTE_02!$K$10),2)</f>
        <v>60.06</v>
      </c>
      <c r="I575" s="46">
        <f>TRUNC(T575*(1-LOTE_02!$K$10),2)</f>
        <v>4.33</v>
      </c>
      <c r="J575" s="100">
        <f t="shared" si="65"/>
        <v>0.22470000000000001</v>
      </c>
      <c r="K575" s="48">
        <f t="shared" si="59"/>
        <v>73.55</v>
      </c>
      <c r="L575" s="48">
        <f t="shared" si="60"/>
        <v>5.3</v>
      </c>
      <c r="M575" s="48">
        <f t="shared" si="61"/>
        <v>588.4</v>
      </c>
      <c r="N575" s="48">
        <f t="shared" si="62"/>
        <v>42.4</v>
      </c>
      <c r="O575" s="50">
        <f t="shared" si="63"/>
        <v>630.79999999999995</v>
      </c>
      <c r="P575" s="50">
        <v>0</v>
      </c>
      <c r="Q575" s="76"/>
      <c r="R575" s="140">
        <f>2*S9+2*S10</f>
        <v>8</v>
      </c>
      <c r="S575" s="79">
        <v>60.06</v>
      </c>
      <c r="T575" s="80">
        <v>4.33</v>
      </c>
    </row>
    <row r="576" spans="2:20" ht="42">
      <c r="B576" s="5" t="s">
        <v>1360</v>
      </c>
      <c r="C576" s="45" t="s">
        <v>135</v>
      </c>
      <c r="D576" s="45">
        <v>86881</v>
      </c>
      <c r="E576" s="6" t="s">
        <v>1831</v>
      </c>
      <c r="F576" s="45" t="s">
        <v>210</v>
      </c>
      <c r="G576" s="46">
        <f t="shared" si="64"/>
        <v>9</v>
      </c>
      <c r="H576" s="46">
        <f>TRUNC(S576*(1-LOTE_02!$K$10),2)</f>
        <v>238.03</v>
      </c>
      <c r="I576" s="46">
        <f>TRUNC(T576*(1-LOTE_02!$K$10),2)</f>
        <v>7.81</v>
      </c>
      <c r="J576" s="100">
        <f t="shared" si="65"/>
        <v>0.22470000000000001</v>
      </c>
      <c r="K576" s="48">
        <f t="shared" si="59"/>
        <v>291.51</v>
      </c>
      <c r="L576" s="48">
        <f t="shared" si="60"/>
        <v>9.56</v>
      </c>
      <c r="M576" s="48">
        <f t="shared" si="61"/>
        <v>2623.59</v>
      </c>
      <c r="N576" s="48">
        <f t="shared" si="62"/>
        <v>86.04</v>
      </c>
      <c r="O576" s="50">
        <f t="shared" si="63"/>
        <v>2709.63</v>
      </c>
      <c r="P576" s="50">
        <v>0</v>
      </c>
      <c r="Q576" s="76"/>
      <c r="R576" s="140">
        <f>2*S9+3*S10</f>
        <v>9</v>
      </c>
      <c r="S576" s="79">
        <v>238.03</v>
      </c>
      <c r="T576" s="80">
        <v>7.81</v>
      </c>
    </row>
    <row r="577" spans="2:20" ht="42">
      <c r="B577" s="5" t="s">
        <v>1361</v>
      </c>
      <c r="C577" s="45" t="s">
        <v>135</v>
      </c>
      <c r="D577" s="45">
        <v>86883</v>
      </c>
      <c r="E577" s="6" t="s">
        <v>1832</v>
      </c>
      <c r="F577" s="45" t="s">
        <v>210</v>
      </c>
      <c r="G577" s="46">
        <f t="shared" si="64"/>
        <v>9</v>
      </c>
      <c r="H577" s="46">
        <f>TRUNC(S577*(1-LOTE_02!$K$10),2)</f>
        <v>11.28</v>
      </c>
      <c r="I577" s="46">
        <f>TRUNC(T577*(1-LOTE_02!$K$10),2)</f>
        <v>2.31</v>
      </c>
      <c r="J577" s="100">
        <f t="shared" si="65"/>
        <v>0.22470000000000001</v>
      </c>
      <c r="K577" s="48">
        <f t="shared" si="59"/>
        <v>13.81</v>
      </c>
      <c r="L577" s="48">
        <f t="shared" si="60"/>
        <v>2.82</v>
      </c>
      <c r="M577" s="48">
        <f t="shared" si="61"/>
        <v>124.29</v>
      </c>
      <c r="N577" s="48">
        <f t="shared" si="62"/>
        <v>25.38</v>
      </c>
      <c r="O577" s="50">
        <f t="shared" si="63"/>
        <v>149.66999999999999</v>
      </c>
      <c r="P577" s="50">
        <v>0</v>
      </c>
      <c r="Q577" s="76"/>
      <c r="R577" s="140">
        <f>2*S9+3*S10</f>
        <v>9</v>
      </c>
      <c r="S577" s="79">
        <v>11.28</v>
      </c>
      <c r="T577" s="80">
        <v>2.31</v>
      </c>
    </row>
    <row r="578" spans="2:20" ht="56">
      <c r="B578" s="5" t="s">
        <v>1362</v>
      </c>
      <c r="C578" s="45" t="s">
        <v>135</v>
      </c>
      <c r="D578" s="45">
        <v>86889</v>
      </c>
      <c r="E578" s="6" t="s">
        <v>1833</v>
      </c>
      <c r="F578" s="45" t="s">
        <v>210</v>
      </c>
      <c r="G578" s="46">
        <f t="shared" si="64"/>
        <v>4</v>
      </c>
      <c r="H578" s="46">
        <f>TRUNC(S578*(1-LOTE_02!$K$10),2)</f>
        <v>1002.1</v>
      </c>
      <c r="I578" s="46">
        <f>TRUNC(T578*(1-LOTE_02!$K$10),2)</f>
        <v>51.63</v>
      </c>
      <c r="J578" s="100">
        <f t="shared" si="65"/>
        <v>0.22470000000000001</v>
      </c>
      <c r="K578" s="48">
        <f t="shared" si="59"/>
        <v>1227.27</v>
      </c>
      <c r="L578" s="48">
        <f t="shared" si="60"/>
        <v>63.23</v>
      </c>
      <c r="M578" s="48">
        <f t="shared" si="61"/>
        <v>4909.08</v>
      </c>
      <c r="N578" s="48">
        <f t="shared" si="62"/>
        <v>252.92</v>
      </c>
      <c r="O578" s="50">
        <f t="shared" si="63"/>
        <v>5162</v>
      </c>
      <c r="P578" s="50">
        <v>0</v>
      </c>
      <c r="Q578" s="76"/>
      <c r="R578" s="140">
        <f>IF((1*S9+1*S10)&gt;5,5,(1*S9+1*S10))</f>
        <v>4</v>
      </c>
      <c r="S578" s="79">
        <v>1002.1</v>
      </c>
      <c r="T578" s="80">
        <v>51.63</v>
      </c>
    </row>
    <row r="579" spans="2:20" ht="28">
      <c r="B579" s="5" t="s">
        <v>1363</v>
      </c>
      <c r="C579" s="45" t="s">
        <v>165</v>
      </c>
      <c r="D579" s="45" t="s">
        <v>1364</v>
      </c>
      <c r="E579" s="6" t="s">
        <v>1365</v>
      </c>
      <c r="F579" s="45" t="s">
        <v>559</v>
      </c>
      <c r="G579" s="46">
        <f t="shared" si="64"/>
        <v>4</v>
      </c>
      <c r="H579" s="46">
        <f>TRUNC(S579*(1-LOTE_02!$K$10),2)</f>
        <v>872.57</v>
      </c>
      <c r="I579" s="46">
        <f>TRUNC(T579*(1-LOTE_02!$K$10),2)</f>
        <v>95.66</v>
      </c>
      <c r="J579" s="100">
        <f t="shared" si="65"/>
        <v>0.22470000000000001</v>
      </c>
      <c r="K579" s="48">
        <f t="shared" si="59"/>
        <v>1068.6300000000001</v>
      </c>
      <c r="L579" s="48">
        <f t="shared" si="60"/>
        <v>117.15</v>
      </c>
      <c r="M579" s="48">
        <f t="shared" si="61"/>
        <v>4274.5200000000004</v>
      </c>
      <c r="N579" s="48">
        <f t="shared" si="62"/>
        <v>468.6</v>
      </c>
      <c r="O579" s="50">
        <f t="shared" si="63"/>
        <v>4743.12</v>
      </c>
      <c r="P579" s="50">
        <v>0</v>
      </c>
      <c r="Q579" s="76"/>
      <c r="R579" s="140">
        <f>IF((1*S9+1*S10)&gt;10,10,(1*S9+1*S10))</f>
        <v>4</v>
      </c>
      <c r="S579" s="79">
        <v>872.57</v>
      </c>
      <c r="T579" s="80">
        <v>95.66</v>
      </c>
    </row>
    <row r="580" spans="2:20" ht="28">
      <c r="B580" s="5" t="s">
        <v>1366</v>
      </c>
      <c r="C580" s="45" t="s">
        <v>165</v>
      </c>
      <c r="D580" s="45" t="s">
        <v>1367</v>
      </c>
      <c r="E580" s="6" t="s">
        <v>1368</v>
      </c>
      <c r="F580" s="45" t="s">
        <v>559</v>
      </c>
      <c r="G580" s="46">
        <f t="shared" si="64"/>
        <v>4</v>
      </c>
      <c r="H580" s="46">
        <f>TRUNC(S580*(1-LOTE_02!$K$10),2)</f>
        <v>651.35</v>
      </c>
      <c r="I580" s="46">
        <f>TRUNC(T580*(1-LOTE_02!$K$10),2)</f>
        <v>111.6</v>
      </c>
      <c r="J580" s="100">
        <f t="shared" si="65"/>
        <v>0.22470000000000001</v>
      </c>
      <c r="K580" s="48">
        <f t="shared" si="59"/>
        <v>797.7</v>
      </c>
      <c r="L580" s="48">
        <f t="shared" si="60"/>
        <v>136.66999999999999</v>
      </c>
      <c r="M580" s="48">
        <f t="shared" si="61"/>
        <v>3190.8</v>
      </c>
      <c r="N580" s="48">
        <f t="shared" si="62"/>
        <v>546.67999999999995</v>
      </c>
      <c r="O580" s="50">
        <f t="shared" si="63"/>
        <v>3737.48</v>
      </c>
      <c r="P580" s="50">
        <v>0</v>
      </c>
      <c r="Q580" s="76"/>
      <c r="R580" s="140">
        <f>IF((1*S9+1*S10)&gt;10,10,(1*S9+1*S10))</f>
        <v>4</v>
      </c>
      <c r="S580" s="79">
        <v>651.35</v>
      </c>
      <c r="T580" s="80">
        <v>111.6</v>
      </c>
    </row>
    <row r="581" spans="2:20">
      <c r="B581" s="101" t="s">
        <v>52</v>
      </c>
      <c r="C581" s="102" t="s">
        <v>21</v>
      </c>
      <c r="D581" s="102" t="s">
        <v>21</v>
      </c>
      <c r="E581" s="103" t="s">
        <v>59</v>
      </c>
      <c r="F581" s="102" t="s">
        <v>21</v>
      </c>
      <c r="G581" s="46">
        <f t="shared" si="64"/>
        <v>0</v>
      </c>
      <c r="H581" s="46"/>
      <c r="I581" s="46"/>
      <c r="J581" s="105"/>
      <c r="K581" s="48">
        <f t="shared" si="59"/>
        <v>0</v>
      </c>
      <c r="L581" s="48">
        <f t="shared" si="60"/>
        <v>0</v>
      </c>
      <c r="M581" s="48">
        <f t="shared" si="61"/>
        <v>0</v>
      </c>
      <c r="N581" s="48">
        <f t="shared" si="62"/>
        <v>0</v>
      </c>
      <c r="O581" s="50">
        <f t="shared" si="63"/>
        <v>0</v>
      </c>
      <c r="P581" s="104">
        <f>SUM(O582:O604)</f>
        <v>81104.439999999988</v>
      </c>
      <c r="Q581" s="76"/>
      <c r="R581" s="154"/>
      <c r="S581" s="79" t="s">
        <v>22</v>
      </c>
      <c r="T581" s="80" t="s">
        <v>22</v>
      </c>
    </row>
    <row r="582" spans="2:20">
      <c r="B582" s="5" t="s">
        <v>1369</v>
      </c>
      <c r="C582" s="45" t="s">
        <v>97</v>
      </c>
      <c r="D582" s="45" t="s">
        <v>1370</v>
      </c>
      <c r="E582" s="6" t="s">
        <v>1371</v>
      </c>
      <c r="F582" s="45" t="s">
        <v>104</v>
      </c>
      <c r="G582" s="46">
        <f t="shared" si="64"/>
        <v>20</v>
      </c>
      <c r="H582" s="46">
        <f>TRUNC(S582*(1-LOTE_02!$K$10),2)</f>
        <v>0.96</v>
      </c>
      <c r="I582" s="46">
        <f>TRUNC(T582*(1-LOTE_02!$K$10),2)</f>
        <v>3.92</v>
      </c>
      <c r="J582" s="100">
        <f t="shared" si="65"/>
        <v>0.22470000000000001</v>
      </c>
      <c r="K582" s="48">
        <f t="shared" si="59"/>
        <v>1.17</v>
      </c>
      <c r="L582" s="48">
        <f t="shared" si="60"/>
        <v>4.8</v>
      </c>
      <c r="M582" s="48">
        <f t="shared" si="61"/>
        <v>23.4</v>
      </c>
      <c r="N582" s="48">
        <f t="shared" si="62"/>
        <v>96</v>
      </c>
      <c r="O582" s="50">
        <f t="shared" si="63"/>
        <v>119.4</v>
      </c>
      <c r="P582" s="50">
        <v>0</v>
      </c>
      <c r="Q582" s="76"/>
      <c r="R582" s="140">
        <f>5*S9+5*S10</f>
        <v>20</v>
      </c>
      <c r="S582" s="79">
        <v>0.96</v>
      </c>
      <c r="T582" s="80">
        <v>3.92</v>
      </c>
    </row>
    <row r="583" spans="2:20" ht="28">
      <c r="B583" s="5" t="s">
        <v>1372</v>
      </c>
      <c r="C583" s="45" t="s">
        <v>97</v>
      </c>
      <c r="D583" s="45" t="s">
        <v>1373</v>
      </c>
      <c r="E583" s="6" t="s">
        <v>1374</v>
      </c>
      <c r="F583" s="45" t="s">
        <v>104</v>
      </c>
      <c r="G583" s="46">
        <f t="shared" si="64"/>
        <v>20</v>
      </c>
      <c r="H583" s="46">
        <f>TRUNC(S583*(1-LOTE_02!$K$10),2)</f>
        <v>5.52</v>
      </c>
      <c r="I583" s="46">
        <f>TRUNC(T583*(1-LOTE_02!$K$10),2)</f>
        <v>19.05</v>
      </c>
      <c r="J583" s="100">
        <f t="shared" si="65"/>
        <v>0.22470000000000001</v>
      </c>
      <c r="K583" s="48">
        <f t="shared" si="59"/>
        <v>6.76</v>
      </c>
      <c r="L583" s="48">
        <f t="shared" si="60"/>
        <v>23.33</v>
      </c>
      <c r="M583" s="48">
        <f t="shared" si="61"/>
        <v>135.19999999999999</v>
      </c>
      <c r="N583" s="48">
        <f t="shared" si="62"/>
        <v>466.6</v>
      </c>
      <c r="O583" s="50">
        <f t="shared" si="63"/>
        <v>601.79999999999995</v>
      </c>
      <c r="P583" s="50">
        <v>0</v>
      </c>
      <c r="Q583" s="76"/>
      <c r="R583" s="140">
        <f>5*S9+5*S10</f>
        <v>20</v>
      </c>
      <c r="S583" s="79">
        <v>5.52</v>
      </c>
      <c r="T583" s="80">
        <v>19.05</v>
      </c>
    </row>
    <row r="584" spans="2:20" ht="56">
      <c r="B584" s="5" t="s">
        <v>1375</v>
      </c>
      <c r="C584" s="45" t="s">
        <v>97</v>
      </c>
      <c r="D584" s="45" t="s">
        <v>1376</v>
      </c>
      <c r="E584" s="6" t="s">
        <v>1377</v>
      </c>
      <c r="F584" s="45" t="s">
        <v>104</v>
      </c>
      <c r="G584" s="46">
        <f t="shared" si="64"/>
        <v>20</v>
      </c>
      <c r="H584" s="46">
        <f>TRUNC(S584*(1-LOTE_02!$K$10),2)</f>
        <v>15.48</v>
      </c>
      <c r="I584" s="46">
        <f>TRUNC(T584*(1-LOTE_02!$K$10),2)</f>
        <v>11.39</v>
      </c>
      <c r="J584" s="100">
        <f t="shared" si="65"/>
        <v>0.22470000000000001</v>
      </c>
      <c r="K584" s="48">
        <f t="shared" si="59"/>
        <v>18.95</v>
      </c>
      <c r="L584" s="48">
        <f t="shared" si="60"/>
        <v>13.94</v>
      </c>
      <c r="M584" s="48">
        <f t="shared" si="61"/>
        <v>379</v>
      </c>
      <c r="N584" s="48">
        <f t="shared" si="62"/>
        <v>278.8</v>
      </c>
      <c r="O584" s="50">
        <f t="shared" si="63"/>
        <v>657.8</v>
      </c>
      <c r="P584" s="50">
        <v>0</v>
      </c>
      <c r="Q584" s="76"/>
      <c r="R584" s="140">
        <f>5*S9+5*S10</f>
        <v>20</v>
      </c>
      <c r="S584" s="79">
        <v>15.48</v>
      </c>
      <c r="T584" s="80">
        <v>11.39</v>
      </c>
    </row>
    <row r="585" spans="2:20" ht="56">
      <c r="B585" s="5" t="s">
        <v>1378</v>
      </c>
      <c r="C585" s="45" t="s">
        <v>135</v>
      </c>
      <c r="D585" s="45">
        <v>101905</v>
      </c>
      <c r="E585" s="6" t="s">
        <v>1834</v>
      </c>
      <c r="F585" s="45" t="s">
        <v>210</v>
      </c>
      <c r="G585" s="46">
        <f t="shared" si="64"/>
        <v>8</v>
      </c>
      <c r="H585" s="46">
        <f>TRUNC(S585*(1-LOTE_02!$K$10),2)</f>
        <v>420.09</v>
      </c>
      <c r="I585" s="46">
        <f>TRUNC(T585*(1-LOTE_02!$K$10),2)</f>
        <v>18.78</v>
      </c>
      <c r="J585" s="100">
        <f t="shared" si="65"/>
        <v>0.22470000000000001</v>
      </c>
      <c r="K585" s="48">
        <f t="shared" si="59"/>
        <v>514.48</v>
      </c>
      <c r="L585" s="48">
        <f t="shared" si="60"/>
        <v>22.99</v>
      </c>
      <c r="M585" s="48">
        <f t="shared" si="61"/>
        <v>4115.84</v>
      </c>
      <c r="N585" s="48">
        <f t="shared" si="62"/>
        <v>183.92</v>
      </c>
      <c r="O585" s="50">
        <f t="shared" si="63"/>
        <v>4299.76</v>
      </c>
      <c r="P585" s="50">
        <v>0</v>
      </c>
      <c r="Q585" s="76"/>
      <c r="R585" s="140">
        <f>2*S9+2*S10</f>
        <v>8</v>
      </c>
      <c r="S585" s="79">
        <v>420.09000000000003</v>
      </c>
      <c r="T585" s="80">
        <v>18.78</v>
      </c>
    </row>
    <row r="586" spans="2:20" ht="56">
      <c r="B586" s="5" t="s">
        <v>1379</v>
      </c>
      <c r="C586" s="45" t="s">
        <v>135</v>
      </c>
      <c r="D586" s="45">
        <v>101907</v>
      </c>
      <c r="E586" s="6" t="s">
        <v>1835</v>
      </c>
      <c r="F586" s="45" t="s">
        <v>210</v>
      </c>
      <c r="G586" s="46">
        <f t="shared" si="64"/>
        <v>8</v>
      </c>
      <c r="H586" s="46">
        <f>TRUNC(S586*(1-LOTE_02!$K$10),2)</f>
        <v>1429.43</v>
      </c>
      <c r="I586" s="46">
        <f>TRUNC(T586*(1-LOTE_02!$K$10),2)</f>
        <v>18.82</v>
      </c>
      <c r="J586" s="100">
        <f t="shared" si="65"/>
        <v>0.22470000000000001</v>
      </c>
      <c r="K586" s="48">
        <f t="shared" si="59"/>
        <v>1750.62</v>
      </c>
      <c r="L586" s="48">
        <f t="shared" si="60"/>
        <v>23.04</v>
      </c>
      <c r="M586" s="48">
        <f t="shared" si="61"/>
        <v>14004.96</v>
      </c>
      <c r="N586" s="48">
        <f t="shared" si="62"/>
        <v>184.32</v>
      </c>
      <c r="O586" s="50">
        <f t="shared" si="63"/>
        <v>14189.28</v>
      </c>
      <c r="P586" s="50">
        <v>0</v>
      </c>
      <c r="Q586" s="76"/>
      <c r="R586" s="140">
        <f>2*S9+2*S10</f>
        <v>8</v>
      </c>
      <c r="S586" s="79">
        <v>1429.43</v>
      </c>
      <c r="T586" s="80">
        <v>18.82</v>
      </c>
    </row>
    <row r="587" spans="2:20" ht="56">
      <c r="B587" s="5" t="s">
        <v>1380</v>
      </c>
      <c r="C587" s="45" t="s">
        <v>135</v>
      </c>
      <c r="D587" s="45">
        <v>101909</v>
      </c>
      <c r="E587" s="6" t="s">
        <v>1836</v>
      </c>
      <c r="F587" s="45" t="s">
        <v>210</v>
      </c>
      <c r="G587" s="46">
        <f t="shared" si="64"/>
        <v>8</v>
      </c>
      <c r="H587" s="46">
        <f>TRUNC(S587*(1-LOTE_02!$K$10),2)</f>
        <v>479.47</v>
      </c>
      <c r="I587" s="46">
        <f>TRUNC(T587*(1-LOTE_02!$K$10),2)</f>
        <v>18.78</v>
      </c>
      <c r="J587" s="100">
        <f t="shared" si="65"/>
        <v>0.22470000000000001</v>
      </c>
      <c r="K587" s="48">
        <f t="shared" si="59"/>
        <v>587.20000000000005</v>
      </c>
      <c r="L587" s="48">
        <f t="shared" si="60"/>
        <v>22.99</v>
      </c>
      <c r="M587" s="48">
        <f t="shared" si="61"/>
        <v>4697.6000000000004</v>
      </c>
      <c r="N587" s="48">
        <f t="shared" si="62"/>
        <v>183.92</v>
      </c>
      <c r="O587" s="50">
        <f t="shared" si="63"/>
        <v>4881.5200000000004</v>
      </c>
      <c r="P587" s="50">
        <v>0</v>
      </c>
      <c r="Q587" s="76"/>
      <c r="R587" s="140">
        <f>2*S9+2*S10</f>
        <v>8</v>
      </c>
      <c r="S587" s="79">
        <v>479.47</v>
      </c>
      <c r="T587" s="80">
        <v>18.78</v>
      </c>
    </row>
    <row r="588" spans="2:20" ht="42">
      <c r="B588" s="5" t="s">
        <v>1381</v>
      </c>
      <c r="C588" s="45" t="s">
        <v>135</v>
      </c>
      <c r="D588" s="45">
        <v>101914</v>
      </c>
      <c r="E588" s="6" t="s">
        <v>1837</v>
      </c>
      <c r="F588" s="45" t="s">
        <v>210</v>
      </c>
      <c r="G588" s="46">
        <f t="shared" si="64"/>
        <v>4</v>
      </c>
      <c r="H588" s="46">
        <f>TRUNC(S588*(1-LOTE_02!$K$10),2)</f>
        <v>646.59</v>
      </c>
      <c r="I588" s="46">
        <f>TRUNC(T588*(1-LOTE_02!$K$10),2)</f>
        <v>62.07</v>
      </c>
      <c r="J588" s="100">
        <f t="shared" si="65"/>
        <v>0.22470000000000001</v>
      </c>
      <c r="K588" s="48">
        <f t="shared" si="59"/>
        <v>791.87</v>
      </c>
      <c r="L588" s="48">
        <f t="shared" si="60"/>
        <v>76.010000000000005</v>
      </c>
      <c r="M588" s="48">
        <f t="shared" si="61"/>
        <v>3167.48</v>
      </c>
      <c r="N588" s="48">
        <f t="shared" si="62"/>
        <v>304.04000000000002</v>
      </c>
      <c r="O588" s="50">
        <f t="shared" si="63"/>
        <v>3471.52</v>
      </c>
      <c r="P588" s="50">
        <v>0</v>
      </c>
      <c r="Q588" s="76"/>
      <c r="R588" s="140">
        <f>1*S9+1*S10</f>
        <v>4</v>
      </c>
      <c r="S588" s="79">
        <v>646.58999999999992</v>
      </c>
      <c r="T588" s="80">
        <v>62.07</v>
      </c>
    </row>
    <row r="589" spans="2:20" ht="84">
      <c r="B589" s="5" t="s">
        <v>1382</v>
      </c>
      <c r="C589" s="45" t="s">
        <v>135</v>
      </c>
      <c r="D589" s="45">
        <v>101915</v>
      </c>
      <c r="E589" s="6" t="s">
        <v>1838</v>
      </c>
      <c r="F589" s="45" t="s">
        <v>210</v>
      </c>
      <c r="G589" s="46">
        <f t="shared" si="64"/>
        <v>4</v>
      </c>
      <c r="H589" s="46">
        <f>TRUNC(S589*(1-LOTE_02!$K$10),2)</f>
        <v>600.87</v>
      </c>
      <c r="I589" s="46">
        <f>TRUNC(T589*(1-LOTE_02!$K$10),2)</f>
        <v>5.76</v>
      </c>
      <c r="J589" s="100">
        <f t="shared" si="65"/>
        <v>0.22470000000000001</v>
      </c>
      <c r="K589" s="48">
        <f t="shared" si="59"/>
        <v>735.88</v>
      </c>
      <c r="L589" s="48">
        <f t="shared" si="60"/>
        <v>7.05</v>
      </c>
      <c r="M589" s="48">
        <f t="shared" si="61"/>
        <v>2943.52</v>
      </c>
      <c r="N589" s="48">
        <f t="shared" si="62"/>
        <v>28.2</v>
      </c>
      <c r="O589" s="50">
        <f t="shared" si="63"/>
        <v>2971.72</v>
      </c>
      <c r="P589" s="50">
        <v>0</v>
      </c>
      <c r="Q589" s="76"/>
      <c r="R589" s="140">
        <f>1*S9+1*S10</f>
        <v>4</v>
      </c>
      <c r="S589" s="79">
        <v>600.87</v>
      </c>
      <c r="T589" s="80">
        <v>5.76</v>
      </c>
    </row>
    <row r="590" spans="2:20" ht="56">
      <c r="B590" s="5" t="s">
        <v>1383</v>
      </c>
      <c r="C590" s="45" t="s">
        <v>97</v>
      </c>
      <c r="D590" s="45" t="s">
        <v>1384</v>
      </c>
      <c r="E590" s="6" t="s">
        <v>1385</v>
      </c>
      <c r="F590" s="45" t="s">
        <v>104</v>
      </c>
      <c r="G590" s="46">
        <f t="shared" si="64"/>
        <v>8</v>
      </c>
      <c r="H590" s="46">
        <f>TRUNC(S590*(1-LOTE_02!$K$10),2)</f>
        <v>38.96</v>
      </c>
      <c r="I590" s="46">
        <f>TRUNC(T590*(1-LOTE_02!$K$10),2)</f>
        <v>3.3</v>
      </c>
      <c r="J590" s="100">
        <f t="shared" si="65"/>
        <v>0.22470000000000001</v>
      </c>
      <c r="K590" s="48">
        <f t="shared" si="59"/>
        <v>47.71</v>
      </c>
      <c r="L590" s="48">
        <f t="shared" si="60"/>
        <v>4.04</v>
      </c>
      <c r="M590" s="48">
        <f t="shared" si="61"/>
        <v>381.68</v>
      </c>
      <c r="N590" s="48">
        <f t="shared" si="62"/>
        <v>32.32</v>
      </c>
      <c r="O590" s="50">
        <f t="shared" si="63"/>
        <v>414</v>
      </c>
      <c r="P590" s="50">
        <v>0</v>
      </c>
      <c r="Q590" s="76"/>
      <c r="R590" s="140">
        <f>2*S9+2*S10</f>
        <v>8</v>
      </c>
      <c r="S590" s="79">
        <v>38.96</v>
      </c>
      <c r="T590" s="80">
        <v>3.3</v>
      </c>
    </row>
    <row r="591" spans="2:20" ht="70">
      <c r="B591" s="5" t="s">
        <v>1386</v>
      </c>
      <c r="C591" s="45" t="s">
        <v>97</v>
      </c>
      <c r="D591" s="45" t="s">
        <v>1387</v>
      </c>
      <c r="E591" s="6" t="s">
        <v>1388</v>
      </c>
      <c r="F591" s="45" t="s">
        <v>104</v>
      </c>
      <c r="G591" s="46">
        <f t="shared" si="64"/>
        <v>20</v>
      </c>
      <c r="H591" s="46">
        <f>TRUNC(S591*(1-LOTE_02!$K$10),2)</f>
        <v>75.77</v>
      </c>
      <c r="I591" s="46">
        <f>TRUNC(T591*(1-LOTE_02!$K$10),2)</f>
        <v>4.55</v>
      </c>
      <c r="J591" s="100">
        <f t="shared" si="65"/>
        <v>0.22470000000000001</v>
      </c>
      <c r="K591" s="48">
        <f t="shared" si="59"/>
        <v>92.79</v>
      </c>
      <c r="L591" s="48">
        <f t="shared" si="60"/>
        <v>5.57</v>
      </c>
      <c r="M591" s="48">
        <f t="shared" si="61"/>
        <v>1855.8</v>
      </c>
      <c r="N591" s="48">
        <f t="shared" si="62"/>
        <v>111.4</v>
      </c>
      <c r="O591" s="50">
        <f t="shared" si="63"/>
        <v>1967.2</v>
      </c>
      <c r="P591" s="50">
        <v>0</v>
      </c>
      <c r="Q591" s="76"/>
      <c r="R591" s="140">
        <f>5*S9+5*S10</f>
        <v>20</v>
      </c>
      <c r="S591" s="79">
        <v>75.77</v>
      </c>
      <c r="T591" s="80">
        <v>4.55</v>
      </c>
    </row>
    <row r="592" spans="2:20" ht="84">
      <c r="B592" s="5" t="s">
        <v>1389</v>
      </c>
      <c r="C592" s="45" t="s">
        <v>97</v>
      </c>
      <c r="D592" s="45" t="s">
        <v>1390</v>
      </c>
      <c r="E592" s="6" t="s">
        <v>1391</v>
      </c>
      <c r="F592" s="45" t="s">
        <v>104</v>
      </c>
      <c r="G592" s="46">
        <f t="shared" si="64"/>
        <v>20</v>
      </c>
      <c r="H592" s="46">
        <f>TRUNC(S592*(1-LOTE_02!$K$10),2)</f>
        <v>23.68</v>
      </c>
      <c r="I592" s="46">
        <f>TRUNC(T592*(1-LOTE_02!$K$10),2)</f>
        <v>4.55</v>
      </c>
      <c r="J592" s="100">
        <f t="shared" si="65"/>
        <v>0.22470000000000001</v>
      </c>
      <c r="K592" s="48">
        <f t="shared" ref="K592:K655" si="66">TRUNC(H592*(1+J592),2)</f>
        <v>29</v>
      </c>
      <c r="L592" s="48">
        <f t="shared" ref="L592:L655" si="67">TRUNC(I592*(1+J592),2)</f>
        <v>5.57</v>
      </c>
      <c r="M592" s="48">
        <f t="shared" ref="M592:M655" si="68">TRUNC(K592*G592,2)</f>
        <v>580</v>
      </c>
      <c r="N592" s="48">
        <f t="shared" ref="N592:N655" si="69">TRUNC(L592*G592,2)</f>
        <v>111.4</v>
      </c>
      <c r="O592" s="50">
        <f t="shared" ref="O592:O655" si="70">TRUNC(M592+N592,2)</f>
        <v>691.4</v>
      </c>
      <c r="P592" s="50">
        <v>0</v>
      </c>
      <c r="Q592" s="76"/>
      <c r="R592" s="140">
        <f>5*S9+5*S10</f>
        <v>20</v>
      </c>
      <c r="S592" s="79">
        <v>23.68</v>
      </c>
      <c r="T592" s="80">
        <v>4.55</v>
      </c>
    </row>
    <row r="593" spans="2:20" ht="84">
      <c r="B593" s="5" t="s">
        <v>1392</v>
      </c>
      <c r="C593" s="45" t="s">
        <v>97</v>
      </c>
      <c r="D593" s="45" t="s">
        <v>1393</v>
      </c>
      <c r="E593" s="6" t="s">
        <v>1394</v>
      </c>
      <c r="F593" s="45" t="s">
        <v>104</v>
      </c>
      <c r="G593" s="46">
        <f t="shared" si="64"/>
        <v>20</v>
      </c>
      <c r="H593" s="46">
        <f>TRUNC(S593*(1-LOTE_02!$K$10),2)</f>
        <v>44.91</v>
      </c>
      <c r="I593" s="46">
        <f>TRUNC(T593*(1-LOTE_02!$K$10),2)</f>
        <v>4.55</v>
      </c>
      <c r="J593" s="100">
        <f t="shared" si="65"/>
        <v>0.22470000000000001</v>
      </c>
      <c r="K593" s="48">
        <f t="shared" si="66"/>
        <v>55</v>
      </c>
      <c r="L593" s="48">
        <f t="shared" si="67"/>
        <v>5.57</v>
      </c>
      <c r="M593" s="48">
        <f t="shared" si="68"/>
        <v>1100</v>
      </c>
      <c r="N593" s="48">
        <f t="shared" si="69"/>
        <v>111.4</v>
      </c>
      <c r="O593" s="50">
        <f t="shared" si="70"/>
        <v>1211.4000000000001</v>
      </c>
      <c r="P593" s="50">
        <v>0</v>
      </c>
      <c r="Q593" s="76"/>
      <c r="R593" s="140">
        <f>5*S9+5*S10</f>
        <v>20</v>
      </c>
      <c r="S593" s="79">
        <v>44.91</v>
      </c>
      <c r="T593" s="80">
        <v>4.55</v>
      </c>
    </row>
    <row r="594" spans="2:20" ht="84">
      <c r="B594" s="5" t="s">
        <v>1395</v>
      </c>
      <c r="C594" s="45" t="s">
        <v>97</v>
      </c>
      <c r="D594" s="45" t="s">
        <v>1396</v>
      </c>
      <c r="E594" s="6" t="s">
        <v>1397</v>
      </c>
      <c r="F594" s="45" t="s">
        <v>104</v>
      </c>
      <c r="G594" s="46">
        <f t="shared" ref="G594:G657" si="71">TRUNC(R594,2)</f>
        <v>20</v>
      </c>
      <c r="H594" s="46">
        <f>TRUNC(S594*(1-LOTE_02!$K$10),2)</f>
        <v>54.87</v>
      </c>
      <c r="I594" s="46">
        <f>TRUNC(T594*(1-LOTE_02!$K$10),2)</f>
        <v>4.55</v>
      </c>
      <c r="J594" s="100">
        <f t="shared" ref="J594:J657" si="72">$J$4</f>
        <v>0.22470000000000001</v>
      </c>
      <c r="K594" s="48">
        <f t="shared" si="66"/>
        <v>67.19</v>
      </c>
      <c r="L594" s="48">
        <f t="shared" si="67"/>
        <v>5.57</v>
      </c>
      <c r="M594" s="48">
        <f t="shared" si="68"/>
        <v>1343.8</v>
      </c>
      <c r="N594" s="48">
        <f t="shared" si="69"/>
        <v>111.4</v>
      </c>
      <c r="O594" s="50">
        <f t="shared" si="70"/>
        <v>1455.2</v>
      </c>
      <c r="P594" s="50">
        <v>0</v>
      </c>
      <c r="Q594" s="76"/>
      <c r="R594" s="140">
        <f>5*S9+5*S10</f>
        <v>20</v>
      </c>
      <c r="S594" s="79">
        <v>54.87</v>
      </c>
      <c r="T594" s="80">
        <v>4.55</v>
      </c>
    </row>
    <row r="595" spans="2:20" ht="84">
      <c r="B595" s="5" t="s">
        <v>1398</v>
      </c>
      <c r="C595" s="45" t="s">
        <v>97</v>
      </c>
      <c r="D595" s="45" t="s">
        <v>1399</v>
      </c>
      <c r="E595" s="6" t="s">
        <v>1400</v>
      </c>
      <c r="F595" s="45" t="s">
        <v>104</v>
      </c>
      <c r="G595" s="46">
        <f t="shared" si="71"/>
        <v>20</v>
      </c>
      <c r="H595" s="46">
        <f>TRUNC(S595*(1-LOTE_02!$K$10),2)</f>
        <v>38.96</v>
      </c>
      <c r="I595" s="46">
        <f>TRUNC(T595*(1-LOTE_02!$K$10),2)</f>
        <v>4.55</v>
      </c>
      <c r="J595" s="100">
        <f t="shared" si="72"/>
        <v>0.22470000000000001</v>
      </c>
      <c r="K595" s="48">
        <f t="shared" si="66"/>
        <v>47.71</v>
      </c>
      <c r="L595" s="48">
        <f t="shared" si="67"/>
        <v>5.57</v>
      </c>
      <c r="M595" s="48">
        <f t="shared" si="68"/>
        <v>954.2</v>
      </c>
      <c r="N595" s="48">
        <f t="shared" si="69"/>
        <v>111.4</v>
      </c>
      <c r="O595" s="50">
        <f t="shared" si="70"/>
        <v>1065.5999999999999</v>
      </c>
      <c r="P595" s="50">
        <v>0</v>
      </c>
      <c r="Q595" s="76"/>
      <c r="R595" s="140">
        <f>5*S9+5*S10</f>
        <v>20</v>
      </c>
      <c r="S595" s="79">
        <v>38.96</v>
      </c>
      <c r="T595" s="80">
        <v>4.55</v>
      </c>
    </row>
    <row r="596" spans="2:20" ht="84">
      <c r="B596" s="5" t="s">
        <v>1401</v>
      </c>
      <c r="C596" s="45" t="s">
        <v>97</v>
      </c>
      <c r="D596" s="45" t="s">
        <v>1402</v>
      </c>
      <c r="E596" s="6" t="s">
        <v>1403</v>
      </c>
      <c r="F596" s="45" t="s">
        <v>104</v>
      </c>
      <c r="G596" s="46">
        <f t="shared" si="71"/>
        <v>20</v>
      </c>
      <c r="H596" s="46">
        <f>TRUNC(S596*(1-LOTE_02!$K$10),2)</f>
        <v>71.81</v>
      </c>
      <c r="I596" s="46">
        <f>TRUNC(T596*(1-LOTE_02!$K$10),2)</f>
        <v>4.55</v>
      </c>
      <c r="J596" s="100">
        <f t="shared" si="72"/>
        <v>0.22470000000000001</v>
      </c>
      <c r="K596" s="48">
        <f t="shared" si="66"/>
        <v>87.94</v>
      </c>
      <c r="L596" s="48">
        <f t="shared" si="67"/>
        <v>5.57</v>
      </c>
      <c r="M596" s="48">
        <f t="shared" si="68"/>
        <v>1758.8</v>
      </c>
      <c r="N596" s="48">
        <f t="shared" si="69"/>
        <v>111.4</v>
      </c>
      <c r="O596" s="50">
        <f t="shared" si="70"/>
        <v>1870.2</v>
      </c>
      <c r="P596" s="50">
        <v>0</v>
      </c>
      <c r="Q596" s="76"/>
      <c r="R596" s="140">
        <f>5*S9+5*S10</f>
        <v>20</v>
      </c>
      <c r="S596" s="79">
        <v>71.81</v>
      </c>
      <c r="T596" s="80">
        <v>4.55</v>
      </c>
    </row>
    <row r="597" spans="2:20" ht="56">
      <c r="B597" s="5" t="s">
        <v>1404</v>
      </c>
      <c r="C597" s="45" t="s">
        <v>97</v>
      </c>
      <c r="D597" s="45" t="s">
        <v>1405</v>
      </c>
      <c r="E597" s="6" t="s">
        <v>1406</v>
      </c>
      <c r="F597" s="45" t="s">
        <v>104</v>
      </c>
      <c r="G597" s="46">
        <f t="shared" si="71"/>
        <v>8</v>
      </c>
      <c r="H597" s="46">
        <f>TRUNC(S597*(1-LOTE_02!$K$10),2)</f>
        <v>44.91</v>
      </c>
      <c r="I597" s="46">
        <f>TRUNC(T597*(1-LOTE_02!$K$10),2)</f>
        <v>3.3</v>
      </c>
      <c r="J597" s="100">
        <f t="shared" si="72"/>
        <v>0.22470000000000001</v>
      </c>
      <c r="K597" s="48">
        <f t="shared" si="66"/>
        <v>55</v>
      </c>
      <c r="L597" s="48">
        <f t="shared" si="67"/>
        <v>4.04</v>
      </c>
      <c r="M597" s="48">
        <f t="shared" si="68"/>
        <v>440</v>
      </c>
      <c r="N597" s="48">
        <f t="shared" si="69"/>
        <v>32.32</v>
      </c>
      <c r="O597" s="50">
        <f t="shared" si="70"/>
        <v>472.32</v>
      </c>
      <c r="P597" s="50">
        <v>0</v>
      </c>
      <c r="Q597" s="76"/>
      <c r="R597" s="140">
        <f>2*S9+2*S10</f>
        <v>8</v>
      </c>
      <c r="S597" s="79">
        <v>44.91</v>
      </c>
      <c r="T597" s="80">
        <v>3.3</v>
      </c>
    </row>
    <row r="598" spans="2:20" ht="28">
      <c r="B598" s="5" t="s">
        <v>1407</v>
      </c>
      <c r="C598" s="45" t="s">
        <v>165</v>
      </c>
      <c r="D598" s="45" t="s">
        <v>1408</v>
      </c>
      <c r="E598" s="6" t="s">
        <v>1409</v>
      </c>
      <c r="F598" s="45" t="s">
        <v>559</v>
      </c>
      <c r="G598" s="46">
        <f t="shared" si="71"/>
        <v>4</v>
      </c>
      <c r="H598" s="46">
        <f>TRUNC(S598*(1-LOTE_02!$K$10),2)</f>
        <v>1046.97</v>
      </c>
      <c r="I598" s="46">
        <f>TRUNC(T598*(1-LOTE_02!$K$10),2)</f>
        <v>63.77</v>
      </c>
      <c r="J598" s="100">
        <f t="shared" si="72"/>
        <v>0.22470000000000001</v>
      </c>
      <c r="K598" s="48">
        <f t="shared" si="66"/>
        <v>1282.22</v>
      </c>
      <c r="L598" s="48">
        <f t="shared" si="67"/>
        <v>78.09</v>
      </c>
      <c r="M598" s="48">
        <f t="shared" si="68"/>
        <v>5128.88</v>
      </c>
      <c r="N598" s="48">
        <f t="shared" si="69"/>
        <v>312.36</v>
      </c>
      <c r="O598" s="50">
        <f t="shared" si="70"/>
        <v>5441.24</v>
      </c>
      <c r="P598" s="50">
        <v>0</v>
      </c>
      <c r="Q598" s="76"/>
      <c r="R598" s="140">
        <f>IF((1*S9+1*S10)&gt;5,5,(1*S9+1*S10))</f>
        <v>4</v>
      </c>
      <c r="S598" s="79">
        <v>1046.97</v>
      </c>
      <c r="T598" s="80">
        <v>63.77</v>
      </c>
    </row>
    <row r="599" spans="2:20" ht="28">
      <c r="B599" s="5" t="s">
        <v>1410</v>
      </c>
      <c r="C599" s="45" t="s">
        <v>165</v>
      </c>
      <c r="D599" s="45" t="s">
        <v>1411</v>
      </c>
      <c r="E599" s="6" t="s">
        <v>1412</v>
      </c>
      <c r="F599" s="45" t="s">
        <v>559</v>
      </c>
      <c r="G599" s="46">
        <f t="shared" si="71"/>
        <v>4</v>
      </c>
      <c r="H599" s="46">
        <f>TRUNC(S599*(1-LOTE_02!$K$10),2)</f>
        <v>107.88</v>
      </c>
      <c r="I599" s="46">
        <f>TRUNC(T599*(1-LOTE_02!$K$10),2)</f>
        <v>9.25</v>
      </c>
      <c r="J599" s="100">
        <f t="shared" si="72"/>
        <v>0.22470000000000001</v>
      </c>
      <c r="K599" s="48">
        <f t="shared" si="66"/>
        <v>132.12</v>
      </c>
      <c r="L599" s="48">
        <f t="shared" si="67"/>
        <v>11.32</v>
      </c>
      <c r="M599" s="48">
        <f t="shared" si="68"/>
        <v>528.48</v>
      </c>
      <c r="N599" s="48">
        <f t="shared" si="69"/>
        <v>45.28</v>
      </c>
      <c r="O599" s="50">
        <f t="shared" si="70"/>
        <v>573.76</v>
      </c>
      <c r="P599" s="50">
        <v>0</v>
      </c>
      <c r="Q599" s="76"/>
      <c r="R599" s="140">
        <f>IF((1*S9+1*S10)&gt;5,5,(1*S9+1*S10))</f>
        <v>4</v>
      </c>
      <c r="S599" s="79">
        <v>107.88</v>
      </c>
      <c r="T599" s="80">
        <v>9.25</v>
      </c>
    </row>
    <row r="600" spans="2:20" ht="28">
      <c r="B600" s="5" t="s">
        <v>1413</v>
      </c>
      <c r="C600" s="45" t="s">
        <v>97</v>
      </c>
      <c r="D600" s="45" t="s">
        <v>1414</v>
      </c>
      <c r="E600" s="6" t="s">
        <v>1415</v>
      </c>
      <c r="F600" s="45" t="s">
        <v>1416</v>
      </c>
      <c r="G600" s="46">
        <f t="shared" si="71"/>
        <v>400</v>
      </c>
      <c r="H600" s="46">
        <f>TRUNC(S600*(1-LOTE_02!$K$10),2)</f>
        <v>21.59</v>
      </c>
      <c r="I600" s="46">
        <f>TRUNC(T600*(1-LOTE_02!$K$10),2)</f>
        <v>6.25</v>
      </c>
      <c r="J600" s="100">
        <f t="shared" si="72"/>
        <v>0.22470000000000001</v>
      </c>
      <c r="K600" s="48">
        <f t="shared" si="66"/>
        <v>26.44</v>
      </c>
      <c r="L600" s="48">
        <f t="shared" si="67"/>
        <v>7.65</v>
      </c>
      <c r="M600" s="48">
        <f t="shared" si="68"/>
        <v>10576</v>
      </c>
      <c r="N600" s="48">
        <f t="shared" si="69"/>
        <v>3060</v>
      </c>
      <c r="O600" s="50">
        <f t="shared" si="70"/>
        <v>13636</v>
      </c>
      <c r="P600" s="50">
        <v>0</v>
      </c>
      <c r="Q600" s="76"/>
      <c r="R600" s="141">
        <f>IF(100*(S9+S10)&gt;500,500,100*(S9+S10))</f>
        <v>400</v>
      </c>
      <c r="S600" s="79">
        <v>21.59</v>
      </c>
      <c r="T600" s="80">
        <v>6.25</v>
      </c>
    </row>
    <row r="601" spans="2:20" ht="28">
      <c r="B601" s="5" t="s">
        <v>1417</v>
      </c>
      <c r="C601" s="45" t="s">
        <v>97</v>
      </c>
      <c r="D601" s="45" t="s">
        <v>1418</v>
      </c>
      <c r="E601" s="6" t="s">
        <v>1419</v>
      </c>
      <c r="F601" s="45" t="s">
        <v>187</v>
      </c>
      <c r="G601" s="46">
        <f t="shared" si="71"/>
        <v>400</v>
      </c>
      <c r="H601" s="46">
        <f>TRUNC(S601*(1-LOTE_02!$K$10),2)</f>
        <v>26.52</v>
      </c>
      <c r="I601" s="46">
        <f>TRUNC(T601*(1-LOTE_02!$K$10),2)</f>
        <v>6.25</v>
      </c>
      <c r="J601" s="100">
        <f t="shared" si="72"/>
        <v>0.22470000000000001</v>
      </c>
      <c r="K601" s="48">
        <f t="shared" si="66"/>
        <v>32.47</v>
      </c>
      <c r="L601" s="48">
        <f t="shared" si="67"/>
        <v>7.65</v>
      </c>
      <c r="M601" s="48">
        <f t="shared" si="68"/>
        <v>12988</v>
      </c>
      <c r="N601" s="48">
        <f t="shared" si="69"/>
        <v>3060</v>
      </c>
      <c r="O601" s="50">
        <f t="shared" si="70"/>
        <v>16048</v>
      </c>
      <c r="P601" s="50">
        <v>0</v>
      </c>
      <c r="Q601" s="76"/>
      <c r="R601" s="141">
        <f>IF(100*(S9+S10)&gt;500,500,100*(S9+S10))</f>
        <v>400</v>
      </c>
      <c r="S601" s="79">
        <v>26.52</v>
      </c>
      <c r="T601" s="80">
        <v>6.25</v>
      </c>
    </row>
    <row r="602" spans="2:20" ht="28">
      <c r="B602" s="5" t="s">
        <v>1420</v>
      </c>
      <c r="C602" s="45" t="s">
        <v>97</v>
      </c>
      <c r="D602" s="45" t="s">
        <v>1421</v>
      </c>
      <c r="E602" s="6" t="s">
        <v>1422</v>
      </c>
      <c r="F602" s="45" t="s">
        <v>104</v>
      </c>
      <c r="G602" s="46">
        <f t="shared" si="71"/>
        <v>8</v>
      </c>
      <c r="H602" s="46">
        <f>TRUNC(S602*(1-LOTE_02!$K$10),2)</f>
        <v>214.14</v>
      </c>
      <c r="I602" s="46">
        <f>TRUNC(T602*(1-LOTE_02!$K$10),2)</f>
        <v>29.16</v>
      </c>
      <c r="J602" s="100">
        <f t="shared" si="72"/>
        <v>0.22470000000000001</v>
      </c>
      <c r="K602" s="48">
        <f t="shared" si="66"/>
        <v>262.25</v>
      </c>
      <c r="L602" s="48">
        <f t="shared" si="67"/>
        <v>35.71</v>
      </c>
      <c r="M602" s="48">
        <f t="shared" si="68"/>
        <v>2098</v>
      </c>
      <c r="N602" s="48">
        <f t="shared" si="69"/>
        <v>285.68</v>
      </c>
      <c r="O602" s="50">
        <f t="shared" si="70"/>
        <v>2383.6799999999998</v>
      </c>
      <c r="P602" s="50">
        <v>0</v>
      </c>
      <c r="Q602" s="76"/>
      <c r="R602" s="141">
        <f>IF(2*(S9+S10)&gt;10,10,2*(S9+S10))</f>
        <v>8</v>
      </c>
      <c r="S602" s="79">
        <v>214.14</v>
      </c>
      <c r="T602" s="80">
        <v>29.16</v>
      </c>
    </row>
    <row r="603" spans="2:20" ht="28">
      <c r="B603" s="5" t="s">
        <v>1423</v>
      </c>
      <c r="C603" s="45" t="s">
        <v>97</v>
      </c>
      <c r="D603" s="45" t="s">
        <v>1421</v>
      </c>
      <c r="E603" s="6" t="s">
        <v>1422</v>
      </c>
      <c r="F603" s="45" t="s">
        <v>104</v>
      </c>
      <c r="G603" s="46">
        <f t="shared" si="71"/>
        <v>4</v>
      </c>
      <c r="H603" s="46">
        <f>TRUNC(S603*(1-LOTE_02!$K$10),2)</f>
        <v>214.14</v>
      </c>
      <c r="I603" s="46">
        <f>TRUNC(T603*(1-LOTE_02!$K$10),2)</f>
        <v>29.16</v>
      </c>
      <c r="J603" s="100">
        <f t="shared" si="72"/>
        <v>0.22470000000000001</v>
      </c>
      <c r="K603" s="48">
        <f t="shared" si="66"/>
        <v>262.25</v>
      </c>
      <c r="L603" s="48">
        <f t="shared" si="67"/>
        <v>35.71</v>
      </c>
      <c r="M603" s="48">
        <f t="shared" si="68"/>
        <v>1049</v>
      </c>
      <c r="N603" s="48">
        <f t="shared" si="69"/>
        <v>142.84</v>
      </c>
      <c r="O603" s="50">
        <f t="shared" si="70"/>
        <v>1191.8399999999999</v>
      </c>
      <c r="P603" s="50">
        <v>0</v>
      </c>
      <c r="Q603" s="76"/>
      <c r="R603" s="141">
        <f>IF(1*(S9+S10)&gt;5,5,1*(S9+S10))</f>
        <v>4</v>
      </c>
      <c r="S603" s="79">
        <v>214.14</v>
      </c>
      <c r="T603" s="80">
        <v>29.16</v>
      </c>
    </row>
    <row r="604" spans="2:20" ht="28">
      <c r="B604" s="5" t="s">
        <v>1424</v>
      </c>
      <c r="C604" s="45" t="s">
        <v>97</v>
      </c>
      <c r="D604" s="45" t="s">
        <v>1421</v>
      </c>
      <c r="E604" s="6" t="s">
        <v>1422</v>
      </c>
      <c r="F604" s="45" t="s">
        <v>104</v>
      </c>
      <c r="G604" s="46">
        <f t="shared" si="71"/>
        <v>5</v>
      </c>
      <c r="H604" s="46">
        <f>TRUNC(S604*(1-LOTE_02!$K$10),2)</f>
        <v>214.14</v>
      </c>
      <c r="I604" s="46">
        <f>TRUNC(T604*(1-LOTE_02!$K$10),2)</f>
        <v>29.16</v>
      </c>
      <c r="J604" s="100">
        <f t="shared" si="72"/>
        <v>0.22470000000000001</v>
      </c>
      <c r="K604" s="48">
        <f t="shared" si="66"/>
        <v>262.25</v>
      </c>
      <c r="L604" s="48">
        <f t="shared" si="67"/>
        <v>35.71</v>
      </c>
      <c r="M604" s="48">
        <f t="shared" si="68"/>
        <v>1311.25</v>
      </c>
      <c r="N604" s="48">
        <f t="shared" si="69"/>
        <v>178.55</v>
      </c>
      <c r="O604" s="50">
        <f t="shared" si="70"/>
        <v>1489.8</v>
      </c>
      <c r="P604" s="50">
        <v>0</v>
      </c>
      <c r="Q604" s="76"/>
      <c r="R604" s="141">
        <f>IF(1*(S10+1*S9)&gt;5,5,(2*S10+1*S9))</f>
        <v>5</v>
      </c>
      <c r="S604" s="79">
        <v>214.14</v>
      </c>
      <c r="T604" s="80">
        <v>29.16</v>
      </c>
    </row>
    <row r="605" spans="2:20">
      <c r="B605" s="101" t="s">
        <v>54</v>
      </c>
      <c r="C605" s="102" t="s">
        <v>21</v>
      </c>
      <c r="D605" s="102" t="s">
        <v>21</v>
      </c>
      <c r="E605" s="103" t="s">
        <v>60</v>
      </c>
      <c r="F605" s="102" t="s">
        <v>21</v>
      </c>
      <c r="G605" s="46">
        <f t="shared" si="71"/>
        <v>0</v>
      </c>
      <c r="H605" s="46"/>
      <c r="I605" s="46"/>
      <c r="J605" s="105"/>
      <c r="K605" s="48">
        <f t="shared" si="66"/>
        <v>0</v>
      </c>
      <c r="L605" s="48">
        <f t="shared" si="67"/>
        <v>0</v>
      </c>
      <c r="M605" s="48">
        <f t="shared" si="68"/>
        <v>0</v>
      </c>
      <c r="N605" s="48">
        <f t="shared" si="69"/>
        <v>0</v>
      </c>
      <c r="O605" s="50">
        <f t="shared" si="70"/>
        <v>0</v>
      </c>
      <c r="P605" s="104">
        <f>SUM(O606:O623)</f>
        <v>184789.71999999997</v>
      </c>
      <c r="Q605" s="76"/>
      <c r="R605" s="154"/>
      <c r="S605" s="79" t="s">
        <v>22</v>
      </c>
      <c r="T605" s="80" t="s">
        <v>22</v>
      </c>
    </row>
    <row r="606" spans="2:20" ht="56">
      <c r="B606" s="5" t="s">
        <v>1425</v>
      </c>
      <c r="C606" s="45" t="s">
        <v>97</v>
      </c>
      <c r="D606" s="45" t="s">
        <v>1426</v>
      </c>
      <c r="E606" s="6" t="s">
        <v>1427</v>
      </c>
      <c r="F606" s="45" t="s">
        <v>104</v>
      </c>
      <c r="G606" s="46">
        <f t="shared" si="71"/>
        <v>12</v>
      </c>
      <c r="H606" s="46">
        <f>TRUNC(S606*(1-LOTE_02!$K$10),2)</f>
        <v>4.83</v>
      </c>
      <c r="I606" s="46">
        <f>TRUNC(T606*(1-LOTE_02!$K$10),2)</f>
        <v>19.86</v>
      </c>
      <c r="J606" s="100">
        <f t="shared" si="72"/>
        <v>0.22470000000000001</v>
      </c>
      <c r="K606" s="48">
        <f t="shared" si="66"/>
        <v>5.91</v>
      </c>
      <c r="L606" s="48">
        <f t="shared" si="67"/>
        <v>24.32</v>
      </c>
      <c r="M606" s="48">
        <f t="shared" si="68"/>
        <v>70.92</v>
      </c>
      <c r="N606" s="48">
        <f t="shared" si="69"/>
        <v>291.83999999999997</v>
      </c>
      <c r="O606" s="50">
        <f t="shared" si="70"/>
        <v>362.76</v>
      </c>
      <c r="P606" s="50">
        <v>0</v>
      </c>
      <c r="Q606" s="76"/>
      <c r="R606" s="139">
        <f>3*S9+3*S10</f>
        <v>12</v>
      </c>
      <c r="S606" s="79">
        <v>4.83</v>
      </c>
      <c r="T606" s="80">
        <v>19.86</v>
      </c>
    </row>
    <row r="607" spans="2:20" ht="42">
      <c r="B607" s="5" t="s">
        <v>1428</v>
      </c>
      <c r="C607" s="45" t="s">
        <v>135</v>
      </c>
      <c r="D607" s="45">
        <v>103288</v>
      </c>
      <c r="E607" s="6" t="s">
        <v>1429</v>
      </c>
      <c r="F607" s="45" t="s">
        <v>210</v>
      </c>
      <c r="G607" s="46">
        <f t="shared" si="71"/>
        <v>8</v>
      </c>
      <c r="H607" s="46">
        <f>TRUNC(S607*(1-LOTE_02!$K$10),2)</f>
        <v>4.59</v>
      </c>
      <c r="I607" s="46">
        <f>TRUNC(T607*(1-LOTE_02!$K$10),2)</f>
        <v>11.1</v>
      </c>
      <c r="J607" s="100">
        <f t="shared" si="72"/>
        <v>0.22470000000000001</v>
      </c>
      <c r="K607" s="48">
        <f t="shared" si="66"/>
        <v>5.62</v>
      </c>
      <c r="L607" s="48">
        <f t="shared" si="67"/>
        <v>13.59</v>
      </c>
      <c r="M607" s="48">
        <f t="shared" si="68"/>
        <v>44.96</v>
      </c>
      <c r="N607" s="48">
        <f t="shared" si="69"/>
        <v>108.72</v>
      </c>
      <c r="O607" s="50">
        <f t="shared" si="70"/>
        <v>153.68</v>
      </c>
      <c r="P607" s="50">
        <v>0</v>
      </c>
      <c r="Q607" s="76"/>
      <c r="R607" s="139">
        <f>2*S9+2*S10</f>
        <v>8</v>
      </c>
      <c r="S607" s="79">
        <v>4.59</v>
      </c>
      <c r="T607" s="80">
        <v>11.1</v>
      </c>
    </row>
    <row r="608" spans="2:20" ht="28">
      <c r="B608" s="5" t="s">
        <v>1430</v>
      </c>
      <c r="C608" s="45" t="s">
        <v>165</v>
      </c>
      <c r="D608" s="45" t="s">
        <v>1431</v>
      </c>
      <c r="E608" s="6" t="s">
        <v>1432</v>
      </c>
      <c r="F608" s="45" t="s">
        <v>168</v>
      </c>
      <c r="G608" s="46">
        <f t="shared" si="71"/>
        <v>136</v>
      </c>
      <c r="H608" s="46">
        <f>TRUNC(S608*(1-LOTE_02!$K$10),2)</f>
        <v>146.9</v>
      </c>
      <c r="I608" s="46">
        <f>TRUNC(T608*(1-LOTE_02!$K$10),2)</f>
        <v>106.75</v>
      </c>
      <c r="J608" s="100">
        <f t="shared" si="72"/>
        <v>0.22470000000000001</v>
      </c>
      <c r="K608" s="48">
        <f t="shared" si="66"/>
        <v>179.9</v>
      </c>
      <c r="L608" s="48">
        <f t="shared" si="67"/>
        <v>130.72999999999999</v>
      </c>
      <c r="M608" s="48">
        <f t="shared" si="68"/>
        <v>24466.400000000001</v>
      </c>
      <c r="N608" s="48">
        <f t="shared" si="69"/>
        <v>17779.28</v>
      </c>
      <c r="O608" s="50">
        <f t="shared" si="70"/>
        <v>42245.68</v>
      </c>
      <c r="P608" s="50">
        <v>0</v>
      </c>
      <c r="Q608" s="76"/>
      <c r="R608" s="139">
        <f>(21+10+3)*(S9+S10)</f>
        <v>136</v>
      </c>
      <c r="S608" s="79">
        <v>146.9</v>
      </c>
      <c r="T608" s="80">
        <v>106.75</v>
      </c>
    </row>
    <row r="609" spans="2:20" ht="28">
      <c r="B609" s="5" t="s">
        <v>1433</v>
      </c>
      <c r="C609" s="45" t="s">
        <v>165</v>
      </c>
      <c r="D609" s="45" t="s">
        <v>1434</v>
      </c>
      <c r="E609" s="6" t="s">
        <v>1435</v>
      </c>
      <c r="F609" s="45" t="s">
        <v>559</v>
      </c>
      <c r="G609" s="46">
        <f t="shared" si="71"/>
        <v>16</v>
      </c>
      <c r="H609" s="46">
        <f>TRUNC(S609*(1-LOTE_02!$K$10),2)</f>
        <v>109.45</v>
      </c>
      <c r="I609" s="46">
        <f>TRUNC(T609*(1-LOTE_02!$K$10),2)</f>
        <v>79.709999999999994</v>
      </c>
      <c r="J609" s="100">
        <f t="shared" si="72"/>
        <v>0.22470000000000001</v>
      </c>
      <c r="K609" s="48">
        <f t="shared" si="66"/>
        <v>134.04</v>
      </c>
      <c r="L609" s="48">
        <f t="shared" si="67"/>
        <v>97.62</v>
      </c>
      <c r="M609" s="48">
        <f t="shared" si="68"/>
        <v>2144.64</v>
      </c>
      <c r="N609" s="48">
        <f t="shared" si="69"/>
        <v>1561.92</v>
      </c>
      <c r="O609" s="50">
        <f t="shared" si="70"/>
        <v>3706.56</v>
      </c>
      <c r="P609" s="50">
        <v>0</v>
      </c>
      <c r="Q609" s="76"/>
      <c r="R609" s="139">
        <f>4*(S9+S10)</f>
        <v>16</v>
      </c>
      <c r="S609" s="79">
        <v>109.45</v>
      </c>
      <c r="T609" s="80">
        <v>79.709999999999994</v>
      </c>
    </row>
    <row r="610" spans="2:20" ht="42">
      <c r="B610" s="5" t="s">
        <v>1436</v>
      </c>
      <c r="C610" s="45" t="s">
        <v>165</v>
      </c>
      <c r="D610" s="45" t="s">
        <v>1437</v>
      </c>
      <c r="E610" s="6" t="s">
        <v>1438</v>
      </c>
      <c r="F610" s="45" t="s">
        <v>559</v>
      </c>
      <c r="G610" s="46">
        <f t="shared" si="71"/>
        <v>16</v>
      </c>
      <c r="H610" s="46">
        <f>TRUNC(S610*(1-LOTE_02!$K$10),2)</f>
        <v>110.86</v>
      </c>
      <c r="I610" s="46">
        <f>TRUNC(T610*(1-LOTE_02!$K$10),2)</f>
        <v>102.35</v>
      </c>
      <c r="J610" s="100">
        <f t="shared" si="72"/>
        <v>0.22470000000000001</v>
      </c>
      <c r="K610" s="48">
        <f t="shared" si="66"/>
        <v>135.77000000000001</v>
      </c>
      <c r="L610" s="48">
        <f t="shared" si="67"/>
        <v>125.34</v>
      </c>
      <c r="M610" s="48">
        <f t="shared" si="68"/>
        <v>2172.3200000000002</v>
      </c>
      <c r="N610" s="48">
        <f t="shared" si="69"/>
        <v>2005.44</v>
      </c>
      <c r="O610" s="50">
        <f t="shared" si="70"/>
        <v>4177.76</v>
      </c>
      <c r="P610" s="50">
        <v>0</v>
      </c>
      <c r="Q610" s="76"/>
      <c r="R610" s="139">
        <f>4*(S9+S10)</f>
        <v>16</v>
      </c>
      <c r="S610" s="79">
        <v>110.86</v>
      </c>
      <c r="T610" s="80">
        <v>102.35</v>
      </c>
    </row>
    <row r="611" spans="2:20" ht="28">
      <c r="B611" s="5" t="s">
        <v>1439</v>
      </c>
      <c r="C611" s="45" t="s">
        <v>165</v>
      </c>
      <c r="D611" s="45" t="s">
        <v>1440</v>
      </c>
      <c r="E611" s="6" t="s">
        <v>1441</v>
      </c>
      <c r="F611" s="45" t="s">
        <v>559</v>
      </c>
      <c r="G611" s="46">
        <f t="shared" si="71"/>
        <v>20</v>
      </c>
      <c r="H611" s="46">
        <f>TRUNC(S611*(1-LOTE_02!$K$10),2)</f>
        <v>137.68</v>
      </c>
      <c r="I611" s="46">
        <f>TRUNC(T611*(1-LOTE_02!$K$10),2)</f>
        <v>111.6</v>
      </c>
      <c r="J611" s="100">
        <f t="shared" si="72"/>
        <v>0.22470000000000001</v>
      </c>
      <c r="K611" s="48">
        <f t="shared" si="66"/>
        <v>168.61</v>
      </c>
      <c r="L611" s="48">
        <f t="shared" si="67"/>
        <v>136.66999999999999</v>
      </c>
      <c r="M611" s="48">
        <f t="shared" si="68"/>
        <v>3372.2</v>
      </c>
      <c r="N611" s="48">
        <f t="shared" si="69"/>
        <v>2733.4</v>
      </c>
      <c r="O611" s="50">
        <f t="shared" si="70"/>
        <v>6105.6</v>
      </c>
      <c r="P611" s="50">
        <v>0</v>
      </c>
      <c r="Q611" s="76"/>
      <c r="R611" s="139">
        <f>5*(S9+S10)</f>
        <v>20</v>
      </c>
      <c r="S611" s="79">
        <v>137.68</v>
      </c>
      <c r="T611" s="80">
        <v>111.6</v>
      </c>
    </row>
    <row r="612" spans="2:20" ht="28">
      <c r="B612" s="5" t="s">
        <v>1442</v>
      </c>
      <c r="C612" s="45" t="s">
        <v>165</v>
      </c>
      <c r="D612" s="45" t="s">
        <v>1443</v>
      </c>
      <c r="E612" s="6" t="s">
        <v>1444</v>
      </c>
      <c r="F612" s="45" t="s">
        <v>559</v>
      </c>
      <c r="G612" s="46">
        <f t="shared" si="71"/>
        <v>20</v>
      </c>
      <c r="H612" s="46">
        <f>TRUNC(S612*(1-LOTE_02!$K$10),2)</f>
        <v>147.44</v>
      </c>
      <c r="I612" s="46">
        <f>TRUNC(T612*(1-LOTE_02!$K$10),2)</f>
        <v>111.6</v>
      </c>
      <c r="J612" s="100">
        <f t="shared" si="72"/>
        <v>0.22470000000000001</v>
      </c>
      <c r="K612" s="48">
        <f t="shared" si="66"/>
        <v>180.56</v>
      </c>
      <c r="L612" s="48">
        <f t="shared" si="67"/>
        <v>136.66999999999999</v>
      </c>
      <c r="M612" s="48">
        <f t="shared" si="68"/>
        <v>3611.2</v>
      </c>
      <c r="N612" s="48">
        <f t="shared" si="69"/>
        <v>2733.4</v>
      </c>
      <c r="O612" s="50">
        <f t="shared" si="70"/>
        <v>6344.6</v>
      </c>
      <c r="P612" s="50">
        <v>0</v>
      </c>
      <c r="Q612" s="76"/>
      <c r="R612" s="139">
        <f>5*(S9+S10)</f>
        <v>20</v>
      </c>
      <c r="S612" s="79">
        <v>147.44</v>
      </c>
      <c r="T612" s="80">
        <v>111.6</v>
      </c>
    </row>
    <row r="613" spans="2:20" ht="28">
      <c r="B613" s="5" t="s">
        <v>1445</v>
      </c>
      <c r="C613" s="45" t="s">
        <v>165</v>
      </c>
      <c r="D613" s="45" t="s">
        <v>1446</v>
      </c>
      <c r="E613" s="6" t="s">
        <v>1447</v>
      </c>
      <c r="F613" s="45" t="s">
        <v>559</v>
      </c>
      <c r="G613" s="46">
        <f t="shared" si="71"/>
        <v>20</v>
      </c>
      <c r="H613" s="46">
        <f>TRUNC(S613*(1-LOTE_02!$K$10),2)</f>
        <v>169.53</v>
      </c>
      <c r="I613" s="46">
        <f>TRUNC(T613*(1-LOTE_02!$K$10),2)</f>
        <v>111.6</v>
      </c>
      <c r="J613" s="100">
        <f t="shared" si="72"/>
        <v>0.22470000000000001</v>
      </c>
      <c r="K613" s="48">
        <f t="shared" si="66"/>
        <v>207.62</v>
      </c>
      <c r="L613" s="48">
        <f t="shared" si="67"/>
        <v>136.66999999999999</v>
      </c>
      <c r="M613" s="48">
        <f t="shared" si="68"/>
        <v>4152.3999999999996</v>
      </c>
      <c r="N613" s="48">
        <f t="shared" si="69"/>
        <v>2733.4</v>
      </c>
      <c r="O613" s="50">
        <f t="shared" si="70"/>
        <v>6885.8</v>
      </c>
      <c r="P613" s="50">
        <v>0</v>
      </c>
      <c r="Q613" s="76"/>
      <c r="R613" s="139">
        <f>5*(S9+S10)</f>
        <v>20</v>
      </c>
      <c r="S613" s="79">
        <v>169.53</v>
      </c>
      <c r="T613" s="80">
        <v>111.6</v>
      </c>
    </row>
    <row r="614" spans="2:20" ht="28">
      <c r="B614" s="5" t="s">
        <v>1448</v>
      </c>
      <c r="C614" s="45" t="s">
        <v>97</v>
      </c>
      <c r="D614" s="45" t="s">
        <v>1449</v>
      </c>
      <c r="E614" s="6" t="s">
        <v>1450</v>
      </c>
      <c r="F614" s="45" t="s">
        <v>104</v>
      </c>
      <c r="G614" s="46">
        <f t="shared" si="71"/>
        <v>12</v>
      </c>
      <c r="H614" s="46">
        <f>TRUNC(S614*(1-LOTE_02!$K$10),2)</f>
        <v>439.34</v>
      </c>
      <c r="I614" s="46">
        <f>TRUNC(T614*(1-LOTE_02!$K$10),2)</f>
        <v>389.7</v>
      </c>
      <c r="J614" s="100">
        <f t="shared" si="72"/>
        <v>0.22470000000000001</v>
      </c>
      <c r="K614" s="48">
        <f t="shared" si="66"/>
        <v>538.04999999999995</v>
      </c>
      <c r="L614" s="48">
        <f t="shared" si="67"/>
        <v>477.26</v>
      </c>
      <c r="M614" s="48">
        <f t="shared" si="68"/>
        <v>6456.6</v>
      </c>
      <c r="N614" s="48">
        <f t="shared" si="69"/>
        <v>5727.12</v>
      </c>
      <c r="O614" s="50">
        <f t="shared" si="70"/>
        <v>12183.72</v>
      </c>
      <c r="P614" s="50">
        <v>0</v>
      </c>
      <c r="Q614" s="76"/>
      <c r="R614" s="139">
        <f>3*S9+3*S10</f>
        <v>12</v>
      </c>
      <c r="S614" s="79">
        <v>439.34</v>
      </c>
      <c r="T614" s="80">
        <v>389.7</v>
      </c>
    </row>
    <row r="615" spans="2:20" ht="42">
      <c r="B615" s="5" t="s">
        <v>1451</v>
      </c>
      <c r="C615" s="45" t="s">
        <v>97</v>
      </c>
      <c r="D615" s="45" t="s">
        <v>1452</v>
      </c>
      <c r="E615" s="6" t="s">
        <v>1453</v>
      </c>
      <c r="F615" s="45" t="s">
        <v>104</v>
      </c>
      <c r="G615" s="46">
        <f t="shared" si="71"/>
        <v>12</v>
      </c>
      <c r="H615" s="46">
        <f>TRUNC(S615*(1-LOTE_02!$K$10),2)</f>
        <v>147.93</v>
      </c>
      <c r="I615" s="46">
        <f>TRUNC(T615*(1-LOTE_02!$K$10),2)</f>
        <v>212.65</v>
      </c>
      <c r="J615" s="100">
        <f t="shared" si="72"/>
        <v>0.22470000000000001</v>
      </c>
      <c r="K615" s="48">
        <f t="shared" si="66"/>
        <v>181.16</v>
      </c>
      <c r="L615" s="48">
        <f t="shared" si="67"/>
        <v>260.43</v>
      </c>
      <c r="M615" s="48">
        <f t="shared" si="68"/>
        <v>2173.92</v>
      </c>
      <c r="N615" s="48">
        <f t="shared" si="69"/>
        <v>3125.16</v>
      </c>
      <c r="O615" s="50">
        <f t="shared" si="70"/>
        <v>5299.08</v>
      </c>
      <c r="P615" s="50">
        <v>0</v>
      </c>
      <c r="Q615" s="76"/>
      <c r="R615" s="139">
        <f>3*S9+3*S10</f>
        <v>12</v>
      </c>
      <c r="S615" s="79">
        <v>147.93</v>
      </c>
      <c r="T615" s="80">
        <v>212.65</v>
      </c>
    </row>
    <row r="616" spans="2:20" ht="28">
      <c r="B616" s="5" t="s">
        <v>1454</v>
      </c>
      <c r="C616" s="45" t="s">
        <v>97</v>
      </c>
      <c r="D616" s="45" t="s">
        <v>1455</v>
      </c>
      <c r="E616" s="6" t="s">
        <v>1456</v>
      </c>
      <c r="F616" s="45" t="s">
        <v>104</v>
      </c>
      <c r="G616" s="46">
        <f t="shared" si="71"/>
        <v>12</v>
      </c>
      <c r="H616" s="46">
        <f>TRUNC(S616*(1-LOTE_02!$K$10),2)</f>
        <v>2240.7800000000002</v>
      </c>
      <c r="I616" s="46">
        <f>TRUNC(T616*(1-LOTE_02!$K$10),2)</f>
        <v>572.6</v>
      </c>
      <c r="J616" s="100">
        <f t="shared" si="72"/>
        <v>0.22470000000000001</v>
      </c>
      <c r="K616" s="48">
        <f t="shared" si="66"/>
        <v>2744.28</v>
      </c>
      <c r="L616" s="48">
        <f t="shared" si="67"/>
        <v>701.26</v>
      </c>
      <c r="M616" s="48">
        <f t="shared" si="68"/>
        <v>32931.360000000001</v>
      </c>
      <c r="N616" s="48">
        <f t="shared" si="69"/>
        <v>8415.1200000000008</v>
      </c>
      <c r="O616" s="50">
        <f t="shared" si="70"/>
        <v>41346.480000000003</v>
      </c>
      <c r="P616" s="50">
        <v>0</v>
      </c>
      <c r="Q616" s="76"/>
      <c r="R616" s="139">
        <f>3*S9+3*S10</f>
        <v>12</v>
      </c>
      <c r="S616" s="79">
        <v>2240.7800000000002</v>
      </c>
      <c r="T616" s="80">
        <v>572.6</v>
      </c>
    </row>
    <row r="617" spans="2:20" ht="70">
      <c r="B617" s="5" t="s">
        <v>1457</v>
      </c>
      <c r="C617" s="45" t="s">
        <v>97</v>
      </c>
      <c r="D617" s="45" t="s">
        <v>1458</v>
      </c>
      <c r="E617" s="6" t="s">
        <v>1459</v>
      </c>
      <c r="F617" s="45" t="s">
        <v>104</v>
      </c>
      <c r="G617" s="46">
        <f t="shared" si="71"/>
        <v>8</v>
      </c>
      <c r="H617" s="46">
        <f>TRUNC(S617*(1-LOTE_02!$K$10),2)</f>
        <v>452.31</v>
      </c>
      <c r="I617" s="46">
        <f>TRUNC(T617*(1-LOTE_02!$K$10),2)</f>
        <v>52.26</v>
      </c>
      <c r="J617" s="100">
        <f t="shared" si="72"/>
        <v>0.22470000000000001</v>
      </c>
      <c r="K617" s="48">
        <f t="shared" si="66"/>
        <v>553.94000000000005</v>
      </c>
      <c r="L617" s="48">
        <f t="shared" si="67"/>
        <v>64</v>
      </c>
      <c r="M617" s="48">
        <f t="shared" si="68"/>
        <v>4431.5200000000004</v>
      </c>
      <c r="N617" s="48">
        <f t="shared" si="69"/>
        <v>512</v>
      </c>
      <c r="O617" s="50">
        <f t="shared" si="70"/>
        <v>4943.5200000000004</v>
      </c>
      <c r="P617" s="50">
        <v>0</v>
      </c>
      <c r="Q617" s="76"/>
      <c r="R617" s="139">
        <f>2*S9+2*S10</f>
        <v>8</v>
      </c>
      <c r="S617" s="79">
        <v>452.31</v>
      </c>
      <c r="T617" s="80">
        <v>52.26</v>
      </c>
    </row>
    <row r="618" spans="2:20" ht="70">
      <c r="B618" s="5" t="s">
        <v>1460</v>
      </c>
      <c r="C618" s="45" t="s">
        <v>97</v>
      </c>
      <c r="D618" s="45" t="s">
        <v>1461</v>
      </c>
      <c r="E618" s="6" t="s">
        <v>1462</v>
      </c>
      <c r="F618" s="45" t="s">
        <v>104</v>
      </c>
      <c r="G618" s="46">
        <f t="shared" si="71"/>
        <v>8</v>
      </c>
      <c r="H618" s="46">
        <f>TRUNC(S618*(1-LOTE_02!$K$10),2)</f>
        <v>2117.04</v>
      </c>
      <c r="I618" s="46">
        <f>TRUNC(T618*(1-LOTE_02!$K$10),2)</f>
        <v>297.41000000000003</v>
      </c>
      <c r="J618" s="100">
        <f t="shared" si="72"/>
        <v>0.22470000000000001</v>
      </c>
      <c r="K618" s="48">
        <f t="shared" si="66"/>
        <v>2592.73</v>
      </c>
      <c r="L618" s="48">
        <f t="shared" si="67"/>
        <v>364.23</v>
      </c>
      <c r="M618" s="48">
        <f t="shared" si="68"/>
        <v>20741.84</v>
      </c>
      <c r="N618" s="48">
        <f t="shared" si="69"/>
        <v>2913.84</v>
      </c>
      <c r="O618" s="50">
        <f t="shared" si="70"/>
        <v>23655.68</v>
      </c>
      <c r="P618" s="50">
        <v>0</v>
      </c>
      <c r="Q618" s="76"/>
      <c r="R618" s="139">
        <f>2*S9+2*S10</f>
        <v>8</v>
      </c>
      <c r="S618" s="79">
        <v>2117.04</v>
      </c>
      <c r="T618" s="80">
        <v>297.41000000000003</v>
      </c>
    </row>
    <row r="619" spans="2:20" ht="70">
      <c r="B619" s="5" t="s">
        <v>1463</v>
      </c>
      <c r="C619" s="45" t="s">
        <v>135</v>
      </c>
      <c r="D619" s="45">
        <v>103289</v>
      </c>
      <c r="E619" s="6" t="s">
        <v>1464</v>
      </c>
      <c r="F619" s="45" t="s">
        <v>187</v>
      </c>
      <c r="G619" s="46">
        <f t="shared" si="71"/>
        <v>40</v>
      </c>
      <c r="H619" s="46">
        <f>TRUNC(S619*(1-LOTE_02!$K$10),2)</f>
        <v>33.01</v>
      </c>
      <c r="I619" s="46">
        <f>TRUNC(T619*(1-LOTE_02!$K$10),2)</f>
        <v>3.14</v>
      </c>
      <c r="J619" s="100">
        <f t="shared" si="72"/>
        <v>0.22470000000000001</v>
      </c>
      <c r="K619" s="48">
        <f t="shared" si="66"/>
        <v>40.42</v>
      </c>
      <c r="L619" s="48">
        <f t="shared" si="67"/>
        <v>3.84</v>
      </c>
      <c r="M619" s="48">
        <f t="shared" si="68"/>
        <v>1616.8</v>
      </c>
      <c r="N619" s="48">
        <f t="shared" si="69"/>
        <v>153.6</v>
      </c>
      <c r="O619" s="50">
        <f t="shared" si="70"/>
        <v>1770.4</v>
      </c>
      <c r="P619" s="50">
        <v>0</v>
      </c>
      <c r="Q619" s="76"/>
      <c r="R619" s="139">
        <f>10*S9+10*S10</f>
        <v>40</v>
      </c>
      <c r="S619" s="79">
        <v>33.01</v>
      </c>
      <c r="T619" s="80">
        <v>3.14</v>
      </c>
    </row>
    <row r="620" spans="2:20" ht="70">
      <c r="B620" s="5" t="s">
        <v>1465</v>
      </c>
      <c r="C620" s="45" t="s">
        <v>135</v>
      </c>
      <c r="D620" s="45">
        <v>103290</v>
      </c>
      <c r="E620" s="6" t="s">
        <v>1466</v>
      </c>
      <c r="F620" s="45" t="s">
        <v>187</v>
      </c>
      <c r="G620" s="46">
        <f t="shared" si="71"/>
        <v>40</v>
      </c>
      <c r="H620" s="46">
        <f>TRUNC(S620*(1-LOTE_02!$K$10),2)</f>
        <v>57.5</v>
      </c>
      <c r="I620" s="46">
        <f>TRUNC(T620*(1-LOTE_02!$K$10),2)</f>
        <v>3.5</v>
      </c>
      <c r="J620" s="100">
        <f t="shared" si="72"/>
        <v>0.22470000000000001</v>
      </c>
      <c r="K620" s="48">
        <f t="shared" si="66"/>
        <v>70.42</v>
      </c>
      <c r="L620" s="48">
        <f t="shared" si="67"/>
        <v>4.28</v>
      </c>
      <c r="M620" s="48">
        <f t="shared" si="68"/>
        <v>2816.8</v>
      </c>
      <c r="N620" s="48">
        <f t="shared" si="69"/>
        <v>171.2</v>
      </c>
      <c r="O620" s="50">
        <f t="shared" si="70"/>
        <v>2988</v>
      </c>
      <c r="P620" s="50">
        <v>0</v>
      </c>
      <c r="Q620" s="76"/>
      <c r="R620" s="139">
        <f>10*S9+10*S10</f>
        <v>40</v>
      </c>
      <c r="S620" s="79">
        <v>57.5</v>
      </c>
      <c r="T620" s="80">
        <v>3.5</v>
      </c>
    </row>
    <row r="621" spans="2:20" ht="70">
      <c r="B621" s="5" t="s">
        <v>1467</v>
      </c>
      <c r="C621" s="45" t="s">
        <v>135</v>
      </c>
      <c r="D621" s="45">
        <v>103291</v>
      </c>
      <c r="E621" s="6" t="s">
        <v>1468</v>
      </c>
      <c r="F621" s="45" t="s">
        <v>187</v>
      </c>
      <c r="G621" s="46">
        <f t="shared" si="71"/>
        <v>40</v>
      </c>
      <c r="H621" s="46">
        <f>TRUNC(S621*(1-LOTE_02!$K$10),2)</f>
        <v>71.34</v>
      </c>
      <c r="I621" s="46">
        <f>TRUNC(T621*(1-LOTE_02!$K$10),2)</f>
        <v>3.83</v>
      </c>
      <c r="J621" s="100">
        <f t="shared" si="72"/>
        <v>0.22470000000000001</v>
      </c>
      <c r="K621" s="48">
        <f t="shared" si="66"/>
        <v>87.37</v>
      </c>
      <c r="L621" s="48">
        <f t="shared" si="67"/>
        <v>4.6900000000000004</v>
      </c>
      <c r="M621" s="48">
        <f t="shared" si="68"/>
        <v>3494.8</v>
      </c>
      <c r="N621" s="48">
        <f t="shared" si="69"/>
        <v>187.6</v>
      </c>
      <c r="O621" s="50">
        <f t="shared" si="70"/>
        <v>3682.4</v>
      </c>
      <c r="P621" s="50">
        <v>0</v>
      </c>
      <c r="Q621" s="76"/>
      <c r="R621" s="139">
        <f>10*S9+10*S10</f>
        <v>40</v>
      </c>
      <c r="S621" s="79">
        <v>71.34</v>
      </c>
      <c r="T621" s="80">
        <v>3.83</v>
      </c>
    </row>
    <row r="622" spans="2:20" ht="70">
      <c r="B622" s="5" t="s">
        <v>1469</v>
      </c>
      <c r="C622" s="45" t="s">
        <v>135</v>
      </c>
      <c r="D622" s="45">
        <v>103292</v>
      </c>
      <c r="E622" s="6" t="s">
        <v>1470</v>
      </c>
      <c r="F622" s="45" t="s">
        <v>187</v>
      </c>
      <c r="G622" s="46">
        <f t="shared" si="71"/>
        <v>40</v>
      </c>
      <c r="H622" s="46">
        <f>TRUNC(S622*(1-LOTE_02!$K$10),2)</f>
        <v>86.84</v>
      </c>
      <c r="I622" s="46">
        <f>TRUNC(T622*(1-LOTE_02!$K$10),2)</f>
        <v>4.1500000000000004</v>
      </c>
      <c r="J622" s="100">
        <f t="shared" si="72"/>
        <v>0.22470000000000001</v>
      </c>
      <c r="K622" s="48">
        <f t="shared" si="66"/>
        <v>106.35</v>
      </c>
      <c r="L622" s="48">
        <f t="shared" si="67"/>
        <v>5.08</v>
      </c>
      <c r="M622" s="48">
        <f t="shared" si="68"/>
        <v>4254</v>
      </c>
      <c r="N622" s="48">
        <f t="shared" si="69"/>
        <v>203.2</v>
      </c>
      <c r="O622" s="50">
        <f t="shared" si="70"/>
        <v>4457.2</v>
      </c>
      <c r="P622" s="50">
        <v>0</v>
      </c>
      <c r="Q622" s="76"/>
      <c r="R622" s="139">
        <f>10*S9+10*S10</f>
        <v>40</v>
      </c>
      <c r="S622" s="79">
        <v>86.839999999999989</v>
      </c>
      <c r="T622" s="80">
        <v>4.1500000000000004</v>
      </c>
    </row>
    <row r="623" spans="2:20" ht="28">
      <c r="B623" s="5" t="s">
        <v>1471</v>
      </c>
      <c r="C623" s="45" t="s">
        <v>97</v>
      </c>
      <c r="D623" s="45" t="s">
        <v>1472</v>
      </c>
      <c r="E623" s="6" t="s">
        <v>1473</v>
      </c>
      <c r="F623" s="45" t="s">
        <v>104</v>
      </c>
      <c r="G623" s="46">
        <f t="shared" si="71"/>
        <v>20</v>
      </c>
      <c r="H623" s="46">
        <f>TRUNC(S623*(1-LOTE_02!$K$10),2)</f>
        <v>216.18</v>
      </c>
      <c r="I623" s="46">
        <f>TRUNC(T623*(1-LOTE_02!$K$10),2)</f>
        <v>375.03</v>
      </c>
      <c r="J623" s="100">
        <f t="shared" si="72"/>
        <v>0.22470000000000001</v>
      </c>
      <c r="K623" s="48">
        <f t="shared" si="66"/>
        <v>264.75</v>
      </c>
      <c r="L623" s="48">
        <f t="shared" si="67"/>
        <v>459.29</v>
      </c>
      <c r="M623" s="48">
        <f t="shared" si="68"/>
        <v>5295</v>
      </c>
      <c r="N623" s="48">
        <f t="shared" si="69"/>
        <v>9185.7999999999993</v>
      </c>
      <c r="O623" s="50">
        <f t="shared" si="70"/>
        <v>14480.8</v>
      </c>
      <c r="P623" s="50">
        <v>0</v>
      </c>
      <c r="Q623" s="76"/>
      <c r="R623" s="139">
        <f>5*S9+5*S10</f>
        <v>20</v>
      </c>
      <c r="S623" s="79">
        <v>216.18</v>
      </c>
      <c r="T623" s="80">
        <v>375.03</v>
      </c>
    </row>
    <row r="624" spans="2:20" ht="28">
      <c r="B624" s="101" t="s">
        <v>56</v>
      </c>
      <c r="C624" s="102" t="s">
        <v>21</v>
      </c>
      <c r="D624" s="102" t="s">
        <v>21</v>
      </c>
      <c r="E624" s="103" t="s">
        <v>88</v>
      </c>
      <c r="F624" s="102" t="s">
        <v>21</v>
      </c>
      <c r="G624" s="46">
        <f t="shared" si="71"/>
        <v>0</v>
      </c>
      <c r="H624" s="46"/>
      <c r="I624" s="46"/>
      <c r="J624" s="105"/>
      <c r="K624" s="48">
        <f t="shared" si="66"/>
        <v>0</v>
      </c>
      <c r="L624" s="48">
        <f t="shared" si="67"/>
        <v>0</v>
      </c>
      <c r="M624" s="48">
        <f t="shared" si="68"/>
        <v>0</v>
      </c>
      <c r="N624" s="48">
        <f t="shared" si="69"/>
        <v>0</v>
      </c>
      <c r="O624" s="50">
        <f t="shared" si="70"/>
        <v>0</v>
      </c>
      <c r="P624" s="104">
        <f>SUM(O626:O683)</f>
        <v>2618262.35</v>
      </c>
      <c r="Q624" s="76"/>
      <c r="R624" s="154"/>
      <c r="S624" s="79" t="s">
        <v>22</v>
      </c>
      <c r="T624" s="80" t="s">
        <v>22</v>
      </c>
    </row>
    <row r="625" spans="2:20">
      <c r="B625" s="101" t="s">
        <v>1474</v>
      </c>
      <c r="C625" s="102" t="s">
        <v>21</v>
      </c>
      <c r="D625" s="102" t="s">
        <v>21</v>
      </c>
      <c r="E625" s="103" t="s">
        <v>1475</v>
      </c>
      <c r="F625" s="102" t="s">
        <v>21</v>
      </c>
      <c r="G625" s="46">
        <f t="shared" si="71"/>
        <v>0</v>
      </c>
      <c r="H625" s="46"/>
      <c r="I625" s="46"/>
      <c r="J625" s="105"/>
      <c r="K625" s="48">
        <f t="shared" si="66"/>
        <v>0</v>
      </c>
      <c r="L625" s="48">
        <f t="shared" si="67"/>
        <v>0</v>
      </c>
      <c r="M625" s="48">
        <f t="shared" si="68"/>
        <v>0</v>
      </c>
      <c r="N625" s="48">
        <f t="shared" si="69"/>
        <v>0</v>
      </c>
      <c r="O625" s="50">
        <f t="shared" si="70"/>
        <v>0</v>
      </c>
      <c r="P625" s="50">
        <v>0</v>
      </c>
      <c r="Q625" s="76"/>
      <c r="R625" s="154"/>
      <c r="S625" s="79" t="s">
        <v>22</v>
      </c>
      <c r="T625" s="80" t="s">
        <v>22</v>
      </c>
    </row>
    <row r="626" spans="2:20" ht="84">
      <c r="B626" s="5" t="s">
        <v>1476</v>
      </c>
      <c r="C626" s="45" t="s">
        <v>97</v>
      </c>
      <c r="D626" s="45" t="s">
        <v>1477</v>
      </c>
      <c r="E626" s="6" t="s">
        <v>1478</v>
      </c>
      <c r="F626" s="45" t="s">
        <v>121</v>
      </c>
      <c r="G626" s="46">
        <f t="shared" si="71"/>
        <v>120</v>
      </c>
      <c r="H626" s="46">
        <f>TRUNC(S626*(1-LOTE_02!$K$10),2)</f>
        <v>322.48</v>
      </c>
      <c r="I626" s="46">
        <f>TRUNC(T626*(1-LOTE_02!$K$10),2)</f>
        <v>36.6</v>
      </c>
      <c r="J626" s="100">
        <f t="shared" si="72"/>
        <v>0.22470000000000001</v>
      </c>
      <c r="K626" s="48">
        <f t="shared" si="66"/>
        <v>394.94</v>
      </c>
      <c r="L626" s="48">
        <f t="shared" si="67"/>
        <v>44.82</v>
      </c>
      <c r="M626" s="48">
        <f t="shared" si="68"/>
        <v>47392.800000000003</v>
      </c>
      <c r="N626" s="48">
        <f t="shared" si="69"/>
        <v>5378.4</v>
      </c>
      <c r="O626" s="50">
        <f t="shared" si="70"/>
        <v>52771.199999999997</v>
      </c>
      <c r="P626" s="50">
        <v>0</v>
      </c>
      <c r="Q626" s="76"/>
      <c r="R626" s="139">
        <f>30*(S9+S10)</f>
        <v>120</v>
      </c>
      <c r="S626" s="79">
        <v>322.48</v>
      </c>
      <c r="T626" s="80">
        <v>36.6</v>
      </c>
    </row>
    <row r="627" spans="2:20" ht="70">
      <c r="B627" s="5" t="s">
        <v>1479</v>
      </c>
      <c r="C627" s="45" t="s">
        <v>97</v>
      </c>
      <c r="D627" s="45" t="s">
        <v>1480</v>
      </c>
      <c r="E627" s="6" t="s">
        <v>1481</v>
      </c>
      <c r="F627" s="45" t="s">
        <v>104</v>
      </c>
      <c r="G627" s="46">
        <f t="shared" si="71"/>
        <v>4</v>
      </c>
      <c r="H627" s="46">
        <f>TRUNC(S627*(1-LOTE_02!$K$10),2)</f>
        <v>1632.67</v>
      </c>
      <c r="I627" s="46">
        <f>TRUNC(T627*(1-LOTE_02!$K$10),2)</f>
        <v>132.32</v>
      </c>
      <c r="J627" s="100">
        <f t="shared" si="72"/>
        <v>0.22470000000000001</v>
      </c>
      <c r="K627" s="48">
        <f t="shared" si="66"/>
        <v>1999.53</v>
      </c>
      <c r="L627" s="48">
        <f t="shared" si="67"/>
        <v>162.05000000000001</v>
      </c>
      <c r="M627" s="48">
        <f t="shared" si="68"/>
        <v>7998.12</v>
      </c>
      <c r="N627" s="48">
        <f t="shared" si="69"/>
        <v>648.20000000000005</v>
      </c>
      <c r="O627" s="50">
        <f t="shared" si="70"/>
        <v>8646.32</v>
      </c>
      <c r="P627" s="50">
        <v>0</v>
      </c>
      <c r="Q627" s="76"/>
      <c r="R627" s="140">
        <f>IF((S9+S10)&gt;10,10,(S9+S10))</f>
        <v>4</v>
      </c>
      <c r="S627" s="79">
        <v>1632.67</v>
      </c>
      <c r="T627" s="80">
        <v>132.32</v>
      </c>
    </row>
    <row r="628" spans="2:20" ht="56">
      <c r="B628" s="5" t="s">
        <v>1482</v>
      </c>
      <c r="C628" s="45" t="s">
        <v>97</v>
      </c>
      <c r="D628" s="45" t="s">
        <v>467</v>
      </c>
      <c r="E628" s="6" t="s">
        <v>468</v>
      </c>
      <c r="F628" s="45" t="s">
        <v>121</v>
      </c>
      <c r="G628" s="46">
        <f t="shared" si="71"/>
        <v>268.39999999999998</v>
      </c>
      <c r="H628" s="46">
        <f>TRUNC(S628*(1-LOTE_02!$K$10),2)</f>
        <v>360.4</v>
      </c>
      <c r="I628" s="46">
        <f>TRUNC(T628*(1-LOTE_02!$K$10),2)</f>
        <v>156</v>
      </c>
      <c r="J628" s="100">
        <f t="shared" si="72"/>
        <v>0.22470000000000001</v>
      </c>
      <c r="K628" s="48">
        <f t="shared" si="66"/>
        <v>441.38</v>
      </c>
      <c r="L628" s="48">
        <f t="shared" si="67"/>
        <v>191.05</v>
      </c>
      <c r="M628" s="48">
        <f t="shared" si="68"/>
        <v>118466.39</v>
      </c>
      <c r="N628" s="48">
        <f t="shared" si="69"/>
        <v>51277.82</v>
      </c>
      <c r="O628" s="50">
        <f t="shared" si="70"/>
        <v>169744.21</v>
      </c>
      <c r="P628" s="50">
        <v>0</v>
      </c>
      <c r="Q628" s="76"/>
      <c r="R628" s="139">
        <f>(13.5+12.5+5.5+22.6+13)*(S9+S10)</f>
        <v>268.39999999999998</v>
      </c>
      <c r="S628" s="79">
        <v>360.4</v>
      </c>
      <c r="T628" s="80">
        <v>156</v>
      </c>
    </row>
    <row r="629" spans="2:20" ht="28">
      <c r="B629" s="5" t="s">
        <v>1483</v>
      </c>
      <c r="C629" s="45" t="s">
        <v>97</v>
      </c>
      <c r="D629" s="45" t="s">
        <v>1484</v>
      </c>
      <c r="E629" s="6" t="s">
        <v>1485</v>
      </c>
      <c r="F629" s="45" t="s">
        <v>121</v>
      </c>
      <c r="G629" s="46">
        <f t="shared" si="71"/>
        <v>32</v>
      </c>
      <c r="H629" s="46">
        <f>TRUNC(S629*(1-LOTE_02!$K$10),2)</f>
        <v>443.84</v>
      </c>
      <c r="I629" s="46">
        <f>TRUNC(T629*(1-LOTE_02!$K$10),2)</f>
        <v>4.55</v>
      </c>
      <c r="J629" s="100">
        <f t="shared" si="72"/>
        <v>0.22470000000000001</v>
      </c>
      <c r="K629" s="48">
        <f t="shared" si="66"/>
        <v>543.57000000000005</v>
      </c>
      <c r="L629" s="48">
        <f t="shared" si="67"/>
        <v>5.57</v>
      </c>
      <c r="M629" s="48">
        <f t="shared" si="68"/>
        <v>17394.240000000002</v>
      </c>
      <c r="N629" s="48">
        <f t="shared" si="69"/>
        <v>178.24</v>
      </c>
      <c r="O629" s="50">
        <f t="shared" si="70"/>
        <v>17572.48</v>
      </c>
      <c r="P629" s="50">
        <v>0</v>
      </c>
      <c r="Q629" s="76"/>
      <c r="R629" s="139">
        <f>8*(S9+S10)</f>
        <v>32</v>
      </c>
      <c r="S629" s="79">
        <v>443.84</v>
      </c>
      <c r="T629" s="80">
        <v>4.55</v>
      </c>
    </row>
    <row r="630" spans="2:20" ht="126">
      <c r="B630" s="5" t="s">
        <v>1486</v>
      </c>
      <c r="C630" s="45" t="s">
        <v>97</v>
      </c>
      <c r="D630" s="45" t="s">
        <v>1487</v>
      </c>
      <c r="E630" s="6" t="s">
        <v>1488</v>
      </c>
      <c r="F630" s="45" t="s">
        <v>104</v>
      </c>
      <c r="G630" s="46">
        <f t="shared" si="71"/>
        <v>4</v>
      </c>
      <c r="H630" s="46">
        <f>TRUNC(S630*(1-LOTE_02!$K$10),2)</f>
        <v>11758.78</v>
      </c>
      <c r="I630" s="46">
        <f>TRUNC(T630*(1-LOTE_02!$K$10),2)</f>
        <v>1421.19</v>
      </c>
      <c r="J630" s="100">
        <f t="shared" si="72"/>
        <v>0.22470000000000001</v>
      </c>
      <c r="K630" s="48">
        <f t="shared" si="66"/>
        <v>14400.97</v>
      </c>
      <c r="L630" s="48">
        <f t="shared" si="67"/>
        <v>1740.53</v>
      </c>
      <c r="M630" s="48">
        <f t="shared" si="68"/>
        <v>57603.88</v>
      </c>
      <c r="N630" s="48">
        <f t="shared" si="69"/>
        <v>6962.12</v>
      </c>
      <c r="O630" s="50">
        <f t="shared" si="70"/>
        <v>64566</v>
      </c>
      <c r="P630" s="50">
        <v>0</v>
      </c>
      <c r="Q630" s="76"/>
      <c r="R630" s="139">
        <f>1*(S9+S10)</f>
        <v>4</v>
      </c>
      <c r="S630" s="79">
        <v>11758.78</v>
      </c>
      <c r="T630" s="80">
        <v>1421.19</v>
      </c>
    </row>
    <row r="631" spans="2:20" ht="42">
      <c r="B631" s="5" t="s">
        <v>1489</v>
      </c>
      <c r="C631" s="45" t="s">
        <v>97</v>
      </c>
      <c r="D631" s="45" t="s">
        <v>1490</v>
      </c>
      <c r="E631" s="6" t="s">
        <v>1491</v>
      </c>
      <c r="F631" s="45" t="s">
        <v>104</v>
      </c>
      <c r="G631" s="46">
        <f t="shared" si="71"/>
        <v>4</v>
      </c>
      <c r="H631" s="46">
        <f>TRUNC(S631*(1-LOTE_02!$K$10),2)</f>
        <v>3024.68</v>
      </c>
      <c r="I631" s="46">
        <f>TRUNC(T631*(1-LOTE_02!$K$10),2)</f>
        <v>412.52</v>
      </c>
      <c r="J631" s="100">
        <f t="shared" si="72"/>
        <v>0.22470000000000001</v>
      </c>
      <c r="K631" s="48">
        <f t="shared" si="66"/>
        <v>3704.32</v>
      </c>
      <c r="L631" s="48">
        <f t="shared" si="67"/>
        <v>505.21</v>
      </c>
      <c r="M631" s="48">
        <f t="shared" si="68"/>
        <v>14817.28</v>
      </c>
      <c r="N631" s="48">
        <f t="shared" si="69"/>
        <v>2020.84</v>
      </c>
      <c r="O631" s="50">
        <f t="shared" si="70"/>
        <v>16838.12</v>
      </c>
      <c r="P631" s="50">
        <v>0</v>
      </c>
      <c r="Q631" s="76"/>
      <c r="R631" s="139">
        <f>1*(S9+S10)</f>
        <v>4</v>
      </c>
      <c r="S631" s="79">
        <v>3024.68</v>
      </c>
      <c r="T631" s="80">
        <v>412.52</v>
      </c>
    </row>
    <row r="632" spans="2:20" ht="84">
      <c r="B632" s="5" t="s">
        <v>1492</v>
      </c>
      <c r="C632" s="45" t="s">
        <v>97</v>
      </c>
      <c r="D632" s="45" t="s">
        <v>1493</v>
      </c>
      <c r="E632" s="6" t="s">
        <v>1494</v>
      </c>
      <c r="F632" s="45" t="s">
        <v>104</v>
      </c>
      <c r="G632" s="46">
        <f t="shared" si="71"/>
        <v>4</v>
      </c>
      <c r="H632" s="46">
        <f>TRUNC(S632*(1-LOTE_02!$K$10),2)</f>
        <v>8998.83</v>
      </c>
      <c r="I632" s="46">
        <f>TRUNC(T632*(1-LOTE_02!$K$10),2)</f>
        <v>117.87</v>
      </c>
      <c r="J632" s="100">
        <f t="shared" si="72"/>
        <v>0.22470000000000001</v>
      </c>
      <c r="K632" s="48">
        <f t="shared" si="66"/>
        <v>11020.86</v>
      </c>
      <c r="L632" s="48">
        <f t="shared" si="67"/>
        <v>144.35</v>
      </c>
      <c r="M632" s="48">
        <f t="shared" si="68"/>
        <v>44083.44</v>
      </c>
      <c r="N632" s="48">
        <f t="shared" si="69"/>
        <v>577.4</v>
      </c>
      <c r="O632" s="50">
        <f t="shared" si="70"/>
        <v>44660.84</v>
      </c>
      <c r="P632" s="50">
        <v>0</v>
      </c>
      <c r="Q632" s="76"/>
      <c r="R632" s="139">
        <f>1*(S9+S10)</f>
        <v>4</v>
      </c>
      <c r="S632" s="79">
        <v>8998.83</v>
      </c>
      <c r="T632" s="80">
        <v>117.87</v>
      </c>
    </row>
    <row r="633" spans="2:20" ht="84">
      <c r="B633" s="5" t="s">
        <v>1495</v>
      </c>
      <c r="C633" s="45" t="s">
        <v>97</v>
      </c>
      <c r="D633" s="45" t="s">
        <v>1496</v>
      </c>
      <c r="E633" s="6" t="s">
        <v>1497</v>
      </c>
      <c r="F633" s="45" t="s">
        <v>104</v>
      </c>
      <c r="G633" s="46">
        <f t="shared" si="71"/>
        <v>4</v>
      </c>
      <c r="H633" s="46">
        <f>TRUNC(S633*(1-LOTE_02!$K$10),2)</f>
        <v>6786.58</v>
      </c>
      <c r="I633" s="46">
        <f>TRUNC(T633*(1-LOTE_02!$K$10),2)</f>
        <v>117.87</v>
      </c>
      <c r="J633" s="100">
        <f t="shared" si="72"/>
        <v>0.22470000000000001</v>
      </c>
      <c r="K633" s="48">
        <f t="shared" si="66"/>
        <v>8311.52</v>
      </c>
      <c r="L633" s="48">
        <f t="shared" si="67"/>
        <v>144.35</v>
      </c>
      <c r="M633" s="48">
        <f t="shared" si="68"/>
        <v>33246.080000000002</v>
      </c>
      <c r="N633" s="48">
        <f t="shared" si="69"/>
        <v>577.4</v>
      </c>
      <c r="O633" s="50">
        <f t="shared" si="70"/>
        <v>33823.480000000003</v>
      </c>
      <c r="P633" s="50">
        <v>0</v>
      </c>
      <c r="Q633" s="76"/>
      <c r="R633" s="139">
        <f>1*(S9+S10)</f>
        <v>4</v>
      </c>
      <c r="S633" s="79">
        <v>6786.58</v>
      </c>
      <c r="T633" s="80">
        <v>117.87</v>
      </c>
    </row>
    <row r="634" spans="2:20" ht="56">
      <c r="B634" s="5" t="s">
        <v>1498</v>
      </c>
      <c r="C634" s="45" t="s">
        <v>97</v>
      </c>
      <c r="D634" s="45" t="s">
        <v>1499</v>
      </c>
      <c r="E634" s="6" t="s">
        <v>1500</v>
      </c>
      <c r="F634" s="45" t="s">
        <v>121</v>
      </c>
      <c r="G634" s="46">
        <f t="shared" si="71"/>
        <v>60</v>
      </c>
      <c r="H634" s="46">
        <f>TRUNC(S634*(1-LOTE_02!$K$10),2)</f>
        <v>444.8</v>
      </c>
      <c r="I634" s="46">
        <f>TRUNC(T634*(1-LOTE_02!$K$10),2)</f>
        <v>7.85</v>
      </c>
      <c r="J634" s="100">
        <f t="shared" si="72"/>
        <v>0.22470000000000001</v>
      </c>
      <c r="K634" s="48">
        <f t="shared" si="66"/>
        <v>544.74</v>
      </c>
      <c r="L634" s="48">
        <f t="shared" si="67"/>
        <v>9.61</v>
      </c>
      <c r="M634" s="48">
        <f t="shared" si="68"/>
        <v>32684.400000000001</v>
      </c>
      <c r="N634" s="48">
        <f t="shared" si="69"/>
        <v>576.6</v>
      </c>
      <c r="O634" s="50">
        <f t="shared" si="70"/>
        <v>33261</v>
      </c>
      <c r="P634" s="50">
        <v>0</v>
      </c>
      <c r="Q634" s="76"/>
      <c r="R634" s="139">
        <f>15*(S9+S10)</f>
        <v>60</v>
      </c>
      <c r="S634" s="79">
        <v>444.8</v>
      </c>
      <c r="T634" s="80">
        <v>7.85</v>
      </c>
    </row>
    <row r="635" spans="2:20" ht="28">
      <c r="B635" s="5" t="s">
        <v>1501</v>
      </c>
      <c r="C635" s="45" t="s">
        <v>97</v>
      </c>
      <c r="D635" s="45" t="s">
        <v>1502</v>
      </c>
      <c r="E635" s="6" t="s">
        <v>1503</v>
      </c>
      <c r="F635" s="45" t="s">
        <v>104</v>
      </c>
      <c r="G635" s="46">
        <f t="shared" si="71"/>
        <v>8</v>
      </c>
      <c r="H635" s="46">
        <f>TRUNC(S635*(1-LOTE_02!$K$10),2)</f>
        <v>308.47000000000003</v>
      </c>
      <c r="I635" s="46">
        <f>TRUNC(T635*(1-LOTE_02!$K$10),2)</f>
        <v>23.87</v>
      </c>
      <c r="J635" s="100">
        <f t="shared" si="72"/>
        <v>0.22470000000000001</v>
      </c>
      <c r="K635" s="48">
        <f t="shared" si="66"/>
        <v>377.78</v>
      </c>
      <c r="L635" s="48">
        <f t="shared" si="67"/>
        <v>29.23</v>
      </c>
      <c r="M635" s="48">
        <f t="shared" si="68"/>
        <v>3022.24</v>
      </c>
      <c r="N635" s="48">
        <f t="shared" si="69"/>
        <v>233.84</v>
      </c>
      <c r="O635" s="50">
        <f t="shared" si="70"/>
        <v>3256.08</v>
      </c>
      <c r="P635" s="50">
        <v>0</v>
      </c>
      <c r="Q635" s="76"/>
      <c r="R635" s="139">
        <f>2*(S9+S10)</f>
        <v>8</v>
      </c>
      <c r="S635" s="79">
        <v>308.47000000000003</v>
      </c>
      <c r="T635" s="80">
        <v>23.87</v>
      </c>
    </row>
    <row r="636" spans="2:20" ht="56">
      <c r="B636" s="5" t="s">
        <v>1504</v>
      </c>
      <c r="C636" s="45" t="s">
        <v>97</v>
      </c>
      <c r="D636" s="45" t="s">
        <v>1505</v>
      </c>
      <c r="E636" s="6" t="s">
        <v>1506</v>
      </c>
      <c r="F636" s="45" t="s">
        <v>104</v>
      </c>
      <c r="G636" s="46">
        <f t="shared" si="71"/>
        <v>4</v>
      </c>
      <c r="H636" s="46">
        <f>TRUNC(S636*(1-LOTE_02!$K$10),2)</f>
        <v>216.71</v>
      </c>
      <c r="I636" s="46">
        <f>TRUNC(T636*(1-LOTE_02!$K$10),2)</f>
        <v>3.3</v>
      </c>
      <c r="J636" s="100">
        <f t="shared" si="72"/>
        <v>0.22470000000000001</v>
      </c>
      <c r="K636" s="48">
        <f t="shared" si="66"/>
        <v>265.39999999999998</v>
      </c>
      <c r="L636" s="48">
        <f t="shared" si="67"/>
        <v>4.04</v>
      </c>
      <c r="M636" s="48">
        <f t="shared" si="68"/>
        <v>1061.5999999999999</v>
      </c>
      <c r="N636" s="48">
        <f t="shared" si="69"/>
        <v>16.16</v>
      </c>
      <c r="O636" s="50">
        <f t="shared" si="70"/>
        <v>1077.76</v>
      </c>
      <c r="P636" s="50">
        <v>0</v>
      </c>
      <c r="Q636" s="76"/>
      <c r="R636" s="139">
        <f>1*(S9+S10)</f>
        <v>4</v>
      </c>
      <c r="S636" s="79">
        <v>216.71</v>
      </c>
      <c r="T636" s="80">
        <v>3.3</v>
      </c>
    </row>
    <row r="637" spans="2:20" ht="42">
      <c r="B637" s="5" t="s">
        <v>1507</v>
      </c>
      <c r="C637" s="45" t="s">
        <v>97</v>
      </c>
      <c r="D637" s="45" t="s">
        <v>1508</v>
      </c>
      <c r="E637" s="6" t="s">
        <v>1509</v>
      </c>
      <c r="F637" s="45" t="s">
        <v>121</v>
      </c>
      <c r="G637" s="46">
        <f t="shared" si="71"/>
        <v>20</v>
      </c>
      <c r="H637" s="46">
        <f>TRUNC(S637*(1-LOTE_02!$K$10),2)</f>
        <v>3498.15</v>
      </c>
      <c r="I637" s="46">
        <f>TRUNC(T637*(1-LOTE_02!$K$10),2)</f>
        <v>39.29</v>
      </c>
      <c r="J637" s="100">
        <f t="shared" si="72"/>
        <v>0.22470000000000001</v>
      </c>
      <c r="K637" s="48">
        <f t="shared" si="66"/>
        <v>4284.18</v>
      </c>
      <c r="L637" s="48">
        <f t="shared" si="67"/>
        <v>48.11</v>
      </c>
      <c r="M637" s="48">
        <f t="shared" si="68"/>
        <v>85683.6</v>
      </c>
      <c r="N637" s="48">
        <f t="shared" si="69"/>
        <v>962.2</v>
      </c>
      <c r="O637" s="50">
        <f t="shared" si="70"/>
        <v>86645.8</v>
      </c>
      <c r="P637" s="50">
        <v>0</v>
      </c>
      <c r="Q637" s="76"/>
      <c r="R637" s="139">
        <f>2.5*2*(S9+S10)</f>
        <v>20</v>
      </c>
      <c r="S637" s="79">
        <v>3498.15</v>
      </c>
      <c r="T637" s="80">
        <v>39.29</v>
      </c>
    </row>
    <row r="638" spans="2:20">
      <c r="B638" s="101" t="s">
        <v>1510</v>
      </c>
      <c r="C638" s="102" t="s">
        <v>21</v>
      </c>
      <c r="D638" s="102" t="s">
        <v>21</v>
      </c>
      <c r="E638" s="103" t="s">
        <v>1511</v>
      </c>
      <c r="F638" s="102" t="s">
        <v>21</v>
      </c>
      <c r="G638" s="46">
        <f t="shared" si="71"/>
        <v>0</v>
      </c>
      <c r="H638" s="46"/>
      <c r="I638" s="46"/>
      <c r="J638" s="105"/>
      <c r="K638" s="48">
        <f t="shared" si="66"/>
        <v>0</v>
      </c>
      <c r="L638" s="48">
        <f t="shared" si="67"/>
        <v>0</v>
      </c>
      <c r="M638" s="48">
        <f t="shared" si="68"/>
        <v>0</v>
      </c>
      <c r="N638" s="48">
        <f t="shared" si="69"/>
        <v>0</v>
      </c>
      <c r="O638" s="50">
        <f t="shared" si="70"/>
        <v>0</v>
      </c>
      <c r="P638" s="50">
        <v>0</v>
      </c>
      <c r="Q638" s="76"/>
      <c r="R638" s="154"/>
      <c r="S638" s="79" t="s">
        <v>22</v>
      </c>
      <c r="T638" s="80" t="s">
        <v>22</v>
      </c>
    </row>
    <row r="639" spans="2:20" ht="98">
      <c r="B639" s="5" t="s">
        <v>1512</v>
      </c>
      <c r="C639" s="45" t="s">
        <v>135</v>
      </c>
      <c r="D639" s="45">
        <v>96369</v>
      </c>
      <c r="E639" s="6" t="s">
        <v>1513</v>
      </c>
      <c r="F639" s="45" t="s">
        <v>121</v>
      </c>
      <c r="G639" s="46">
        <f t="shared" si="71"/>
        <v>72</v>
      </c>
      <c r="H639" s="46">
        <f>TRUNC(S639*(1-LOTE_02!$K$10),2)</f>
        <v>195.96</v>
      </c>
      <c r="I639" s="46">
        <f>TRUNC(T639*(1-LOTE_02!$K$10),2)</f>
        <v>23.3</v>
      </c>
      <c r="J639" s="100">
        <f t="shared" si="72"/>
        <v>0.22470000000000001</v>
      </c>
      <c r="K639" s="48">
        <f t="shared" si="66"/>
        <v>239.99</v>
      </c>
      <c r="L639" s="48">
        <f t="shared" si="67"/>
        <v>28.53</v>
      </c>
      <c r="M639" s="48">
        <f t="shared" si="68"/>
        <v>17279.28</v>
      </c>
      <c r="N639" s="48">
        <f t="shared" si="69"/>
        <v>2054.16</v>
      </c>
      <c r="O639" s="50">
        <f t="shared" si="70"/>
        <v>19333.439999999999</v>
      </c>
      <c r="P639" s="50">
        <v>0</v>
      </c>
      <c r="Q639" s="76"/>
      <c r="R639" s="139">
        <f>4.5*4*(S9+S10)</f>
        <v>72</v>
      </c>
      <c r="S639" s="79">
        <v>195.95999999999998</v>
      </c>
      <c r="T639" s="80">
        <v>23.3</v>
      </c>
    </row>
    <row r="640" spans="2:20" ht="98">
      <c r="B640" s="5" t="s">
        <v>1514</v>
      </c>
      <c r="C640" s="45" t="s">
        <v>97</v>
      </c>
      <c r="D640" s="45" t="s">
        <v>1515</v>
      </c>
      <c r="E640" s="6" t="s">
        <v>1516</v>
      </c>
      <c r="F640" s="45" t="s">
        <v>121</v>
      </c>
      <c r="G640" s="46">
        <f t="shared" si="71"/>
        <v>36</v>
      </c>
      <c r="H640" s="46">
        <f>TRUNC(S640*(1-LOTE_02!$K$10),2)</f>
        <v>1297.6400000000001</v>
      </c>
      <c r="I640" s="46">
        <f>TRUNC(T640*(1-LOTE_02!$K$10),2)</f>
        <v>19.64</v>
      </c>
      <c r="J640" s="100">
        <f t="shared" si="72"/>
        <v>0.22470000000000001</v>
      </c>
      <c r="K640" s="48">
        <f t="shared" si="66"/>
        <v>1589.21</v>
      </c>
      <c r="L640" s="48">
        <f t="shared" si="67"/>
        <v>24.05</v>
      </c>
      <c r="M640" s="48">
        <f t="shared" si="68"/>
        <v>57211.56</v>
      </c>
      <c r="N640" s="48">
        <f t="shared" si="69"/>
        <v>865.8</v>
      </c>
      <c r="O640" s="50">
        <f t="shared" si="70"/>
        <v>58077.36</v>
      </c>
      <c r="P640" s="50">
        <v>0</v>
      </c>
      <c r="Q640" s="76"/>
      <c r="R640" s="139">
        <f>1.2*3*2.5*(S9+S10)</f>
        <v>36</v>
      </c>
      <c r="S640" s="79">
        <v>1297.6400000000001</v>
      </c>
      <c r="T640" s="80">
        <v>19.64</v>
      </c>
    </row>
    <row r="641" spans="2:20" ht="42">
      <c r="B641" s="5" t="s">
        <v>1517</v>
      </c>
      <c r="C641" s="45" t="s">
        <v>97</v>
      </c>
      <c r="D641" s="45" t="s">
        <v>1518</v>
      </c>
      <c r="E641" s="6" t="s">
        <v>1519</v>
      </c>
      <c r="F641" s="45" t="s">
        <v>121</v>
      </c>
      <c r="G641" s="46">
        <f t="shared" si="71"/>
        <v>36</v>
      </c>
      <c r="H641" s="46">
        <f>TRUNC(S641*(1-LOTE_02!$K$10),2)</f>
        <v>611.51</v>
      </c>
      <c r="I641" s="46">
        <f>TRUNC(T641*(1-LOTE_02!$K$10),2)</f>
        <v>18.32</v>
      </c>
      <c r="J641" s="100">
        <f t="shared" si="72"/>
        <v>0.22470000000000001</v>
      </c>
      <c r="K641" s="48">
        <f t="shared" si="66"/>
        <v>748.91</v>
      </c>
      <c r="L641" s="48">
        <f t="shared" si="67"/>
        <v>22.43</v>
      </c>
      <c r="M641" s="48">
        <f t="shared" si="68"/>
        <v>26960.76</v>
      </c>
      <c r="N641" s="48">
        <f t="shared" si="69"/>
        <v>807.48</v>
      </c>
      <c r="O641" s="50">
        <f t="shared" si="70"/>
        <v>27768.240000000002</v>
      </c>
      <c r="P641" s="50">
        <v>0</v>
      </c>
      <c r="Q641" s="76"/>
      <c r="R641" s="139">
        <f>(R639-R640)</f>
        <v>36</v>
      </c>
      <c r="S641" s="79">
        <v>611.51</v>
      </c>
      <c r="T641" s="80">
        <v>18.32</v>
      </c>
    </row>
    <row r="642" spans="2:20" ht="70">
      <c r="B642" s="5" t="s">
        <v>1520</v>
      </c>
      <c r="C642" s="45" t="s">
        <v>97</v>
      </c>
      <c r="D642" s="45" t="s">
        <v>1521</v>
      </c>
      <c r="E642" s="6" t="s">
        <v>1522</v>
      </c>
      <c r="F642" s="45" t="s">
        <v>104</v>
      </c>
      <c r="G642" s="46">
        <f t="shared" si="71"/>
        <v>12</v>
      </c>
      <c r="H642" s="46">
        <f>TRUNC(S642*(1-LOTE_02!$K$10),2)</f>
        <v>1133.72</v>
      </c>
      <c r="I642" s="46">
        <f>TRUNC(T642*(1-LOTE_02!$K$10),2)</f>
        <v>7.85</v>
      </c>
      <c r="J642" s="100">
        <f t="shared" si="72"/>
        <v>0.22470000000000001</v>
      </c>
      <c r="K642" s="48">
        <f t="shared" si="66"/>
        <v>1388.46</v>
      </c>
      <c r="L642" s="48">
        <f t="shared" si="67"/>
        <v>9.61</v>
      </c>
      <c r="M642" s="48">
        <f t="shared" si="68"/>
        <v>16661.52</v>
      </c>
      <c r="N642" s="48">
        <f t="shared" si="69"/>
        <v>115.32</v>
      </c>
      <c r="O642" s="50">
        <f t="shared" si="70"/>
        <v>16776.84</v>
      </c>
      <c r="P642" s="50">
        <v>0</v>
      </c>
      <c r="Q642" s="76"/>
      <c r="R642" s="139">
        <f>3*(S9+S10)</f>
        <v>12</v>
      </c>
      <c r="S642" s="79">
        <v>1133.72</v>
      </c>
      <c r="T642" s="80">
        <v>7.85</v>
      </c>
    </row>
    <row r="643" spans="2:20">
      <c r="B643" s="101" t="s">
        <v>1523</v>
      </c>
      <c r="C643" s="102" t="s">
        <v>21</v>
      </c>
      <c r="D643" s="102" t="s">
        <v>21</v>
      </c>
      <c r="E643" s="103" t="s">
        <v>1524</v>
      </c>
      <c r="F643" s="102" t="s">
        <v>21</v>
      </c>
      <c r="G643" s="46">
        <f t="shared" si="71"/>
        <v>0</v>
      </c>
      <c r="H643" s="46"/>
      <c r="I643" s="46"/>
      <c r="J643" s="105"/>
      <c r="K643" s="48">
        <f t="shared" si="66"/>
        <v>0</v>
      </c>
      <c r="L643" s="48">
        <f t="shared" si="67"/>
        <v>0</v>
      </c>
      <c r="M643" s="48">
        <f t="shared" si="68"/>
        <v>0</v>
      </c>
      <c r="N643" s="48">
        <f t="shared" si="69"/>
        <v>0</v>
      </c>
      <c r="O643" s="50">
        <f t="shared" si="70"/>
        <v>0</v>
      </c>
      <c r="P643" s="50">
        <v>0</v>
      </c>
      <c r="Q643" s="76"/>
      <c r="R643" s="154"/>
      <c r="S643" s="79" t="s">
        <v>22</v>
      </c>
      <c r="T643" s="80" t="s">
        <v>22</v>
      </c>
    </row>
    <row r="644" spans="2:20" ht="28">
      <c r="B644" s="5" t="s">
        <v>1525</v>
      </c>
      <c r="C644" s="45" t="s">
        <v>97</v>
      </c>
      <c r="D644" s="45" t="s">
        <v>1526</v>
      </c>
      <c r="E644" s="6" t="s">
        <v>1527</v>
      </c>
      <c r="F644" s="45" t="s">
        <v>121</v>
      </c>
      <c r="G644" s="46">
        <f t="shared" si="71"/>
        <v>816</v>
      </c>
      <c r="H644" s="46">
        <f>TRUNC(S644*(1-LOTE_02!$K$10),2)</f>
        <v>592.28</v>
      </c>
      <c r="I644" s="46">
        <f>TRUNC(T644*(1-LOTE_02!$K$10),2)</f>
        <v>79.3</v>
      </c>
      <c r="J644" s="100">
        <f t="shared" si="72"/>
        <v>0.22470000000000001</v>
      </c>
      <c r="K644" s="48">
        <f t="shared" si="66"/>
        <v>725.36</v>
      </c>
      <c r="L644" s="48">
        <f t="shared" si="67"/>
        <v>97.11</v>
      </c>
      <c r="M644" s="48">
        <f t="shared" si="68"/>
        <v>591893.76000000001</v>
      </c>
      <c r="N644" s="48">
        <f t="shared" si="69"/>
        <v>79241.759999999995</v>
      </c>
      <c r="O644" s="50">
        <f t="shared" si="70"/>
        <v>671135.52</v>
      </c>
      <c r="P644" s="50">
        <v>0</v>
      </c>
      <c r="Q644" s="76"/>
      <c r="R644" s="139">
        <f>(25*(4+2*2)+2*2)*(S9+S10)</f>
        <v>816</v>
      </c>
      <c r="S644" s="79">
        <v>592.28</v>
      </c>
      <c r="T644" s="80">
        <v>79.3</v>
      </c>
    </row>
    <row r="645" spans="2:20" ht="42">
      <c r="B645" s="5" t="s">
        <v>1528</v>
      </c>
      <c r="C645" s="45" t="s">
        <v>165</v>
      </c>
      <c r="D645" s="45" t="s">
        <v>1529</v>
      </c>
      <c r="E645" s="6" t="s">
        <v>1530</v>
      </c>
      <c r="F645" s="45" t="s">
        <v>168</v>
      </c>
      <c r="G645" s="46">
        <f t="shared" si="71"/>
        <v>844</v>
      </c>
      <c r="H645" s="46">
        <f>TRUNC(S645*(1-LOTE_02!$K$10),2)</f>
        <v>256.83</v>
      </c>
      <c r="I645" s="46">
        <f>TRUNC(T645*(1-LOTE_02!$K$10),2)</f>
        <v>15.94</v>
      </c>
      <c r="J645" s="100">
        <f t="shared" si="72"/>
        <v>0.22470000000000001</v>
      </c>
      <c r="K645" s="48">
        <f t="shared" si="66"/>
        <v>314.52999999999997</v>
      </c>
      <c r="L645" s="48">
        <f t="shared" si="67"/>
        <v>19.52</v>
      </c>
      <c r="M645" s="48">
        <f t="shared" si="68"/>
        <v>265463.32</v>
      </c>
      <c r="N645" s="48">
        <f t="shared" si="69"/>
        <v>16474.88</v>
      </c>
      <c r="O645" s="50">
        <f t="shared" si="70"/>
        <v>281938.2</v>
      </c>
      <c r="P645" s="50">
        <v>0</v>
      </c>
      <c r="Q645" s="76"/>
      <c r="R645" s="139">
        <f>211*(S9+S10)</f>
        <v>844</v>
      </c>
      <c r="S645" s="79">
        <v>256.83</v>
      </c>
      <c r="T645" s="80">
        <v>15.94</v>
      </c>
    </row>
    <row r="646" spans="2:20" ht="28">
      <c r="B646" s="5" t="s">
        <v>1531</v>
      </c>
      <c r="C646" s="45" t="s">
        <v>97</v>
      </c>
      <c r="D646" s="45" t="s">
        <v>1532</v>
      </c>
      <c r="E646" s="6" t="s">
        <v>1533</v>
      </c>
      <c r="F646" s="45" t="s">
        <v>121</v>
      </c>
      <c r="G646" s="46">
        <f t="shared" si="71"/>
        <v>42</v>
      </c>
      <c r="H646" s="46">
        <f>TRUNC(S646*(1-LOTE_02!$K$10),2)</f>
        <v>2125.6999999999998</v>
      </c>
      <c r="I646" s="46">
        <f>TRUNC(T646*(1-LOTE_02!$K$10),2)</f>
        <v>23.79</v>
      </c>
      <c r="J646" s="100">
        <f t="shared" si="72"/>
        <v>0.22470000000000001</v>
      </c>
      <c r="K646" s="48">
        <f t="shared" si="66"/>
        <v>2603.34</v>
      </c>
      <c r="L646" s="48">
        <f t="shared" si="67"/>
        <v>29.13</v>
      </c>
      <c r="M646" s="48">
        <f t="shared" si="68"/>
        <v>109340.28</v>
      </c>
      <c r="N646" s="48">
        <f t="shared" si="69"/>
        <v>1223.46</v>
      </c>
      <c r="O646" s="50">
        <f t="shared" si="70"/>
        <v>110563.74</v>
      </c>
      <c r="P646" s="50">
        <v>0</v>
      </c>
      <c r="Q646" s="76"/>
      <c r="R646" s="139">
        <f>3*3.5*(S9+S10)</f>
        <v>42</v>
      </c>
      <c r="S646" s="79">
        <v>2125.6999999999998</v>
      </c>
      <c r="T646" s="80">
        <v>23.79</v>
      </c>
    </row>
    <row r="647" spans="2:20" ht="56">
      <c r="B647" s="5" t="s">
        <v>1534</v>
      </c>
      <c r="C647" s="45" t="s">
        <v>97</v>
      </c>
      <c r="D647" s="45" t="s">
        <v>1535</v>
      </c>
      <c r="E647" s="6" t="s">
        <v>1536</v>
      </c>
      <c r="F647" s="45" t="s">
        <v>104</v>
      </c>
      <c r="G647" s="46">
        <f t="shared" si="71"/>
        <v>4</v>
      </c>
      <c r="H647" s="46">
        <f>TRUNC(S647*(1-LOTE_02!$K$10),2)</f>
        <v>3323.94</v>
      </c>
      <c r="I647" s="46">
        <f>TRUNC(T647*(1-LOTE_02!$K$10),2)</f>
        <v>39.29</v>
      </c>
      <c r="J647" s="100">
        <f t="shared" si="72"/>
        <v>0.22470000000000001</v>
      </c>
      <c r="K647" s="48">
        <f t="shared" si="66"/>
        <v>4070.82</v>
      </c>
      <c r="L647" s="48">
        <f t="shared" si="67"/>
        <v>48.11</v>
      </c>
      <c r="M647" s="48">
        <f t="shared" si="68"/>
        <v>16283.28</v>
      </c>
      <c r="N647" s="48">
        <f t="shared" si="69"/>
        <v>192.44</v>
      </c>
      <c r="O647" s="50">
        <f t="shared" si="70"/>
        <v>16475.72</v>
      </c>
      <c r="P647" s="50">
        <v>0</v>
      </c>
      <c r="Q647" s="76"/>
      <c r="R647" s="139">
        <f>1*(S9+S10)</f>
        <v>4</v>
      </c>
      <c r="S647" s="79">
        <v>3323.94</v>
      </c>
      <c r="T647" s="80">
        <v>39.29</v>
      </c>
    </row>
    <row r="648" spans="2:20" ht="84">
      <c r="B648" s="5" t="s">
        <v>1537</v>
      </c>
      <c r="C648" s="45" t="s">
        <v>97</v>
      </c>
      <c r="D648" s="45" t="s">
        <v>1477</v>
      </c>
      <c r="E648" s="6" t="s">
        <v>1478</v>
      </c>
      <c r="F648" s="45" t="s">
        <v>121</v>
      </c>
      <c r="G648" s="46">
        <f t="shared" si="71"/>
        <v>60</v>
      </c>
      <c r="H648" s="46">
        <f>TRUNC(S648*(1-LOTE_02!$K$10),2)</f>
        <v>322.48</v>
      </c>
      <c r="I648" s="46">
        <f>TRUNC(T648*(1-LOTE_02!$K$10),2)</f>
        <v>36.6</v>
      </c>
      <c r="J648" s="100">
        <f t="shared" si="72"/>
        <v>0.22470000000000001</v>
      </c>
      <c r="K648" s="48">
        <f t="shared" si="66"/>
        <v>394.94</v>
      </c>
      <c r="L648" s="48">
        <f t="shared" si="67"/>
        <v>44.82</v>
      </c>
      <c r="M648" s="48">
        <f t="shared" si="68"/>
        <v>23696.400000000001</v>
      </c>
      <c r="N648" s="48">
        <f t="shared" si="69"/>
        <v>2689.2</v>
      </c>
      <c r="O648" s="50">
        <f t="shared" si="70"/>
        <v>26385.599999999999</v>
      </c>
      <c r="P648" s="50">
        <v>0</v>
      </c>
      <c r="Q648" s="76"/>
      <c r="R648" s="139">
        <f>5*3*(S9+S10)</f>
        <v>60</v>
      </c>
      <c r="S648" s="79">
        <v>322.48</v>
      </c>
      <c r="T648" s="80">
        <v>36.6</v>
      </c>
    </row>
    <row r="649" spans="2:20" ht="56">
      <c r="B649" s="5" t="s">
        <v>1538</v>
      </c>
      <c r="C649" s="45" t="s">
        <v>97</v>
      </c>
      <c r="D649" s="45" t="s">
        <v>1539</v>
      </c>
      <c r="E649" s="6" t="s">
        <v>1540</v>
      </c>
      <c r="F649" s="45" t="s">
        <v>104</v>
      </c>
      <c r="G649" s="46">
        <f t="shared" si="71"/>
        <v>4</v>
      </c>
      <c r="H649" s="46">
        <f>TRUNC(S649*(1-LOTE_02!$K$10),2)</f>
        <v>5048.6400000000003</v>
      </c>
      <c r="I649" s="46">
        <f>TRUNC(T649*(1-LOTE_02!$K$10),2)</f>
        <v>78.58</v>
      </c>
      <c r="J649" s="100">
        <f t="shared" si="72"/>
        <v>0.22470000000000001</v>
      </c>
      <c r="K649" s="48">
        <f t="shared" si="66"/>
        <v>6183.06</v>
      </c>
      <c r="L649" s="48">
        <f t="shared" si="67"/>
        <v>96.23</v>
      </c>
      <c r="M649" s="48">
        <f t="shared" si="68"/>
        <v>24732.240000000002</v>
      </c>
      <c r="N649" s="48">
        <f t="shared" si="69"/>
        <v>384.92</v>
      </c>
      <c r="O649" s="50">
        <f t="shared" si="70"/>
        <v>25117.16</v>
      </c>
      <c r="P649" s="50">
        <v>0</v>
      </c>
      <c r="Q649" s="76"/>
      <c r="R649" s="139">
        <f>1*(S9+S10)</f>
        <v>4</v>
      </c>
      <c r="S649" s="79">
        <v>5048.6400000000003</v>
      </c>
      <c r="T649" s="80">
        <v>78.58</v>
      </c>
    </row>
    <row r="650" spans="2:20" ht="42">
      <c r="B650" s="5" t="s">
        <v>1541</v>
      </c>
      <c r="C650" s="45" t="s">
        <v>97</v>
      </c>
      <c r="D650" s="45" t="s">
        <v>1542</v>
      </c>
      <c r="E650" s="6" t="s">
        <v>1543</v>
      </c>
      <c r="F650" s="45" t="s">
        <v>121</v>
      </c>
      <c r="G650" s="46">
        <f t="shared" si="71"/>
        <v>16</v>
      </c>
      <c r="H650" s="46">
        <f>TRUNC(S650*(1-LOTE_02!$K$10),2)</f>
        <v>1642.28</v>
      </c>
      <c r="I650" s="46">
        <f>TRUNC(T650*(1-LOTE_02!$K$10),2)</f>
        <v>11.39</v>
      </c>
      <c r="J650" s="100">
        <f t="shared" si="72"/>
        <v>0.22470000000000001</v>
      </c>
      <c r="K650" s="48">
        <f t="shared" si="66"/>
        <v>2011.3</v>
      </c>
      <c r="L650" s="48">
        <f t="shared" si="67"/>
        <v>13.94</v>
      </c>
      <c r="M650" s="48">
        <f t="shared" si="68"/>
        <v>32180.799999999999</v>
      </c>
      <c r="N650" s="48">
        <f t="shared" si="69"/>
        <v>223.04</v>
      </c>
      <c r="O650" s="50">
        <f t="shared" si="70"/>
        <v>32403.84</v>
      </c>
      <c r="P650" s="50">
        <v>0</v>
      </c>
      <c r="Q650" s="76"/>
      <c r="R650" s="139">
        <f>(2+2)*(S9+S10)</f>
        <v>16</v>
      </c>
      <c r="S650" s="79">
        <v>1642.28</v>
      </c>
      <c r="T650" s="80">
        <v>11.39</v>
      </c>
    </row>
    <row r="651" spans="2:20" ht="70">
      <c r="B651" s="5" t="s">
        <v>1544</v>
      </c>
      <c r="C651" s="45" t="s">
        <v>97</v>
      </c>
      <c r="D651" s="45" t="s">
        <v>1545</v>
      </c>
      <c r="E651" s="6" t="s">
        <v>1546</v>
      </c>
      <c r="F651" s="45" t="s">
        <v>104</v>
      </c>
      <c r="G651" s="46">
        <f t="shared" si="71"/>
        <v>28</v>
      </c>
      <c r="H651" s="46">
        <f>TRUNC(S651*(1-LOTE_02!$K$10),2)</f>
        <v>792.37</v>
      </c>
      <c r="I651" s="46">
        <f>TRUNC(T651*(1-LOTE_02!$K$10),2)</f>
        <v>4.55</v>
      </c>
      <c r="J651" s="100">
        <f t="shared" si="72"/>
        <v>0.22470000000000001</v>
      </c>
      <c r="K651" s="48">
        <f t="shared" si="66"/>
        <v>970.41</v>
      </c>
      <c r="L651" s="48">
        <f t="shared" si="67"/>
        <v>5.57</v>
      </c>
      <c r="M651" s="48">
        <f t="shared" si="68"/>
        <v>27171.48</v>
      </c>
      <c r="N651" s="48">
        <f t="shared" si="69"/>
        <v>155.96</v>
      </c>
      <c r="O651" s="50">
        <f t="shared" si="70"/>
        <v>27327.439999999999</v>
      </c>
      <c r="P651" s="50">
        <v>0</v>
      </c>
      <c r="Q651" s="76"/>
      <c r="R651" s="139">
        <f>7*(S9+S10)</f>
        <v>28</v>
      </c>
      <c r="S651" s="79">
        <v>792.37</v>
      </c>
      <c r="T651" s="80">
        <v>4.55</v>
      </c>
    </row>
    <row r="652" spans="2:20" ht="70">
      <c r="B652" s="5" t="s">
        <v>1547</v>
      </c>
      <c r="C652" s="45" t="s">
        <v>97</v>
      </c>
      <c r="D652" s="45" t="s">
        <v>1548</v>
      </c>
      <c r="E652" s="6" t="s">
        <v>1549</v>
      </c>
      <c r="F652" s="45" t="s">
        <v>104</v>
      </c>
      <c r="G652" s="46">
        <f t="shared" si="71"/>
        <v>4</v>
      </c>
      <c r="H652" s="46">
        <f>TRUNC(S652*(1-LOTE_02!$K$10),2)</f>
        <v>1864.29</v>
      </c>
      <c r="I652" s="46">
        <f>TRUNC(T652*(1-LOTE_02!$K$10),2)</f>
        <v>4.55</v>
      </c>
      <c r="J652" s="100">
        <f t="shared" si="72"/>
        <v>0.22470000000000001</v>
      </c>
      <c r="K652" s="48">
        <f t="shared" si="66"/>
        <v>2283.19</v>
      </c>
      <c r="L652" s="48">
        <f t="shared" si="67"/>
        <v>5.57</v>
      </c>
      <c r="M652" s="48">
        <f t="shared" si="68"/>
        <v>9132.76</v>
      </c>
      <c r="N652" s="48">
        <f t="shared" si="69"/>
        <v>22.28</v>
      </c>
      <c r="O652" s="50">
        <f t="shared" si="70"/>
        <v>9155.0400000000009</v>
      </c>
      <c r="P652" s="50">
        <v>0</v>
      </c>
      <c r="Q652" s="76"/>
      <c r="R652" s="139">
        <f>1*(S9+S10)</f>
        <v>4</v>
      </c>
      <c r="S652" s="79">
        <v>1864.29</v>
      </c>
      <c r="T652" s="80">
        <v>4.55</v>
      </c>
    </row>
    <row r="653" spans="2:20" ht="70">
      <c r="B653" s="5" t="s">
        <v>1550</v>
      </c>
      <c r="C653" s="45" t="s">
        <v>97</v>
      </c>
      <c r="D653" s="45" t="s">
        <v>1551</v>
      </c>
      <c r="E653" s="6" t="s">
        <v>1552</v>
      </c>
      <c r="F653" s="45" t="s">
        <v>104</v>
      </c>
      <c r="G653" s="46">
        <f t="shared" si="71"/>
        <v>16</v>
      </c>
      <c r="H653" s="46">
        <f>TRUNC(S653*(1-LOTE_02!$K$10),2)</f>
        <v>781.98</v>
      </c>
      <c r="I653" s="46">
        <f>TRUNC(T653*(1-LOTE_02!$K$10),2)</f>
        <v>4.2300000000000004</v>
      </c>
      <c r="J653" s="100">
        <f t="shared" si="72"/>
        <v>0.22470000000000001</v>
      </c>
      <c r="K653" s="48">
        <f t="shared" si="66"/>
        <v>957.69</v>
      </c>
      <c r="L653" s="48">
        <f t="shared" si="67"/>
        <v>5.18</v>
      </c>
      <c r="M653" s="48">
        <f t="shared" si="68"/>
        <v>15323.04</v>
      </c>
      <c r="N653" s="48">
        <f t="shared" si="69"/>
        <v>82.88</v>
      </c>
      <c r="O653" s="50">
        <f t="shared" si="70"/>
        <v>15405.92</v>
      </c>
      <c r="P653" s="50">
        <v>0</v>
      </c>
      <c r="Q653" s="76"/>
      <c r="R653" s="139">
        <f>4*(S9+S10)</f>
        <v>16</v>
      </c>
      <c r="S653" s="79">
        <v>781.98</v>
      </c>
      <c r="T653" s="80">
        <v>4.2300000000000004</v>
      </c>
    </row>
    <row r="654" spans="2:20" ht="56">
      <c r="B654" s="5" t="s">
        <v>1553</v>
      </c>
      <c r="C654" s="45" t="s">
        <v>97</v>
      </c>
      <c r="D654" s="45" t="s">
        <v>1554</v>
      </c>
      <c r="E654" s="6" t="s">
        <v>1555</v>
      </c>
      <c r="F654" s="45" t="s">
        <v>104</v>
      </c>
      <c r="G654" s="46">
        <f t="shared" si="71"/>
        <v>20</v>
      </c>
      <c r="H654" s="46">
        <f>TRUNC(S654*(1-LOTE_02!$K$10),2)</f>
        <v>562.46</v>
      </c>
      <c r="I654" s="46">
        <f>TRUNC(T654*(1-LOTE_02!$K$10),2)</f>
        <v>4.55</v>
      </c>
      <c r="J654" s="100">
        <f t="shared" si="72"/>
        <v>0.22470000000000001</v>
      </c>
      <c r="K654" s="48">
        <f t="shared" si="66"/>
        <v>688.84</v>
      </c>
      <c r="L654" s="48">
        <f t="shared" si="67"/>
        <v>5.57</v>
      </c>
      <c r="M654" s="48">
        <f t="shared" si="68"/>
        <v>13776.8</v>
      </c>
      <c r="N654" s="48">
        <f t="shared" si="69"/>
        <v>111.4</v>
      </c>
      <c r="O654" s="50">
        <f t="shared" si="70"/>
        <v>13888.2</v>
      </c>
      <c r="P654" s="50">
        <v>0</v>
      </c>
      <c r="Q654" s="76"/>
      <c r="R654" s="139">
        <f>5*(S9+S10)</f>
        <v>20</v>
      </c>
      <c r="S654" s="79">
        <v>562.46</v>
      </c>
      <c r="T654" s="80">
        <v>4.55</v>
      </c>
    </row>
    <row r="655" spans="2:20" ht="70">
      <c r="B655" s="5" t="s">
        <v>1556</v>
      </c>
      <c r="C655" s="45" t="s">
        <v>97</v>
      </c>
      <c r="D655" s="45" t="s">
        <v>1557</v>
      </c>
      <c r="E655" s="6" t="s">
        <v>1558</v>
      </c>
      <c r="F655" s="45" t="s">
        <v>104</v>
      </c>
      <c r="G655" s="46">
        <f t="shared" si="71"/>
        <v>4</v>
      </c>
      <c r="H655" s="46">
        <f>TRUNC(S655*(1-LOTE_02!$K$10),2)</f>
        <v>2925.96</v>
      </c>
      <c r="I655" s="46">
        <f>TRUNC(T655*(1-LOTE_02!$K$10),2)</f>
        <v>4.55</v>
      </c>
      <c r="J655" s="100">
        <f t="shared" si="72"/>
        <v>0.22470000000000001</v>
      </c>
      <c r="K655" s="48">
        <f t="shared" si="66"/>
        <v>3583.42</v>
      </c>
      <c r="L655" s="48">
        <f t="shared" si="67"/>
        <v>5.57</v>
      </c>
      <c r="M655" s="48">
        <f t="shared" si="68"/>
        <v>14333.68</v>
      </c>
      <c r="N655" s="48">
        <f t="shared" si="69"/>
        <v>22.28</v>
      </c>
      <c r="O655" s="50">
        <f t="shared" si="70"/>
        <v>14355.96</v>
      </c>
      <c r="P655" s="50">
        <v>0</v>
      </c>
      <c r="Q655" s="76"/>
      <c r="R655" s="139">
        <f>1*(S9+S10)</f>
        <v>4</v>
      </c>
      <c r="S655" s="79">
        <v>2925.96</v>
      </c>
      <c r="T655" s="80">
        <v>4.55</v>
      </c>
    </row>
    <row r="656" spans="2:20" ht="56">
      <c r="B656" s="5" t="s">
        <v>1559</v>
      </c>
      <c r="C656" s="45" t="s">
        <v>97</v>
      </c>
      <c r="D656" s="45" t="s">
        <v>1560</v>
      </c>
      <c r="E656" s="6" t="s">
        <v>1561</v>
      </c>
      <c r="F656" s="45" t="s">
        <v>104</v>
      </c>
      <c r="G656" s="46">
        <f t="shared" si="71"/>
        <v>4</v>
      </c>
      <c r="H656" s="46">
        <f>TRUNC(S656*(1-LOTE_02!$K$10),2)</f>
        <v>1032.21</v>
      </c>
      <c r="I656" s="46">
        <f>TRUNC(T656*(1-LOTE_02!$K$10),2)</f>
        <v>4.55</v>
      </c>
      <c r="J656" s="100">
        <f t="shared" si="72"/>
        <v>0.22470000000000001</v>
      </c>
      <c r="K656" s="48">
        <f t="shared" ref="K656:K719" si="73">TRUNC(H656*(1+J656),2)</f>
        <v>1264.1400000000001</v>
      </c>
      <c r="L656" s="48">
        <f t="shared" ref="L656:L719" si="74">TRUNC(I656*(1+J656),2)</f>
        <v>5.57</v>
      </c>
      <c r="M656" s="48">
        <f t="shared" ref="M656:M719" si="75">TRUNC(K656*G656,2)</f>
        <v>5056.5600000000004</v>
      </c>
      <c r="N656" s="48">
        <f t="shared" ref="N656:N719" si="76">TRUNC(L656*G656,2)</f>
        <v>22.28</v>
      </c>
      <c r="O656" s="50">
        <f t="shared" ref="O656:O719" si="77">TRUNC(M656+N656,2)</f>
        <v>5078.84</v>
      </c>
      <c r="P656" s="50">
        <v>0</v>
      </c>
      <c r="Q656" s="76"/>
      <c r="R656" s="139">
        <f>1*(S9+S10)</f>
        <v>4</v>
      </c>
      <c r="S656" s="79">
        <v>1032.21</v>
      </c>
      <c r="T656" s="80">
        <v>4.55</v>
      </c>
    </row>
    <row r="657" spans="2:20" ht="56">
      <c r="B657" s="5" t="s">
        <v>1562</v>
      </c>
      <c r="C657" s="45" t="s">
        <v>97</v>
      </c>
      <c r="D657" s="45" t="s">
        <v>1563</v>
      </c>
      <c r="E657" s="6" t="s">
        <v>1564</v>
      </c>
      <c r="F657" s="45" t="s">
        <v>104</v>
      </c>
      <c r="G657" s="46">
        <f t="shared" si="71"/>
        <v>4</v>
      </c>
      <c r="H657" s="46">
        <f>TRUNC(S657*(1-LOTE_02!$K$10),2)</f>
        <v>690.58</v>
      </c>
      <c r="I657" s="46">
        <f>TRUNC(T657*(1-LOTE_02!$K$10),2)</f>
        <v>4.55</v>
      </c>
      <c r="J657" s="100">
        <f t="shared" si="72"/>
        <v>0.22470000000000001</v>
      </c>
      <c r="K657" s="48">
        <f t="shared" si="73"/>
        <v>845.75</v>
      </c>
      <c r="L657" s="48">
        <f t="shared" si="74"/>
        <v>5.57</v>
      </c>
      <c r="M657" s="48">
        <f t="shared" si="75"/>
        <v>3383</v>
      </c>
      <c r="N657" s="48">
        <f t="shared" si="76"/>
        <v>22.28</v>
      </c>
      <c r="O657" s="50">
        <f t="shared" si="77"/>
        <v>3405.28</v>
      </c>
      <c r="P657" s="50">
        <v>0</v>
      </c>
      <c r="Q657" s="76"/>
      <c r="R657" s="139">
        <f>1*(S9+S10)</f>
        <v>4</v>
      </c>
      <c r="S657" s="79">
        <v>690.58</v>
      </c>
      <c r="T657" s="80">
        <v>4.55</v>
      </c>
    </row>
    <row r="658" spans="2:20" ht="56">
      <c r="B658" s="5" t="s">
        <v>1565</v>
      </c>
      <c r="C658" s="45" t="s">
        <v>97</v>
      </c>
      <c r="D658" s="45" t="s">
        <v>1566</v>
      </c>
      <c r="E658" s="6" t="s">
        <v>1567</v>
      </c>
      <c r="F658" s="45" t="s">
        <v>104</v>
      </c>
      <c r="G658" s="46">
        <f t="shared" ref="G658:G721" si="78">TRUNC(R658,2)</f>
        <v>12</v>
      </c>
      <c r="H658" s="46">
        <f>TRUNC(S658*(1-LOTE_02!$K$10),2)</f>
        <v>974.8</v>
      </c>
      <c r="I658" s="46">
        <f>TRUNC(T658*(1-LOTE_02!$K$10),2)</f>
        <v>6.35</v>
      </c>
      <c r="J658" s="100">
        <f t="shared" ref="J658:J721" si="79">$J$4</f>
        <v>0.22470000000000001</v>
      </c>
      <c r="K658" s="48">
        <f t="shared" si="73"/>
        <v>1193.83</v>
      </c>
      <c r="L658" s="48">
        <f t="shared" si="74"/>
        <v>7.77</v>
      </c>
      <c r="M658" s="48">
        <f t="shared" si="75"/>
        <v>14325.96</v>
      </c>
      <c r="N658" s="48">
        <f t="shared" si="76"/>
        <v>93.24</v>
      </c>
      <c r="O658" s="50">
        <f t="shared" si="77"/>
        <v>14419.2</v>
      </c>
      <c r="P658" s="50">
        <v>0</v>
      </c>
      <c r="Q658" s="76"/>
      <c r="R658" s="139">
        <f>3*(S9+S10)</f>
        <v>12</v>
      </c>
      <c r="S658" s="79">
        <v>974.8</v>
      </c>
      <c r="T658" s="80">
        <v>6.35</v>
      </c>
    </row>
    <row r="659" spans="2:20" ht="56">
      <c r="B659" s="5" t="s">
        <v>1568</v>
      </c>
      <c r="C659" s="45" t="s">
        <v>97</v>
      </c>
      <c r="D659" s="45" t="s">
        <v>1569</v>
      </c>
      <c r="E659" s="6" t="s">
        <v>1570</v>
      </c>
      <c r="F659" s="45" t="s">
        <v>104</v>
      </c>
      <c r="G659" s="46">
        <f t="shared" si="78"/>
        <v>4</v>
      </c>
      <c r="H659" s="46">
        <f>TRUNC(S659*(1-LOTE_02!$K$10),2)</f>
        <v>153.30000000000001</v>
      </c>
      <c r="I659" s="46">
        <f>TRUNC(T659*(1-LOTE_02!$K$10),2)</f>
        <v>4.55</v>
      </c>
      <c r="J659" s="100">
        <f t="shared" si="79"/>
        <v>0.22470000000000001</v>
      </c>
      <c r="K659" s="48">
        <f t="shared" si="73"/>
        <v>187.74</v>
      </c>
      <c r="L659" s="48">
        <f t="shared" si="74"/>
        <v>5.57</v>
      </c>
      <c r="M659" s="48">
        <f t="shared" si="75"/>
        <v>750.96</v>
      </c>
      <c r="N659" s="48">
        <f t="shared" si="76"/>
        <v>22.28</v>
      </c>
      <c r="O659" s="50">
        <f t="shared" si="77"/>
        <v>773.24</v>
      </c>
      <c r="P659" s="50">
        <v>0</v>
      </c>
      <c r="Q659" s="76"/>
      <c r="R659" s="139">
        <f>1*(S9+S10)</f>
        <v>4</v>
      </c>
      <c r="S659" s="79">
        <v>153.30000000000001</v>
      </c>
      <c r="T659" s="80">
        <v>4.55</v>
      </c>
    </row>
    <row r="660" spans="2:20" ht="56">
      <c r="B660" s="5" t="s">
        <v>1571</v>
      </c>
      <c r="C660" s="45" t="s">
        <v>97</v>
      </c>
      <c r="D660" s="45" t="s">
        <v>1572</v>
      </c>
      <c r="E660" s="6" t="s">
        <v>1573</v>
      </c>
      <c r="F660" s="45" t="s">
        <v>104</v>
      </c>
      <c r="G660" s="46">
        <f t="shared" si="78"/>
        <v>16</v>
      </c>
      <c r="H660" s="46">
        <f>TRUNC(S660*(1-LOTE_02!$K$10),2)</f>
        <v>59.46</v>
      </c>
      <c r="I660" s="46">
        <f>TRUNC(T660*(1-LOTE_02!$K$10),2)</f>
        <v>4.55</v>
      </c>
      <c r="J660" s="100">
        <f t="shared" si="79"/>
        <v>0.22470000000000001</v>
      </c>
      <c r="K660" s="48">
        <f t="shared" si="73"/>
        <v>72.819999999999993</v>
      </c>
      <c r="L660" s="48">
        <f t="shared" si="74"/>
        <v>5.57</v>
      </c>
      <c r="M660" s="48">
        <f t="shared" si="75"/>
        <v>1165.1199999999999</v>
      </c>
      <c r="N660" s="48">
        <f t="shared" si="76"/>
        <v>89.12</v>
      </c>
      <c r="O660" s="50">
        <f t="shared" si="77"/>
        <v>1254.24</v>
      </c>
      <c r="P660" s="50">
        <v>0</v>
      </c>
      <c r="Q660" s="76"/>
      <c r="R660" s="139">
        <f>4*(S9+S10)</f>
        <v>16</v>
      </c>
      <c r="S660" s="79">
        <v>59.46</v>
      </c>
      <c r="T660" s="80">
        <v>4.55</v>
      </c>
    </row>
    <row r="661" spans="2:20" ht="42">
      <c r="B661" s="5" t="s">
        <v>1574</v>
      </c>
      <c r="C661" s="45" t="s">
        <v>97</v>
      </c>
      <c r="D661" s="45" t="s">
        <v>1575</v>
      </c>
      <c r="E661" s="6" t="s">
        <v>1576</v>
      </c>
      <c r="F661" s="45" t="s">
        <v>121</v>
      </c>
      <c r="G661" s="46">
        <f t="shared" si="78"/>
        <v>4</v>
      </c>
      <c r="H661" s="46">
        <f>TRUNC(S661*(1-LOTE_02!$K$10),2)</f>
        <v>2678.91</v>
      </c>
      <c r="I661" s="46">
        <f>TRUNC(T661*(1-LOTE_02!$K$10),2)</f>
        <v>19.64</v>
      </c>
      <c r="J661" s="100">
        <f t="shared" si="79"/>
        <v>0.22470000000000001</v>
      </c>
      <c r="K661" s="48">
        <f t="shared" si="73"/>
        <v>3280.86</v>
      </c>
      <c r="L661" s="48">
        <f t="shared" si="74"/>
        <v>24.05</v>
      </c>
      <c r="M661" s="48">
        <f t="shared" si="75"/>
        <v>13123.44</v>
      </c>
      <c r="N661" s="48">
        <f t="shared" si="76"/>
        <v>96.2</v>
      </c>
      <c r="O661" s="50">
        <f t="shared" si="77"/>
        <v>13219.64</v>
      </c>
      <c r="P661" s="50">
        <v>0</v>
      </c>
      <c r="Q661" s="76"/>
      <c r="R661" s="139">
        <f>1*(S9+S10)</f>
        <v>4</v>
      </c>
      <c r="S661" s="79">
        <v>2678.91</v>
      </c>
      <c r="T661" s="80">
        <v>19.64</v>
      </c>
    </row>
    <row r="662" spans="2:20" ht="56">
      <c r="B662" s="5" t="s">
        <v>1577</v>
      </c>
      <c r="C662" s="45" t="s">
        <v>97</v>
      </c>
      <c r="D662" s="45" t="s">
        <v>1578</v>
      </c>
      <c r="E662" s="6" t="s">
        <v>1579</v>
      </c>
      <c r="F662" s="45" t="s">
        <v>121</v>
      </c>
      <c r="G662" s="46">
        <f t="shared" si="78"/>
        <v>4</v>
      </c>
      <c r="H662" s="46">
        <f>TRUNC(S662*(1-LOTE_02!$K$10),2)</f>
        <v>1215.97</v>
      </c>
      <c r="I662" s="46">
        <f>TRUNC(T662*(1-LOTE_02!$K$10),2)</f>
        <v>39.29</v>
      </c>
      <c r="J662" s="100">
        <f t="shared" si="79"/>
        <v>0.22470000000000001</v>
      </c>
      <c r="K662" s="48">
        <f t="shared" si="73"/>
        <v>1489.19</v>
      </c>
      <c r="L662" s="48">
        <f t="shared" si="74"/>
        <v>48.11</v>
      </c>
      <c r="M662" s="48">
        <f t="shared" si="75"/>
        <v>5956.76</v>
      </c>
      <c r="N662" s="48">
        <f t="shared" si="76"/>
        <v>192.44</v>
      </c>
      <c r="O662" s="50">
        <f t="shared" si="77"/>
        <v>6149.2</v>
      </c>
      <c r="P662" s="50">
        <v>0</v>
      </c>
      <c r="Q662" s="76"/>
      <c r="R662" s="139">
        <f>1*(S9+S10)</f>
        <v>4</v>
      </c>
      <c r="S662" s="79">
        <v>1215.97</v>
      </c>
      <c r="T662" s="80">
        <v>39.29</v>
      </c>
    </row>
    <row r="663" spans="2:20" ht="56">
      <c r="B663" s="5" t="s">
        <v>1580</v>
      </c>
      <c r="C663" s="45" t="s">
        <v>97</v>
      </c>
      <c r="D663" s="45" t="s">
        <v>1581</v>
      </c>
      <c r="E663" s="6" t="s">
        <v>1582</v>
      </c>
      <c r="F663" s="45" t="s">
        <v>104</v>
      </c>
      <c r="G663" s="46">
        <f t="shared" si="78"/>
        <v>4</v>
      </c>
      <c r="H663" s="46">
        <f>TRUNC(S663*(1-LOTE_02!$K$10),2)</f>
        <v>3497.8</v>
      </c>
      <c r="I663" s="46">
        <f>TRUNC(T663*(1-LOTE_02!$K$10),2)</f>
        <v>19.64</v>
      </c>
      <c r="J663" s="100">
        <f t="shared" si="79"/>
        <v>0.22470000000000001</v>
      </c>
      <c r="K663" s="48">
        <f t="shared" si="73"/>
        <v>4283.75</v>
      </c>
      <c r="L663" s="48">
        <f t="shared" si="74"/>
        <v>24.05</v>
      </c>
      <c r="M663" s="48">
        <f t="shared" si="75"/>
        <v>17135</v>
      </c>
      <c r="N663" s="48">
        <f t="shared" si="76"/>
        <v>96.2</v>
      </c>
      <c r="O663" s="50">
        <f t="shared" si="77"/>
        <v>17231.2</v>
      </c>
      <c r="P663" s="50">
        <v>0</v>
      </c>
      <c r="Q663" s="76"/>
      <c r="R663" s="139">
        <f>S9+S10</f>
        <v>4</v>
      </c>
      <c r="S663" s="79">
        <v>3497.8</v>
      </c>
      <c r="T663" s="80">
        <v>19.64</v>
      </c>
    </row>
    <row r="664" spans="2:20">
      <c r="B664" s="101" t="s">
        <v>1583</v>
      </c>
      <c r="C664" s="102" t="s">
        <v>21</v>
      </c>
      <c r="D664" s="102" t="s">
        <v>21</v>
      </c>
      <c r="E664" s="103" t="s">
        <v>1584</v>
      </c>
      <c r="F664" s="102" t="s">
        <v>21</v>
      </c>
      <c r="G664" s="46">
        <f t="shared" si="78"/>
        <v>0</v>
      </c>
      <c r="H664" s="46"/>
      <c r="I664" s="46"/>
      <c r="J664" s="105"/>
      <c r="K664" s="48">
        <f t="shared" si="73"/>
        <v>0</v>
      </c>
      <c r="L664" s="48">
        <f t="shared" si="74"/>
        <v>0</v>
      </c>
      <c r="M664" s="48">
        <f t="shared" si="75"/>
        <v>0</v>
      </c>
      <c r="N664" s="48">
        <f t="shared" si="76"/>
        <v>0</v>
      </c>
      <c r="O664" s="50">
        <f t="shared" si="77"/>
        <v>0</v>
      </c>
      <c r="P664" s="50">
        <v>0</v>
      </c>
      <c r="Q664" s="76"/>
      <c r="R664" s="154"/>
      <c r="S664" s="79" t="s">
        <v>22</v>
      </c>
      <c r="T664" s="80" t="s">
        <v>22</v>
      </c>
    </row>
    <row r="665" spans="2:20" ht="42">
      <c r="B665" s="5" t="s">
        <v>1585</v>
      </c>
      <c r="C665" s="45" t="s">
        <v>135</v>
      </c>
      <c r="D665" s="45">
        <v>102181</v>
      </c>
      <c r="E665" s="6" t="s">
        <v>1773</v>
      </c>
      <c r="F665" s="45" t="s">
        <v>121</v>
      </c>
      <c r="G665" s="46">
        <f t="shared" si="78"/>
        <v>60</v>
      </c>
      <c r="H665" s="46">
        <f>TRUNC(S665*(1-LOTE_02!$K$10),2)</f>
        <v>626.45000000000005</v>
      </c>
      <c r="I665" s="46">
        <f>TRUNC(T665*(1-LOTE_02!$K$10),2)</f>
        <v>48.89</v>
      </c>
      <c r="J665" s="100">
        <f t="shared" si="79"/>
        <v>0.22470000000000001</v>
      </c>
      <c r="K665" s="48">
        <f t="shared" si="73"/>
        <v>767.21</v>
      </c>
      <c r="L665" s="48">
        <f t="shared" si="74"/>
        <v>59.87</v>
      </c>
      <c r="M665" s="48">
        <f t="shared" si="75"/>
        <v>46032.6</v>
      </c>
      <c r="N665" s="48">
        <f t="shared" si="76"/>
        <v>3592.2</v>
      </c>
      <c r="O665" s="50">
        <f t="shared" si="77"/>
        <v>49624.800000000003</v>
      </c>
      <c r="P665" s="50">
        <v>0</v>
      </c>
      <c r="Q665" s="76"/>
      <c r="R665" s="139">
        <f>5*3*(S9+S10)</f>
        <v>60</v>
      </c>
      <c r="S665" s="79">
        <v>626.45000000000005</v>
      </c>
      <c r="T665" s="80">
        <v>48.89</v>
      </c>
    </row>
    <row r="666" spans="2:20" ht="56">
      <c r="B666" s="5" t="s">
        <v>1586</v>
      </c>
      <c r="C666" s="45" t="s">
        <v>135</v>
      </c>
      <c r="D666" s="45">
        <v>102184</v>
      </c>
      <c r="E666" s="6" t="s">
        <v>1787</v>
      </c>
      <c r="F666" s="45" t="s">
        <v>210</v>
      </c>
      <c r="G666" s="46">
        <f t="shared" si="78"/>
        <v>4</v>
      </c>
      <c r="H666" s="46">
        <f>TRUNC(S666*(1-LOTE_02!$K$10),2)</f>
        <v>2382.88</v>
      </c>
      <c r="I666" s="46">
        <f>TRUNC(T666*(1-LOTE_02!$K$10),2)</f>
        <v>112.28</v>
      </c>
      <c r="J666" s="100">
        <f t="shared" si="79"/>
        <v>0.22470000000000001</v>
      </c>
      <c r="K666" s="48">
        <f t="shared" si="73"/>
        <v>2918.31</v>
      </c>
      <c r="L666" s="48">
        <f t="shared" si="74"/>
        <v>137.5</v>
      </c>
      <c r="M666" s="48">
        <f t="shared" si="75"/>
        <v>11673.24</v>
      </c>
      <c r="N666" s="48">
        <f t="shared" si="76"/>
        <v>550</v>
      </c>
      <c r="O666" s="50">
        <f t="shared" si="77"/>
        <v>12223.24</v>
      </c>
      <c r="P666" s="50">
        <v>0</v>
      </c>
      <c r="Q666" s="76"/>
      <c r="R666" s="139">
        <f>1*(S9+S10)</f>
        <v>4</v>
      </c>
      <c r="S666" s="79">
        <v>2382.8799999999997</v>
      </c>
      <c r="T666" s="80">
        <v>112.28</v>
      </c>
    </row>
    <row r="667" spans="2:20" ht="70">
      <c r="B667" s="5" t="s">
        <v>1587</v>
      </c>
      <c r="C667" s="45" t="s">
        <v>135</v>
      </c>
      <c r="D667" s="45">
        <v>96366</v>
      </c>
      <c r="E667" s="6" t="s">
        <v>1588</v>
      </c>
      <c r="F667" s="45" t="s">
        <v>121</v>
      </c>
      <c r="G667" s="46">
        <f t="shared" si="78"/>
        <v>60</v>
      </c>
      <c r="H667" s="46">
        <f>TRUNC(S667*(1-LOTE_02!$K$10),2)</f>
        <v>142.47999999999999</v>
      </c>
      <c r="I667" s="46">
        <f>TRUNC(T667*(1-LOTE_02!$K$10),2)</f>
        <v>17.48</v>
      </c>
      <c r="J667" s="100">
        <f t="shared" si="79"/>
        <v>0.22470000000000001</v>
      </c>
      <c r="K667" s="48">
        <f t="shared" si="73"/>
        <v>174.49</v>
      </c>
      <c r="L667" s="48">
        <f t="shared" si="74"/>
        <v>21.4</v>
      </c>
      <c r="M667" s="48">
        <f t="shared" si="75"/>
        <v>10469.4</v>
      </c>
      <c r="N667" s="48">
        <f t="shared" si="76"/>
        <v>1284</v>
      </c>
      <c r="O667" s="50">
        <f t="shared" si="77"/>
        <v>11753.4</v>
      </c>
      <c r="P667" s="50">
        <v>0</v>
      </c>
      <c r="Q667" s="76"/>
      <c r="R667" s="139">
        <f>5*3*(S9+S10)</f>
        <v>60</v>
      </c>
      <c r="S667" s="79">
        <v>142.48000000000002</v>
      </c>
      <c r="T667" s="80">
        <v>17.48</v>
      </c>
    </row>
    <row r="668" spans="2:20" ht="84">
      <c r="B668" s="5" t="s">
        <v>1589</v>
      </c>
      <c r="C668" s="45" t="s">
        <v>97</v>
      </c>
      <c r="D668" s="45" t="s">
        <v>1477</v>
      </c>
      <c r="E668" s="6" t="s">
        <v>1478</v>
      </c>
      <c r="F668" s="45" t="s">
        <v>121</v>
      </c>
      <c r="G668" s="46">
        <f t="shared" si="78"/>
        <v>70</v>
      </c>
      <c r="H668" s="46">
        <f>TRUNC(S668*(1-LOTE_02!$K$10),2)</f>
        <v>322.48</v>
      </c>
      <c r="I668" s="46">
        <f>TRUNC(T668*(1-LOTE_02!$K$10),2)</f>
        <v>36.6</v>
      </c>
      <c r="J668" s="100">
        <f t="shared" si="79"/>
        <v>0.22470000000000001</v>
      </c>
      <c r="K668" s="48">
        <f t="shared" si="73"/>
        <v>394.94</v>
      </c>
      <c r="L668" s="48">
        <f t="shared" si="74"/>
        <v>44.82</v>
      </c>
      <c r="M668" s="48">
        <f t="shared" si="75"/>
        <v>27645.8</v>
      </c>
      <c r="N668" s="48">
        <f t="shared" si="76"/>
        <v>3137.4</v>
      </c>
      <c r="O668" s="50">
        <f t="shared" si="77"/>
        <v>30783.200000000001</v>
      </c>
      <c r="P668" s="50">
        <v>0</v>
      </c>
      <c r="Q668" s="76"/>
      <c r="R668" s="139">
        <f>5*3.5*(S9+S10)</f>
        <v>70</v>
      </c>
      <c r="S668" s="79">
        <v>322.48</v>
      </c>
      <c r="T668" s="80">
        <v>36.6</v>
      </c>
    </row>
    <row r="669" spans="2:20" ht="84">
      <c r="B669" s="5" t="s">
        <v>1590</v>
      </c>
      <c r="C669" s="45" t="s">
        <v>97</v>
      </c>
      <c r="D669" s="45" t="s">
        <v>1591</v>
      </c>
      <c r="E669" s="6" t="s">
        <v>1592</v>
      </c>
      <c r="F669" s="45" t="s">
        <v>104</v>
      </c>
      <c r="G669" s="46">
        <f t="shared" si="78"/>
        <v>4</v>
      </c>
      <c r="H669" s="46">
        <f>TRUNC(S669*(1-LOTE_02!$K$10),2)</f>
        <v>461.74</v>
      </c>
      <c r="I669" s="46">
        <f>TRUNC(T669*(1-LOTE_02!$K$10),2)</f>
        <v>4.2300000000000004</v>
      </c>
      <c r="J669" s="100">
        <f t="shared" si="79"/>
        <v>0.22470000000000001</v>
      </c>
      <c r="K669" s="48">
        <f t="shared" si="73"/>
        <v>565.49</v>
      </c>
      <c r="L669" s="48">
        <f t="shared" si="74"/>
        <v>5.18</v>
      </c>
      <c r="M669" s="48">
        <f t="shared" si="75"/>
        <v>2261.96</v>
      </c>
      <c r="N669" s="48">
        <f t="shared" si="76"/>
        <v>20.72</v>
      </c>
      <c r="O669" s="50">
        <f t="shared" si="77"/>
        <v>2282.6799999999998</v>
      </c>
      <c r="P669" s="50">
        <v>0</v>
      </c>
      <c r="Q669" s="76"/>
      <c r="R669" s="139">
        <f>1*(S9+S10)</f>
        <v>4</v>
      </c>
      <c r="S669" s="79">
        <v>461.74</v>
      </c>
      <c r="T669" s="80">
        <v>4.2300000000000004</v>
      </c>
    </row>
    <row r="670" spans="2:20" ht="56">
      <c r="B670" s="5" t="s">
        <v>1593</v>
      </c>
      <c r="C670" s="45" t="s">
        <v>97</v>
      </c>
      <c r="D670" s="45" t="s">
        <v>1594</v>
      </c>
      <c r="E670" s="6" t="s">
        <v>1595</v>
      </c>
      <c r="F670" s="45" t="s">
        <v>104</v>
      </c>
      <c r="G670" s="46">
        <f t="shared" si="78"/>
        <v>4</v>
      </c>
      <c r="H670" s="46">
        <f>TRUNC(S670*(1-LOTE_02!$K$10),2)</f>
        <v>4496.88</v>
      </c>
      <c r="I670" s="46">
        <f>TRUNC(T670*(1-LOTE_02!$K$10),2)</f>
        <v>19.64</v>
      </c>
      <c r="J670" s="100">
        <f t="shared" si="79"/>
        <v>0.22470000000000001</v>
      </c>
      <c r="K670" s="48">
        <f t="shared" si="73"/>
        <v>5507.32</v>
      </c>
      <c r="L670" s="48">
        <f t="shared" si="74"/>
        <v>24.05</v>
      </c>
      <c r="M670" s="48">
        <f t="shared" si="75"/>
        <v>22029.279999999999</v>
      </c>
      <c r="N670" s="48">
        <f t="shared" si="76"/>
        <v>96.2</v>
      </c>
      <c r="O670" s="50">
        <f t="shared" si="77"/>
        <v>22125.48</v>
      </c>
      <c r="P670" s="50">
        <v>0</v>
      </c>
      <c r="Q670" s="76"/>
      <c r="R670" s="139">
        <f>1*(S9+S10)</f>
        <v>4</v>
      </c>
      <c r="S670" s="79">
        <v>4496.88</v>
      </c>
      <c r="T670" s="80">
        <v>19.64</v>
      </c>
    </row>
    <row r="671" spans="2:20">
      <c r="B671" s="5" t="s">
        <v>1596</v>
      </c>
      <c r="C671" s="45" t="s">
        <v>97</v>
      </c>
      <c r="D671" s="45" t="s">
        <v>1597</v>
      </c>
      <c r="E671" s="6" t="s">
        <v>1598</v>
      </c>
      <c r="F671" s="45" t="s">
        <v>121</v>
      </c>
      <c r="G671" s="46">
        <f t="shared" si="78"/>
        <v>60</v>
      </c>
      <c r="H671" s="46">
        <f>TRUNC(S671*(1-LOTE_02!$K$10),2)</f>
        <v>2092.88</v>
      </c>
      <c r="I671" s="46">
        <f>TRUNC(T671*(1-LOTE_02!$K$10),2)</f>
        <v>7.85</v>
      </c>
      <c r="J671" s="100">
        <f t="shared" si="79"/>
        <v>0.22470000000000001</v>
      </c>
      <c r="K671" s="48">
        <f t="shared" si="73"/>
        <v>2563.15</v>
      </c>
      <c r="L671" s="48">
        <f t="shared" si="74"/>
        <v>9.61</v>
      </c>
      <c r="M671" s="48">
        <f t="shared" si="75"/>
        <v>153789</v>
      </c>
      <c r="N671" s="48">
        <f t="shared" si="76"/>
        <v>576.6</v>
      </c>
      <c r="O671" s="50">
        <f t="shared" si="77"/>
        <v>154365.6</v>
      </c>
      <c r="P671" s="50">
        <v>0</v>
      </c>
      <c r="Q671" s="76"/>
      <c r="R671" s="139">
        <f>5*3*(S9+S10)</f>
        <v>60</v>
      </c>
      <c r="S671" s="79">
        <v>2092.88</v>
      </c>
      <c r="T671" s="80">
        <v>7.85</v>
      </c>
    </row>
    <row r="672" spans="2:20" ht="42">
      <c r="B672" s="5" t="s">
        <v>1599</v>
      </c>
      <c r="C672" s="45" t="s">
        <v>97</v>
      </c>
      <c r="D672" s="45" t="s">
        <v>1600</v>
      </c>
      <c r="E672" s="6" t="s">
        <v>1601</v>
      </c>
      <c r="F672" s="45" t="s">
        <v>121</v>
      </c>
      <c r="G672" s="46">
        <f t="shared" si="78"/>
        <v>60</v>
      </c>
      <c r="H672" s="46">
        <f>TRUNC(S672*(1-LOTE_02!$K$10),2)</f>
        <v>287.8</v>
      </c>
      <c r="I672" s="46">
        <f>TRUNC(T672*(1-LOTE_02!$K$10),2)</f>
        <v>11.31</v>
      </c>
      <c r="J672" s="100">
        <f t="shared" si="79"/>
        <v>0.22470000000000001</v>
      </c>
      <c r="K672" s="48">
        <f t="shared" si="73"/>
        <v>352.46</v>
      </c>
      <c r="L672" s="48">
        <f t="shared" si="74"/>
        <v>13.85</v>
      </c>
      <c r="M672" s="48">
        <f t="shared" si="75"/>
        <v>21147.599999999999</v>
      </c>
      <c r="N672" s="48">
        <f t="shared" si="76"/>
        <v>831</v>
      </c>
      <c r="O672" s="50">
        <f t="shared" si="77"/>
        <v>21978.6</v>
      </c>
      <c r="P672" s="50">
        <v>0</v>
      </c>
      <c r="Q672" s="76"/>
      <c r="R672" s="139">
        <f>5*3*(S9+S10)</f>
        <v>60</v>
      </c>
      <c r="S672" s="79">
        <v>287.8</v>
      </c>
      <c r="T672" s="80">
        <v>11.31</v>
      </c>
    </row>
    <row r="673" spans="2:20" ht="28">
      <c r="B673" s="5" t="s">
        <v>1602</v>
      </c>
      <c r="C673" s="45" t="s">
        <v>97</v>
      </c>
      <c r="D673" s="45" t="s">
        <v>1484</v>
      </c>
      <c r="E673" s="6" t="s">
        <v>1485</v>
      </c>
      <c r="F673" s="45" t="s">
        <v>121</v>
      </c>
      <c r="G673" s="46">
        <f t="shared" si="78"/>
        <v>20</v>
      </c>
      <c r="H673" s="46">
        <f>TRUNC(S673*(1-LOTE_02!$K$10),2)</f>
        <v>443.84</v>
      </c>
      <c r="I673" s="46">
        <f>TRUNC(T673*(1-LOTE_02!$K$10),2)</f>
        <v>4.55</v>
      </c>
      <c r="J673" s="100">
        <f t="shared" si="79"/>
        <v>0.22470000000000001</v>
      </c>
      <c r="K673" s="48">
        <f t="shared" si="73"/>
        <v>543.57000000000005</v>
      </c>
      <c r="L673" s="48">
        <f t="shared" si="74"/>
        <v>5.57</v>
      </c>
      <c r="M673" s="48">
        <f t="shared" si="75"/>
        <v>10871.4</v>
      </c>
      <c r="N673" s="48">
        <f t="shared" si="76"/>
        <v>111.4</v>
      </c>
      <c r="O673" s="50">
        <f t="shared" si="77"/>
        <v>10982.8</v>
      </c>
      <c r="P673" s="50">
        <v>0</v>
      </c>
      <c r="Q673" s="76"/>
      <c r="R673" s="139">
        <f>1*5*(S9+S10)</f>
        <v>20</v>
      </c>
      <c r="S673" s="79">
        <v>443.84</v>
      </c>
      <c r="T673" s="80">
        <v>4.55</v>
      </c>
    </row>
    <row r="674" spans="2:20">
      <c r="B674" s="101" t="s">
        <v>1603</v>
      </c>
      <c r="C674" s="102" t="s">
        <v>21</v>
      </c>
      <c r="D674" s="102" t="s">
        <v>21</v>
      </c>
      <c r="E674" s="103" t="s">
        <v>1604</v>
      </c>
      <c r="F674" s="102" t="s">
        <v>21</v>
      </c>
      <c r="G674" s="46">
        <f t="shared" si="78"/>
        <v>0</v>
      </c>
      <c r="H674" s="46"/>
      <c r="I674" s="46"/>
      <c r="J674" s="105"/>
      <c r="K674" s="48">
        <f t="shared" si="73"/>
        <v>0</v>
      </c>
      <c r="L674" s="48">
        <f t="shared" si="74"/>
        <v>0</v>
      </c>
      <c r="M674" s="48">
        <f t="shared" si="75"/>
        <v>0</v>
      </c>
      <c r="N674" s="48">
        <f t="shared" si="76"/>
        <v>0</v>
      </c>
      <c r="O674" s="50">
        <f t="shared" si="77"/>
        <v>0</v>
      </c>
      <c r="P674" s="50">
        <v>0</v>
      </c>
      <c r="Q674" s="76"/>
      <c r="R674" s="154"/>
      <c r="S674" s="79" t="s">
        <v>22</v>
      </c>
      <c r="T674" s="80" t="s">
        <v>22</v>
      </c>
    </row>
    <row r="675" spans="2:20" ht="42">
      <c r="B675" s="5" t="s">
        <v>1605</v>
      </c>
      <c r="C675" s="45" t="s">
        <v>135</v>
      </c>
      <c r="D675" s="45">
        <v>102181</v>
      </c>
      <c r="E675" s="6" t="s">
        <v>1773</v>
      </c>
      <c r="F675" s="45" t="s">
        <v>121</v>
      </c>
      <c r="G675" s="46">
        <f t="shared" si="78"/>
        <v>72</v>
      </c>
      <c r="H675" s="46">
        <f>TRUNC(S675*(1-LOTE_02!$K$10),2)</f>
        <v>626.45000000000005</v>
      </c>
      <c r="I675" s="46">
        <f>TRUNC(T675*(1-LOTE_02!$K$10),2)</f>
        <v>48.89</v>
      </c>
      <c r="J675" s="100">
        <f t="shared" si="79"/>
        <v>0.22470000000000001</v>
      </c>
      <c r="K675" s="48">
        <f t="shared" si="73"/>
        <v>767.21</v>
      </c>
      <c r="L675" s="48">
        <f t="shared" si="74"/>
        <v>59.87</v>
      </c>
      <c r="M675" s="48">
        <f t="shared" si="75"/>
        <v>55239.12</v>
      </c>
      <c r="N675" s="48">
        <f t="shared" si="76"/>
        <v>4310.6400000000003</v>
      </c>
      <c r="O675" s="50">
        <f t="shared" si="77"/>
        <v>59549.760000000002</v>
      </c>
      <c r="P675" s="50">
        <v>0</v>
      </c>
      <c r="Q675" s="76"/>
      <c r="R675" s="139">
        <f>6*3*(S9+S10)</f>
        <v>72</v>
      </c>
      <c r="S675" s="79">
        <v>626.45000000000005</v>
      </c>
      <c r="T675" s="80">
        <v>48.89</v>
      </c>
    </row>
    <row r="676" spans="2:20" ht="56">
      <c r="B676" s="5" t="s">
        <v>1606</v>
      </c>
      <c r="C676" s="45" t="s">
        <v>135</v>
      </c>
      <c r="D676" s="45">
        <v>102184</v>
      </c>
      <c r="E676" s="6" t="s">
        <v>1787</v>
      </c>
      <c r="F676" s="45" t="s">
        <v>210</v>
      </c>
      <c r="G676" s="46">
        <f t="shared" si="78"/>
        <v>4</v>
      </c>
      <c r="H676" s="46">
        <f>TRUNC(S676*(1-LOTE_02!$K$10),2)</f>
        <v>2382.88</v>
      </c>
      <c r="I676" s="46">
        <f>TRUNC(T676*(1-LOTE_02!$K$10),2)</f>
        <v>112.28</v>
      </c>
      <c r="J676" s="100">
        <f t="shared" si="79"/>
        <v>0.22470000000000001</v>
      </c>
      <c r="K676" s="48">
        <f t="shared" si="73"/>
        <v>2918.31</v>
      </c>
      <c r="L676" s="48">
        <f t="shared" si="74"/>
        <v>137.5</v>
      </c>
      <c r="M676" s="48">
        <f t="shared" si="75"/>
        <v>11673.24</v>
      </c>
      <c r="N676" s="48">
        <f t="shared" si="76"/>
        <v>550</v>
      </c>
      <c r="O676" s="50">
        <f t="shared" si="77"/>
        <v>12223.24</v>
      </c>
      <c r="P676" s="50">
        <v>0</v>
      </c>
      <c r="Q676" s="76"/>
      <c r="R676" s="139">
        <f>1*(S9+S10)</f>
        <v>4</v>
      </c>
      <c r="S676" s="79">
        <v>2382.8799999999997</v>
      </c>
      <c r="T676" s="80">
        <v>112.28</v>
      </c>
    </row>
    <row r="677" spans="2:20" ht="84">
      <c r="B677" s="5" t="s">
        <v>1607</v>
      </c>
      <c r="C677" s="45" t="s">
        <v>97</v>
      </c>
      <c r="D677" s="45" t="s">
        <v>1477</v>
      </c>
      <c r="E677" s="6" t="s">
        <v>1478</v>
      </c>
      <c r="F677" s="45" t="s">
        <v>121</v>
      </c>
      <c r="G677" s="46">
        <f t="shared" si="78"/>
        <v>72</v>
      </c>
      <c r="H677" s="46">
        <f>TRUNC(S677*(1-LOTE_02!$K$10),2)</f>
        <v>322.48</v>
      </c>
      <c r="I677" s="46">
        <f>TRUNC(T677*(1-LOTE_02!$K$10),2)</f>
        <v>36.6</v>
      </c>
      <c r="J677" s="100">
        <f t="shared" si="79"/>
        <v>0.22470000000000001</v>
      </c>
      <c r="K677" s="48">
        <f t="shared" si="73"/>
        <v>394.94</v>
      </c>
      <c r="L677" s="48">
        <f t="shared" si="74"/>
        <v>44.82</v>
      </c>
      <c r="M677" s="48">
        <f t="shared" si="75"/>
        <v>28435.68</v>
      </c>
      <c r="N677" s="48">
        <f t="shared" si="76"/>
        <v>3227.04</v>
      </c>
      <c r="O677" s="50">
        <f t="shared" si="77"/>
        <v>31662.720000000001</v>
      </c>
      <c r="P677" s="50">
        <v>0</v>
      </c>
      <c r="Q677" s="76"/>
      <c r="R677" s="139">
        <f>6*3*(S9+S10)</f>
        <v>72</v>
      </c>
      <c r="S677" s="79">
        <v>322.48</v>
      </c>
      <c r="T677" s="80">
        <v>36.6</v>
      </c>
    </row>
    <row r="678" spans="2:20" ht="84">
      <c r="B678" s="5" t="s">
        <v>1608</v>
      </c>
      <c r="C678" s="45" t="s">
        <v>97</v>
      </c>
      <c r="D678" s="45" t="s">
        <v>1591</v>
      </c>
      <c r="E678" s="6" t="s">
        <v>1592</v>
      </c>
      <c r="F678" s="45" t="s">
        <v>104</v>
      </c>
      <c r="G678" s="46">
        <f t="shared" si="78"/>
        <v>4</v>
      </c>
      <c r="H678" s="46">
        <f>TRUNC(S678*(1-LOTE_02!$K$10),2)</f>
        <v>461.74</v>
      </c>
      <c r="I678" s="46">
        <f>TRUNC(T678*(1-LOTE_02!$K$10),2)</f>
        <v>4.2300000000000004</v>
      </c>
      <c r="J678" s="100">
        <f t="shared" si="79"/>
        <v>0.22470000000000001</v>
      </c>
      <c r="K678" s="48">
        <f t="shared" si="73"/>
        <v>565.49</v>
      </c>
      <c r="L678" s="48">
        <f t="shared" si="74"/>
        <v>5.18</v>
      </c>
      <c r="M678" s="48">
        <f t="shared" si="75"/>
        <v>2261.96</v>
      </c>
      <c r="N678" s="48">
        <f t="shared" si="76"/>
        <v>20.72</v>
      </c>
      <c r="O678" s="50">
        <f t="shared" si="77"/>
        <v>2282.6799999999998</v>
      </c>
      <c r="P678" s="50">
        <v>0</v>
      </c>
      <c r="Q678" s="76"/>
      <c r="R678" s="139">
        <f>1*(S9+S10)</f>
        <v>4</v>
      </c>
      <c r="S678" s="79">
        <v>461.74</v>
      </c>
      <c r="T678" s="80">
        <v>4.2300000000000004</v>
      </c>
    </row>
    <row r="679" spans="2:20" ht="42">
      <c r="B679" s="5" t="s">
        <v>1609</v>
      </c>
      <c r="C679" s="45" t="s">
        <v>97</v>
      </c>
      <c r="D679" s="45" t="s">
        <v>1610</v>
      </c>
      <c r="E679" s="6" t="s">
        <v>1611</v>
      </c>
      <c r="F679" s="45" t="s">
        <v>104</v>
      </c>
      <c r="G679" s="46">
        <f t="shared" si="78"/>
        <v>4</v>
      </c>
      <c r="H679" s="46">
        <f>TRUNC(S679*(1-LOTE_02!$K$10),2)</f>
        <v>64.39</v>
      </c>
      <c r="I679" s="46">
        <f>TRUNC(T679*(1-LOTE_02!$K$10),2)</f>
        <v>0</v>
      </c>
      <c r="J679" s="100">
        <f t="shared" si="79"/>
        <v>0.22470000000000001</v>
      </c>
      <c r="K679" s="48">
        <f t="shared" si="73"/>
        <v>78.849999999999994</v>
      </c>
      <c r="L679" s="48">
        <f t="shared" si="74"/>
        <v>0</v>
      </c>
      <c r="M679" s="48">
        <f t="shared" si="75"/>
        <v>315.39999999999998</v>
      </c>
      <c r="N679" s="48">
        <f t="shared" si="76"/>
        <v>0</v>
      </c>
      <c r="O679" s="50">
        <f t="shared" si="77"/>
        <v>315.39999999999998</v>
      </c>
      <c r="P679" s="50">
        <v>0</v>
      </c>
      <c r="Q679" s="76"/>
      <c r="R679" s="140">
        <f>1*(S10+S9)</f>
        <v>4</v>
      </c>
      <c r="S679" s="79">
        <v>64.39</v>
      </c>
      <c r="T679" s="80">
        <v>0</v>
      </c>
    </row>
    <row r="680" spans="2:20">
      <c r="B680" s="5" t="s">
        <v>1612</v>
      </c>
      <c r="C680" s="45" t="s">
        <v>97</v>
      </c>
      <c r="D680" s="45" t="s">
        <v>1597</v>
      </c>
      <c r="E680" s="6" t="s">
        <v>1598</v>
      </c>
      <c r="F680" s="45" t="s">
        <v>121</v>
      </c>
      <c r="G680" s="46">
        <f t="shared" si="78"/>
        <v>72</v>
      </c>
      <c r="H680" s="46">
        <f>TRUNC(S680*(1-LOTE_02!$K$10),2)</f>
        <v>2092.88</v>
      </c>
      <c r="I680" s="46">
        <f>TRUNC(T680*(1-LOTE_02!$K$10),2)</f>
        <v>7.85</v>
      </c>
      <c r="J680" s="100">
        <f t="shared" si="79"/>
        <v>0.22470000000000001</v>
      </c>
      <c r="K680" s="48">
        <f t="shared" si="73"/>
        <v>2563.15</v>
      </c>
      <c r="L680" s="48">
        <f t="shared" si="74"/>
        <v>9.61</v>
      </c>
      <c r="M680" s="48">
        <f t="shared" si="75"/>
        <v>184546.8</v>
      </c>
      <c r="N680" s="48">
        <f t="shared" si="76"/>
        <v>691.92</v>
      </c>
      <c r="O680" s="50">
        <f t="shared" si="77"/>
        <v>185238.72</v>
      </c>
      <c r="P680" s="50">
        <v>0</v>
      </c>
      <c r="Q680" s="76"/>
      <c r="R680" s="139">
        <f>6*3*(S9+S10)</f>
        <v>72</v>
      </c>
      <c r="S680" s="79">
        <v>2092.88</v>
      </c>
      <c r="T680" s="80">
        <v>7.85</v>
      </c>
    </row>
    <row r="681" spans="2:20" ht="42">
      <c r="B681" s="5" t="s">
        <v>1613</v>
      </c>
      <c r="C681" s="45" t="s">
        <v>97</v>
      </c>
      <c r="D681" s="45" t="s">
        <v>1600</v>
      </c>
      <c r="E681" s="6" t="s">
        <v>1601</v>
      </c>
      <c r="F681" s="45" t="s">
        <v>121</v>
      </c>
      <c r="G681" s="46">
        <f t="shared" si="78"/>
        <v>60</v>
      </c>
      <c r="H681" s="46">
        <f>TRUNC(S681*(1-LOTE_02!$K$10),2)</f>
        <v>287.8</v>
      </c>
      <c r="I681" s="46">
        <f>TRUNC(T681*(1-LOTE_02!$K$10),2)</f>
        <v>11.31</v>
      </c>
      <c r="J681" s="100">
        <f t="shared" si="79"/>
        <v>0.22470000000000001</v>
      </c>
      <c r="K681" s="48">
        <f t="shared" si="73"/>
        <v>352.46</v>
      </c>
      <c r="L681" s="48">
        <f t="shared" si="74"/>
        <v>13.85</v>
      </c>
      <c r="M681" s="48">
        <f t="shared" si="75"/>
        <v>21147.599999999999</v>
      </c>
      <c r="N681" s="48">
        <f t="shared" si="76"/>
        <v>831</v>
      </c>
      <c r="O681" s="50">
        <f t="shared" si="77"/>
        <v>21978.6</v>
      </c>
      <c r="P681" s="50">
        <v>0</v>
      </c>
      <c r="Q681" s="76"/>
      <c r="R681" s="139">
        <f>5*3*(S9+S10)</f>
        <v>60</v>
      </c>
      <c r="S681" s="79">
        <v>287.8</v>
      </c>
      <c r="T681" s="80">
        <v>11.31</v>
      </c>
    </row>
    <row r="682" spans="2:20" ht="56">
      <c r="B682" s="5" t="s">
        <v>1614</v>
      </c>
      <c r="C682" s="45" t="s">
        <v>97</v>
      </c>
      <c r="D682" s="45" t="s">
        <v>1615</v>
      </c>
      <c r="E682" s="6" t="s">
        <v>1616</v>
      </c>
      <c r="F682" s="45" t="s">
        <v>104</v>
      </c>
      <c r="G682" s="46">
        <f t="shared" si="78"/>
        <v>4</v>
      </c>
      <c r="H682" s="46">
        <f>TRUNC(S682*(1-LOTE_02!$K$10),2)</f>
        <v>3317.21</v>
      </c>
      <c r="I682" s="46">
        <f>TRUNC(T682*(1-LOTE_02!$K$10),2)</f>
        <v>11.78</v>
      </c>
      <c r="J682" s="100">
        <f t="shared" si="79"/>
        <v>0.22470000000000001</v>
      </c>
      <c r="K682" s="48">
        <f t="shared" si="73"/>
        <v>4062.58</v>
      </c>
      <c r="L682" s="48">
        <f t="shared" si="74"/>
        <v>14.42</v>
      </c>
      <c r="M682" s="48">
        <f t="shared" si="75"/>
        <v>16250.32</v>
      </c>
      <c r="N682" s="48">
        <f t="shared" si="76"/>
        <v>57.68</v>
      </c>
      <c r="O682" s="50">
        <f t="shared" si="77"/>
        <v>16308</v>
      </c>
      <c r="P682" s="50">
        <v>0</v>
      </c>
      <c r="Q682" s="76"/>
      <c r="R682" s="139">
        <f>1*(S9+S10)</f>
        <v>4</v>
      </c>
      <c r="S682" s="79">
        <v>3317.21</v>
      </c>
      <c r="T682" s="80">
        <v>11.78</v>
      </c>
    </row>
    <row r="683" spans="2:20" ht="28">
      <c r="B683" s="5" t="s">
        <v>1617</v>
      </c>
      <c r="C683" s="45" t="s">
        <v>97</v>
      </c>
      <c r="D683" s="45" t="s">
        <v>1484</v>
      </c>
      <c r="E683" s="6" t="s">
        <v>1485</v>
      </c>
      <c r="F683" s="45" t="s">
        <v>121</v>
      </c>
      <c r="G683" s="46">
        <f t="shared" si="78"/>
        <v>22</v>
      </c>
      <c r="H683" s="46">
        <f>TRUNC(S683*(1-LOTE_02!$K$10),2)</f>
        <v>443.84</v>
      </c>
      <c r="I683" s="46">
        <f>TRUNC(T683*(1-LOTE_02!$K$10),2)</f>
        <v>4.55</v>
      </c>
      <c r="J683" s="100">
        <f t="shared" si="79"/>
        <v>0.22470000000000001</v>
      </c>
      <c r="K683" s="48">
        <f t="shared" si="73"/>
        <v>543.57000000000005</v>
      </c>
      <c r="L683" s="48">
        <f t="shared" si="74"/>
        <v>5.57</v>
      </c>
      <c r="M683" s="48">
        <f t="shared" si="75"/>
        <v>11958.54</v>
      </c>
      <c r="N683" s="48">
        <f t="shared" si="76"/>
        <v>122.54</v>
      </c>
      <c r="O683" s="50">
        <f t="shared" si="77"/>
        <v>12081.08</v>
      </c>
      <c r="P683" s="50">
        <v>0</v>
      </c>
      <c r="Q683" s="76"/>
      <c r="R683" s="139">
        <f>1*5.5*(S9+S10)</f>
        <v>22</v>
      </c>
      <c r="S683" s="79">
        <v>443.84</v>
      </c>
      <c r="T683" s="80">
        <v>4.55</v>
      </c>
    </row>
    <row r="684" spans="2:20">
      <c r="B684" s="101" t="s">
        <v>57</v>
      </c>
      <c r="C684" s="102" t="s">
        <v>21</v>
      </c>
      <c r="D684" s="102" t="s">
        <v>21</v>
      </c>
      <c r="E684" s="103" t="s">
        <v>1618</v>
      </c>
      <c r="F684" s="102" t="s">
        <v>21</v>
      </c>
      <c r="G684" s="46">
        <f t="shared" si="78"/>
        <v>0</v>
      </c>
      <c r="H684" s="46"/>
      <c r="I684" s="46"/>
      <c r="J684" s="105"/>
      <c r="K684" s="48">
        <f t="shared" si="73"/>
        <v>0</v>
      </c>
      <c r="L684" s="48">
        <f t="shared" si="74"/>
        <v>0</v>
      </c>
      <c r="M684" s="48">
        <f t="shared" si="75"/>
        <v>0</v>
      </c>
      <c r="N684" s="48">
        <f t="shared" si="76"/>
        <v>0</v>
      </c>
      <c r="O684" s="50">
        <f t="shared" si="77"/>
        <v>0</v>
      </c>
      <c r="P684" s="104">
        <f>SUM(O685:O691)</f>
        <v>422000.26</v>
      </c>
      <c r="Q684" s="76"/>
      <c r="R684" s="155"/>
      <c r="S684" s="79" t="s">
        <v>22</v>
      </c>
      <c r="T684" s="80" t="s">
        <v>22</v>
      </c>
    </row>
    <row r="685" spans="2:20" ht="56">
      <c r="B685" s="5" t="s">
        <v>1619</v>
      </c>
      <c r="C685" s="45" t="s">
        <v>135</v>
      </c>
      <c r="D685" s="45">
        <v>103247</v>
      </c>
      <c r="E685" s="6" t="s">
        <v>1620</v>
      </c>
      <c r="F685" s="45" t="s">
        <v>210</v>
      </c>
      <c r="G685" s="46">
        <f t="shared" si="78"/>
        <v>8</v>
      </c>
      <c r="H685" s="46">
        <f>TRUNC(S685*(1-LOTE_02!$K$10),2)</f>
        <v>2676.7</v>
      </c>
      <c r="I685" s="46">
        <f>TRUNC(T685*(1-LOTE_02!$K$10),2)</f>
        <v>83.35</v>
      </c>
      <c r="J685" s="100">
        <f>$J$5</f>
        <v>0.16500000000000001</v>
      </c>
      <c r="K685" s="48">
        <f t="shared" si="73"/>
        <v>3118.35</v>
      </c>
      <c r="L685" s="48">
        <f t="shared" si="74"/>
        <v>97.1</v>
      </c>
      <c r="M685" s="48">
        <f t="shared" si="75"/>
        <v>24946.799999999999</v>
      </c>
      <c r="N685" s="48">
        <f t="shared" si="76"/>
        <v>776.8</v>
      </c>
      <c r="O685" s="50">
        <f t="shared" si="77"/>
        <v>25723.599999999999</v>
      </c>
      <c r="P685" s="50">
        <v>0</v>
      </c>
      <c r="Q685" s="76"/>
      <c r="R685" s="139">
        <f>2*(S9+S10)</f>
        <v>8</v>
      </c>
      <c r="S685" s="79">
        <v>2676.7000000000003</v>
      </c>
      <c r="T685" s="80">
        <v>83.35</v>
      </c>
    </row>
    <row r="686" spans="2:20" ht="56">
      <c r="B686" s="5" t="s">
        <v>1621</v>
      </c>
      <c r="C686" s="45" t="s">
        <v>135</v>
      </c>
      <c r="D686" s="45">
        <v>103250</v>
      </c>
      <c r="E686" s="6" t="s">
        <v>1622</v>
      </c>
      <c r="F686" s="45" t="s">
        <v>210</v>
      </c>
      <c r="G686" s="46">
        <f t="shared" si="78"/>
        <v>8</v>
      </c>
      <c r="H686" s="46">
        <f>TRUNC(S686*(1-LOTE_02!$K$10),2)</f>
        <v>3928.89</v>
      </c>
      <c r="I686" s="46">
        <f>TRUNC(T686*(1-LOTE_02!$K$10),2)</f>
        <v>90.02</v>
      </c>
      <c r="J686" s="100">
        <f t="shared" ref="J686:J691" si="80">$J$5</f>
        <v>0.16500000000000001</v>
      </c>
      <c r="K686" s="48">
        <f t="shared" si="73"/>
        <v>4577.1499999999996</v>
      </c>
      <c r="L686" s="48">
        <f t="shared" si="74"/>
        <v>104.87</v>
      </c>
      <c r="M686" s="48">
        <f t="shared" si="75"/>
        <v>36617.199999999997</v>
      </c>
      <c r="N686" s="48">
        <f t="shared" si="76"/>
        <v>838.96</v>
      </c>
      <c r="O686" s="50">
        <f t="shared" si="77"/>
        <v>37456.160000000003</v>
      </c>
      <c r="P686" s="50">
        <v>0</v>
      </c>
      <c r="Q686" s="76"/>
      <c r="R686" s="139">
        <f>2*(S10+S9)</f>
        <v>8</v>
      </c>
      <c r="S686" s="79">
        <v>3928.89</v>
      </c>
      <c r="T686" s="80">
        <v>90.02</v>
      </c>
    </row>
    <row r="687" spans="2:20" ht="56">
      <c r="B687" s="5" t="s">
        <v>1623</v>
      </c>
      <c r="C687" s="45" t="s">
        <v>135</v>
      </c>
      <c r="D687" s="45">
        <v>103253</v>
      </c>
      <c r="E687" s="6" t="s">
        <v>1624</v>
      </c>
      <c r="F687" s="45" t="s">
        <v>210</v>
      </c>
      <c r="G687" s="46">
        <f t="shared" si="78"/>
        <v>8</v>
      </c>
      <c r="H687" s="46">
        <f>TRUNC(S687*(1-LOTE_02!$K$10),2)</f>
        <v>5393.52</v>
      </c>
      <c r="I687" s="46">
        <f>TRUNC(T687*(1-LOTE_02!$K$10),2)</f>
        <v>93.83</v>
      </c>
      <c r="J687" s="100">
        <f t="shared" si="80"/>
        <v>0.16500000000000001</v>
      </c>
      <c r="K687" s="48">
        <f t="shared" si="73"/>
        <v>6283.45</v>
      </c>
      <c r="L687" s="48">
        <f t="shared" si="74"/>
        <v>109.31</v>
      </c>
      <c r="M687" s="48">
        <f t="shared" si="75"/>
        <v>50267.6</v>
      </c>
      <c r="N687" s="48">
        <f t="shared" si="76"/>
        <v>874.48</v>
      </c>
      <c r="O687" s="50">
        <f t="shared" si="77"/>
        <v>51142.080000000002</v>
      </c>
      <c r="P687" s="50">
        <v>0</v>
      </c>
      <c r="Q687" s="76"/>
      <c r="R687" s="139">
        <f>2*(S10+S9)</f>
        <v>8</v>
      </c>
      <c r="S687" s="79">
        <v>5393.52</v>
      </c>
      <c r="T687" s="80">
        <v>93.83</v>
      </c>
    </row>
    <row r="688" spans="2:20" ht="56">
      <c r="B688" s="5" t="s">
        <v>1625</v>
      </c>
      <c r="C688" s="45" t="s">
        <v>135</v>
      </c>
      <c r="D688" s="45">
        <v>103244</v>
      </c>
      <c r="E688" s="6" t="s">
        <v>1626</v>
      </c>
      <c r="F688" s="45" t="s">
        <v>210</v>
      </c>
      <c r="G688" s="46">
        <f t="shared" si="78"/>
        <v>8</v>
      </c>
      <c r="H688" s="46">
        <f>TRUNC(S688*(1-LOTE_02!$K$10),2)</f>
        <v>2400.79</v>
      </c>
      <c r="I688" s="46">
        <f>TRUNC(T688*(1-LOTE_02!$K$10),2)</f>
        <v>83.47</v>
      </c>
      <c r="J688" s="100">
        <f t="shared" si="80"/>
        <v>0.16500000000000001</v>
      </c>
      <c r="K688" s="48">
        <f t="shared" si="73"/>
        <v>2796.92</v>
      </c>
      <c r="L688" s="48">
        <f t="shared" si="74"/>
        <v>97.24</v>
      </c>
      <c r="M688" s="48">
        <f t="shared" si="75"/>
        <v>22375.360000000001</v>
      </c>
      <c r="N688" s="48">
        <f t="shared" si="76"/>
        <v>777.92</v>
      </c>
      <c r="O688" s="50">
        <f t="shared" si="77"/>
        <v>23153.279999999999</v>
      </c>
      <c r="P688" s="50">
        <v>0</v>
      </c>
      <c r="Q688" s="76"/>
      <c r="R688" s="139">
        <f>2*(S9+S10)</f>
        <v>8</v>
      </c>
      <c r="S688" s="79">
        <v>2400.7900000000004</v>
      </c>
      <c r="T688" s="80">
        <v>83.47</v>
      </c>
    </row>
    <row r="689" spans="2:20" ht="56">
      <c r="B689" s="5" t="s">
        <v>1627</v>
      </c>
      <c r="C689" s="45" t="s">
        <v>135</v>
      </c>
      <c r="D689" s="45">
        <v>103261</v>
      </c>
      <c r="E689" s="6" t="s">
        <v>1628</v>
      </c>
      <c r="F689" s="45" t="s">
        <v>210</v>
      </c>
      <c r="G689" s="46">
        <f t="shared" si="78"/>
        <v>4</v>
      </c>
      <c r="H689" s="46">
        <f>TRUNC(S689*(1-LOTE_02!$K$10),2)</f>
        <v>12719.66</v>
      </c>
      <c r="I689" s="46">
        <f>TRUNC(T689*(1-LOTE_02!$K$10),2)</f>
        <v>155.79</v>
      </c>
      <c r="J689" s="100">
        <f t="shared" si="80"/>
        <v>0.16500000000000001</v>
      </c>
      <c r="K689" s="48">
        <f t="shared" si="73"/>
        <v>14818.4</v>
      </c>
      <c r="L689" s="48">
        <f t="shared" si="74"/>
        <v>181.49</v>
      </c>
      <c r="M689" s="48">
        <f t="shared" si="75"/>
        <v>59273.599999999999</v>
      </c>
      <c r="N689" s="48">
        <f t="shared" si="76"/>
        <v>725.96</v>
      </c>
      <c r="O689" s="50">
        <f t="shared" si="77"/>
        <v>59999.56</v>
      </c>
      <c r="P689" s="50">
        <v>0</v>
      </c>
      <c r="Q689" s="76"/>
      <c r="R689" s="139">
        <f>1*(S9+S10)</f>
        <v>4</v>
      </c>
      <c r="S689" s="79">
        <v>12719.66</v>
      </c>
      <c r="T689" s="80">
        <v>155.79</v>
      </c>
    </row>
    <row r="690" spans="2:20" ht="42">
      <c r="B690" s="5" t="s">
        <v>1629</v>
      </c>
      <c r="C690" s="45" t="s">
        <v>135</v>
      </c>
      <c r="D690" s="45">
        <v>103277</v>
      </c>
      <c r="E690" s="6" t="s">
        <v>1630</v>
      </c>
      <c r="F690" s="45" t="s">
        <v>210</v>
      </c>
      <c r="G690" s="46">
        <f>IF($S$11=0,0,TRUNC(R690,2))</f>
        <v>2</v>
      </c>
      <c r="H690" s="46">
        <f>TRUNC(S690*(1-LOTE_02!$K$10),2)</f>
        <v>26786.33</v>
      </c>
      <c r="I690" s="46">
        <f>TRUNC(T690*(1-LOTE_02!$K$10),2)</f>
        <v>270.56</v>
      </c>
      <c r="J690" s="100">
        <f t="shared" si="80"/>
        <v>0.16500000000000001</v>
      </c>
      <c r="K690" s="48">
        <f t="shared" si="73"/>
        <v>31206.07</v>
      </c>
      <c r="L690" s="48">
        <f t="shared" si="74"/>
        <v>315.2</v>
      </c>
      <c r="M690" s="48">
        <f t="shared" si="75"/>
        <v>62412.14</v>
      </c>
      <c r="N690" s="48">
        <f t="shared" si="76"/>
        <v>630.4</v>
      </c>
      <c r="O690" s="50">
        <f t="shared" si="77"/>
        <v>63042.54</v>
      </c>
      <c r="P690" s="50">
        <v>0</v>
      </c>
      <c r="Q690" s="76"/>
      <c r="R690" s="139">
        <f>IF(40%*R691&lt;1,1,ROUND(40%*R691,0))</f>
        <v>2</v>
      </c>
      <c r="S690" s="79">
        <v>26786.329999999998</v>
      </c>
      <c r="T690" s="80">
        <v>270.56</v>
      </c>
    </row>
    <row r="691" spans="2:20" ht="42">
      <c r="B691" s="5" t="s">
        <v>1631</v>
      </c>
      <c r="C691" s="45" t="s">
        <v>135</v>
      </c>
      <c r="D691" s="45">
        <v>103278</v>
      </c>
      <c r="E691" s="6" t="s">
        <v>1632</v>
      </c>
      <c r="F691" s="45" t="s">
        <v>210</v>
      </c>
      <c r="G691" s="46">
        <f t="shared" si="78"/>
        <v>4</v>
      </c>
      <c r="H691" s="46">
        <f>TRUNC(S691*(1-LOTE_02!$K$10),2)</f>
        <v>34375.800000000003</v>
      </c>
      <c r="I691" s="46">
        <f>TRUNC(T691*(1-LOTE_02!$K$10),2)</f>
        <v>277.22000000000003</v>
      </c>
      <c r="J691" s="100">
        <f t="shared" si="80"/>
        <v>0.16500000000000001</v>
      </c>
      <c r="K691" s="48">
        <f t="shared" si="73"/>
        <v>40047.800000000003</v>
      </c>
      <c r="L691" s="48">
        <f t="shared" si="74"/>
        <v>322.95999999999998</v>
      </c>
      <c r="M691" s="48">
        <f t="shared" si="75"/>
        <v>160191.20000000001</v>
      </c>
      <c r="N691" s="48">
        <f t="shared" si="76"/>
        <v>1291.8399999999999</v>
      </c>
      <c r="O691" s="50">
        <f t="shared" si="77"/>
        <v>161483.04</v>
      </c>
      <c r="P691" s="50">
        <v>0</v>
      </c>
      <c r="Q691" s="76"/>
      <c r="R691" s="139">
        <f>S10+S9</f>
        <v>4</v>
      </c>
      <c r="S691" s="79">
        <v>34375.799999999996</v>
      </c>
      <c r="T691" s="80">
        <v>277.22000000000003</v>
      </c>
    </row>
    <row r="692" spans="2:20">
      <c r="B692" s="101" t="s">
        <v>58</v>
      </c>
      <c r="C692" s="102" t="s">
        <v>21</v>
      </c>
      <c r="D692" s="102" t="s">
        <v>21</v>
      </c>
      <c r="E692" s="103" t="s">
        <v>61</v>
      </c>
      <c r="F692" s="102" t="s">
        <v>21</v>
      </c>
      <c r="G692" s="46">
        <f t="shared" si="78"/>
        <v>0</v>
      </c>
      <c r="H692" s="46"/>
      <c r="I692" s="46"/>
      <c r="J692" s="105"/>
      <c r="K692" s="48">
        <f t="shared" si="73"/>
        <v>0</v>
      </c>
      <c r="L692" s="48">
        <f t="shared" si="74"/>
        <v>0</v>
      </c>
      <c r="M692" s="48">
        <f t="shared" si="75"/>
        <v>0</v>
      </c>
      <c r="N692" s="48">
        <f t="shared" si="76"/>
        <v>0</v>
      </c>
      <c r="O692" s="50">
        <f t="shared" si="77"/>
        <v>0</v>
      </c>
      <c r="P692" s="104">
        <f>SUM(O693:O714)</f>
        <v>154206.83999999997</v>
      </c>
      <c r="Q692" s="76"/>
      <c r="R692" s="154"/>
      <c r="S692" s="79" t="s">
        <v>22</v>
      </c>
      <c r="T692" s="80" t="s">
        <v>22</v>
      </c>
    </row>
    <row r="693" spans="2:20" ht="28">
      <c r="B693" s="5" t="s">
        <v>1633</v>
      </c>
      <c r="C693" s="45" t="s">
        <v>97</v>
      </c>
      <c r="D693" s="45" t="s">
        <v>1634</v>
      </c>
      <c r="E693" s="6" t="s">
        <v>1635</v>
      </c>
      <c r="F693" s="45" t="s">
        <v>104</v>
      </c>
      <c r="G693" s="46">
        <f t="shared" si="78"/>
        <v>4</v>
      </c>
      <c r="H693" s="46">
        <f>TRUNC(S693*(1-LOTE_02!$K$10),2)</f>
        <v>190.92</v>
      </c>
      <c r="I693" s="46">
        <f>TRUNC(T693*(1-LOTE_02!$K$10),2)</f>
        <v>147.19</v>
      </c>
      <c r="J693" s="100">
        <f t="shared" si="79"/>
        <v>0.22470000000000001</v>
      </c>
      <c r="K693" s="48">
        <f t="shared" si="73"/>
        <v>233.81</v>
      </c>
      <c r="L693" s="48">
        <f t="shared" si="74"/>
        <v>180.26</v>
      </c>
      <c r="M693" s="48">
        <f t="shared" si="75"/>
        <v>935.24</v>
      </c>
      <c r="N693" s="48">
        <f t="shared" si="76"/>
        <v>721.04</v>
      </c>
      <c r="O693" s="50">
        <f t="shared" si="77"/>
        <v>1656.28</v>
      </c>
      <c r="P693" s="50">
        <v>0</v>
      </c>
      <c r="Q693" s="76"/>
      <c r="R693" s="140">
        <f>IF((1*S9+1*S10)&gt;10,10,(1*S9+1*S10))</f>
        <v>4</v>
      </c>
      <c r="S693" s="79">
        <v>190.92</v>
      </c>
      <c r="T693" s="80">
        <v>147.19</v>
      </c>
    </row>
    <row r="694" spans="2:20" ht="42">
      <c r="B694" s="5" t="s">
        <v>1636</v>
      </c>
      <c r="C694" s="45" t="s">
        <v>97</v>
      </c>
      <c r="D694" s="45" t="s">
        <v>1637</v>
      </c>
      <c r="E694" s="6" t="s">
        <v>1638</v>
      </c>
      <c r="F694" s="45" t="s">
        <v>121</v>
      </c>
      <c r="G694" s="46">
        <f t="shared" si="78"/>
        <v>120</v>
      </c>
      <c r="H694" s="46">
        <f>TRUNC(S694*(1-LOTE_02!$K$10),2)</f>
        <v>216.04</v>
      </c>
      <c r="I694" s="46">
        <f>TRUNC(T694*(1-LOTE_02!$K$10),2)</f>
        <v>63.95</v>
      </c>
      <c r="J694" s="100">
        <f t="shared" si="79"/>
        <v>0.22470000000000001</v>
      </c>
      <c r="K694" s="48">
        <f t="shared" si="73"/>
        <v>264.58</v>
      </c>
      <c r="L694" s="48">
        <f t="shared" si="74"/>
        <v>78.31</v>
      </c>
      <c r="M694" s="48">
        <f t="shared" si="75"/>
        <v>31749.599999999999</v>
      </c>
      <c r="N694" s="48">
        <f t="shared" si="76"/>
        <v>9397.2000000000007</v>
      </c>
      <c r="O694" s="50">
        <f t="shared" si="77"/>
        <v>41146.800000000003</v>
      </c>
      <c r="P694" s="50">
        <v>0</v>
      </c>
      <c r="Q694" s="76"/>
      <c r="R694" s="139">
        <f>30*(S9+S10)</f>
        <v>120</v>
      </c>
      <c r="S694" s="79">
        <v>216.04</v>
      </c>
      <c r="T694" s="80">
        <v>63.95</v>
      </c>
    </row>
    <row r="695" spans="2:20" ht="28">
      <c r="B695" s="5" t="s">
        <v>1639</v>
      </c>
      <c r="C695" s="45" t="s">
        <v>97</v>
      </c>
      <c r="D695" s="45" t="s">
        <v>1640</v>
      </c>
      <c r="E695" s="6" t="s">
        <v>1641</v>
      </c>
      <c r="F695" s="45" t="s">
        <v>104</v>
      </c>
      <c r="G695" s="46">
        <f t="shared" si="78"/>
        <v>200</v>
      </c>
      <c r="H695" s="46">
        <f>TRUNC(S695*(1-LOTE_02!$K$10),2)</f>
        <v>2.4</v>
      </c>
      <c r="I695" s="46">
        <f>TRUNC(T695*(1-LOTE_02!$K$10),2)</f>
        <v>8.25</v>
      </c>
      <c r="J695" s="100">
        <f t="shared" si="79"/>
        <v>0.22470000000000001</v>
      </c>
      <c r="K695" s="48">
        <f t="shared" si="73"/>
        <v>2.93</v>
      </c>
      <c r="L695" s="48">
        <f t="shared" si="74"/>
        <v>10.1</v>
      </c>
      <c r="M695" s="48">
        <f t="shared" si="75"/>
        <v>586</v>
      </c>
      <c r="N695" s="48">
        <f t="shared" si="76"/>
        <v>2020</v>
      </c>
      <c r="O695" s="50">
        <f t="shared" si="77"/>
        <v>2606</v>
      </c>
      <c r="P695" s="50">
        <v>0</v>
      </c>
      <c r="Q695" s="76"/>
      <c r="R695" s="139">
        <f>50*(S9+S10)</f>
        <v>200</v>
      </c>
      <c r="S695" s="79">
        <v>2.4</v>
      </c>
      <c r="T695" s="80">
        <v>8.25</v>
      </c>
    </row>
    <row r="696" spans="2:20" ht="28">
      <c r="B696" s="5" t="s">
        <v>1642</v>
      </c>
      <c r="C696" s="45" t="s">
        <v>97</v>
      </c>
      <c r="D696" s="45" t="s">
        <v>1643</v>
      </c>
      <c r="E696" s="6" t="s">
        <v>1644</v>
      </c>
      <c r="F696" s="45" t="s">
        <v>104</v>
      </c>
      <c r="G696" s="46">
        <f t="shared" si="78"/>
        <v>12</v>
      </c>
      <c r="H696" s="46">
        <f>TRUNC(S696*(1-LOTE_02!$K$10),2)</f>
        <v>19.239999999999998</v>
      </c>
      <c r="I696" s="46">
        <f>TRUNC(T696*(1-LOTE_02!$K$10),2)</f>
        <v>66.040000000000006</v>
      </c>
      <c r="J696" s="100">
        <f t="shared" si="79"/>
        <v>0.22470000000000001</v>
      </c>
      <c r="K696" s="48">
        <f t="shared" si="73"/>
        <v>23.56</v>
      </c>
      <c r="L696" s="48">
        <f t="shared" si="74"/>
        <v>80.87</v>
      </c>
      <c r="M696" s="48">
        <f t="shared" si="75"/>
        <v>282.72000000000003</v>
      </c>
      <c r="N696" s="48">
        <f t="shared" si="76"/>
        <v>970.44</v>
      </c>
      <c r="O696" s="50">
        <f t="shared" si="77"/>
        <v>1253.1600000000001</v>
      </c>
      <c r="P696" s="50">
        <v>0</v>
      </c>
      <c r="Q696" s="76"/>
      <c r="R696" s="139">
        <f>3*(S9+S10)</f>
        <v>12</v>
      </c>
      <c r="S696" s="79">
        <v>19.239999999999998</v>
      </c>
      <c r="T696" s="80">
        <v>66.040000000000006</v>
      </c>
    </row>
    <row r="697" spans="2:20" ht="28">
      <c r="B697" s="5" t="s">
        <v>1645</v>
      </c>
      <c r="C697" s="45" t="s">
        <v>97</v>
      </c>
      <c r="D697" s="45" t="s">
        <v>1646</v>
      </c>
      <c r="E697" s="6" t="s">
        <v>1647</v>
      </c>
      <c r="F697" s="45" t="s">
        <v>104</v>
      </c>
      <c r="G697" s="46">
        <f t="shared" si="78"/>
        <v>4</v>
      </c>
      <c r="H697" s="46">
        <f>TRUNC(S697*(1-LOTE_02!$K$10),2)</f>
        <v>6643.79</v>
      </c>
      <c r="I697" s="46">
        <f>TRUNC(T697*(1-LOTE_02!$K$10),2)</f>
        <v>1487.99</v>
      </c>
      <c r="J697" s="100">
        <f t="shared" si="79"/>
        <v>0.22470000000000001</v>
      </c>
      <c r="K697" s="48">
        <f t="shared" si="73"/>
        <v>8136.64</v>
      </c>
      <c r="L697" s="48">
        <f t="shared" si="74"/>
        <v>1822.34</v>
      </c>
      <c r="M697" s="48">
        <f t="shared" si="75"/>
        <v>32546.560000000001</v>
      </c>
      <c r="N697" s="48">
        <f t="shared" si="76"/>
        <v>7289.36</v>
      </c>
      <c r="O697" s="50">
        <f t="shared" si="77"/>
        <v>39835.919999999998</v>
      </c>
      <c r="P697" s="50">
        <v>0</v>
      </c>
      <c r="Q697" s="76"/>
      <c r="R697" s="139">
        <f>1*(S9+S10)</f>
        <v>4</v>
      </c>
      <c r="S697" s="79">
        <v>6643.79</v>
      </c>
      <c r="T697" s="80">
        <v>1487.99</v>
      </c>
    </row>
    <row r="698" spans="2:20" ht="28">
      <c r="B698" s="5" t="s">
        <v>1648</v>
      </c>
      <c r="C698" s="45" t="s">
        <v>97</v>
      </c>
      <c r="D698" s="45" t="s">
        <v>331</v>
      </c>
      <c r="E698" s="6" t="s">
        <v>332</v>
      </c>
      <c r="F698" s="45" t="s">
        <v>104</v>
      </c>
      <c r="G698" s="46">
        <f t="shared" si="78"/>
        <v>4</v>
      </c>
      <c r="H698" s="46">
        <f>TRUNC(S698*(1-LOTE_02!$K$10),2)</f>
        <v>6460.25</v>
      </c>
      <c r="I698" s="46">
        <f>TRUNC(T698*(1-LOTE_02!$K$10),2)</f>
        <v>651.99</v>
      </c>
      <c r="J698" s="100">
        <f t="shared" si="79"/>
        <v>0.22470000000000001</v>
      </c>
      <c r="K698" s="48">
        <f t="shared" si="73"/>
        <v>7911.86</v>
      </c>
      <c r="L698" s="48">
        <f t="shared" si="74"/>
        <v>798.49</v>
      </c>
      <c r="M698" s="48">
        <f t="shared" si="75"/>
        <v>31647.439999999999</v>
      </c>
      <c r="N698" s="48">
        <f t="shared" si="76"/>
        <v>3193.96</v>
      </c>
      <c r="O698" s="50">
        <f t="shared" si="77"/>
        <v>34841.4</v>
      </c>
      <c r="P698" s="50">
        <v>0</v>
      </c>
      <c r="Q698" s="76"/>
      <c r="R698" s="139">
        <f>1*(S9+S10)</f>
        <v>4</v>
      </c>
      <c r="S698" s="79">
        <v>6460.25</v>
      </c>
      <c r="T698" s="80">
        <v>651.99</v>
      </c>
    </row>
    <row r="699" spans="2:20" ht="42">
      <c r="B699" s="5" t="s">
        <v>1649</v>
      </c>
      <c r="C699" s="45" t="s">
        <v>97</v>
      </c>
      <c r="D699" s="45" t="s">
        <v>1650</v>
      </c>
      <c r="E699" s="6" t="s">
        <v>1651</v>
      </c>
      <c r="F699" s="45" t="s">
        <v>104</v>
      </c>
      <c r="G699" s="46">
        <f t="shared" si="78"/>
        <v>80</v>
      </c>
      <c r="H699" s="46">
        <f>TRUNC(S699*(1-LOTE_02!$K$10),2)</f>
        <v>11.57</v>
      </c>
      <c r="I699" s="46">
        <f>TRUNC(T699*(1-LOTE_02!$K$10),2)</f>
        <v>50.9</v>
      </c>
      <c r="J699" s="100">
        <f t="shared" si="79"/>
        <v>0.22470000000000001</v>
      </c>
      <c r="K699" s="48">
        <f t="shared" si="73"/>
        <v>14.16</v>
      </c>
      <c r="L699" s="48">
        <f t="shared" si="74"/>
        <v>62.33</v>
      </c>
      <c r="M699" s="48">
        <f t="shared" si="75"/>
        <v>1132.8</v>
      </c>
      <c r="N699" s="48">
        <f t="shared" si="76"/>
        <v>4986.3999999999996</v>
      </c>
      <c r="O699" s="50">
        <f t="shared" si="77"/>
        <v>6119.2</v>
      </c>
      <c r="P699" s="50">
        <v>0</v>
      </c>
      <c r="Q699" s="76"/>
      <c r="R699" s="139">
        <f>20*(S9+S10)</f>
        <v>80</v>
      </c>
      <c r="S699" s="79">
        <v>11.57</v>
      </c>
      <c r="T699" s="80">
        <v>50.9</v>
      </c>
    </row>
    <row r="700" spans="2:20" ht="28">
      <c r="B700" s="5" t="s">
        <v>1652</v>
      </c>
      <c r="C700" s="45" t="s">
        <v>97</v>
      </c>
      <c r="D700" s="45" t="s">
        <v>1653</v>
      </c>
      <c r="E700" s="6" t="s">
        <v>1654</v>
      </c>
      <c r="F700" s="45" t="s">
        <v>104</v>
      </c>
      <c r="G700" s="46">
        <f t="shared" si="78"/>
        <v>8</v>
      </c>
      <c r="H700" s="46">
        <f>TRUNC(S700*(1-LOTE_02!$K$10),2)</f>
        <v>4.92</v>
      </c>
      <c r="I700" s="46">
        <f>TRUNC(T700*(1-LOTE_02!$K$10),2)</f>
        <v>4.12</v>
      </c>
      <c r="J700" s="100">
        <f t="shared" si="79"/>
        <v>0.22470000000000001</v>
      </c>
      <c r="K700" s="48">
        <f t="shared" si="73"/>
        <v>6.02</v>
      </c>
      <c r="L700" s="48">
        <f t="shared" si="74"/>
        <v>5.04</v>
      </c>
      <c r="M700" s="48">
        <f t="shared" si="75"/>
        <v>48.16</v>
      </c>
      <c r="N700" s="48">
        <f t="shared" si="76"/>
        <v>40.32</v>
      </c>
      <c r="O700" s="50">
        <f t="shared" si="77"/>
        <v>88.48</v>
      </c>
      <c r="P700" s="50">
        <v>0</v>
      </c>
      <c r="Q700" s="76"/>
      <c r="R700" s="139">
        <f>2*(S9+S10)</f>
        <v>8</v>
      </c>
      <c r="S700" s="79">
        <v>4.92</v>
      </c>
      <c r="T700" s="80">
        <v>4.12</v>
      </c>
    </row>
    <row r="701" spans="2:20" ht="70">
      <c r="B701" s="5" t="s">
        <v>1655</v>
      </c>
      <c r="C701" s="45" t="s">
        <v>97</v>
      </c>
      <c r="D701" s="45" t="s">
        <v>1656</v>
      </c>
      <c r="E701" s="6" t="s">
        <v>1657</v>
      </c>
      <c r="F701" s="45" t="s">
        <v>104</v>
      </c>
      <c r="G701" s="46">
        <f t="shared" si="78"/>
        <v>4</v>
      </c>
      <c r="H701" s="46">
        <f>TRUNC(S701*(1-LOTE_02!$K$10),2)</f>
        <v>930.96</v>
      </c>
      <c r="I701" s="46">
        <f>TRUNC(T701*(1-LOTE_02!$K$10),2)</f>
        <v>3.3</v>
      </c>
      <c r="J701" s="100">
        <f t="shared" si="79"/>
        <v>0.22470000000000001</v>
      </c>
      <c r="K701" s="48">
        <f t="shared" si="73"/>
        <v>1140.1400000000001</v>
      </c>
      <c r="L701" s="48">
        <f t="shared" si="74"/>
        <v>4.04</v>
      </c>
      <c r="M701" s="48">
        <f t="shared" si="75"/>
        <v>4560.5600000000004</v>
      </c>
      <c r="N701" s="48">
        <f t="shared" si="76"/>
        <v>16.16</v>
      </c>
      <c r="O701" s="50">
        <f t="shared" si="77"/>
        <v>4576.72</v>
      </c>
      <c r="P701" s="50">
        <v>0</v>
      </c>
      <c r="Q701" s="76"/>
      <c r="R701" s="139">
        <f>1*(S9+S10)</f>
        <v>4</v>
      </c>
      <c r="S701" s="79">
        <v>930.96</v>
      </c>
      <c r="T701" s="80">
        <v>3.3</v>
      </c>
    </row>
    <row r="702" spans="2:20" ht="28">
      <c r="B702" s="5" t="s">
        <v>1658</v>
      </c>
      <c r="C702" s="45" t="s">
        <v>97</v>
      </c>
      <c r="D702" s="45" t="s">
        <v>1659</v>
      </c>
      <c r="E702" s="6" t="s">
        <v>1660</v>
      </c>
      <c r="F702" s="45" t="s">
        <v>104</v>
      </c>
      <c r="G702" s="46">
        <f t="shared" si="78"/>
        <v>40</v>
      </c>
      <c r="H702" s="46">
        <f>TRUNC(S702*(1-LOTE_02!$K$10),2)</f>
        <v>2.0699999999999998</v>
      </c>
      <c r="I702" s="46">
        <f>TRUNC(T702*(1-LOTE_02!$K$10),2)</f>
        <v>9.82</v>
      </c>
      <c r="J702" s="100">
        <f t="shared" si="79"/>
        <v>0.22470000000000001</v>
      </c>
      <c r="K702" s="48">
        <f t="shared" si="73"/>
        <v>2.5299999999999998</v>
      </c>
      <c r="L702" s="48">
        <f t="shared" si="74"/>
        <v>12.02</v>
      </c>
      <c r="M702" s="48">
        <f t="shared" si="75"/>
        <v>101.2</v>
      </c>
      <c r="N702" s="48">
        <f t="shared" si="76"/>
        <v>480.8</v>
      </c>
      <c r="O702" s="50">
        <f t="shared" si="77"/>
        <v>582</v>
      </c>
      <c r="P702" s="50">
        <v>0</v>
      </c>
      <c r="Q702" s="76"/>
      <c r="R702" s="139">
        <f>10*(S9+S10)</f>
        <v>40</v>
      </c>
      <c r="S702" s="79">
        <v>2.0699999999999998</v>
      </c>
      <c r="T702" s="80">
        <v>9.82</v>
      </c>
    </row>
    <row r="703" spans="2:20" ht="42">
      <c r="B703" s="5" t="s">
        <v>1661</v>
      </c>
      <c r="C703" s="45" t="s">
        <v>97</v>
      </c>
      <c r="D703" s="45" t="s">
        <v>1662</v>
      </c>
      <c r="E703" s="6" t="s">
        <v>1663</v>
      </c>
      <c r="F703" s="45" t="s">
        <v>104</v>
      </c>
      <c r="G703" s="46">
        <f t="shared" si="78"/>
        <v>4</v>
      </c>
      <c r="H703" s="46">
        <f>TRUNC(S703*(1-LOTE_02!$K$10),2)</f>
        <v>0</v>
      </c>
      <c r="I703" s="46">
        <f>TRUNC(T703*(1-LOTE_02!$K$10),2)</f>
        <v>260</v>
      </c>
      <c r="J703" s="100">
        <f t="shared" si="79"/>
        <v>0.22470000000000001</v>
      </c>
      <c r="K703" s="48">
        <f t="shared" si="73"/>
        <v>0</v>
      </c>
      <c r="L703" s="48">
        <f t="shared" si="74"/>
        <v>318.42</v>
      </c>
      <c r="M703" s="48">
        <f t="shared" si="75"/>
        <v>0</v>
      </c>
      <c r="N703" s="48">
        <f t="shared" si="76"/>
        <v>1273.68</v>
      </c>
      <c r="O703" s="50">
        <f t="shared" si="77"/>
        <v>1273.68</v>
      </c>
      <c r="P703" s="50">
        <v>0</v>
      </c>
      <c r="Q703" s="76"/>
      <c r="R703" s="139">
        <f>1*(S9+S10)</f>
        <v>4</v>
      </c>
      <c r="S703" s="79">
        <v>0</v>
      </c>
      <c r="T703" s="80">
        <v>260</v>
      </c>
    </row>
    <row r="704" spans="2:20" ht="42">
      <c r="B704" s="5" t="s">
        <v>1664</v>
      </c>
      <c r="C704" s="45" t="s">
        <v>97</v>
      </c>
      <c r="D704" s="45" t="s">
        <v>1665</v>
      </c>
      <c r="E704" s="6" t="s">
        <v>1666</v>
      </c>
      <c r="F704" s="45" t="s">
        <v>104</v>
      </c>
      <c r="G704" s="46">
        <f t="shared" si="78"/>
        <v>4</v>
      </c>
      <c r="H704" s="46">
        <f>TRUNC(S704*(1-LOTE_02!$K$10),2)</f>
        <v>0</v>
      </c>
      <c r="I704" s="46">
        <f>TRUNC(T704*(1-LOTE_02!$K$10),2)</f>
        <v>516.83000000000004</v>
      </c>
      <c r="J704" s="100">
        <f t="shared" si="79"/>
        <v>0.22470000000000001</v>
      </c>
      <c r="K704" s="48">
        <f t="shared" si="73"/>
        <v>0</v>
      </c>
      <c r="L704" s="48">
        <f t="shared" si="74"/>
        <v>632.96</v>
      </c>
      <c r="M704" s="48">
        <f t="shared" si="75"/>
        <v>0</v>
      </c>
      <c r="N704" s="48">
        <f t="shared" si="76"/>
        <v>2531.84</v>
      </c>
      <c r="O704" s="50">
        <f t="shared" si="77"/>
        <v>2531.84</v>
      </c>
      <c r="P704" s="50">
        <v>0</v>
      </c>
      <c r="Q704" s="76"/>
      <c r="R704" s="139">
        <f>1*(S9+S10)</f>
        <v>4</v>
      </c>
      <c r="S704" s="79">
        <v>0</v>
      </c>
      <c r="T704" s="80">
        <v>516.83000000000004</v>
      </c>
    </row>
    <row r="705" spans="2:20" ht="42">
      <c r="B705" s="5" t="s">
        <v>1667</v>
      </c>
      <c r="C705" s="45" t="s">
        <v>97</v>
      </c>
      <c r="D705" s="45" t="s">
        <v>1668</v>
      </c>
      <c r="E705" s="6" t="s">
        <v>1669</v>
      </c>
      <c r="F705" s="45" t="s">
        <v>104</v>
      </c>
      <c r="G705" s="46">
        <f t="shared" si="78"/>
        <v>4</v>
      </c>
      <c r="H705" s="46">
        <f>TRUNC(S705*(1-LOTE_02!$K$10),2)</f>
        <v>0</v>
      </c>
      <c r="I705" s="46">
        <f>TRUNC(T705*(1-LOTE_02!$K$10),2)</f>
        <v>779.3</v>
      </c>
      <c r="J705" s="100">
        <f t="shared" si="79"/>
        <v>0.22470000000000001</v>
      </c>
      <c r="K705" s="48">
        <f t="shared" si="73"/>
        <v>0</v>
      </c>
      <c r="L705" s="48">
        <f t="shared" si="74"/>
        <v>954.4</v>
      </c>
      <c r="M705" s="48">
        <f t="shared" si="75"/>
        <v>0</v>
      </c>
      <c r="N705" s="48">
        <f t="shared" si="76"/>
        <v>3817.6</v>
      </c>
      <c r="O705" s="50">
        <f t="shared" si="77"/>
        <v>3817.6</v>
      </c>
      <c r="P705" s="50">
        <v>0</v>
      </c>
      <c r="Q705" s="76"/>
      <c r="R705" s="139">
        <f>1*(S9+S10)</f>
        <v>4</v>
      </c>
      <c r="S705" s="79">
        <v>0</v>
      </c>
      <c r="T705" s="80">
        <v>779.3</v>
      </c>
    </row>
    <row r="706" spans="2:20" ht="42">
      <c r="B706" s="5" t="s">
        <v>1670</v>
      </c>
      <c r="C706" s="45" t="s">
        <v>97</v>
      </c>
      <c r="D706" s="45" t="s">
        <v>1671</v>
      </c>
      <c r="E706" s="6" t="s">
        <v>1672</v>
      </c>
      <c r="F706" s="45" t="s">
        <v>104</v>
      </c>
      <c r="G706" s="46">
        <f t="shared" si="78"/>
        <v>4</v>
      </c>
      <c r="H706" s="46">
        <f>TRUNC(S706*(1-LOTE_02!$K$10),2)</f>
        <v>339.54</v>
      </c>
      <c r="I706" s="46">
        <f>TRUNC(T706*(1-LOTE_02!$K$10),2)</f>
        <v>0</v>
      </c>
      <c r="J706" s="100">
        <f t="shared" si="79"/>
        <v>0.22470000000000001</v>
      </c>
      <c r="K706" s="48">
        <f t="shared" si="73"/>
        <v>415.83</v>
      </c>
      <c r="L706" s="48">
        <f t="shared" si="74"/>
        <v>0</v>
      </c>
      <c r="M706" s="48">
        <f t="shared" si="75"/>
        <v>1663.32</v>
      </c>
      <c r="N706" s="48">
        <f t="shared" si="76"/>
        <v>0</v>
      </c>
      <c r="O706" s="50">
        <f t="shared" si="77"/>
        <v>1663.32</v>
      </c>
      <c r="P706" s="50">
        <v>0</v>
      </c>
      <c r="Q706" s="76"/>
      <c r="R706" s="139">
        <f>1*(S9+S10)</f>
        <v>4</v>
      </c>
      <c r="S706" s="79">
        <v>339.54</v>
      </c>
      <c r="T706" s="80">
        <v>0</v>
      </c>
    </row>
    <row r="707" spans="2:20" ht="42">
      <c r="B707" s="5" t="s">
        <v>1673</v>
      </c>
      <c r="C707" s="45" t="s">
        <v>97</v>
      </c>
      <c r="D707" s="45" t="s">
        <v>1674</v>
      </c>
      <c r="E707" s="6" t="s">
        <v>1675</v>
      </c>
      <c r="F707" s="45" t="s">
        <v>104</v>
      </c>
      <c r="G707" s="46">
        <f t="shared" si="78"/>
        <v>4</v>
      </c>
      <c r="H707" s="46">
        <f>TRUNC(S707*(1-LOTE_02!$K$10),2)</f>
        <v>0</v>
      </c>
      <c r="I707" s="46">
        <f>TRUNC(T707*(1-LOTE_02!$K$10),2)</f>
        <v>667.87</v>
      </c>
      <c r="J707" s="100">
        <f t="shared" si="79"/>
        <v>0.22470000000000001</v>
      </c>
      <c r="K707" s="48">
        <f t="shared" si="73"/>
        <v>0</v>
      </c>
      <c r="L707" s="48">
        <f t="shared" si="74"/>
        <v>817.94</v>
      </c>
      <c r="M707" s="48">
        <f t="shared" si="75"/>
        <v>0</v>
      </c>
      <c r="N707" s="48">
        <f t="shared" si="76"/>
        <v>3271.76</v>
      </c>
      <c r="O707" s="50">
        <f t="shared" si="77"/>
        <v>3271.76</v>
      </c>
      <c r="P707" s="50">
        <v>0</v>
      </c>
      <c r="Q707" s="76"/>
      <c r="R707" s="139">
        <f>1*(S9+S10)</f>
        <v>4</v>
      </c>
      <c r="S707" s="79">
        <v>0</v>
      </c>
      <c r="T707" s="80">
        <v>667.87</v>
      </c>
    </row>
    <row r="708" spans="2:20" ht="42">
      <c r="B708" s="5" t="s">
        <v>1676</v>
      </c>
      <c r="C708" s="45" t="s">
        <v>97</v>
      </c>
      <c r="D708" s="45" t="s">
        <v>1677</v>
      </c>
      <c r="E708" s="6" t="s">
        <v>1678</v>
      </c>
      <c r="F708" s="45" t="s">
        <v>104</v>
      </c>
      <c r="G708" s="46">
        <f t="shared" si="78"/>
        <v>8</v>
      </c>
      <c r="H708" s="46">
        <f>TRUNC(S708*(1-LOTE_02!$K$10),2)</f>
        <v>235.56</v>
      </c>
      <c r="I708" s="46">
        <f>TRUNC(T708*(1-LOTE_02!$K$10),2)</f>
        <v>22.43</v>
      </c>
      <c r="J708" s="100">
        <f t="shared" si="79"/>
        <v>0.22470000000000001</v>
      </c>
      <c r="K708" s="48">
        <f t="shared" si="73"/>
        <v>288.49</v>
      </c>
      <c r="L708" s="48">
        <f t="shared" si="74"/>
        <v>27.47</v>
      </c>
      <c r="M708" s="48">
        <f t="shared" si="75"/>
        <v>2307.92</v>
      </c>
      <c r="N708" s="48">
        <f t="shared" si="76"/>
        <v>219.76</v>
      </c>
      <c r="O708" s="50">
        <f t="shared" si="77"/>
        <v>2527.6799999999998</v>
      </c>
      <c r="P708" s="50">
        <v>0</v>
      </c>
      <c r="Q708" s="76"/>
      <c r="R708" s="139">
        <f>2*(S9+S10)</f>
        <v>8</v>
      </c>
      <c r="S708" s="79">
        <v>235.56</v>
      </c>
      <c r="T708" s="80">
        <v>22.43</v>
      </c>
    </row>
    <row r="709" spans="2:20" ht="28">
      <c r="B709" s="5" t="s">
        <v>1679</v>
      </c>
      <c r="C709" s="45" t="s">
        <v>97</v>
      </c>
      <c r="D709" s="45" t="s">
        <v>1680</v>
      </c>
      <c r="E709" s="6" t="s">
        <v>1681</v>
      </c>
      <c r="F709" s="45" t="s">
        <v>104</v>
      </c>
      <c r="G709" s="46">
        <f t="shared" si="78"/>
        <v>8</v>
      </c>
      <c r="H709" s="46">
        <f>TRUNC(S709*(1-LOTE_02!$K$10),2)</f>
        <v>4.68</v>
      </c>
      <c r="I709" s="46">
        <f>TRUNC(T709*(1-LOTE_02!$K$10),2)</f>
        <v>19.47</v>
      </c>
      <c r="J709" s="100">
        <f t="shared" si="79"/>
        <v>0.22470000000000001</v>
      </c>
      <c r="K709" s="48">
        <f t="shared" si="73"/>
        <v>5.73</v>
      </c>
      <c r="L709" s="48">
        <f t="shared" si="74"/>
        <v>23.84</v>
      </c>
      <c r="M709" s="48">
        <f t="shared" si="75"/>
        <v>45.84</v>
      </c>
      <c r="N709" s="48">
        <f t="shared" si="76"/>
        <v>190.72</v>
      </c>
      <c r="O709" s="50">
        <f t="shared" si="77"/>
        <v>236.56</v>
      </c>
      <c r="P709" s="50">
        <v>0</v>
      </c>
      <c r="Q709" s="76"/>
      <c r="R709" s="139">
        <f>2*(S9+S10)</f>
        <v>8</v>
      </c>
      <c r="S709" s="79">
        <v>4.68</v>
      </c>
      <c r="T709" s="80">
        <v>19.47</v>
      </c>
    </row>
    <row r="710" spans="2:20" ht="28">
      <c r="B710" s="5" t="s">
        <v>1682</v>
      </c>
      <c r="C710" s="45" t="s">
        <v>165</v>
      </c>
      <c r="D710" s="45" t="s">
        <v>1683</v>
      </c>
      <c r="E710" s="6" t="s">
        <v>1684</v>
      </c>
      <c r="F710" s="45" t="s">
        <v>531</v>
      </c>
      <c r="G710" s="46">
        <f t="shared" si="78"/>
        <v>20</v>
      </c>
      <c r="H710" s="46">
        <f>TRUNC(S710*(1-LOTE_02!$K$10),2)</f>
        <v>24.35</v>
      </c>
      <c r="I710" s="46">
        <f>TRUNC(T710*(1-LOTE_02!$K$10),2)</f>
        <v>2.64</v>
      </c>
      <c r="J710" s="100">
        <f t="shared" si="79"/>
        <v>0.22470000000000001</v>
      </c>
      <c r="K710" s="48">
        <f t="shared" si="73"/>
        <v>29.82</v>
      </c>
      <c r="L710" s="48">
        <f t="shared" si="74"/>
        <v>3.23</v>
      </c>
      <c r="M710" s="48">
        <f t="shared" si="75"/>
        <v>596.4</v>
      </c>
      <c r="N710" s="48">
        <f t="shared" si="76"/>
        <v>64.599999999999994</v>
      </c>
      <c r="O710" s="50">
        <f t="shared" si="77"/>
        <v>661</v>
      </c>
      <c r="P710" s="50">
        <v>0</v>
      </c>
      <c r="Q710" s="76"/>
      <c r="R710" s="139">
        <f>5*(S9+S10)</f>
        <v>20</v>
      </c>
      <c r="S710" s="79">
        <v>24.35</v>
      </c>
      <c r="T710" s="80">
        <v>2.64</v>
      </c>
    </row>
    <row r="711" spans="2:20" ht="42">
      <c r="B711" s="5" t="s">
        <v>1685</v>
      </c>
      <c r="C711" s="45" t="s">
        <v>97</v>
      </c>
      <c r="D711" s="45" t="s">
        <v>1686</v>
      </c>
      <c r="E711" s="6" t="s">
        <v>1687</v>
      </c>
      <c r="F711" s="45" t="s">
        <v>187</v>
      </c>
      <c r="G711" s="46">
        <f t="shared" si="78"/>
        <v>20</v>
      </c>
      <c r="H711" s="46">
        <f>TRUNC(S711*(1-LOTE_02!$K$10),2)</f>
        <v>9.3800000000000008</v>
      </c>
      <c r="I711" s="46">
        <f>TRUNC(T711*(1-LOTE_02!$K$10),2)</f>
        <v>1.32</v>
      </c>
      <c r="J711" s="100">
        <f t="shared" si="79"/>
        <v>0.22470000000000001</v>
      </c>
      <c r="K711" s="48">
        <f t="shared" si="73"/>
        <v>11.48</v>
      </c>
      <c r="L711" s="48">
        <f t="shared" si="74"/>
        <v>1.61</v>
      </c>
      <c r="M711" s="48">
        <f t="shared" si="75"/>
        <v>229.6</v>
      </c>
      <c r="N711" s="48">
        <f t="shared" si="76"/>
        <v>32.200000000000003</v>
      </c>
      <c r="O711" s="50">
        <f t="shared" si="77"/>
        <v>261.8</v>
      </c>
      <c r="P711" s="50">
        <v>0</v>
      </c>
      <c r="Q711" s="76"/>
      <c r="R711" s="139">
        <f>5*(S9+S10)</f>
        <v>20</v>
      </c>
      <c r="S711" s="79">
        <v>9.3800000000000008</v>
      </c>
      <c r="T711" s="80">
        <v>1.32</v>
      </c>
    </row>
    <row r="712" spans="2:20" ht="28">
      <c r="B712" s="5" t="s">
        <v>1688</v>
      </c>
      <c r="C712" s="45" t="s">
        <v>97</v>
      </c>
      <c r="D712" s="45" t="s">
        <v>1689</v>
      </c>
      <c r="E712" s="6" t="s">
        <v>1690</v>
      </c>
      <c r="F712" s="45" t="s">
        <v>519</v>
      </c>
      <c r="G712" s="46">
        <f t="shared" si="78"/>
        <v>20</v>
      </c>
      <c r="H712" s="46">
        <f>TRUNC(S712*(1-LOTE_02!$K$10),2)</f>
        <v>44.78</v>
      </c>
      <c r="I712" s="46">
        <f>TRUNC(T712*(1-LOTE_02!$K$10),2)</f>
        <v>7.85</v>
      </c>
      <c r="J712" s="100">
        <f t="shared" si="79"/>
        <v>0.22470000000000001</v>
      </c>
      <c r="K712" s="48">
        <f t="shared" si="73"/>
        <v>54.84</v>
      </c>
      <c r="L712" s="48">
        <f t="shared" si="74"/>
        <v>9.61</v>
      </c>
      <c r="M712" s="48">
        <f t="shared" si="75"/>
        <v>1096.8</v>
      </c>
      <c r="N712" s="48">
        <f t="shared" si="76"/>
        <v>192.2</v>
      </c>
      <c r="O712" s="50">
        <f t="shared" si="77"/>
        <v>1289</v>
      </c>
      <c r="P712" s="50">
        <v>0</v>
      </c>
      <c r="Q712" s="76"/>
      <c r="R712" s="139">
        <f>5*(S9+S10)</f>
        <v>20</v>
      </c>
      <c r="S712" s="79">
        <v>44.78</v>
      </c>
      <c r="T712" s="80">
        <v>7.85</v>
      </c>
    </row>
    <row r="713" spans="2:20" ht="28">
      <c r="B713" s="5" t="s">
        <v>1691</v>
      </c>
      <c r="C713" s="45" t="s">
        <v>165</v>
      </c>
      <c r="D713" s="45" t="s">
        <v>1692</v>
      </c>
      <c r="E713" s="6" t="s">
        <v>1693</v>
      </c>
      <c r="F713" s="45" t="s">
        <v>182</v>
      </c>
      <c r="G713" s="46">
        <f t="shared" si="78"/>
        <v>8</v>
      </c>
      <c r="H713" s="46">
        <f>TRUNC(S713*(1-LOTE_02!$K$10),2)</f>
        <v>305.44</v>
      </c>
      <c r="I713" s="46">
        <f>TRUNC(T713*(1-LOTE_02!$K$10),2)</f>
        <v>21.09</v>
      </c>
      <c r="J713" s="100">
        <f t="shared" si="79"/>
        <v>0.22470000000000001</v>
      </c>
      <c r="K713" s="48">
        <f t="shared" si="73"/>
        <v>374.07</v>
      </c>
      <c r="L713" s="48">
        <f t="shared" si="74"/>
        <v>25.82</v>
      </c>
      <c r="M713" s="48">
        <f t="shared" si="75"/>
        <v>2992.56</v>
      </c>
      <c r="N713" s="48">
        <f t="shared" si="76"/>
        <v>206.56</v>
      </c>
      <c r="O713" s="50">
        <f t="shared" si="77"/>
        <v>3199.12</v>
      </c>
      <c r="P713" s="50">
        <v>0</v>
      </c>
      <c r="Q713" s="76"/>
      <c r="R713" s="139">
        <f>2*(S9+S10)</f>
        <v>8</v>
      </c>
      <c r="S713" s="79">
        <v>305.44</v>
      </c>
      <c r="T713" s="80">
        <v>21.09</v>
      </c>
    </row>
    <row r="714" spans="2:20" ht="28">
      <c r="B714" s="5" t="s">
        <v>1694</v>
      </c>
      <c r="C714" s="45" t="s">
        <v>165</v>
      </c>
      <c r="D714" s="45" t="s">
        <v>1695</v>
      </c>
      <c r="E714" s="6" t="s">
        <v>1696</v>
      </c>
      <c r="F714" s="45" t="s">
        <v>559</v>
      </c>
      <c r="G714" s="46">
        <f t="shared" si="78"/>
        <v>12</v>
      </c>
      <c r="H714" s="46">
        <f>TRUNC(S714*(1-LOTE_02!$K$10),2)</f>
        <v>49.4</v>
      </c>
      <c r="I714" s="46">
        <f>TRUNC(T714*(1-LOTE_02!$K$10),2)</f>
        <v>2.83</v>
      </c>
      <c r="J714" s="100">
        <f t="shared" si="79"/>
        <v>0.22470000000000001</v>
      </c>
      <c r="K714" s="48">
        <f t="shared" si="73"/>
        <v>60.5</v>
      </c>
      <c r="L714" s="48">
        <f t="shared" si="74"/>
        <v>3.46</v>
      </c>
      <c r="M714" s="48">
        <f t="shared" si="75"/>
        <v>726</v>
      </c>
      <c r="N714" s="48">
        <f t="shared" si="76"/>
        <v>41.52</v>
      </c>
      <c r="O714" s="50">
        <f t="shared" si="77"/>
        <v>767.52</v>
      </c>
      <c r="P714" s="50">
        <v>0</v>
      </c>
      <c r="Q714" s="76"/>
      <c r="R714" s="139">
        <f>3*(S9+S10)</f>
        <v>12</v>
      </c>
      <c r="S714" s="79">
        <v>49.4</v>
      </c>
      <c r="T714" s="80">
        <v>2.83</v>
      </c>
    </row>
    <row r="715" spans="2:20">
      <c r="B715" s="101" t="s">
        <v>1697</v>
      </c>
      <c r="C715" s="102" t="s">
        <v>21</v>
      </c>
      <c r="D715" s="102" t="s">
        <v>21</v>
      </c>
      <c r="E715" s="103" t="s">
        <v>62</v>
      </c>
      <c r="F715" s="102" t="s">
        <v>21</v>
      </c>
      <c r="G715" s="46">
        <f t="shared" si="78"/>
        <v>0</v>
      </c>
      <c r="H715" s="46"/>
      <c r="I715" s="46"/>
      <c r="J715" s="105"/>
      <c r="K715" s="48">
        <f t="shared" si="73"/>
        <v>0</v>
      </c>
      <c r="L715" s="48">
        <f t="shared" si="74"/>
        <v>0</v>
      </c>
      <c r="M715" s="48">
        <f t="shared" si="75"/>
        <v>0</v>
      </c>
      <c r="N715" s="48">
        <f t="shared" si="76"/>
        <v>0</v>
      </c>
      <c r="O715" s="50">
        <f t="shared" si="77"/>
        <v>0</v>
      </c>
      <c r="P715" s="104">
        <f>SUM(O716:O737)</f>
        <v>146760.48000000001</v>
      </c>
      <c r="Q715" s="76"/>
      <c r="R715" s="139"/>
      <c r="S715" s="79" t="s">
        <v>22</v>
      </c>
      <c r="T715" s="80" t="s">
        <v>22</v>
      </c>
    </row>
    <row r="716" spans="2:20" ht="28">
      <c r="B716" s="5" t="s">
        <v>1698</v>
      </c>
      <c r="C716" s="45" t="s">
        <v>165</v>
      </c>
      <c r="D716" s="45" t="s">
        <v>1699</v>
      </c>
      <c r="E716" s="6" t="s">
        <v>1700</v>
      </c>
      <c r="F716" s="45" t="s">
        <v>168</v>
      </c>
      <c r="G716" s="46">
        <f t="shared" si="78"/>
        <v>1600</v>
      </c>
      <c r="H716" s="46">
        <f>TRUNC(S716*(1-LOTE_02!$K$10),2)</f>
        <v>0</v>
      </c>
      <c r="I716" s="46">
        <f>TRUNC(T716*(1-LOTE_02!$K$10),2)</f>
        <v>9.2200000000000006</v>
      </c>
      <c r="J716" s="100">
        <f t="shared" si="79"/>
        <v>0.22470000000000001</v>
      </c>
      <c r="K716" s="48">
        <f t="shared" si="73"/>
        <v>0</v>
      </c>
      <c r="L716" s="48">
        <f t="shared" si="74"/>
        <v>11.29</v>
      </c>
      <c r="M716" s="48">
        <f t="shared" si="75"/>
        <v>0</v>
      </c>
      <c r="N716" s="48">
        <f t="shared" si="76"/>
        <v>18064</v>
      </c>
      <c r="O716" s="50">
        <f t="shared" si="77"/>
        <v>18064</v>
      </c>
      <c r="P716" s="50">
        <v>0</v>
      </c>
      <c r="Q716" s="76"/>
      <c r="R716" s="139">
        <f>400*(S9+S10)</f>
        <v>1600</v>
      </c>
      <c r="S716" s="79">
        <v>0</v>
      </c>
      <c r="T716" s="80">
        <v>9.2200000000000006</v>
      </c>
    </row>
    <row r="717" spans="2:20" ht="28">
      <c r="B717" s="5" t="s">
        <v>1701</v>
      </c>
      <c r="C717" s="45" t="s">
        <v>97</v>
      </c>
      <c r="D717" s="45" t="s">
        <v>1702</v>
      </c>
      <c r="E717" s="6" t="s">
        <v>1703</v>
      </c>
      <c r="F717" s="45" t="s">
        <v>104</v>
      </c>
      <c r="G717" s="46">
        <f t="shared" si="78"/>
        <v>4</v>
      </c>
      <c r="H717" s="46">
        <f>TRUNC(S717*(1-LOTE_02!$K$10),2)</f>
        <v>266</v>
      </c>
      <c r="I717" s="46">
        <f>TRUNC(T717*(1-LOTE_02!$K$10),2)</f>
        <v>0</v>
      </c>
      <c r="J717" s="100">
        <f t="shared" si="79"/>
        <v>0.22470000000000001</v>
      </c>
      <c r="K717" s="48">
        <f t="shared" si="73"/>
        <v>325.77</v>
      </c>
      <c r="L717" s="48">
        <f t="shared" si="74"/>
        <v>0</v>
      </c>
      <c r="M717" s="48">
        <f t="shared" si="75"/>
        <v>1303.08</v>
      </c>
      <c r="N717" s="48">
        <f t="shared" si="76"/>
        <v>0</v>
      </c>
      <c r="O717" s="50">
        <f t="shared" si="77"/>
        <v>1303.08</v>
      </c>
      <c r="P717" s="50">
        <v>0</v>
      </c>
      <c r="Q717" s="76"/>
      <c r="R717" s="139">
        <f>1*(S9+S10)</f>
        <v>4</v>
      </c>
      <c r="S717" s="79">
        <v>266</v>
      </c>
      <c r="T717" s="80">
        <v>0</v>
      </c>
    </row>
    <row r="718" spans="2:20" ht="42">
      <c r="B718" s="5" t="s">
        <v>1704</v>
      </c>
      <c r="C718" s="45" t="s">
        <v>135</v>
      </c>
      <c r="D718" s="45">
        <v>99814</v>
      </c>
      <c r="E718" s="6" t="s">
        <v>1839</v>
      </c>
      <c r="F718" s="45" t="s">
        <v>121</v>
      </c>
      <c r="G718" s="46">
        <f t="shared" si="78"/>
        <v>4</v>
      </c>
      <c r="H718" s="46">
        <f>TRUNC(S718*(1-LOTE_02!$K$10),2)</f>
        <v>0.38</v>
      </c>
      <c r="I718" s="46">
        <f>TRUNC(T718*(1-LOTE_02!$K$10),2)</f>
        <v>1.1200000000000001</v>
      </c>
      <c r="J718" s="100">
        <f t="shared" si="79"/>
        <v>0.22470000000000001</v>
      </c>
      <c r="K718" s="48">
        <f t="shared" si="73"/>
        <v>0.46</v>
      </c>
      <c r="L718" s="48">
        <f t="shared" si="74"/>
        <v>1.37</v>
      </c>
      <c r="M718" s="48">
        <f t="shared" si="75"/>
        <v>1.84</v>
      </c>
      <c r="N718" s="48">
        <f t="shared" si="76"/>
        <v>5.48</v>
      </c>
      <c r="O718" s="50">
        <f t="shared" si="77"/>
        <v>7.32</v>
      </c>
      <c r="P718" s="50">
        <v>0</v>
      </c>
      <c r="Q718" s="76"/>
      <c r="R718" s="139">
        <f>1*(S9+S10)</f>
        <v>4</v>
      </c>
      <c r="S718" s="79">
        <v>0.37999999999999989</v>
      </c>
      <c r="T718" s="80">
        <v>1.1200000000000001</v>
      </c>
    </row>
    <row r="719" spans="2:20" ht="28">
      <c r="B719" s="5" t="s">
        <v>1705</v>
      </c>
      <c r="C719" s="45" t="s">
        <v>135</v>
      </c>
      <c r="D719" s="45">
        <v>98524</v>
      </c>
      <c r="E719" s="6" t="s">
        <v>1706</v>
      </c>
      <c r="F719" s="45" t="s">
        <v>121</v>
      </c>
      <c r="G719" s="46">
        <f t="shared" si="78"/>
        <v>4</v>
      </c>
      <c r="H719" s="46">
        <f>TRUNC(S719*(1-LOTE_02!$K$10),2)</f>
        <v>1.04</v>
      </c>
      <c r="I719" s="46">
        <f>TRUNC(T719*(1-LOTE_02!$K$10),2)</f>
        <v>3.5</v>
      </c>
      <c r="J719" s="100">
        <f t="shared" si="79"/>
        <v>0.22470000000000001</v>
      </c>
      <c r="K719" s="48">
        <f t="shared" si="73"/>
        <v>1.27</v>
      </c>
      <c r="L719" s="48">
        <f t="shared" si="74"/>
        <v>4.28</v>
      </c>
      <c r="M719" s="48">
        <f t="shared" si="75"/>
        <v>5.08</v>
      </c>
      <c r="N719" s="48">
        <f t="shared" si="76"/>
        <v>17.12</v>
      </c>
      <c r="O719" s="50">
        <f t="shared" si="77"/>
        <v>22.2</v>
      </c>
      <c r="P719" s="50">
        <v>0</v>
      </c>
      <c r="Q719" s="76"/>
      <c r="R719" s="139">
        <f>1*(S9+S10)</f>
        <v>4</v>
      </c>
      <c r="S719" s="79">
        <v>1.04</v>
      </c>
      <c r="T719" s="80">
        <v>3.5</v>
      </c>
    </row>
    <row r="720" spans="2:20" ht="42">
      <c r="B720" s="5" t="s">
        <v>1707</v>
      </c>
      <c r="C720" s="45" t="s">
        <v>135</v>
      </c>
      <c r="D720" s="45">
        <v>98531</v>
      </c>
      <c r="E720" s="6" t="s">
        <v>1708</v>
      </c>
      <c r="F720" s="45" t="s">
        <v>210</v>
      </c>
      <c r="G720" s="46">
        <f t="shared" si="78"/>
        <v>4</v>
      </c>
      <c r="H720" s="46">
        <f>TRUNC(S720*(1-LOTE_02!$K$10),2)</f>
        <v>186.9</v>
      </c>
      <c r="I720" s="46">
        <f>TRUNC(T720*(1-LOTE_02!$K$10),2)</f>
        <v>183.34</v>
      </c>
      <c r="J720" s="100">
        <f t="shared" si="79"/>
        <v>0.22470000000000001</v>
      </c>
      <c r="K720" s="48">
        <f t="shared" ref="K720:K737" si="81">TRUNC(H720*(1+J720),2)</f>
        <v>228.89</v>
      </c>
      <c r="L720" s="48">
        <f t="shared" ref="L720:L737" si="82">TRUNC(I720*(1+J720),2)</f>
        <v>224.53</v>
      </c>
      <c r="M720" s="48">
        <f t="shared" ref="M720:M737" si="83">TRUNC(K720*G720,2)</f>
        <v>915.56</v>
      </c>
      <c r="N720" s="48">
        <f t="shared" ref="N720:N737" si="84">TRUNC(L720*G720,2)</f>
        <v>898.12</v>
      </c>
      <c r="O720" s="50">
        <f t="shared" ref="O720:O737" si="85">TRUNC(M720+N720,2)</f>
        <v>1813.68</v>
      </c>
      <c r="P720" s="50">
        <v>0</v>
      </c>
      <c r="Q720" s="76"/>
      <c r="R720" s="139">
        <f>1*(S9+S10)</f>
        <v>4</v>
      </c>
      <c r="S720" s="79">
        <v>186.9</v>
      </c>
      <c r="T720" s="80">
        <v>183.34</v>
      </c>
    </row>
    <row r="721" spans="2:20" ht="42">
      <c r="B721" s="5" t="s">
        <v>1709</v>
      </c>
      <c r="C721" s="45" t="s">
        <v>135</v>
      </c>
      <c r="D721" s="45">
        <v>99805</v>
      </c>
      <c r="E721" s="6" t="s">
        <v>1840</v>
      </c>
      <c r="F721" s="45" t="s">
        <v>121</v>
      </c>
      <c r="G721" s="46">
        <f t="shared" si="78"/>
        <v>1600</v>
      </c>
      <c r="H721" s="46">
        <f>TRUNC(S721*(1-LOTE_02!$K$10),2)</f>
        <v>2.85</v>
      </c>
      <c r="I721" s="46">
        <f>TRUNC(T721*(1-LOTE_02!$K$10),2)</f>
        <v>7.38</v>
      </c>
      <c r="J721" s="100">
        <f t="shared" si="79"/>
        <v>0.22470000000000001</v>
      </c>
      <c r="K721" s="48">
        <f t="shared" si="81"/>
        <v>3.49</v>
      </c>
      <c r="L721" s="48">
        <f t="shared" si="82"/>
        <v>9.0299999999999994</v>
      </c>
      <c r="M721" s="48">
        <f t="shared" si="83"/>
        <v>5584</v>
      </c>
      <c r="N721" s="48">
        <f t="shared" si="84"/>
        <v>14448</v>
      </c>
      <c r="O721" s="50">
        <f t="shared" si="85"/>
        <v>20032</v>
      </c>
      <c r="P721" s="50">
        <v>0</v>
      </c>
      <c r="Q721" s="76"/>
      <c r="R721" s="139">
        <f>400*(S9+S10)</f>
        <v>1600</v>
      </c>
      <c r="S721" s="79">
        <v>2.8500000000000005</v>
      </c>
      <c r="T721" s="80">
        <v>7.38</v>
      </c>
    </row>
    <row r="722" spans="2:20" ht="42">
      <c r="B722" s="5" t="s">
        <v>1710</v>
      </c>
      <c r="C722" s="45" t="s">
        <v>135</v>
      </c>
      <c r="D722" s="45">
        <v>99802</v>
      </c>
      <c r="E722" s="6" t="s">
        <v>1841</v>
      </c>
      <c r="F722" s="45" t="s">
        <v>121</v>
      </c>
      <c r="G722" s="46">
        <f t="shared" ref="G722:G737" si="86">TRUNC(R722,2)</f>
        <v>1600</v>
      </c>
      <c r="H722" s="46">
        <f>TRUNC(S722*(1-LOTE_02!$K$10),2)</f>
        <v>0.12</v>
      </c>
      <c r="I722" s="46">
        <f>TRUNC(T722*(1-LOTE_02!$K$10),2)</f>
        <v>0.37</v>
      </c>
      <c r="J722" s="100">
        <f t="shared" ref="J722:J737" si="87">$J$4</f>
        <v>0.22470000000000001</v>
      </c>
      <c r="K722" s="48">
        <f t="shared" si="81"/>
        <v>0.14000000000000001</v>
      </c>
      <c r="L722" s="48">
        <f t="shared" si="82"/>
        <v>0.45</v>
      </c>
      <c r="M722" s="48">
        <f t="shared" si="83"/>
        <v>224</v>
      </c>
      <c r="N722" s="48">
        <f t="shared" si="84"/>
        <v>720</v>
      </c>
      <c r="O722" s="50">
        <f t="shared" si="85"/>
        <v>944</v>
      </c>
      <c r="P722" s="50">
        <v>0</v>
      </c>
      <c r="Q722" s="76"/>
      <c r="R722" s="139">
        <f>400*(S9+S10)</f>
        <v>1600</v>
      </c>
      <c r="S722" s="79">
        <v>0.12</v>
      </c>
      <c r="T722" s="80">
        <v>0.37</v>
      </c>
    </row>
    <row r="723" spans="2:20" ht="42">
      <c r="B723" s="5" t="s">
        <v>1711</v>
      </c>
      <c r="C723" s="45" t="s">
        <v>135</v>
      </c>
      <c r="D723" s="45">
        <v>99803</v>
      </c>
      <c r="E723" s="6" t="s">
        <v>1842</v>
      </c>
      <c r="F723" s="45" t="s">
        <v>121</v>
      </c>
      <c r="G723" s="46">
        <f t="shared" si="86"/>
        <v>200</v>
      </c>
      <c r="H723" s="46">
        <f>TRUNC(S723*(1-LOTE_02!$K$10),2)</f>
        <v>0.84</v>
      </c>
      <c r="I723" s="46">
        <f>TRUNC(T723*(1-LOTE_02!$K$10),2)</f>
        <v>2.87</v>
      </c>
      <c r="J723" s="100">
        <f t="shared" si="87"/>
        <v>0.22470000000000001</v>
      </c>
      <c r="K723" s="48">
        <f t="shared" si="81"/>
        <v>1.02</v>
      </c>
      <c r="L723" s="48">
        <f t="shared" si="82"/>
        <v>3.51</v>
      </c>
      <c r="M723" s="48">
        <f t="shared" si="83"/>
        <v>204</v>
      </c>
      <c r="N723" s="48">
        <f t="shared" si="84"/>
        <v>702</v>
      </c>
      <c r="O723" s="50">
        <f t="shared" si="85"/>
        <v>906</v>
      </c>
      <c r="P723" s="50">
        <v>0</v>
      </c>
      <c r="Q723" s="76"/>
      <c r="R723" s="139">
        <f>50*(S9+S10)</f>
        <v>200</v>
      </c>
      <c r="S723" s="79">
        <v>0.83999999999999986</v>
      </c>
      <c r="T723" s="80">
        <v>2.87</v>
      </c>
    </row>
    <row r="724" spans="2:20" ht="56">
      <c r="B724" s="5" t="s">
        <v>1712</v>
      </c>
      <c r="C724" s="45" t="s">
        <v>135</v>
      </c>
      <c r="D724" s="45">
        <v>99810</v>
      </c>
      <c r="E724" s="6" t="s">
        <v>1843</v>
      </c>
      <c r="F724" s="45" t="s">
        <v>121</v>
      </c>
      <c r="G724" s="46">
        <f t="shared" si="86"/>
        <v>1600</v>
      </c>
      <c r="H724" s="46">
        <f>TRUNC(S724*(1-LOTE_02!$K$10),2)</f>
        <v>1.42</v>
      </c>
      <c r="I724" s="46">
        <f>TRUNC(T724*(1-LOTE_02!$K$10),2)</f>
        <v>4.6100000000000003</v>
      </c>
      <c r="J724" s="100">
        <f t="shared" si="87"/>
        <v>0.22470000000000001</v>
      </c>
      <c r="K724" s="48">
        <f t="shared" si="81"/>
        <v>1.73</v>
      </c>
      <c r="L724" s="48">
        <f t="shared" si="82"/>
        <v>5.64</v>
      </c>
      <c r="M724" s="48">
        <f t="shared" si="83"/>
        <v>2768</v>
      </c>
      <c r="N724" s="48">
        <f t="shared" si="84"/>
        <v>9024</v>
      </c>
      <c r="O724" s="50">
        <f t="shared" si="85"/>
        <v>11792</v>
      </c>
      <c r="P724" s="50">
        <v>0</v>
      </c>
      <c r="Q724" s="76"/>
      <c r="R724" s="139">
        <f>400*(S9+S10)</f>
        <v>1600</v>
      </c>
      <c r="S724" s="79">
        <v>1.42</v>
      </c>
      <c r="T724" s="80">
        <v>4.6100000000000003</v>
      </c>
    </row>
    <row r="725" spans="2:20" ht="42">
      <c r="B725" s="5" t="s">
        <v>1713</v>
      </c>
      <c r="C725" s="45" t="s">
        <v>135</v>
      </c>
      <c r="D725" s="45">
        <v>99806</v>
      </c>
      <c r="E725" s="6" t="s">
        <v>1844</v>
      </c>
      <c r="F725" s="45" t="s">
        <v>121</v>
      </c>
      <c r="G725" s="46">
        <f t="shared" si="86"/>
        <v>1600</v>
      </c>
      <c r="H725" s="46">
        <f>TRUNC(S725*(1-LOTE_02!$K$10),2)</f>
        <v>0.62</v>
      </c>
      <c r="I725" s="46">
        <f>TRUNC(T725*(1-LOTE_02!$K$10),2)</f>
        <v>2.06</v>
      </c>
      <c r="J725" s="100">
        <f t="shared" si="87"/>
        <v>0.22470000000000001</v>
      </c>
      <c r="K725" s="48">
        <f t="shared" si="81"/>
        <v>0.75</v>
      </c>
      <c r="L725" s="48">
        <f t="shared" si="82"/>
        <v>2.52</v>
      </c>
      <c r="M725" s="48">
        <f t="shared" si="83"/>
        <v>1200</v>
      </c>
      <c r="N725" s="48">
        <f t="shared" si="84"/>
        <v>4032</v>
      </c>
      <c r="O725" s="50">
        <f t="shared" si="85"/>
        <v>5232</v>
      </c>
      <c r="P725" s="50">
        <v>0</v>
      </c>
      <c r="Q725" s="76"/>
      <c r="R725" s="139">
        <f>400*(S9+S10)</f>
        <v>1600</v>
      </c>
      <c r="S725" s="79">
        <v>0.62000000000000011</v>
      </c>
      <c r="T725" s="80">
        <v>2.06</v>
      </c>
    </row>
    <row r="726" spans="2:20">
      <c r="B726" s="5" t="s">
        <v>1714</v>
      </c>
      <c r="C726" s="45" t="s">
        <v>97</v>
      </c>
      <c r="D726" s="45" t="s">
        <v>1717</v>
      </c>
      <c r="E726" s="6" t="s">
        <v>1718</v>
      </c>
      <c r="F726" s="45" t="s">
        <v>121</v>
      </c>
      <c r="G726" s="46">
        <f t="shared" si="86"/>
        <v>200</v>
      </c>
      <c r="H726" s="46">
        <f>TRUNC(S726*(1-LOTE_02!$K$10),2)</f>
        <v>3.74</v>
      </c>
      <c r="I726" s="46">
        <f>TRUNC(T726*(1-LOTE_02!$K$10),2)</f>
        <v>9.9</v>
      </c>
      <c r="J726" s="100">
        <f t="shared" si="87"/>
        <v>0.22470000000000001</v>
      </c>
      <c r="K726" s="48">
        <f>TRUNC(H726*(1+J726),2)</f>
        <v>4.58</v>
      </c>
      <c r="L726" s="48">
        <f>TRUNC(I726*(1+J726),2)</f>
        <v>12.12</v>
      </c>
      <c r="M726" s="48">
        <f>TRUNC(K726*G726,2)</f>
        <v>916</v>
      </c>
      <c r="N726" s="48">
        <f>TRUNC(L726*G726,2)</f>
        <v>2424</v>
      </c>
      <c r="O726" s="50">
        <f>TRUNC(M726+N726,2)</f>
        <v>3340</v>
      </c>
      <c r="P726" s="50">
        <v>0</v>
      </c>
      <c r="Q726" s="76"/>
      <c r="R726" s="139">
        <f>50*(S9+S10)</f>
        <v>200</v>
      </c>
      <c r="S726" s="79">
        <v>3.74</v>
      </c>
      <c r="T726" s="80">
        <v>9.9</v>
      </c>
    </row>
    <row r="727" spans="2:20" ht="28">
      <c r="B727" s="5" t="s">
        <v>1715</v>
      </c>
      <c r="C727" s="45" t="s">
        <v>135</v>
      </c>
      <c r="D727" s="45">
        <v>99823</v>
      </c>
      <c r="E727" s="6" t="s">
        <v>1845</v>
      </c>
      <c r="F727" s="45" t="s">
        <v>121</v>
      </c>
      <c r="G727" s="46">
        <f t="shared" si="86"/>
        <v>1600</v>
      </c>
      <c r="H727" s="46">
        <f>TRUNC(S727*(1-LOTE_02!$K$10),2)</f>
        <v>1.02</v>
      </c>
      <c r="I727" s="46">
        <f>TRUNC(T727*(1-LOTE_02!$K$10),2)</f>
        <v>1.22</v>
      </c>
      <c r="J727" s="100">
        <f t="shared" si="87"/>
        <v>0.22470000000000001</v>
      </c>
      <c r="K727" s="48">
        <f t="shared" si="81"/>
        <v>1.24</v>
      </c>
      <c r="L727" s="48">
        <f t="shared" si="82"/>
        <v>1.49</v>
      </c>
      <c r="M727" s="48">
        <f t="shared" si="83"/>
        <v>1984</v>
      </c>
      <c r="N727" s="48">
        <f t="shared" si="84"/>
        <v>2384</v>
      </c>
      <c r="O727" s="50">
        <f t="shared" si="85"/>
        <v>4368</v>
      </c>
      <c r="P727" s="50">
        <v>0</v>
      </c>
      <c r="Q727" s="76"/>
      <c r="R727" s="139">
        <f>400*(S9+S10)</f>
        <v>1600</v>
      </c>
      <c r="S727" s="79">
        <v>1.0200000000000002</v>
      </c>
      <c r="T727" s="80">
        <v>1.22</v>
      </c>
    </row>
    <row r="728" spans="2:20" ht="42">
      <c r="B728" s="5" t="s">
        <v>1716</v>
      </c>
      <c r="C728" s="45" t="s">
        <v>135</v>
      </c>
      <c r="D728" s="45">
        <v>99821</v>
      </c>
      <c r="E728" s="6" t="s">
        <v>1846</v>
      </c>
      <c r="F728" s="45" t="s">
        <v>121</v>
      </c>
      <c r="G728" s="46">
        <f t="shared" si="86"/>
        <v>200</v>
      </c>
      <c r="H728" s="46">
        <f>TRUNC(S728*(1-LOTE_02!$K$10),2)</f>
        <v>2.34</v>
      </c>
      <c r="I728" s="46">
        <f>TRUNC(T728*(1-LOTE_02!$K$10),2)</f>
        <v>2.1</v>
      </c>
      <c r="J728" s="100">
        <f t="shared" si="87"/>
        <v>0.22470000000000001</v>
      </c>
      <c r="K728" s="48">
        <f t="shared" si="81"/>
        <v>2.86</v>
      </c>
      <c r="L728" s="48">
        <f t="shared" si="82"/>
        <v>2.57</v>
      </c>
      <c r="M728" s="48">
        <f t="shared" si="83"/>
        <v>572</v>
      </c>
      <c r="N728" s="48">
        <f t="shared" si="84"/>
        <v>514</v>
      </c>
      <c r="O728" s="50">
        <f t="shared" si="85"/>
        <v>1086</v>
      </c>
      <c r="P728" s="50">
        <v>0</v>
      </c>
      <c r="Q728" s="76"/>
      <c r="R728" s="139">
        <f>50*(S9+S10)</f>
        <v>200</v>
      </c>
      <c r="S728" s="79">
        <v>2.3400000000000003</v>
      </c>
      <c r="T728" s="80">
        <v>2.1</v>
      </c>
    </row>
    <row r="729" spans="2:20" ht="28">
      <c r="B729" s="5" t="s">
        <v>1719</v>
      </c>
      <c r="C729" s="45" t="s">
        <v>135</v>
      </c>
      <c r="D729" s="45">
        <v>99826</v>
      </c>
      <c r="E729" s="6" t="s">
        <v>1847</v>
      </c>
      <c r="F729" s="45" t="s">
        <v>121</v>
      </c>
      <c r="G729" s="46">
        <f t="shared" si="86"/>
        <v>200</v>
      </c>
      <c r="H729" s="46">
        <f>TRUNC(S729*(1-LOTE_02!$K$10),2)</f>
        <v>0.34</v>
      </c>
      <c r="I729" s="46">
        <f>TRUNC(T729*(1-LOTE_02!$K$10),2)</f>
        <v>1.1599999999999999</v>
      </c>
      <c r="J729" s="100">
        <f t="shared" si="87"/>
        <v>0.22470000000000001</v>
      </c>
      <c r="K729" s="48">
        <f t="shared" si="81"/>
        <v>0.41</v>
      </c>
      <c r="L729" s="48">
        <f t="shared" si="82"/>
        <v>1.42</v>
      </c>
      <c r="M729" s="48">
        <f t="shared" si="83"/>
        <v>82</v>
      </c>
      <c r="N729" s="48">
        <f t="shared" si="84"/>
        <v>284</v>
      </c>
      <c r="O729" s="50">
        <f t="shared" si="85"/>
        <v>366</v>
      </c>
      <c r="P729" s="50">
        <v>0</v>
      </c>
      <c r="Q729" s="76"/>
      <c r="R729" s="139">
        <f>50*(S9+S10)</f>
        <v>200</v>
      </c>
      <c r="S729" s="79">
        <v>0.34000000000000008</v>
      </c>
      <c r="T729" s="80">
        <v>1.1599999999999999</v>
      </c>
    </row>
    <row r="730" spans="2:20" ht="28">
      <c r="B730" s="5" t="s">
        <v>1720</v>
      </c>
      <c r="C730" s="45" t="s">
        <v>135</v>
      </c>
      <c r="D730" s="45">
        <v>99822</v>
      </c>
      <c r="E730" s="6" t="s">
        <v>1848</v>
      </c>
      <c r="F730" s="45" t="s">
        <v>121</v>
      </c>
      <c r="G730" s="46">
        <f t="shared" si="86"/>
        <v>26.4</v>
      </c>
      <c r="H730" s="46">
        <f>TRUNC(S730*(1-LOTE_02!$K$10),2)</f>
        <v>0.23</v>
      </c>
      <c r="I730" s="46">
        <f>TRUNC(T730*(1-LOTE_02!$K$10),2)</f>
        <v>0.75</v>
      </c>
      <c r="J730" s="100">
        <f t="shared" si="87"/>
        <v>0.22470000000000001</v>
      </c>
      <c r="K730" s="48">
        <f t="shared" si="81"/>
        <v>0.28000000000000003</v>
      </c>
      <c r="L730" s="48">
        <f t="shared" si="82"/>
        <v>0.91</v>
      </c>
      <c r="M730" s="48">
        <f t="shared" si="83"/>
        <v>7.39</v>
      </c>
      <c r="N730" s="48">
        <f t="shared" si="84"/>
        <v>24.02</v>
      </c>
      <c r="O730" s="50">
        <f t="shared" si="85"/>
        <v>31.41</v>
      </c>
      <c r="P730" s="50">
        <v>0</v>
      </c>
      <c r="Q730" s="76"/>
      <c r="R730" s="139">
        <f>2.2*1*3*(S9+S10)</f>
        <v>26.400000000000002</v>
      </c>
      <c r="S730" s="79">
        <v>0.22999999999999998</v>
      </c>
      <c r="T730" s="80">
        <v>0.75</v>
      </c>
    </row>
    <row r="731" spans="2:20" ht="42">
      <c r="B731" s="5" t="s">
        <v>1721</v>
      </c>
      <c r="C731" s="45" t="s">
        <v>135</v>
      </c>
      <c r="D731" s="45">
        <v>99825</v>
      </c>
      <c r="E731" s="6" t="s">
        <v>1849</v>
      </c>
      <c r="F731" s="45" t="s">
        <v>121</v>
      </c>
      <c r="G731" s="46">
        <f t="shared" si="86"/>
        <v>8.8000000000000007</v>
      </c>
      <c r="H731" s="46">
        <f>TRUNC(S731*(1-LOTE_02!$K$10),2)</f>
        <v>2.0699999999999998</v>
      </c>
      <c r="I731" s="46">
        <f>TRUNC(T731*(1-LOTE_02!$K$10),2)</f>
        <v>2.19</v>
      </c>
      <c r="J731" s="100">
        <f t="shared" si="87"/>
        <v>0.22470000000000001</v>
      </c>
      <c r="K731" s="48">
        <f t="shared" si="81"/>
        <v>2.5299999999999998</v>
      </c>
      <c r="L731" s="48">
        <f t="shared" si="82"/>
        <v>2.68</v>
      </c>
      <c r="M731" s="48">
        <f t="shared" si="83"/>
        <v>22.26</v>
      </c>
      <c r="N731" s="48">
        <f t="shared" si="84"/>
        <v>23.58</v>
      </c>
      <c r="O731" s="50">
        <f t="shared" si="85"/>
        <v>45.84</v>
      </c>
      <c r="P731" s="50">
        <v>0</v>
      </c>
      <c r="Q731" s="76"/>
      <c r="R731" s="139">
        <f>2.2*1*(S9+S10)</f>
        <v>8.8000000000000007</v>
      </c>
      <c r="S731" s="79">
        <v>2.0699999999999998</v>
      </c>
      <c r="T731" s="80">
        <v>2.19</v>
      </c>
    </row>
    <row r="732" spans="2:20" ht="28">
      <c r="B732" s="5" t="s">
        <v>1722</v>
      </c>
      <c r="C732" s="45" t="s">
        <v>135</v>
      </c>
      <c r="D732" s="45">
        <v>99824</v>
      </c>
      <c r="E732" s="6" t="s">
        <v>1850</v>
      </c>
      <c r="F732" s="45" t="s">
        <v>121</v>
      </c>
      <c r="G732" s="46">
        <f t="shared" si="86"/>
        <v>26.4</v>
      </c>
      <c r="H732" s="46">
        <f>TRUNC(S732*(1-LOTE_02!$K$10),2)</f>
        <v>1.04</v>
      </c>
      <c r="I732" s="46">
        <f>TRUNC(T732*(1-LOTE_02!$K$10),2)</f>
        <v>1.5</v>
      </c>
      <c r="J732" s="100">
        <f t="shared" si="87"/>
        <v>0.22470000000000001</v>
      </c>
      <c r="K732" s="48">
        <f t="shared" si="81"/>
        <v>1.27</v>
      </c>
      <c r="L732" s="48">
        <f t="shared" si="82"/>
        <v>1.83</v>
      </c>
      <c r="M732" s="48">
        <f t="shared" si="83"/>
        <v>33.520000000000003</v>
      </c>
      <c r="N732" s="48">
        <f t="shared" si="84"/>
        <v>48.31</v>
      </c>
      <c r="O732" s="50">
        <f t="shared" si="85"/>
        <v>81.83</v>
      </c>
      <c r="P732" s="50">
        <v>0</v>
      </c>
      <c r="Q732" s="76"/>
      <c r="R732" s="139">
        <f>2.2*1*3*(S9+S10)</f>
        <v>26.400000000000002</v>
      </c>
      <c r="S732" s="79">
        <v>1.04</v>
      </c>
      <c r="T732" s="80">
        <v>1.5</v>
      </c>
    </row>
    <row r="733" spans="2:20" ht="28">
      <c r="B733" s="5" t="s">
        <v>1723</v>
      </c>
      <c r="C733" s="45" t="s">
        <v>135</v>
      </c>
      <c r="D733" s="45">
        <v>99811</v>
      </c>
      <c r="E733" s="6" t="s">
        <v>1851</v>
      </c>
      <c r="F733" s="45" t="s">
        <v>121</v>
      </c>
      <c r="G733" s="46">
        <f t="shared" si="86"/>
        <v>200</v>
      </c>
      <c r="H733" s="46">
        <f>TRUNC(S733*(1-LOTE_02!$K$10),2)</f>
        <v>0.14000000000000001</v>
      </c>
      <c r="I733" s="46">
        <f>TRUNC(T733*(1-LOTE_02!$K$10),2)</f>
        <v>0.47</v>
      </c>
      <c r="J733" s="100">
        <f t="shared" si="87"/>
        <v>0.22470000000000001</v>
      </c>
      <c r="K733" s="48">
        <f>TRUNC(H733*(1+J733),2)</f>
        <v>0.17</v>
      </c>
      <c r="L733" s="48">
        <f>TRUNC(I733*(1+J733),2)</f>
        <v>0.56999999999999995</v>
      </c>
      <c r="M733" s="48">
        <f>TRUNC(K733*G733,2)</f>
        <v>34</v>
      </c>
      <c r="N733" s="48">
        <f>TRUNC(L733*G733,2)</f>
        <v>114</v>
      </c>
      <c r="O733" s="50">
        <f>TRUNC(M733+N733,2)</f>
        <v>148</v>
      </c>
      <c r="P733" s="50">
        <v>0</v>
      </c>
      <c r="Q733" s="76"/>
      <c r="R733" s="139">
        <f>50*(S9+S10)</f>
        <v>200</v>
      </c>
      <c r="S733" s="79">
        <v>0.14000000000000001</v>
      </c>
      <c r="T733" s="80">
        <v>0.47</v>
      </c>
    </row>
    <row r="734" spans="2:20" ht="42">
      <c r="B734" s="5" t="s">
        <v>1724</v>
      </c>
      <c r="C734" s="45" t="s">
        <v>135</v>
      </c>
      <c r="D734" s="45">
        <v>99805</v>
      </c>
      <c r="E734" s="6" t="s">
        <v>1840</v>
      </c>
      <c r="F734" s="45" t="s">
        <v>121</v>
      </c>
      <c r="G734" s="46">
        <f t="shared" si="86"/>
        <v>1600</v>
      </c>
      <c r="H734" s="46">
        <f>TRUNC(S734*(1-LOTE_02!$K$10),2)</f>
        <v>2.85</v>
      </c>
      <c r="I734" s="46">
        <f>TRUNC(T734*(1-LOTE_02!$K$10),2)</f>
        <v>7.38</v>
      </c>
      <c r="J734" s="100">
        <f t="shared" si="87"/>
        <v>0.22470000000000001</v>
      </c>
      <c r="K734" s="48">
        <f t="shared" si="81"/>
        <v>3.49</v>
      </c>
      <c r="L734" s="48">
        <f t="shared" si="82"/>
        <v>9.0299999999999994</v>
      </c>
      <c r="M734" s="48">
        <f t="shared" si="83"/>
        <v>5584</v>
      </c>
      <c r="N734" s="48">
        <f t="shared" si="84"/>
        <v>14448</v>
      </c>
      <c r="O734" s="50">
        <f t="shared" si="85"/>
        <v>20032</v>
      </c>
      <c r="P734" s="50">
        <v>0</v>
      </c>
      <c r="Q734" s="76"/>
      <c r="R734" s="139">
        <f>400*(S9+S10)</f>
        <v>1600</v>
      </c>
      <c r="S734" s="79">
        <v>2.8500000000000005</v>
      </c>
      <c r="T734" s="80">
        <v>7.38</v>
      </c>
    </row>
    <row r="735" spans="2:20">
      <c r="B735" s="5" t="s">
        <v>1725</v>
      </c>
      <c r="C735" s="45" t="s">
        <v>97</v>
      </c>
      <c r="D735" s="45" t="s">
        <v>1728</v>
      </c>
      <c r="E735" s="6" t="s">
        <v>1729</v>
      </c>
      <c r="F735" s="45" t="s">
        <v>104</v>
      </c>
      <c r="G735" s="46">
        <f t="shared" si="86"/>
        <v>4</v>
      </c>
      <c r="H735" s="46">
        <f>TRUNC(S735*(1-LOTE_02!$K$10),2)</f>
        <v>811.58</v>
      </c>
      <c r="I735" s="46">
        <f>TRUNC(T735*(1-LOTE_02!$K$10),2)</f>
        <v>192.36</v>
      </c>
      <c r="J735" s="100">
        <f t="shared" si="87"/>
        <v>0.22470000000000001</v>
      </c>
      <c r="K735" s="48">
        <f t="shared" si="81"/>
        <v>993.94</v>
      </c>
      <c r="L735" s="48">
        <f t="shared" si="82"/>
        <v>235.58</v>
      </c>
      <c r="M735" s="48">
        <f t="shared" si="83"/>
        <v>3975.76</v>
      </c>
      <c r="N735" s="48">
        <f t="shared" si="84"/>
        <v>942.32</v>
      </c>
      <c r="O735" s="50">
        <f t="shared" si="85"/>
        <v>4918.08</v>
      </c>
      <c r="P735" s="50">
        <v>0</v>
      </c>
      <c r="Q735" s="76"/>
      <c r="R735" s="139">
        <f>1*(S9+S10)</f>
        <v>4</v>
      </c>
      <c r="S735" s="79">
        <v>811.58</v>
      </c>
      <c r="T735" s="80">
        <v>192.36</v>
      </c>
    </row>
    <row r="736" spans="2:20">
      <c r="B736" s="5" t="s">
        <v>1726</v>
      </c>
      <c r="C736" s="45" t="s">
        <v>97</v>
      </c>
      <c r="D736" s="45" t="s">
        <v>1730</v>
      </c>
      <c r="E736" s="6" t="s">
        <v>1731</v>
      </c>
      <c r="F736" s="45" t="s">
        <v>104</v>
      </c>
      <c r="G736" s="46">
        <f t="shared" si="86"/>
        <v>4</v>
      </c>
      <c r="H736" s="46">
        <f>TRUNC(S736*(1-LOTE_02!$K$10),2)</f>
        <v>2028.88</v>
      </c>
      <c r="I736" s="46">
        <f>TRUNC(T736*(1-LOTE_02!$K$10),2)</f>
        <v>302.43</v>
      </c>
      <c r="J736" s="100">
        <f t="shared" si="87"/>
        <v>0.22470000000000001</v>
      </c>
      <c r="K736" s="48">
        <f t="shared" si="81"/>
        <v>2484.7600000000002</v>
      </c>
      <c r="L736" s="48">
        <f t="shared" si="82"/>
        <v>370.38</v>
      </c>
      <c r="M736" s="48">
        <f t="shared" si="83"/>
        <v>9939.0400000000009</v>
      </c>
      <c r="N736" s="48">
        <f t="shared" si="84"/>
        <v>1481.52</v>
      </c>
      <c r="O736" s="50">
        <f t="shared" si="85"/>
        <v>11420.56</v>
      </c>
      <c r="P736" s="50">
        <v>0</v>
      </c>
      <c r="Q736" s="76"/>
      <c r="R736" s="139">
        <f>1*(S9+S10)</f>
        <v>4</v>
      </c>
      <c r="S736" s="79">
        <v>2028.88</v>
      </c>
      <c r="T736" s="80">
        <v>302.43</v>
      </c>
    </row>
    <row r="737" spans="2:20">
      <c r="B737" s="5" t="s">
        <v>1727</v>
      </c>
      <c r="C737" s="45" t="s">
        <v>97</v>
      </c>
      <c r="D737" s="45" t="s">
        <v>1732</v>
      </c>
      <c r="E737" s="6" t="s">
        <v>1733</v>
      </c>
      <c r="F737" s="45" t="s">
        <v>104</v>
      </c>
      <c r="G737" s="46">
        <f t="shared" si="86"/>
        <v>4</v>
      </c>
      <c r="H737" s="46">
        <f>TRUNC(S737*(1-LOTE_02!$K$10),2)</f>
        <v>7399.39</v>
      </c>
      <c r="I737" s="46">
        <f>TRUNC(T737*(1-LOTE_02!$K$10),2)</f>
        <v>930.51</v>
      </c>
      <c r="J737" s="100">
        <f t="shared" si="87"/>
        <v>0.22470000000000001</v>
      </c>
      <c r="K737" s="48">
        <f t="shared" si="81"/>
        <v>9062.0300000000007</v>
      </c>
      <c r="L737" s="48">
        <f t="shared" si="82"/>
        <v>1139.5899999999999</v>
      </c>
      <c r="M737" s="48">
        <f t="shared" si="83"/>
        <v>36248.120000000003</v>
      </c>
      <c r="N737" s="48">
        <f t="shared" si="84"/>
        <v>4558.3599999999997</v>
      </c>
      <c r="O737" s="50">
        <f t="shared" si="85"/>
        <v>40806.480000000003</v>
      </c>
      <c r="P737" s="50">
        <v>0</v>
      </c>
      <c r="Q737" s="76"/>
      <c r="R737" s="139">
        <f>1*(S9+S10)</f>
        <v>4</v>
      </c>
      <c r="S737" s="79">
        <v>7399.39</v>
      </c>
      <c r="T737" s="80">
        <v>930.51</v>
      </c>
    </row>
    <row r="738" spans="2:20">
      <c r="B738" s="5"/>
      <c r="C738" s="45"/>
      <c r="D738" s="45"/>
      <c r="E738" s="6"/>
      <c r="F738" s="45"/>
      <c r="G738" s="124"/>
      <c r="H738" s="46"/>
      <c r="I738" s="47"/>
      <c r="J738" s="47"/>
      <c r="K738" s="47"/>
      <c r="L738" s="47"/>
      <c r="M738" s="48">
        <f t="shared" ref="M738" si="88">G738*H738</f>
        <v>0</v>
      </c>
      <c r="N738" s="49">
        <f t="shared" ref="N738" si="89">G738*I738</f>
        <v>0</v>
      </c>
      <c r="O738" s="50">
        <f t="shared" ref="O738" si="90">M738+N738</f>
        <v>0</v>
      </c>
      <c r="P738" s="50">
        <v>0</v>
      </c>
      <c r="Q738" s="76"/>
      <c r="R738" s="76"/>
      <c r="S738" s="79"/>
      <c r="T738" s="80"/>
    </row>
    <row r="739" spans="2:20">
      <c r="B739" s="5"/>
      <c r="C739" s="45"/>
      <c r="D739" s="45"/>
      <c r="E739" s="6"/>
      <c r="F739" s="45"/>
      <c r="G739" s="123"/>
      <c r="H739" s="46"/>
      <c r="I739" s="47"/>
      <c r="J739" s="47"/>
      <c r="K739" s="47"/>
      <c r="L739" s="47"/>
      <c r="M739" s="48" t="s">
        <v>22</v>
      </c>
      <c r="N739" s="49" t="s">
        <v>22</v>
      </c>
      <c r="O739" s="50" t="s">
        <v>22</v>
      </c>
      <c r="P739" s="50">
        <v>0</v>
      </c>
      <c r="Q739" s="76"/>
      <c r="R739" s="76"/>
      <c r="S739" s="76"/>
    </row>
    <row r="740" spans="2:20">
      <c r="B740" s="5"/>
      <c r="C740" s="52"/>
      <c r="D740" s="52"/>
      <c r="E740" s="53"/>
      <c r="F740" s="52"/>
      <c r="G740" s="124"/>
      <c r="H740" s="52"/>
      <c r="I740" s="54"/>
      <c r="J740" s="54"/>
      <c r="K740" s="54"/>
      <c r="L740" s="54"/>
      <c r="M740" s="55" t="s">
        <v>22</v>
      </c>
      <c r="N740" s="5" t="s">
        <v>22</v>
      </c>
      <c r="O740" s="5" t="s">
        <v>22</v>
      </c>
      <c r="P740" s="50">
        <v>0</v>
      </c>
      <c r="Q740" s="76"/>
      <c r="R740" s="77"/>
      <c r="S740" s="77"/>
    </row>
    <row r="741" spans="2:20">
      <c r="B741" s="56"/>
      <c r="C741" s="59"/>
      <c r="D741" s="59"/>
      <c r="E741" s="60"/>
      <c r="F741" s="61"/>
      <c r="G741" s="125"/>
      <c r="H741" s="57"/>
      <c r="I741" s="62" t="s">
        <v>63</v>
      </c>
      <c r="J741" s="62"/>
      <c r="K741" s="62"/>
      <c r="L741" s="62"/>
      <c r="M741" s="58">
        <f>SUM(M15:M740)</f>
        <v>7449537.0999999978</v>
      </c>
      <c r="N741" s="58">
        <f>SUM(N15:N740)</f>
        <v>2178576.669999999</v>
      </c>
      <c r="O741" s="58">
        <f t="shared" ref="O741:P741" si="91">SUM(O15:O740)</f>
        <v>9628113.7699999996</v>
      </c>
      <c r="P741" s="58">
        <f t="shared" si="91"/>
        <v>9628113.7699999996</v>
      </c>
      <c r="Q741" s="78"/>
      <c r="R741" s="78"/>
      <c r="S741" s="78"/>
    </row>
  </sheetData>
  <sheetProtection selectLockedCells="1"/>
  <protectedRanges>
    <protectedRange sqref="E15:F33 G739:O739 S15 E179:F471 J179:J737 G15:J15 M738:O738 M15:Q15 E35:F176 J16:J176 G16:G176 P16:Q176 B15:B176 S16:T176 G179:G737 P179:Q740 B179:B739 S179:T738 E473:F739" name="Intervalo1_7_1"/>
    <protectedRange sqref="G738" name="Intervalo1_3_3"/>
    <protectedRange sqref="S739" name="Intervalo1_1_3"/>
    <protectedRange sqref="H738:L738" name="Intervalo1_2_2"/>
    <protectedRange sqref="E472:F472" name="Intervalo1_4_2"/>
    <protectedRange sqref="E34:F34" name="Intervalo1_5_2"/>
    <protectedRange sqref="R738" name="Intervalo1_2"/>
    <protectedRange sqref="R739" name="Intervalo1_1_1"/>
    <protectedRange sqref="R15" name="Intervalo1_3_1_2_1_1"/>
    <protectedRange sqref="B177 S177:T177 E177:G177 P177:Q177 J177" name="Intervalo1_3_1"/>
    <protectedRange sqref="B178 S178:T178 E178:G178 P178:Q178 J178" name="Intervalo1_5_1"/>
    <protectedRange sqref="K15:L737" name="Intervalo1"/>
    <protectedRange sqref="M16:O737" name="Intervalo1_3"/>
    <protectedRange sqref="H16:I737" name="Intervalo1_2_1_1"/>
    <protectedRange sqref="R663 R684 R192:R194 R306 R310" name="Intervalo1_3_1_2"/>
    <protectedRange sqref="R34:R39 R115:R123 R135:R149 R180:R187 R376:R393 R478:R494 R541:R580 R693 R16:R32 R582:R604 R679 R626:R637 R441:R476 R195:R196 R685:R691 R254:R285 R312:R332 R125:R133 R287:R305 R373:R374 R335:R364 R395:R405 R407:R439 R41:R113 R496:R539 R606:R623 R307:R309 R198:R206 R189:R191 R171:R176 R208:R241 R243:R252 R151:R169" name="Intervalo1_3_7_1"/>
    <protectedRange sqref="R33 R40 R114 R124 R134 R150 R170 R179 R188 R197 R207 R692 R253 R286 R311 R333:R334 R375 R394 R406 R440 R477 R495 R540 R581 R605 R624:R625 R638:R662 R680:R683 R664:R678 R242 R694:R737" name="Intervalo1_3_1_2_1"/>
    <protectedRange sqref="R365:R372" name="Intervalo1_3_1_3_1"/>
    <protectedRange sqref="R177:R178" name="Intervalo1_3_2"/>
  </protectedRanges>
  <autoFilter ref="B14:P751" xr:uid="{00000000-0009-0000-0000-000003000000}"/>
  <mergeCells count="4">
    <mergeCell ref="H13:I13"/>
    <mergeCell ref="J13:J14"/>
    <mergeCell ref="M13:P13"/>
    <mergeCell ref="K13:L13"/>
  </mergeCells>
  <conditionalFormatting sqref="R15:R176 R179:R683">
    <cfRule type="expression" dxfId="27" priority="3" stopIfTrue="1">
      <formula>P15="-"</formula>
    </cfRule>
  </conditionalFormatting>
  <conditionalFormatting sqref="R15:R683">
    <cfRule type="cellIs" dxfId="26" priority="1" stopIfTrue="1" operator="equal">
      <formula>""</formula>
    </cfRule>
  </conditionalFormatting>
  <conditionalFormatting sqref="R177:R178">
    <cfRule type="expression" dxfId="25" priority="2" stopIfTrue="1">
      <formula>Q177="-"</formula>
    </cfRule>
  </conditionalFormatting>
  <conditionalFormatting sqref="R684">
    <cfRule type="cellIs" dxfId="24" priority="6" stopIfTrue="1" operator="equal">
      <formula>0</formula>
    </cfRule>
    <cfRule type="expression" dxfId="23" priority="7" stopIfTrue="1">
      <formula>I684="-"</formula>
    </cfRule>
  </conditionalFormatting>
  <conditionalFormatting sqref="R685:R737">
    <cfRule type="cellIs" dxfId="22" priority="4" stopIfTrue="1" operator="equal">
      <formula>""</formula>
    </cfRule>
    <cfRule type="expression" dxfId="21" priority="5" stopIfTrue="1">
      <formula>P685="-"</formula>
    </cfRule>
  </conditionalFormatting>
  <pageMargins left="0.51181102362204722" right="0.51181102362204722" top="0.59055118110236227" bottom="0.59055118110236227" header="0.31496062992125984" footer="0.31496062992125984"/>
  <pageSetup paperSize="9" scale="60" orientation="landscape" verticalDpi="599" r:id="rId1"/>
  <headerFooter>
    <oddHeader>&amp;R&amp;"Aptos"&amp;12&amp;K000000 #INTERNA&amp;1#_x000D_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335c42-f9fe-4e09-82f5-521bd8ecf312" xsi:nil="true"/>
    <lcf76f155ced4ddcb4097134ff3c332f xmlns="79210fad-a376-40a5-8bac-6aed6b12b225">
      <Terms xmlns="http://schemas.microsoft.com/office/infopath/2007/PartnerControls"/>
    </lcf76f155ced4ddcb4097134ff3c332f>
    <teste xmlns="79210fad-a376-40a5-8bac-6aed6b12b225">
      <Url xsi:nil="true"/>
      <Description xsi:nil="true"/>
    </teste>
    <_Flow_SignoffStatus xmlns="79210fad-a376-40a5-8bac-6aed6b12b2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6636C86739BF04C83832D23717093D7" ma:contentTypeVersion="20" ma:contentTypeDescription="Crie um novo documento." ma:contentTypeScope="" ma:versionID="14b3527a18f0af7ba8084ee697c2f193">
  <xsd:schema xmlns:xsd="http://www.w3.org/2001/XMLSchema" xmlns:xs="http://www.w3.org/2001/XMLSchema" xmlns:p="http://schemas.microsoft.com/office/2006/metadata/properties" xmlns:ns2="79210fad-a376-40a5-8bac-6aed6b12b225" xmlns:ns3="f4335c42-f9fe-4e09-82f5-521bd8ecf312" targetNamespace="http://schemas.microsoft.com/office/2006/metadata/properties" ma:root="true" ma:fieldsID="6c236277bf84870448831c9874b4ec9d" ns2:_="" ns3:_="">
    <xsd:import namespace="79210fad-a376-40a5-8bac-6aed6b12b225"/>
    <xsd:import namespace="f4335c42-f9fe-4e09-82f5-521bd8ecf3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teste" minOccurs="0"/>
                <xsd:element ref="ns2:MediaLengthInSeconds" minOccurs="0"/>
                <xsd:element ref="ns2:lcf76f155ced4ddcb4097134ff3c332f" minOccurs="0"/>
                <xsd:element ref="ns3:TaxCatchAll" minOccurs="0"/>
                <xsd:element ref="ns2:MediaServiceSearchProperties"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10fad-a376-40a5-8bac-6aed6b12b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teste" ma:index="20" nillable="true" ma:displayName="teste" ma:format="Image" ma:internalName="teste">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1e20bfe5-fa4f-428b-862b-d85592644b17"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335c42-f9fe-4e09-82f5-521bd8ecf312"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7d5e7643-197d-4acc-9e98-564b66096785}" ma:internalName="TaxCatchAll" ma:showField="CatchAllData" ma:web="f4335c42-f9fe-4e09-82f5-521bd8ecf3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73966-31E0-4B11-97E4-645C53DB62B1}">
  <ds:schemaRefs>
    <ds:schemaRef ds:uri="http://schemas.microsoft.com/office/2006/metadata/properties"/>
    <ds:schemaRef ds:uri="http://schemas.microsoft.com/office/infopath/2007/PartnerControls"/>
    <ds:schemaRef ds:uri="a138551d-eb41-41b5-95f5-f218941f5d05"/>
    <ds:schemaRef ds:uri="4e4c6ce1-5d9e-4d17-9b61-ebecd474a867"/>
    <ds:schemaRef ds:uri="f4335c42-f9fe-4e09-82f5-521bd8ecf312"/>
    <ds:schemaRef ds:uri="79210fad-a376-40a5-8bac-6aed6b12b225"/>
  </ds:schemaRefs>
</ds:datastoreItem>
</file>

<file path=customXml/itemProps2.xml><?xml version="1.0" encoding="utf-8"?>
<ds:datastoreItem xmlns:ds="http://schemas.openxmlformats.org/officeDocument/2006/customXml" ds:itemID="{C0176EFA-A121-4A0E-836A-9F8565937B1F}">
  <ds:schemaRefs>
    <ds:schemaRef ds:uri="http://schemas.microsoft.com/sharepoint/v3/contenttype/forms"/>
  </ds:schemaRefs>
</ds:datastoreItem>
</file>

<file path=customXml/itemProps3.xml><?xml version="1.0" encoding="utf-8"?>
<ds:datastoreItem xmlns:ds="http://schemas.openxmlformats.org/officeDocument/2006/customXml" ds:itemID="{7E5C800D-59C9-451F-B9CC-01DD8DB27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10fad-a376-40a5-8bac-6aed6b12b225"/>
    <ds:schemaRef ds:uri="f4335c42-f9fe-4e09-82f5-521bd8ecf3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18</vt:i4>
      </vt:variant>
    </vt:vector>
  </HeadingPairs>
  <TitlesOfParts>
    <vt:vector size="30" baseType="lpstr">
      <vt:lpstr>LOTE_01</vt:lpstr>
      <vt:lpstr>LOTE_02</vt:lpstr>
      <vt:lpstr>LOTE_03</vt:lpstr>
      <vt:lpstr>OrçGeral-AC</vt:lpstr>
      <vt:lpstr>OrçGeral-AM</vt:lpstr>
      <vt:lpstr>OrçGeral-RO</vt:lpstr>
      <vt:lpstr>OrçGeral-RR</vt:lpstr>
      <vt:lpstr>OrçGeral-PA</vt:lpstr>
      <vt:lpstr>OrçGeral-AP</vt:lpstr>
      <vt:lpstr>OrçGeral-MA</vt:lpstr>
      <vt:lpstr>OrçGeral-MT</vt:lpstr>
      <vt:lpstr>OrçGeral-TO</vt:lpstr>
      <vt:lpstr>'OrçGeral-AC'!Area_de_impressao</vt:lpstr>
      <vt:lpstr>'OrçGeral-AM'!Area_de_impressao</vt:lpstr>
      <vt:lpstr>'OrçGeral-AP'!Area_de_impressao</vt:lpstr>
      <vt:lpstr>'OrçGeral-MA'!Area_de_impressao</vt:lpstr>
      <vt:lpstr>'OrçGeral-MT'!Area_de_impressao</vt:lpstr>
      <vt:lpstr>'OrçGeral-PA'!Area_de_impressao</vt:lpstr>
      <vt:lpstr>'OrçGeral-RO'!Area_de_impressao</vt:lpstr>
      <vt:lpstr>'OrçGeral-RR'!Area_de_impressao</vt:lpstr>
      <vt:lpstr>'OrçGeral-TO'!Area_de_impressao</vt:lpstr>
      <vt:lpstr>'OrçGeral-AC'!Titulos_de_impressao</vt:lpstr>
      <vt:lpstr>'OrçGeral-AM'!Titulos_de_impressao</vt:lpstr>
      <vt:lpstr>'OrçGeral-AP'!Titulos_de_impressao</vt:lpstr>
      <vt:lpstr>'OrçGeral-MA'!Titulos_de_impressao</vt:lpstr>
      <vt:lpstr>'OrçGeral-MT'!Titulos_de_impressao</vt:lpstr>
      <vt:lpstr>'OrçGeral-PA'!Titulos_de_impressao</vt:lpstr>
      <vt:lpstr>'OrçGeral-RO'!Titulos_de_impressao</vt:lpstr>
      <vt:lpstr>'OrçGeral-RR'!Titulos_de_impressao</vt:lpstr>
      <vt:lpstr>'OrçGeral-TO'!Titulos_de_impressao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5750</dc:creator>
  <cp:lastModifiedBy>Elcio de Sousa Farias</cp:lastModifiedBy>
  <cp:lastPrinted>2025-12-24T13:58:17Z</cp:lastPrinted>
  <dcterms:created xsi:type="dcterms:W3CDTF">2024-03-11T11:00:10Z</dcterms:created>
  <dcterms:modified xsi:type="dcterms:W3CDTF">2026-06-18T12:20:44Z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0x010100E6636C86739BF04C83832D23717093D7</vt:lpwstr>
  </property>
  <property fmtid="{D5CDD505-2E9C-101B-9397-08002B2CF9AE}" pid="3" name="MSIP_Label_9a07df86-7c7e-40e4-a01a-4c31aae802b2_Enabled">
    <vt:lpwstr>true</vt:lpwstr>
  </property>
  <property fmtid="{D5CDD505-2E9C-101B-9397-08002B2CF9AE}" pid="4" name="MSIP_Label_9a07df86-7c7e-40e4-a01a-4c31aae802b2_SetDate">
    <vt:lpwstr>2025-11-28T13:28:41Z</vt:lpwstr>
  </property>
  <property fmtid="{D5CDD505-2E9C-101B-9397-08002B2CF9AE}" pid="5" name="MSIP_Label_9a07df86-7c7e-40e4-a01a-4c31aae802b2_Method">
    <vt:lpwstr>Privileged</vt:lpwstr>
  </property>
  <property fmtid="{D5CDD505-2E9C-101B-9397-08002B2CF9AE}" pid="6" name="MSIP_Label_9a07df86-7c7e-40e4-a01a-4c31aae802b2_Name">
    <vt:lpwstr>CLASSIFICAÇÃO INTERNA</vt:lpwstr>
  </property>
  <property fmtid="{D5CDD505-2E9C-101B-9397-08002B2CF9AE}" pid="7" name="MSIP_Label_9a07df86-7c7e-40e4-a01a-4c31aae802b2_SiteId">
    <vt:lpwstr>ec8a6a0a-d9e4-4c1e-b499-6b85ac95eddf</vt:lpwstr>
  </property>
  <property fmtid="{D5CDD505-2E9C-101B-9397-08002B2CF9AE}" pid="8" name="MSIP_Label_9a07df86-7c7e-40e4-a01a-4c31aae802b2_ActionId">
    <vt:lpwstr>809b92cf-2a07-4de8-a296-ead8a7236698</vt:lpwstr>
  </property>
  <property fmtid="{D5CDD505-2E9C-101B-9397-08002B2CF9AE}" pid="9" name="MSIP_Label_9a07df86-7c7e-40e4-a01a-4c31aae802b2_ContentBits">
    <vt:lpwstr>1</vt:lpwstr>
  </property>
  <property fmtid="{D5CDD505-2E9C-101B-9397-08002B2CF9AE}" pid="10" name="MSIP_Label_9a07df86-7c7e-40e4-a01a-4c31aae802b2_Tag">
    <vt:lpwstr>10, 0, 1, 1</vt:lpwstr>
  </property>
  <property fmtid="{D5CDD505-2E9C-101B-9397-08002B2CF9AE}" pid="11" name="MediaServiceImageTags">
    <vt:lpwstr/>
  </property>
</Properties>
</file>